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rambanapasi/Desktop/Much Ado Dividends/Much-Ado-Dividends/Thesis/data/"/>
    </mc:Choice>
  </mc:AlternateContent>
  <xr:revisionPtr revIDLastSave="0" documentId="13_ncr:1_{A66148E3-8372-1E4F-84C6-7308B476F721}" xr6:coauthVersionLast="47" xr6:coauthVersionMax="47" xr10:uidLastSave="{00000000-0000-0000-0000-000000000000}"/>
  <bookViews>
    <workbookView minimized="1" xWindow="0" yWindow="760" windowWidth="29040" windowHeight="15840" activeTab="2" xr2:uid="{00000000-000D-0000-FFFF-FFFF00000000}"/>
  </bookViews>
  <sheets>
    <sheet name="Worksheet" sheetId="2" r:id="rId1"/>
    <sheet name="Sheet1" sheetId="3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219" i="2" l="1"/>
  <c r="U5219" i="2"/>
  <c r="T5219" i="2"/>
  <c r="S5219" i="2"/>
  <c r="R5219" i="2"/>
  <c r="Q5219" i="2"/>
  <c r="P5219" i="2"/>
  <c r="O5219" i="2"/>
  <c r="N5219" i="2"/>
  <c r="M5219" i="2"/>
  <c r="L5219" i="2"/>
  <c r="K5219" i="2"/>
  <c r="J5219" i="2"/>
  <c r="I5219" i="2"/>
  <c r="H5219" i="2"/>
  <c r="G5219" i="2"/>
  <c r="F5219" i="2"/>
  <c r="E5219" i="2"/>
  <c r="D5219" i="2"/>
  <c r="C5219" i="2"/>
  <c r="B5219" i="2"/>
  <c r="V5218" i="2"/>
  <c r="U5218" i="2"/>
  <c r="T5218" i="2"/>
  <c r="S5218" i="2"/>
  <c r="R5218" i="2"/>
  <c r="Q5218" i="2"/>
  <c r="P5218" i="2"/>
  <c r="O5218" i="2"/>
  <c r="N5218" i="2"/>
  <c r="M5218" i="2"/>
  <c r="L5218" i="2"/>
  <c r="K5218" i="2"/>
  <c r="J5218" i="2"/>
  <c r="I5218" i="2"/>
  <c r="H5218" i="2"/>
  <c r="G5218" i="2"/>
  <c r="F5218" i="2"/>
  <c r="E5218" i="2"/>
  <c r="D5218" i="2"/>
  <c r="C5218" i="2"/>
  <c r="B5218" i="2"/>
  <c r="V5217" i="2"/>
  <c r="U5217" i="2"/>
  <c r="T5217" i="2"/>
  <c r="S5217" i="2"/>
  <c r="R5217" i="2"/>
  <c r="Q5217" i="2"/>
  <c r="P5217" i="2"/>
  <c r="O5217" i="2"/>
  <c r="N5217" i="2"/>
  <c r="M5217" i="2"/>
  <c r="L5217" i="2"/>
  <c r="K5217" i="2"/>
  <c r="J5217" i="2"/>
  <c r="I5217" i="2"/>
  <c r="H5217" i="2"/>
  <c r="G5217" i="2"/>
  <c r="F5217" i="2"/>
  <c r="E5217" i="2"/>
  <c r="D5217" i="2"/>
  <c r="C5217" i="2"/>
  <c r="B5217" i="2"/>
  <c r="V5216" i="2"/>
  <c r="U5216" i="2"/>
  <c r="T5216" i="2"/>
  <c r="S5216" i="2"/>
  <c r="R5216" i="2"/>
  <c r="Q5216" i="2"/>
  <c r="P5216" i="2"/>
  <c r="O5216" i="2"/>
  <c r="N5216" i="2"/>
  <c r="M5216" i="2"/>
  <c r="L5216" i="2"/>
  <c r="K5216" i="2"/>
  <c r="J5216" i="2"/>
  <c r="I5216" i="2"/>
  <c r="H5216" i="2"/>
  <c r="G5216" i="2"/>
  <c r="F5216" i="2"/>
  <c r="E5216" i="2"/>
  <c r="D5216" i="2"/>
  <c r="C5216" i="2"/>
  <c r="B5216" i="2"/>
  <c r="V5215" i="2"/>
  <c r="U5215" i="2"/>
  <c r="T5215" i="2"/>
  <c r="S5215" i="2"/>
  <c r="R5215" i="2"/>
  <c r="Q5215" i="2"/>
  <c r="P5215" i="2"/>
  <c r="O5215" i="2"/>
  <c r="N5215" i="2"/>
  <c r="M5215" i="2"/>
  <c r="L5215" i="2"/>
  <c r="K5215" i="2"/>
  <c r="J5215" i="2"/>
  <c r="I5215" i="2"/>
  <c r="H5215" i="2"/>
  <c r="G5215" i="2"/>
  <c r="F5215" i="2"/>
  <c r="E5215" i="2"/>
  <c r="D5215" i="2"/>
  <c r="C5215" i="2"/>
  <c r="B5215" i="2"/>
  <c r="V5214" i="2"/>
  <c r="U5214" i="2"/>
  <c r="T5214" i="2"/>
  <c r="S5214" i="2"/>
  <c r="R5214" i="2"/>
  <c r="Q5214" i="2"/>
  <c r="P5214" i="2"/>
  <c r="O5214" i="2"/>
  <c r="N5214" i="2"/>
  <c r="M5214" i="2"/>
  <c r="L5214" i="2"/>
  <c r="K5214" i="2"/>
  <c r="J5214" i="2"/>
  <c r="I5214" i="2"/>
  <c r="H5214" i="2"/>
  <c r="G5214" i="2"/>
  <c r="F5214" i="2"/>
  <c r="E5214" i="2"/>
  <c r="D5214" i="2"/>
  <c r="C5214" i="2"/>
  <c r="B5214" i="2"/>
  <c r="V5213" i="2"/>
  <c r="U5213" i="2"/>
  <c r="T5213" i="2"/>
  <c r="S5213" i="2"/>
  <c r="R5213" i="2"/>
  <c r="Q5213" i="2"/>
  <c r="P5213" i="2"/>
  <c r="O5213" i="2"/>
  <c r="N5213" i="2"/>
  <c r="M5213" i="2"/>
  <c r="L5213" i="2"/>
  <c r="K5213" i="2"/>
  <c r="J5213" i="2"/>
  <c r="I5213" i="2"/>
  <c r="H5213" i="2"/>
  <c r="G5213" i="2"/>
  <c r="F5213" i="2"/>
  <c r="E5213" i="2"/>
  <c r="D5213" i="2"/>
  <c r="C5213" i="2"/>
  <c r="B5213" i="2"/>
  <c r="V5212" i="2"/>
  <c r="U5212" i="2"/>
  <c r="T5212" i="2"/>
  <c r="S5212" i="2"/>
  <c r="R5212" i="2"/>
  <c r="Q5212" i="2"/>
  <c r="P5212" i="2"/>
  <c r="O5212" i="2"/>
  <c r="N5212" i="2"/>
  <c r="M5212" i="2"/>
  <c r="L5212" i="2"/>
  <c r="K5212" i="2"/>
  <c r="J5212" i="2"/>
  <c r="I5212" i="2"/>
  <c r="H5212" i="2"/>
  <c r="G5212" i="2"/>
  <c r="F5212" i="2"/>
  <c r="E5212" i="2"/>
  <c r="D5212" i="2"/>
  <c r="C5212" i="2"/>
  <c r="B5212" i="2"/>
  <c r="V5211" i="2"/>
  <c r="U5211" i="2"/>
  <c r="T5211" i="2"/>
  <c r="S5211" i="2"/>
  <c r="R5211" i="2"/>
  <c r="Q5211" i="2"/>
  <c r="P5211" i="2"/>
  <c r="O5211" i="2"/>
  <c r="N5211" i="2"/>
  <c r="M5211" i="2"/>
  <c r="L5211" i="2"/>
  <c r="K5211" i="2"/>
  <c r="J5211" i="2"/>
  <c r="I5211" i="2"/>
  <c r="H5211" i="2"/>
  <c r="G5211" i="2"/>
  <c r="F5211" i="2"/>
  <c r="E5211" i="2"/>
  <c r="D5211" i="2"/>
  <c r="C5211" i="2"/>
  <c r="B5211" i="2"/>
  <c r="V5210" i="2"/>
  <c r="U5210" i="2"/>
  <c r="T5210" i="2"/>
  <c r="S5210" i="2"/>
  <c r="R5210" i="2"/>
  <c r="Q5210" i="2"/>
  <c r="P5210" i="2"/>
  <c r="O5210" i="2"/>
  <c r="N5210" i="2"/>
  <c r="M5210" i="2"/>
  <c r="L5210" i="2"/>
  <c r="K5210" i="2"/>
  <c r="J5210" i="2"/>
  <c r="I5210" i="2"/>
  <c r="H5210" i="2"/>
  <c r="G5210" i="2"/>
  <c r="F5210" i="2"/>
  <c r="E5210" i="2"/>
  <c r="D5210" i="2"/>
  <c r="C5210" i="2"/>
  <c r="B5210" i="2"/>
  <c r="V5209" i="2"/>
  <c r="U5209" i="2"/>
  <c r="T5209" i="2"/>
  <c r="S5209" i="2"/>
  <c r="R5209" i="2"/>
  <c r="Q5209" i="2"/>
  <c r="P5209" i="2"/>
  <c r="O5209" i="2"/>
  <c r="N5209" i="2"/>
  <c r="M5209" i="2"/>
  <c r="L5209" i="2"/>
  <c r="K5209" i="2"/>
  <c r="J5209" i="2"/>
  <c r="I5209" i="2"/>
  <c r="H5209" i="2"/>
  <c r="G5209" i="2"/>
  <c r="F5209" i="2"/>
  <c r="E5209" i="2"/>
  <c r="D5209" i="2"/>
  <c r="C5209" i="2"/>
  <c r="B5209" i="2"/>
  <c r="V5208" i="2"/>
  <c r="U5208" i="2"/>
  <c r="T5208" i="2"/>
  <c r="S5208" i="2"/>
  <c r="R5208" i="2"/>
  <c r="Q5208" i="2"/>
  <c r="P5208" i="2"/>
  <c r="O5208" i="2"/>
  <c r="N5208" i="2"/>
  <c r="M5208" i="2"/>
  <c r="L5208" i="2"/>
  <c r="K5208" i="2"/>
  <c r="J5208" i="2"/>
  <c r="I5208" i="2"/>
  <c r="H5208" i="2"/>
  <c r="G5208" i="2"/>
  <c r="F5208" i="2"/>
  <c r="E5208" i="2"/>
  <c r="D5208" i="2"/>
  <c r="C5208" i="2"/>
  <c r="B5208" i="2"/>
  <c r="V5207" i="2"/>
  <c r="U5207" i="2"/>
  <c r="T5207" i="2"/>
  <c r="S5207" i="2"/>
  <c r="R5207" i="2"/>
  <c r="Q5207" i="2"/>
  <c r="P5207" i="2"/>
  <c r="O5207" i="2"/>
  <c r="N5207" i="2"/>
  <c r="M5207" i="2"/>
  <c r="L5207" i="2"/>
  <c r="K5207" i="2"/>
  <c r="J5207" i="2"/>
  <c r="I5207" i="2"/>
  <c r="H5207" i="2"/>
  <c r="G5207" i="2"/>
  <c r="F5207" i="2"/>
  <c r="E5207" i="2"/>
  <c r="D5207" i="2"/>
  <c r="C5207" i="2"/>
  <c r="B5207" i="2"/>
  <c r="V5206" i="2"/>
  <c r="U5206" i="2"/>
  <c r="T5206" i="2"/>
  <c r="S5206" i="2"/>
  <c r="R5206" i="2"/>
  <c r="Q5206" i="2"/>
  <c r="P5206" i="2"/>
  <c r="O5206" i="2"/>
  <c r="N5206" i="2"/>
  <c r="M5206" i="2"/>
  <c r="L5206" i="2"/>
  <c r="K5206" i="2"/>
  <c r="J5206" i="2"/>
  <c r="I5206" i="2"/>
  <c r="H5206" i="2"/>
  <c r="G5206" i="2"/>
  <c r="F5206" i="2"/>
  <c r="E5206" i="2"/>
  <c r="D5206" i="2"/>
  <c r="C5206" i="2"/>
  <c r="B5206" i="2"/>
  <c r="V5205" i="2"/>
  <c r="U5205" i="2"/>
  <c r="T5205" i="2"/>
  <c r="S5205" i="2"/>
  <c r="R5205" i="2"/>
  <c r="Q5205" i="2"/>
  <c r="P5205" i="2"/>
  <c r="O5205" i="2"/>
  <c r="N5205" i="2"/>
  <c r="M5205" i="2"/>
  <c r="L5205" i="2"/>
  <c r="K5205" i="2"/>
  <c r="J5205" i="2"/>
  <c r="I5205" i="2"/>
  <c r="H5205" i="2"/>
  <c r="G5205" i="2"/>
  <c r="F5205" i="2"/>
  <c r="E5205" i="2"/>
  <c r="D5205" i="2"/>
  <c r="C5205" i="2"/>
  <c r="B5205" i="2"/>
  <c r="V5204" i="2"/>
  <c r="U5204" i="2"/>
  <c r="T5204" i="2"/>
  <c r="S5204" i="2"/>
  <c r="R5204" i="2"/>
  <c r="Q5204" i="2"/>
  <c r="P5204" i="2"/>
  <c r="O5204" i="2"/>
  <c r="N5204" i="2"/>
  <c r="M5204" i="2"/>
  <c r="L5204" i="2"/>
  <c r="K5204" i="2"/>
  <c r="J5204" i="2"/>
  <c r="I5204" i="2"/>
  <c r="H5204" i="2"/>
  <c r="G5204" i="2"/>
  <c r="F5204" i="2"/>
  <c r="E5204" i="2"/>
  <c r="D5204" i="2"/>
  <c r="C5204" i="2"/>
  <c r="B5204" i="2"/>
  <c r="V5203" i="2"/>
  <c r="U5203" i="2"/>
  <c r="T5203" i="2"/>
  <c r="S5203" i="2"/>
  <c r="R5203" i="2"/>
  <c r="Q5203" i="2"/>
  <c r="P5203" i="2"/>
  <c r="O5203" i="2"/>
  <c r="N5203" i="2"/>
  <c r="M5203" i="2"/>
  <c r="L5203" i="2"/>
  <c r="K5203" i="2"/>
  <c r="J5203" i="2"/>
  <c r="I5203" i="2"/>
  <c r="H5203" i="2"/>
  <c r="G5203" i="2"/>
  <c r="F5203" i="2"/>
  <c r="E5203" i="2"/>
  <c r="D5203" i="2"/>
  <c r="C5203" i="2"/>
  <c r="B5203" i="2"/>
  <c r="V5202" i="2"/>
  <c r="U5202" i="2"/>
  <c r="T5202" i="2"/>
  <c r="S5202" i="2"/>
  <c r="R5202" i="2"/>
  <c r="Q5202" i="2"/>
  <c r="P5202" i="2"/>
  <c r="O5202" i="2"/>
  <c r="N5202" i="2"/>
  <c r="M5202" i="2"/>
  <c r="L5202" i="2"/>
  <c r="K5202" i="2"/>
  <c r="J5202" i="2"/>
  <c r="I5202" i="2"/>
  <c r="H5202" i="2"/>
  <c r="G5202" i="2"/>
  <c r="F5202" i="2"/>
  <c r="E5202" i="2"/>
  <c r="D5202" i="2"/>
  <c r="C5202" i="2"/>
  <c r="B5202" i="2"/>
  <c r="V5201" i="2"/>
  <c r="U5201" i="2"/>
  <c r="T5201" i="2"/>
  <c r="S5201" i="2"/>
  <c r="R5201" i="2"/>
  <c r="Q5201" i="2"/>
  <c r="P5201" i="2"/>
  <c r="O5201" i="2"/>
  <c r="N5201" i="2"/>
  <c r="M5201" i="2"/>
  <c r="L5201" i="2"/>
  <c r="K5201" i="2"/>
  <c r="J5201" i="2"/>
  <c r="I5201" i="2"/>
  <c r="H5201" i="2"/>
  <c r="G5201" i="2"/>
  <c r="F5201" i="2"/>
  <c r="E5201" i="2"/>
  <c r="D5201" i="2"/>
  <c r="C5201" i="2"/>
  <c r="B5201" i="2"/>
  <c r="V5200" i="2"/>
  <c r="U5200" i="2"/>
  <c r="T5200" i="2"/>
  <c r="S5200" i="2"/>
  <c r="R5200" i="2"/>
  <c r="Q5200" i="2"/>
  <c r="P5200" i="2"/>
  <c r="O5200" i="2"/>
  <c r="N5200" i="2"/>
  <c r="M5200" i="2"/>
  <c r="L5200" i="2"/>
  <c r="K5200" i="2"/>
  <c r="J5200" i="2"/>
  <c r="I5200" i="2"/>
  <c r="H5200" i="2"/>
  <c r="G5200" i="2"/>
  <c r="F5200" i="2"/>
  <c r="E5200" i="2"/>
  <c r="D5200" i="2"/>
  <c r="C5200" i="2"/>
  <c r="B5200" i="2"/>
  <c r="V5199" i="2"/>
  <c r="U5199" i="2"/>
  <c r="T5199" i="2"/>
  <c r="S5199" i="2"/>
  <c r="R5199" i="2"/>
  <c r="Q5199" i="2"/>
  <c r="P5199" i="2"/>
  <c r="O5199" i="2"/>
  <c r="N5199" i="2"/>
  <c r="M5199" i="2"/>
  <c r="L5199" i="2"/>
  <c r="K5199" i="2"/>
  <c r="J5199" i="2"/>
  <c r="I5199" i="2"/>
  <c r="H5199" i="2"/>
  <c r="G5199" i="2"/>
  <c r="F5199" i="2"/>
  <c r="E5199" i="2"/>
  <c r="D5199" i="2"/>
  <c r="C5199" i="2"/>
  <c r="B5199" i="2"/>
  <c r="V5198" i="2"/>
  <c r="U5198" i="2"/>
  <c r="T5198" i="2"/>
  <c r="S5198" i="2"/>
  <c r="R5198" i="2"/>
  <c r="Q5198" i="2"/>
  <c r="P5198" i="2"/>
  <c r="O5198" i="2"/>
  <c r="N5198" i="2"/>
  <c r="M5198" i="2"/>
  <c r="L5198" i="2"/>
  <c r="K5198" i="2"/>
  <c r="J5198" i="2"/>
  <c r="I5198" i="2"/>
  <c r="H5198" i="2"/>
  <c r="G5198" i="2"/>
  <c r="F5198" i="2"/>
  <c r="E5198" i="2"/>
  <c r="D5198" i="2"/>
  <c r="C5198" i="2"/>
  <c r="B5198" i="2"/>
  <c r="V5197" i="2"/>
  <c r="U5197" i="2"/>
  <c r="T5197" i="2"/>
  <c r="S5197" i="2"/>
  <c r="R5197" i="2"/>
  <c r="Q5197" i="2"/>
  <c r="P5197" i="2"/>
  <c r="O5197" i="2"/>
  <c r="N5197" i="2"/>
  <c r="M5197" i="2"/>
  <c r="L5197" i="2"/>
  <c r="K5197" i="2"/>
  <c r="J5197" i="2"/>
  <c r="I5197" i="2"/>
  <c r="H5197" i="2"/>
  <c r="G5197" i="2"/>
  <c r="F5197" i="2"/>
  <c r="E5197" i="2"/>
  <c r="D5197" i="2"/>
  <c r="C5197" i="2"/>
  <c r="B5197" i="2"/>
  <c r="V5196" i="2"/>
  <c r="U5196" i="2"/>
  <c r="T5196" i="2"/>
  <c r="S5196" i="2"/>
  <c r="R5196" i="2"/>
  <c r="Q5196" i="2"/>
  <c r="P5196" i="2"/>
  <c r="O5196" i="2"/>
  <c r="N5196" i="2"/>
  <c r="M5196" i="2"/>
  <c r="L5196" i="2"/>
  <c r="K5196" i="2"/>
  <c r="J5196" i="2"/>
  <c r="I5196" i="2"/>
  <c r="H5196" i="2"/>
  <c r="G5196" i="2"/>
  <c r="F5196" i="2"/>
  <c r="E5196" i="2"/>
  <c r="D5196" i="2"/>
  <c r="C5196" i="2"/>
  <c r="B5196" i="2"/>
  <c r="V5195" i="2"/>
  <c r="U5195" i="2"/>
  <c r="T5195" i="2"/>
  <c r="S5195" i="2"/>
  <c r="R5195" i="2"/>
  <c r="Q5195" i="2"/>
  <c r="P5195" i="2"/>
  <c r="O5195" i="2"/>
  <c r="N5195" i="2"/>
  <c r="M5195" i="2"/>
  <c r="L5195" i="2"/>
  <c r="K5195" i="2"/>
  <c r="J5195" i="2"/>
  <c r="I5195" i="2"/>
  <c r="H5195" i="2"/>
  <c r="G5195" i="2"/>
  <c r="F5195" i="2"/>
  <c r="E5195" i="2"/>
  <c r="D5195" i="2"/>
  <c r="C5195" i="2"/>
  <c r="B5195" i="2"/>
  <c r="V5194" i="2"/>
  <c r="U5194" i="2"/>
  <c r="T5194" i="2"/>
  <c r="S5194" i="2"/>
  <c r="R5194" i="2"/>
  <c r="Q5194" i="2"/>
  <c r="P5194" i="2"/>
  <c r="O5194" i="2"/>
  <c r="N5194" i="2"/>
  <c r="M5194" i="2"/>
  <c r="L5194" i="2"/>
  <c r="K5194" i="2"/>
  <c r="J5194" i="2"/>
  <c r="I5194" i="2"/>
  <c r="H5194" i="2"/>
  <c r="G5194" i="2"/>
  <c r="F5194" i="2"/>
  <c r="E5194" i="2"/>
  <c r="D5194" i="2"/>
  <c r="C5194" i="2"/>
  <c r="B5194" i="2"/>
  <c r="V5193" i="2"/>
  <c r="U5193" i="2"/>
  <c r="T5193" i="2"/>
  <c r="S5193" i="2"/>
  <c r="R5193" i="2"/>
  <c r="Q5193" i="2"/>
  <c r="P5193" i="2"/>
  <c r="O5193" i="2"/>
  <c r="N5193" i="2"/>
  <c r="M5193" i="2"/>
  <c r="L5193" i="2"/>
  <c r="K5193" i="2"/>
  <c r="J5193" i="2"/>
  <c r="I5193" i="2"/>
  <c r="H5193" i="2"/>
  <c r="G5193" i="2"/>
  <c r="F5193" i="2"/>
  <c r="E5193" i="2"/>
  <c r="D5193" i="2"/>
  <c r="C5193" i="2"/>
  <c r="B5193" i="2"/>
  <c r="V5192" i="2"/>
  <c r="U5192" i="2"/>
  <c r="T5192" i="2"/>
  <c r="S5192" i="2"/>
  <c r="R5192" i="2"/>
  <c r="Q5192" i="2"/>
  <c r="P5192" i="2"/>
  <c r="O5192" i="2"/>
  <c r="N5192" i="2"/>
  <c r="M5192" i="2"/>
  <c r="L5192" i="2"/>
  <c r="K5192" i="2"/>
  <c r="J5192" i="2"/>
  <c r="I5192" i="2"/>
  <c r="H5192" i="2"/>
  <c r="G5192" i="2"/>
  <c r="F5192" i="2"/>
  <c r="E5192" i="2"/>
  <c r="D5192" i="2"/>
  <c r="C5192" i="2"/>
  <c r="B5192" i="2"/>
  <c r="V5191" i="2"/>
  <c r="U5191" i="2"/>
  <c r="T5191" i="2"/>
  <c r="S5191" i="2"/>
  <c r="R5191" i="2"/>
  <c r="Q5191" i="2"/>
  <c r="P5191" i="2"/>
  <c r="O5191" i="2"/>
  <c r="N5191" i="2"/>
  <c r="M5191" i="2"/>
  <c r="L5191" i="2"/>
  <c r="K5191" i="2"/>
  <c r="J5191" i="2"/>
  <c r="I5191" i="2"/>
  <c r="H5191" i="2"/>
  <c r="G5191" i="2"/>
  <c r="F5191" i="2"/>
  <c r="E5191" i="2"/>
  <c r="D5191" i="2"/>
  <c r="C5191" i="2"/>
  <c r="B5191" i="2"/>
  <c r="V5190" i="2"/>
  <c r="U5190" i="2"/>
  <c r="T5190" i="2"/>
  <c r="S5190" i="2"/>
  <c r="R5190" i="2"/>
  <c r="Q5190" i="2"/>
  <c r="P5190" i="2"/>
  <c r="O5190" i="2"/>
  <c r="N5190" i="2"/>
  <c r="M5190" i="2"/>
  <c r="L5190" i="2"/>
  <c r="K5190" i="2"/>
  <c r="J5190" i="2"/>
  <c r="I5190" i="2"/>
  <c r="H5190" i="2"/>
  <c r="G5190" i="2"/>
  <c r="F5190" i="2"/>
  <c r="E5190" i="2"/>
  <c r="D5190" i="2"/>
  <c r="C5190" i="2"/>
  <c r="B5190" i="2"/>
  <c r="V5189" i="2"/>
  <c r="U5189" i="2"/>
  <c r="T5189" i="2"/>
  <c r="S5189" i="2"/>
  <c r="R5189" i="2"/>
  <c r="Q5189" i="2"/>
  <c r="P5189" i="2"/>
  <c r="O5189" i="2"/>
  <c r="N5189" i="2"/>
  <c r="M5189" i="2"/>
  <c r="L5189" i="2"/>
  <c r="K5189" i="2"/>
  <c r="J5189" i="2"/>
  <c r="I5189" i="2"/>
  <c r="H5189" i="2"/>
  <c r="G5189" i="2"/>
  <c r="F5189" i="2"/>
  <c r="E5189" i="2"/>
  <c r="D5189" i="2"/>
  <c r="C5189" i="2"/>
  <c r="B5189" i="2"/>
  <c r="V5188" i="2"/>
  <c r="U5188" i="2"/>
  <c r="T5188" i="2"/>
  <c r="S5188" i="2"/>
  <c r="R5188" i="2"/>
  <c r="Q5188" i="2"/>
  <c r="P5188" i="2"/>
  <c r="O5188" i="2"/>
  <c r="N5188" i="2"/>
  <c r="M5188" i="2"/>
  <c r="L5188" i="2"/>
  <c r="K5188" i="2"/>
  <c r="J5188" i="2"/>
  <c r="I5188" i="2"/>
  <c r="H5188" i="2"/>
  <c r="G5188" i="2"/>
  <c r="F5188" i="2"/>
  <c r="E5188" i="2"/>
  <c r="D5188" i="2"/>
  <c r="C5188" i="2"/>
  <c r="B5188" i="2"/>
  <c r="V5187" i="2"/>
  <c r="U5187" i="2"/>
  <c r="T5187" i="2"/>
  <c r="S5187" i="2"/>
  <c r="R5187" i="2"/>
  <c r="Q5187" i="2"/>
  <c r="P5187" i="2"/>
  <c r="O5187" i="2"/>
  <c r="N5187" i="2"/>
  <c r="M5187" i="2"/>
  <c r="L5187" i="2"/>
  <c r="K5187" i="2"/>
  <c r="J5187" i="2"/>
  <c r="I5187" i="2"/>
  <c r="H5187" i="2"/>
  <c r="G5187" i="2"/>
  <c r="F5187" i="2"/>
  <c r="E5187" i="2"/>
  <c r="D5187" i="2"/>
  <c r="C5187" i="2"/>
  <c r="B5187" i="2"/>
  <c r="V5186" i="2"/>
  <c r="U5186" i="2"/>
  <c r="T5186" i="2"/>
  <c r="S5186" i="2"/>
  <c r="R5186" i="2"/>
  <c r="Q5186" i="2"/>
  <c r="P5186" i="2"/>
  <c r="O5186" i="2"/>
  <c r="N5186" i="2"/>
  <c r="M5186" i="2"/>
  <c r="L5186" i="2"/>
  <c r="K5186" i="2"/>
  <c r="J5186" i="2"/>
  <c r="I5186" i="2"/>
  <c r="H5186" i="2"/>
  <c r="G5186" i="2"/>
  <c r="F5186" i="2"/>
  <c r="E5186" i="2"/>
  <c r="D5186" i="2"/>
  <c r="C5186" i="2"/>
  <c r="B5186" i="2"/>
  <c r="V5185" i="2"/>
  <c r="U5185" i="2"/>
  <c r="T5185" i="2"/>
  <c r="S5185" i="2"/>
  <c r="R5185" i="2"/>
  <c r="Q5185" i="2"/>
  <c r="P5185" i="2"/>
  <c r="O5185" i="2"/>
  <c r="N5185" i="2"/>
  <c r="M5185" i="2"/>
  <c r="L5185" i="2"/>
  <c r="K5185" i="2"/>
  <c r="J5185" i="2"/>
  <c r="I5185" i="2"/>
  <c r="H5185" i="2"/>
  <c r="G5185" i="2"/>
  <c r="F5185" i="2"/>
  <c r="E5185" i="2"/>
  <c r="D5185" i="2"/>
  <c r="C5185" i="2"/>
  <c r="B5185" i="2"/>
  <c r="V5184" i="2"/>
  <c r="U5184" i="2"/>
  <c r="T5184" i="2"/>
  <c r="S5184" i="2"/>
  <c r="R5184" i="2"/>
  <c r="Q5184" i="2"/>
  <c r="P5184" i="2"/>
  <c r="O5184" i="2"/>
  <c r="N5184" i="2"/>
  <c r="M5184" i="2"/>
  <c r="L5184" i="2"/>
  <c r="K5184" i="2"/>
  <c r="J5184" i="2"/>
  <c r="I5184" i="2"/>
  <c r="H5184" i="2"/>
  <c r="G5184" i="2"/>
  <c r="F5184" i="2"/>
  <c r="E5184" i="2"/>
  <c r="D5184" i="2"/>
  <c r="C5184" i="2"/>
  <c r="B5184" i="2"/>
  <c r="V5183" i="2"/>
  <c r="U5183" i="2"/>
  <c r="T5183" i="2"/>
  <c r="S5183" i="2"/>
  <c r="R5183" i="2"/>
  <c r="Q5183" i="2"/>
  <c r="P5183" i="2"/>
  <c r="O5183" i="2"/>
  <c r="N5183" i="2"/>
  <c r="M5183" i="2"/>
  <c r="L5183" i="2"/>
  <c r="K5183" i="2"/>
  <c r="J5183" i="2"/>
  <c r="I5183" i="2"/>
  <c r="H5183" i="2"/>
  <c r="G5183" i="2"/>
  <c r="F5183" i="2"/>
  <c r="E5183" i="2"/>
  <c r="D5183" i="2"/>
  <c r="C5183" i="2"/>
  <c r="B5183" i="2"/>
  <c r="V5182" i="2"/>
  <c r="U5182" i="2"/>
  <c r="T5182" i="2"/>
  <c r="S5182" i="2"/>
  <c r="R5182" i="2"/>
  <c r="Q5182" i="2"/>
  <c r="P5182" i="2"/>
  <c r="O5182" i="2"/>
  <c r="N5182" i="2"/>
  <c r="M5182" i="2"/>
  <c r="L5182" i="2"/>
  <c r="K5182" i="2"/>
  <c r="J5182" i="2"/>
  <c r="I5182" i="2"/>
  <c r="H5182" i="2"/>
  <c r="G5182" i="2"/>
  <c r="F5182" i="2"/>
  <c r="E5182" i="2"/>
  <c r="D5182" i="2"/>
  <c r="C5182" i="2"/>
  <c r="B5182" i="2"/>
  <c r="V5181" i="2"/>
  <c r="U5181" i="2"/>
  <c r="T5181" i="2"/>
  <c r="S5181" i="2"/>
  <c r="R5181" i="2"/>
  <c r="Q5181" i="2"/>
  <c r="P5181" i="2"/>
  <c r="O5181" i="2"/>
  <c r="N5181" i="2"/>
  <c r="M5181" i="2"/>
  <c r="L5181" i="2"/>
  <c r="K5181" i="2"/>
  <c r="J5181" i="2"/>
  <c r="I5181" i="2"/>
  <c r="H5181" i="2"/>
  <c r="G5181" i="2"/>
  <c r="F5181" i="2"/>
  <c r="E5181" i="2"/>
  <c r="D5181" i="2"/>
  <c r="C5181" i="2"/>
  <c r="B5181" i="2"/>
  <c r="V5180" i="2"/>
  <c r="U5180" i="2"/>
  <c r="T5180" i="2"/>
  <c r="S5180" i="2"/>
  <c r="R5180" i="2"/>
  <c r="Q5180" i="2"/>
  <c r="P5180" i="2"/>
  <c r="O5180" i="2"/>
  <c r="N5180" i="2"/>
  <c r="M5180" i="2"/>
  <c r="L5180" i="2"/>
  <c r="K5180" i="2"/>
  <c r="J5180" i="2"/>
  <c r="I5180" i="2"/>
  <c r="H5180" i="2"/>
  <c r="G5180" i="2"/>
  <c r="F5180" i="2"/>
  <c r="E5180" i="2"/>
  <c r="D5180" i="2"/>
  <c r="C5180" i="2"/>
  <c r="B5180" i="2"/>
  <c r="V5179" i="2"/>
  <c r="U5179" i="2"/>
  <c r="T5179" i="2"/>
  <c r="S5179" i="2"/>
  <c r="R5179" i="2"/>
  <c r="Q5179" i="2"/>
  <c r="P5179" i="2"/>
  <c r="O5179" i="2"/>
  <c r="N5179" i="2"/>
  <c r="M5179" i="2"/>
  <c r="L5179" i="2"/>
  <c r="K5179" i="2"/>
  <c r="J5179" i="2"/>
  <c r="I5179" i="2"/>
  <c r="H5179" i="2"/>
  <c r="G5179" i="2"/>
  <c r="F5179" i="2"/>
  <c r="E5179" i="2"/>
  <c r="D5179" i="2"/>
  <c r="C5179" i="2"/>
  <c r="B5179" i="2"/>
  <c r="V5178" i="2"/>
  <c r="U5178" i="2"/>
  <c r="T5178" i="2"/>
  <c r="S5178" i="2"/>
  <c r="R5178" i="2"/>
  <c r="Q5178" i="2"/>
  <c r="P5178" i="2"/>
  <c r="O5178" i="2"/>
  <c r="N5178" i="2"/>
  <c r="M5178" i="2"/>
  <c r="L5178" i="2"/>
  <c r="K5178" i="2"/>
  <c r="J5178" i="2"/>
  <c r="I5178" i="2"/>
  <c r="H5178" i="2"/>
  <c r="G5178" i="2"/>
  <c r="F5178" i="2"/>
  <c r="E5178" i="2"/>
  <c r="D5178" i="2"/>
  <c r="C5178" i="2"/>
  <c r="B5178" i="2"/>
  <c r="V5177" i="2"/>
  <c r="U5177" i="2"/>
  <c r="T5177" i="2"/>
  <c r="S5177" i="2"/>
  <c r="R5177" i="2"/>
  <c r="Q5177" i="2"/>
  <c r="P5177" i="2"/>
  <c r="O5177" i="2"/>
  <c r="N5177" i="2"/>
  <c r="M5177" i="2"/>
  <c r="L5177" i="2"/>
  <c r="K5177" i="2"/>
  <c r="J5177" i="2"/>
  <c r="I5177" i="2"/>
  <c r="H5177" i="2"/>
  <c r="G5177" i="2"/>
  <c r="F5177" i="2"/>
  <c r="E5177" i="2"/>
  <c r="D5177" i="2"/>
  <c r="C5177" i="2"/>
  <c r="B5177" i="2"/>
  <c r="V5176" i="2"/>
  <c r="U5176" i="2"/>
  <c r="T5176" i="2"/>
  <c r="S5176" i="2"/>
  <c r="R5176" i="2"/>
  <c r="Q5176" i="2"/>
  <c r="P5176" i="2"/>
  <c r="O5176" i="2"/>
  <c r="N5176" i="2"/>
  <c r="M5176" i="2"/>
  <c r="L5176" i="2"/>
  <c r="K5176" i="2"/>
  <c r="J5176" i="2"/>
  <c r="I5176" i="2"/>
  <c r="H5176" i="2"/>
  <c r="G5176" i="2"/>
  <c r="F5176" i="2"/>
  <c r="E5176" i="2"/>
  <c r="D5176" i="2"/>
  <c r="C5176" i="2"/>
  <c r="B5176" i="2"/>
  <c r="V5175" i="2"/>
  <c r="U5175" i="2"/>
  <c r="T5175" i="2"/>
  <c r="S5175" i="2"/>
  <c r="R5175" i="2"/>
  <c r="Q5175" i="2"/>
  <c r="P5175" i="2"/>
  <c r="O5175" i="2"/>
  <c r="N5175" i="2"/>
  <c r="M5175" i="2"/>
  <c r="L5175" i="2"/>
  <c r="K5175" i="2"/>
  <c r="J5175" i="2"/>
  <c r="I5175" i="2"/>
  <c r="H5175" i="2"/>
  <c r="G5175" i="2"/>
  <c r="F5175" i="2"/>
  <c r="E5175" i="2"/>
  <c r="D5175" i="2"/>
  <c r="C5175" i="2"/>
  <c r="B5175" i="2"/>
  <c r="V5174" i="2"/>
  <c r="U5174" i="2"/>
  <c r="T5174" i="2"/>
  <c r="S5174" i="2"/>
  <c r="R5174" i="2"/>
  <c r="Q5174" i="2"/>
  <c r="P5174" i="2"/>
  <c r="O5174" i="2"/>
  <c r="N5174" i="2"/>
  <c r="M5174" i="2"/>
  <c r="L5174" i="2"/>
  <c r="K5174" i="2"/>
  <c r="J5174" i="2"/>
  <c r="I5174" i="2"/>
  <c r="H5174" i="2"/>
  <c r="G5174" i="2"/>
  <c r="F5174" i="2"/>
  <c r="E5174" i="2"/>
  <c r="D5174" i="2"/>
  <c r="C5174" i="2"/>
  <c r="B5174" i="2"/>
  <c r="V5173" i="2"/>
  <c r="U5173" i="2"/>
  <c r="T5173" i="2"/>
  <c r="S5173" i="2"/>
  <c r="R5173" i="2"/>
  <c r="Q5173" i="2"/>
  <c r="P5173" i="2"/>
  <c r="O5173" i="2"/>
  <c r="N5173" i="2"/>
  <c r="M5173" i="2"/>
  <c r="L5173" i="2"/>
  <c r="K5173" i="2"/>
  <c r="J5173" i="2"/>
  <c r="I5173" i="2"/>
  <c r="H5173" i="2"/>
  <c r="G5173" i="2"/>
  <c r="F5173" i="2"/>
  <c r="E5173" i="2"/>
  <c r="D5173" i="2"/>
  <c r="C5173" i="2"/>
  <c r="B5173" i="2"/>
  <c r="V5172" i="2"/>
  <c r="U5172" i="2"/>
  <c r="T5172" i="2"/>
  <c r="S5172" i="2"/>
  <c r="R5172" i="2"/>
  <c r="Q5172" i="2"/>
  <c r="P5172" i="2"/>
  <c r="O5172" i="2"/>
  <c r="N5172" i="2"/>
  <c r="M5172" i="2"/>
  <c r="L5172" i="2"/>
  <c r="K5172" i="2"/>
  <c r="J5172" i="2"/>
  <c r="I5172" i="2"/>
  <c r="H5172" i="2"/>
  <c r="G5172" i="2"/>
  <c r="F5172" i="2"/>
  <c r="E5172" i="2"/>
  <c r="D5172" i="2"/>
  <c r="C5172" i="2"/>
  <c r="B5172" i="2"/>
  <c r="V5171" i="2"/>
  <c r="U5171" i="2"/>
  <c r="T5171" i="2"/>
  <c r="S5171" i="2"/>
  <c r="R5171" i="2"/>
  <c r="Q5171" i="2"/>
  <c r="P5171" i="2"/>
  <c r="O5171" i="2"/>
  <c r="N5171" i="2"/>
  <c r="M5171" i="2"/>
  <c r="L5171" i="2"/>
  <c r="K5171" i="2"/>
  <c r="J5171" i="2"/>
  <c r="I5171" i="2"/>
  <c r="H5171" i="2"/>
  <c r="G5171" i="2"/>
  <c r="F5171" i="2"/>
  <c r="E5171" i="2"/>
  <c r="D5171" i="2"/>
  <c r="C5171" i="2"/>
  <c r="B5171" i="2"/>
  <c r="V5170" i="2"/>
  <c r="U5170" i="2"/>
  <c r="T5170" i="2"/>
  <c r="S5170" i="2"/>
  <c r="R5170" i="2"/>
  <c r="Q5170" i="2"/>
  <c r="P5170" i="2"/>
  <c r="O5170" i="2"/>
  <c r="N5170" i="2"/>
  <c r="M5170" i="2"/>
  <c r="L5170" i="2"/>
  <c r="K5170" i="2"/>
  <c r="J5170" i="2"/>
  <c r="I5170" i="2"/>
  <c r="H5170" i="2"/>
  <c r="G5170" i="2"/>
  <c r="F5170" i="2"/>
  <c r="E5170" i="2"/>
  <c r="D5170" i="2"/>
  <c r="C5170" i="2"/>
  <c r="B5170" i="2"/>
  <c r="V5169" i="2"/>
  <c r="U5169" i="2"/>
  <c r="T5169" i="2"/>
  <c r="S5169" i="2"/>
  <c r="R5169" i="2"/>
  <c r="Q5169" i="2"/>
  <c r="P5169" i="2"/>
  <c r="O5169" i="2"/>
  <c r="N5169" i="2"/>
  <c r="M5169" i="2"/>
  <c r="L5169" i="2"/>
  <c r="K5169" i="2"/>
  <c r="J5169" i="2"/>
  <c r="I5169" i="2"/>
  <c r="H5169" i="2"/>
  <c r="G5169" i="2"/>
  <c r="F5169" i="2"/>
  <c r="E5169" i="2"/>
  <c r="D5169" i="2"/>
  <c r="C5169" i="2"/>
  <c r="B5169" i="2"/>
  <c r="V5168" i="2"/>
  <c r="U5168" i="2"/>
  <c r="T5168" i="2"/>
  <c r="S5168" i="2"/>
  <c r="R5168" i="2"/>
  <c r="Q5168" i="2"/>
  <c r="P5168" i="2"/>
  <c r="O5168" i="2"/>
  <c r="N5168" i="2"/>
  <c r="M5168" i="2"/>
  <c r="L5168" i="2"/>
  <c r="K5168" i="2"/>
  <c r="J5168" i="2"/>
  <c r="I5168" i="2"/>
  <c r="H5168" i="2"/>
  <c r="G5168" i="2"/>
  <c r="F5168" i="2"/>
  <c r="E5168" i="2"/>
  <c r="D5168" i="2"/>
  <c r="C5168" i="2"/>
  <c r="B5168" i="2"/>
  <c r="V5167" i="2"/>
  <c r="U5167" i="2"/>
  <c r="T5167" i="2"/>
  <c r="S5167" i="2"/>
  <c r="R5167" i="2"/>
  <c r="Q5167" i="2"/>
  <c r="P5167" i="2"/>
  <c r="O5167" i="2"/>
  <c r="N5167" i="2"/>
  <c r="M5167" i="2"/>
  <c r="L5167" i="2"/>
  <c r="K5167" i="2"/>
  <c r="J5167" i="2"/>
  <c r="I5167" i="2"/>
  <c r="H5167" i="2"/>
  <c r="G5167" i="2"/>
  <c r="F5167" i="2"/>
  <c r="E5167" i="2"/>
  <c r="D5167" i="2"/>
  <c r="C5167" i="2"/>
  <c r="B5167" i="2"/>
  <c r="V5166" i="2"/>
  <c r="U5166" i="2"/>
  <c r="T5166" i="2"/>
  <c r="S5166" i="2"/>
  <c r="R5166" i="2"/>
  <c r="Q5166" i="2"/>
  <c r="P5166" i="2"/>
  <c r="O5166" i="2"/>
  <c r="N5166" i="2"/>
  <c r="M5166" i="2"/>
  <c r="L5166" i="2"/>
  <c r="K5166" i="2"/>
  <c r="J5166" i="2"/>
  <c r="I5166" i="2"/>
  <c r="H5166" i="2"/>
  <c r="G5166" i="2"/>
  <c r="F5166" i="2"/>
  <c r="E5166" i="2"/>
  <c r="D5166" i="2"/>
  <c r="C5166" i="2"/>
  <c r="B5166" i="2"/>
  <c r="V5165" i="2"/>
  <c r="U5165" i="2"/>
  <c r="T5165" i="2"/>
  <c r="S5165" i="2"/>
  <c r="R5165" i="2"/>
  <c r="Q5165" i="2"/>
  <c r="P5165" i="2"/>
  <c r="O5165" i="2"/>
  <c r="N5165" i="2"/>
  <c r="M5165" i="2"/>
  <c r="L5165" i="2"/>
  <c r="K5165" i="2"/>
  <c r="J5165" i="2"/>
  <c r="I5165" i="2"/>
  <c r="H5165" i="2"/>
  <c r="G5165" i="2"/>
  <c r="F5165" i="2"/>
  <c r="E5165" i="2"/>
  <c r="D5165" i="2"/>
  <c r="C5165" i="2"/>
  <c r="B5165" i="2"/>
  <c r="V5164" i="2"/>
  <c r="U5164" i="2"/>
  <c r="T5164" i="2"/>
  <c r="S5164" i="2"/>
  <c r="R5164" i="2"/>
  <c r="Q5164" i="2"/>
  <c r="P5164" i="2"/>
  <c r="O5164" i="2"/>
  <c r="N5164" i="2"/>
  <c r="M5164" i="2"/>
  <c r="L5164" i="2"/>
  <c r="K5164" i="2"/>
  <c r="J5164" i="2"/>
  <c r="I5164" i="2"/>
  <c r="H5164" i="2"/>
  <c r="G5164" i="2"/>
  <c r="F5164" i="2"/>
  <c r="E5164" i="2"/>
  <c r="D5164" i="2"/>
  <c r="C5164" i="2"/>
  <c r="B5164" i="2"/>
  <c r="V5163" i="2"/>
  <c r="U5163" i="2"/>
  <c r="T5163" i="2"/>
  <c r="S5163" i="2"/>
  <c r="R5163" i="2"/>
  <c r="Q5163" i="2"/>
  <c r="P5163" i="2"/>
  <c r="O5163" i="2"/>
  <c r="N5163" i="2"/>
  <c r="M5163" i="2"/>
  <c r="L5163" i="2"/>
  <c r="K5163" i="2"/>
  <c r="J5163" i="2"/>
  <c r="I5163" i="2"/>
  <c r="H5163" i="2"/>
  <c r="G5163" i="2"/>
  <c r="F5163" i="2"/>
  <c r="E5163" i="2"/>
  <c r="D5163" i="2"/>
  <c r="C5163" i="2"/>
  <c r="B5163" i="2"/>
  <c r="V5162" i="2"/>
  <c r="U5162" i="2"/>
  <c r="T5162" i="2"/>
  <c r="S5162" i="2"/>
  <c r="R5162" i="2"/>
  <c r="Q5162" i="2"/>
  <c r="P5162" i="2"/>
  <c r="O5162" i="2"/>
  <c r="N5162" i="2"/>
  <c r="M5162" i="2"/>
  <c r="L5162" i="2"/>
  <c r="K5162" i="2"/>
  <c r="J5162" i="2"/>
  <c r="I5162" i="2"/>
  <c r="H5162" i="2"/>
  <c r="G5162" i="2"/>
  <c r="F5162" i="2"/>
  <c r="E5162" i="2"/>
  <c r="D5162" i="2"/>
  <c r="C5162" i="2"/>
  <c r="B5162" i="2"/>
  <c r="V5161" i="2"/>
  <c r="U5161" i="2"/>
  <c r="T5161" i="2"/>
  <c r="S5161" i="2"/>
  <c r="R5161" i="2"/>
  <c r="Q5161" i="2"/>
  <c r="P5161" i="2"/>
  <c r="O5161" i="2"/>
  <c r="N5161" i="2"/>
  <c r="M5161" i="2"/>
  <c r="L5161" i="2"/>
  <c r="K5161" i="2"/>
  <c r="J5161" i="2"/>
  <c r="I5161" i="2"/>
  <c r="H5161" i="2"/>
  <c r="G5161" i="2"/>
  <c r="F5161" i="2"/>
  <c r="E5161" i="2"/>
  <c r="D5161" i="2"/>
  <c r="C5161" i="2"/>
  <c r="B5161" i="2"/>
  <c r="V5160" i="2"/>
  <c r="U5160" i="2"/>
  <c r="T5160" i="2"/>
  <c r="S5160" i="2"/>
  <c r="R5160" i="2"/>
  <c r="Q5160" i="2"/>
  <c r="P5160" i="2"/>
  <c r="O5160" i="2"/>
  <c r="N5160" i="2"/>
  <c r="M5160" i="2"/>
  <c r="L5160" i="2"/>
  <c r="K5160" i="2"/>
  <c r="J5160" i="2"/>
  <c r="I5160" i="2"/>
  <c r="H5160" i="2"/>
  <c r="G5160" i="2"/>
  <c r="F5160" i="2"/>
  <c r="E5160" i="2"/>
  <c r="D5160" i="2"/>
  <c r="C5160" i="2"/>
  <c r="B5160" i="2"/>
  <c r="V5159" i="2"/>
  <c r="U5159" i="2"/>
  <c r="T5159" i="2"/>
  <c r="S5159" i="2"/>
  <c r="R5159" i="2"/>
  <c r="Q5159" i="2"/>
  <c r="P5159" i="2"/>
  <c r="O5159" i="2"/>
  <c r="N5159" i="2"/>
  <c r="M5159" i="2"/>
  <c r="L5159" i="2"/>
  <c r="K5159" i="2"/>
  <c r="J5159" i="2"/>
  <c r="I5159" i="2"/>
  <c r="H5159" i="2"/>
  <c r="G5159" i="2"/>
  <c r="F5159" i="2"/>
  <c r="E5159" i="2"/>
  <c r="D5159" i="2"/>
  <c r="C5159" i="2"/>
  <c r="B5159" i="2"/>
  <c r="V5158" i="2"/>
  <c r="U5158" i="2"/>
  <c r="T5158" i="2"/>
  <c r="S5158" i="2"/>
  <c r="R5158" i="2"/>
  <c r="Q5158" i="2"/>
  <c r="P5158" i="2"/>
  <c r="O5158" i="2"/>
  <c r="N5158" i="2"/>
  <c r="M5158" i="2"/>
  <c r="L5158" i="2"/>
  <c r="K5158" i="2"/>
  <c r="J5158" i="2"/>
  <c r="I5158" i="2"/>
  <c r="H5158" i="2"/>
  <c r="G5158" i="2"/>
  <c r="F5158" i="2"/>
  <c r="E5158" i="2"/>
  <c r="D5158" i="2"/>
  <c r="C5158" i="2"/>
  <c r="B5158" i="2"/>
  <c r="V5157" i="2"/>
  <c r="U5157" i="2"/>
  <c r="T5157" i="2"/>
  <c r="S5157" i="2"/>
  <c r="R5157" i="2"/>
  <c r="Q5157" i="2"/>
  <c r="P5157" i="2"/>
  <c r="O5157" i="2"/>
  <c r="N5157" i="2"/>
  <c r="M5157" i="2"/>
  <c r="L5157" i="2"/>
  <c r="K5157" i="2"/>
  <c r="J5157" i="2"/>
  <c r="I5157" i="2"/>
  <c r="H5157" i="2"/>
  <c r="G5157" i="2"/>
  <c r="F5157" i="2"/>
  <c r="E5157" i="2"/>
  <c r="D5157" i="2"/>
  <c r="C5157" i="2"/>
  <c r="B5157" i="2"/>
  <c r="V5156" i="2"/>
  <c r="U5156" i="2"/>
  <c r="T5156" i="2"/>
  <c r="S5156" i="2"/>
  <c r="R5156" i="2"/>
  <c r="Q5156" i="2"/>
  <c r="P5156" i="2"/>
  <c r="O5156" i="2"/>
  <c r="N5156" i="2"/>
  <c r="M5156" i="2"/>
  <c r="L5156" i="2"/>
  <c r="K5156" i="2"/>
  <c r="J5156" i="2"/>
  <c r="I5156" i="2"/>
  <c r="H5156" i="2"/>
  <c r="G5156" i="2"/>
  <c r="F5156" i="2"/>
  <c r="E5156" i="2"/>
  <c r="D5156" i="2"/>
  <c r="C5156" i="2"/>
  <c r="B5156" i="2"/>
  <c r="V5155" i="2"/>
  <c r="U5155" i="2"/>
  <c r="T5155" i="2"/>
  <c r="S5155" i="2"/>
  <c r="R5155" i="2"/>
  <c r="Q5155" i="2"/>
  <c r="P5155" i="2"/>
  <c r="O5155" i="2"/>
  <c r="N5155" i="2"/>
  <c r="M5155" i="2"/>
  <c r="L5155" i="2"/>
  <c r="K5155" i="2"/>
  <c r="J5155" i="2"/>
  <c r="I5155" i="2"/>
  <c r="H5155" i="2"/>
  <c r="G5155" i="2"/>
  <c r="F5155" i="2"/>
  <c r="E5155" i="2"/>
  <c r="D5155" i="2"/>
  <c r="C5155" i="2"/>
  <c r="B5155" i="2"/>
  <c r="V5154" i="2"/>
  <c r="U5154" i="2"/>
  <c r="T5154" i="2"/>
  <c r="S5154" i="2"/>
  <c r="R5154" i="2"/>
  <c r="Q5154" i="2"/>
  <c r="P5154" i="2"/>
  <c r="O5154" i="2"/>
  <c r="N5154" i="2"/>
  <c r="M5154" i="2"/>
  <c r="L5154" i="2"/>
  <c r="K5154" i="2"/>
  <c r="J5154" i="2"/>
  <c r="I5154" i="2"/>
  <c r="H5154" i="2"/>
  <c r="G5154" i="2"/>
  <c r="F5154" i="2"/>
  <c r="E5154" i="2"/>
  <c r="D5154" i="2"/>
  <c r="C5154" i="2"/>
  <c r="B5154" i="2"/>
  <c r="V5153" i="2"/>
  <c r="U5153" i="2"/>
  <c r="T5153" i="2"/>
  <c r="S5153" i="2"/>
  <c r="R5153" i="2"/>
  <c r="Q5153" i="2"/>
  <c r="P5153" i="2"/>
  <c r="O5153" i="2"/>
  <c r="N5153" i="2"/>
  <c r="M5153" i="2"/>
  <c r="L5153" i="2"/>
  <c r="K5153" i="2"/>
  <c r="J5153" i="2"/>
  <c r="I5153" i="2"/>
  <c r="H5153" i="2"/>
  <c r="G5153" i="2"/>
  <c r="F5153" i="2"/>
  <c r="E5153" i="2"/>
  <c r="D5153" i="2"/>
  <c r="C5153" i="2"/>
  <c r="B5153" i="2"/>
  <c r="V5152" i="2"/>
  <c r="U5152" i="2"/>
  <c r="T5152" i="2"/>
  <c r="S5152" i="2"/>
  <c r="R5152" i="2"/>
  <c r="Q5152" i="2"/>
  <c r="P5152" i="2"/>
  <c r="O5152" i="2"/>
  <c r="N5152" i="2"/>
  <c r="M5152" i="2"/>
  <c r="L5152" i="2"/>
  <c r="K5152" i="2"/>
  <c r="J5152" i="2"/>
  <c r="I5152" i="2"/>
  <c r="H5152" i="2"/>
  <c r="G5152" i="2"/>
  <c r="F5152" i="2"/>
  <c r="E5152" i="2"/>
  <c r="D5152" i="2"/>
  <c r="C5152" i="2"/>
  <c r="B5152" i="2"/>
  <c r="V5151" i="2"/>
  <c r="U5151" i="2"/>
  <c r="T5151" i="2"/>
  <c r="S5151" i="2"/>
  <c r="R5151" i="2"/>
  <c r="Q5151" i="2"/>
  <c r="P5151" i="2"/>
  <c r="O5151" i="2"/>
  <c r="N5151" i="2"/>
  <c r="M5151" i="2"/>
  <c r="L5151" i="2"/>
  <c r="K5151" i="2"/>
  <c r="J5151" i="2"/>
  <c r="I5151" i="2"/>
  <c r="H5151" i="2"/>
  <c r="G5151" i="2"/>
  <c r="F5151" i="2"/>
  <c r="E5151" i="2"/>
  <c r="D5151" i="2"/>
  <c r="C5151" i="2"/>
  <c r="B5151" i="2"/>
  <c r="V5150" i="2"/>
  <c r="U5150" i="2"/>
  <c r="T5150" i="2"/>
  <c r="S5150" i="2"/>
  <c r="R5150" i="2"/>
  <c r="Q5150" i="2"/>
  <c r="P5150" i="2"/>
  <c r="O5150" i="2"/>
  <c r="N5150" i="2"/>
  <c r="M5150" i="2"/>
  <c r="L5150" i="2"/>
  <c r="K5150" i="2"/>
  <c r="J5150" i="2"/>
  <c r="I5150" i="2"/>
  <c r="H5150" i="2"/>
  <c r="G5150" i="2"/>
  <c r="F5150" i="2"/>
  <c r="E5150" i="2"/>
  <c r="D5150" i="2"/>
  <c r="C5150" i="2"/>
  <c r="B5150" i="2"/>
  <c r="V5149" i="2"/>
  <c r="U5149" i="2"/>
  <c r="T5149" i="2"/>
  <c r="S5149" i="2"/>
  <c r="R5149" i="2"/>
  <c r="Q5149" i="2"/>
  <c r="P5149" i="2"/>
  <c r="O5149" i="2"/>
  <c r="N5149" i="2"/>
  <c r="M5149" i="2"/>
  <c r="L5149" i="2"/>
  <c r="K5149" i="2"/>
  <c r="J5149" i="2"/>
  <c r="I5149" i="2"/>
  <c r="H5149" i="2"/>
  <c r="G5149" i="2"/>
  <c r="F5149" i="2"/>
  <c r="E5149" i="2"/>
  <c r="D5149" i="2"/>
  <c r="C5149" i="2"/>
  <c r="B5149" i="2"/>
  <c r="V5148" i="2"/>
  <c r="U5148" i="2"/>
  <c r="T5148" i="2"/>
  <c r="S5148" i="2"/>
  <c r="R5148" i="2"/>
  <c r="Q5148" i="2"/>
  <c r="P5148" i="2"/>
  <c r="O5148" i="2"/>
  <c r="N5148" i="2"/>
  <c r="M5148" i="2"/>
  <c r="L5148" i="2"/>
  <c r="K5148" i="2"/>
  <c r="J5148" i="2"/>
  <c r="I5148" i="2"/>
  <c r="H5148" i="2"/>
  <c r="G5148" i="2"/>
  <c r="F5148" i="2"/>
  <c r="E5148" i="2"/>
  <c r="D5148" i="2"/>
  <c r="C5148" i="2"/>
  <c r="B5148" i="2"/>
  <c r="V5147" i="2"/>
  <c r="U5147" i="2"/>
  <c r="T5147" i="2"/>
  <c r="S5147" i="2"/>
  <c r="R5147" i="2"/>
  <c r="Q5147" i="2"/>
  <c r="P5147" i="2"/>
  <c r="O5147" i="2"/>
  <c r="N5147" i="2"/>
  <c r="M5147" i="2"/>
  <c r="L5147" i="2"/>
  <c r="K5147" i="2"/>
  <c r="J5147" i="2"/>
  <c r="I5147" i="2"/>
  <c r="H5147" i="2"/>
  <c r="G5147" i="2"/>
  <c r="F5147" i="2"/>
  <c r="E5147" i="2"/>
  <c r="D5147" i="2"/>
  <c r="C5147" i="2"/>
  <c r="B5147" i="2"/>
  <c r="V5146" i="2"/>
  <c r="U5146" i="2"/>
  <c r="T5146" i="2"/>
  <c r="S5146" i="2"/>
  <c r="R5146" i="2"/>
  <c r="Q5146" i="2"/>
  <c r="P5146" i="2"/>
  <c r="O5146" i="2"/>
  <c r="N5146" i="2"/>
  <c r="M5146" i="2"/>
  <c r="L5146" i="2"/>
  <c r="K5146" i="2"/>
  <c r="J5146" i="2"/>
  <c r="I5146" i="2"/>
  <c r="H5146" i="2"/>
  <c r="G5146" i="2"/>
  <c r="F5146" i="2"/>
  <c r="E5146" i="2"/>
  <c r="D5146" i="2"/>
  <c r="C5146" i="2"/>
  <c r="B5146" i="2"/>
  <c r="V5145" i="2"/>
  <c r="U5145" i="2"/>
  <c r="T5145" i="2"/>
  <c r="S5145" i="2"/>
  <c r="R5145" i="2"/>
  <c r="Q5145" i="2"/>
  <c r="P5145" i="2"/>
  <c r="O5145" i="2"/>
  <c r="N5145" i="2"/>
  <c r="M5145" i="2"/>
  <c r="L5145" i="2"/>
  <c r="K5145" i="2"/>
  <c r="J5145" i="2"/>
  <c r="I5145" i="2"/>
  <c r="H5145" i="2"/>
  <c r="G5145" i="2"/>
  <c r="F5145" i="2"/>
  <c r="E5145" i="2"/>
  <c r="D5145" i="2"/>
  <c r="C5145" i="2"/>
  <c r="B5145" i="2"/>
  <c r="V5144" i="2"/>
  <c r="U5144" i="2"/>
  <c r="T5144" i="2"/>
  <c r="S5144" i="2"/>
  <c r="R5144" i="2"/>
  <c r="Q5144" i="2"/>
  <c r="P5144" i="2"/>
  <c r="O5144" i="2"/>
  <c r="N5144" i="2"/>
  <c r="M5144" i="2"/>
  <c r="L5144" i="2"/>
  <c r="K5144" i="2"/>
  <c r="J5144" i="2"/>
  <c r="I5144" i="2"/>
  <c r="H5144" i="2"/>
  <c r="G5144" i="2"/>
  <c r="F5144" i="2"/>
  <c r="E5144" i="2"/>
  <c r="D5144" i="2"/>
  <c r="C5144" i="2"/>
  <c r="B5144" i="2"/>
  <c r="V5143" i="2"/>
  <c r="U5143" i="2"/>
  <c r="T5143" i="2"/>
  <c r="S5143" i="2"/>
  <c r="R5143" i="2"/>
  <c r="Q5143" i="2"/>
  <c r="P5143" i="2"/>
  <c r="O5143" i="2"/>
  <c r="N5143" i="2"/>
  <c r="M5143" i="2"/>
  <c r="L5143" i="2"/>
  <c r="K5143" i="2"/>
  <c r="J5143" i="2"/>
  <c r="I5143" i="2"/>
  <c r="H5143" i="2"/>
  <c r="G5143" i="2"/>
  <c r="F5143" i="2"/>
  <c r="E5143" i="2"/>
  <c r="D5143" i="2"/>
  <c r="C5143" i="2"/>
  <c r="B5143" i="2"/>
  <c r="V5142" i="2"/>
  <c r="U5142" i="2"/>
  <c r="T5142" i="2"/>
  <c r="S5142" i="2"/>
  <c r="R5142" i="2"/>
  <c r="Q5142" i="2"/>
  <c r="P5142" i="2"/>
  <c r="O5142" i="2"/>
  <c r="N5142" i="2"/>
  <c r="M5142" i="2"/>
  <c r="L5142" i="2"/>
  <c r="K5142" i="2"/>
  <c r="J5142" i="2"/>
  <c r="I5142" i="2"/>
  <c r="H5142" i="2"/>
  <c r="G5142" i="2"/>
  <c r="F5142" i="2"/>
  <c r="E5142" i="2"/>
  <c r="D5142" i="2"/>
  <c r="C5142" i="2"/>
  <c r="B5142" i="2"/>
  <c r="V5141" i="2"/>
  <c r="U5141" i="2"/>
  <c r="T5141" i="2"/>
  <c r="S5141" i="2"/>
  <c r="R5141" i="2"/>
  <c r="Q5141" i="2"/>
  <c r="P5141" i="2"/>
  <c r="O5141" i="2"/>
  <c r="N5141" i="2"/>
  <c r="M5141" i="2"/>
  <c r="L5141" i="2"/>
  <c r="K5141" i="2"/>
  <c r="J5141" i="2"/>
  <c r="I5141" i="2"/>
  <c r="H5141" i="2"/>
  <c r="G5141" i="2"/>
  <c r="F5141" i="2"/>
  <c r="E5141" i="2"/>
  <c r="D5141" i="2"/>
  <c r="C5141" i="2"/>
  <c r="B5141" i="2"/>
  <c r="V5140" i="2"/>
  <c r="U5140" i="2"/>
  <c r="T5140" i="2"/>
  <c r="S5140" i="2"/>
  <c r="R5140" i="2"/>
  <c r="Q5140" i="2"/>
  <c r="P5140" i="2"/>
  <c r="O5140" i="2"/>
  <c r="N5140" i="2"/>
  <c r="M5140" i="2"/>
  <c r="L5140" i="2"/>
  <c r="K5140" i="2"/>
  <c r="J5140" i="2"/>
  <c r="I5140" i="2"/>
  <c r="H5140" i="2"/>
  <c r="G5140" i="2"/>
  <c r="F5140" i="2"/>
  <c r="E5140" i="2"/>
  <c r="D5140" i="2"/>
  <c r="C5140" i="2"/>
  <c r="B5140" i="2"/>
  <c r="V5139" i="2"/>
  <c r="U5139" i="2"/>
  <c r="T5139" i="2"/>
  <c r="S5139" i="2"/>
  <c r="R5139" i="2"/>
  <c r="Q5139" i="2"/>
  <c r="P5139" i="2"/>
  <c r="O5139" i="2"/>
  <c r="N5139" i="2"/>
  <c r="M5139" i="2"/>
  <c r="L5139" i="2"/>
  <c r="K5139" i="2"/>
  <c r="J5139" i="2"/>
  <c r="I5139" i="2"/>
  <c r="H5139" i="2"/>
  <c r="G5139" i="2"/>
  <c r="F5139" i="2"/>
  <c r="E5139" i="2"/>
  <c r="D5139" i="2"/>
  <c r="C5139" i="2"/>
  <c r="B5139" i="2"/>
  <c r="V5138" i="2"/>
  <c r="U5138" i="2"/>
  <c r="T5138" i="2"/>
  <c r="S5138" i="2"/>
  <c r="R5138" i="2"/>
  <c r="Q5138" i="2"/>
  <c r="P5138" i="2"/>
  <c r="O5138" i="2"/>
  <c r="N5138" i="2"/>
  <c r="M5138" i="2"/>
  <c r="L5138" i="2"/>
  <c r="K5138" i="2"/>
  <c r="J5138" i="2"/>
  <c r="I5138" i="2"/>
  <c r="H5138" i="2"/>
  <c r="G5138" i="2"/>
  <c r="F5138" i="2"/>
  <c r="E5138" i="2"/>
  <c r="D5138" i="2"/>
  <c r="C5138" i="2"/>
  <c r="B5138" i="2"/>
  <c r="V5137" i="2"/>
  <c r="U5137" i="2"/>
  <c r="T5137" i="2"/>
  <c r="S5137" i="2"/>
  <c r="R5137" i="2"/>
  <c r="Q5137" i="2"/>
  <c r="P5137" i="2"/>
  <c r="O5137" i="2"/>
  <c r="N5137" i="2"/>
  <c r="M5137" i="2"/>
  <c r="L5137" i="2"/>
  <c r="K5137" i="2"/>
  <c r="J5137" i="2"/>
  <c r="I5137" i="2"/>
  <c r="H5137" i="2"/>
  <c r="G5137" i="2"/>
  <c r="F5137" i="2"/>
  <c r="E5137" i="2"/>
  <c r="D5137" i="2"/>
  <c r="C5137" i="2"/>
  <c r="B5137" i="2"/>
  <c r="V5136" i="2"/>
  <c r="U5136" i="2"/>
  <c r="T5136" i="2"/>
  <c r="S5136" i="2"/>
  <c r="R5136" i="2"/>
  <c r="Q5136" i="2"/>
  <c r="P5136" i="2"/>
  <c r="O5136" i="2"/>
  <c r="N5136" i="2"/>
  <c r="M5136" i="2"/>
  <c r="L5136" i="2"/>
  <c r="K5136" i="2"/>
  <c r="J5136" i="2"/>
  <c r="I5136" i="2"/>
  <c r="H5136" i="2"/>
  <c r="G5136" i="2"/>
  <c r="F5136" i="2"/>
  <c r="E5136" i="2"/>
  <c r="D5136" i="2"/>
  <c r="C5136" i="2"/>
  <c r="B5136" i="2"/>
  <c r="V5135" i="2"/>
  <c r="U5135" i="2"/>
  <c r="T5135" i="2"/>
  <c r="S5135" i="2"/>
  <c r="R5135" i="2"/>
  <c r="Q5135" i="2"/>
  <c r="P5135" i="2"/>
  <c r="O5135" i="2"/>
  <c r="N5135" i="2"/>
  <c r="M5135" i="2"/>
  <c r="L5135" i="2"/>
  <c r="K5135" i="2"/>
  <c r="J5135" i="2"/>
  <c r="I5135" i="2"/>
  <c r="H5135" i="2"/>
  <c r="G5135" i="2"/>
  <c r="F5135" i="2"/>
  <c r="E5135" i="2"/>
  <c r="D5135" i="2"/>
  <c r="C5135" i="2"/>
  <c r="B5135" i="2"/>
  <c r="V5134" i="2"/>
  <c r="U5134" i="2"/>
  <c r="T5134" i="2"/>
  <c r="S5134" i="2"/>
  <c r="R5134" i="2"/>
  <c r="Q5134" i="2"/>
  <c r="P5134" i="2"/>
  <c r="O5134" i="2"/>
  <c r="N5134" i="2"/>
  <c r="M5134" i="2"/>
  <c r="L5134" i="2"/>
  <c r="K5134" i="2"/>
  <c r="J5134" i="2"/>
  <c r="I5134" i="2"/>
  <c r="H5134" i="2"/>
  <c r="G5134" i="2"/>
  <c r="F5134" i="2"/>
  <c r="E5134" i="2"/>
  <c r="D5134" i="2"/>
  <c r="C5134" i="2"/>
  <c r="B5134" i="2"/>
  <c r="V5133" i="2"/>
  <c r="U5133" i="2"/>
  <c r="T5133" i="2"/>
  <c r="S5133" i="2"/>
  <c r="R5133" i="2"/>
  <c r="Q5133" i="2"/>
  <c r="P5133" i="2"/>
  <c r="O5133" i="2"/>
  <c r="N5133" i="2"/>
  <c r="M5133" i="2"/>
  <c r="L5133" i="2"/>
  <c r="K5133" i="2"/>
  <c r="J5133" i="2"/>
  <c r="I5133" i="2"/>
  <c r="H5133" i="2"/>
  <c r="G5133" i="2"/>
  <c r="F5133" i="2"/>
  <c r="E5133" i="2"/>
  <c r="D5133" i="2"/>
  <c r="C5133" i="2"/>
  <c r="B5133" i="2"/>
  <c r="V5132" i="2"/>
  <c r="U5132" i="2"/>
  <c r="T5132" i="2"/>
  <c r="S5132" i="2"/>
  <c r="R5132" i="2"/>
  <c r="Q5132" i="2"/>
  <c r="P5132" i="2"/>
  <c r="O5132" i="2"/>
  <c r="N5132" i="2"/>
  <c r="M5132" i="2"/>
  <c r="L5132" i="2"/>
  <c r="K5132" i="2"/>
  <c r="J5132" i="2"/>
  <c r="I5132" i="2"/>
  <c r="H5132" i="2"/>
  <c r="G5132" i="2"/>
  <c r="F5132" i="2"/>
  <c r="E5132" i="2"/>
  <c r="D5132" i="2"/>
  <c r="C5132" i="2"/>
  <c r="B5132" i="2"/>
  <c r="V5131" i="2"/>
  <c r="U5131" i="2"/>
  <c r="T5131" i="2"/>
  <c r="S5131" i="2"/>
  <c r="R5131" i="2"/>
  <c r="Q5131" i="2"/>
  <c r="P5131" i="2"/>
  <c r="O5131" i="2"/>
  <c r="N5131" i="2"/>
  <c r="M5131" i="2"/>
  <c r="L5131" i="2"/>
  <c r="K5131" i="2"/>
  <c r="J5131" i="2"/>
  <c r="I5131" i="2"/>
  <c r="H5131" i="2"/>
  <c r="G5131" i="2"/>
  <c r="F5131" i="2"/>
  <c r="E5131" i="2"/>
  <c r="D5131" i="2"/>
  <c r="C5131" i="2"/>
  <c r="B5131" i="2"/>
  <c r="V5130" i="2"/>
  <c r="U5130" i="2"/>
  <c r="T5130" i="2"/>
  <c r="S5130" i="2"/>
  <c r="R5130" i="2"/>
  <c r="Q5130" i="2"/>
  <c r="P5130" i="2"/>
  <c r="O5130" i="2"/>
  <c r="N5130" i="2"/>
  <c r="M5130" i="2"/>
  <c r="L5130" i="2"/>
  <c r="K5130" i="2"/>
  <c r="J5130" i="2"/>
  <c r="I5130" i="2"/>
  <c r="H5130" i="2"/>
  <c r="G5130" i="2"/>
  <c r="F5130" i="2"/>
  <c r="E5130" i="2"/>
  <c r="D5130" i="2"/>
  <c r="C5130" i="2"/>
  <c r="B5130" i="2"/>
  <c r="V5129" i="2"/>
  <c r="U5129" i="2"/>
  <c r="T5129" i="2"/>
  <c r="S5129" i="2"/>
  <c r="R5129" i="2"/>
  <c r="Q5129" i="2"/>
  <c r="P5129" i="2"/>
  <c r="O5129" i="2"/>
  <c r="N5129" i="2"/>
  <c r="M5129" i="2"/>
  <c r="L5129" i="2"/>
  <c r="K5129" i="2"/>
  <c r="J5129" i="2"/>
  <c r="I5129" i="2"/>
  <c r="H5129" i="2"/>
  <c r="G5129" i="2"/>
  <c r="F5129" i="2"/>
  <c r="E5129" i="2"/>
  <c r="D5129" i="2"/>
  <c r="C5129" i="2"/>
  <c r="B5129" i="2"/>
  <c r="V5128" i="2"/>
  <c r="U5128" i="2"/>
  <c r="T5128" i="2"/>
  <c r="S5128" i="2"/>
  <c r="R5128" i="2"/>
  <c r="Q5128" i="2"/>
  <c r="P5128" i="2"/>
  <c r="O5128" i="2"/>
  <c r="N5128" i="2"/>
  <c r="M5128" i="2"/>
  <c r="L5128" i="2"/>
  <c r="K5128" i="2"/>
  <c r="J5128" i="2"/>
  <c r="I5128" i="2"/>
  <c r="H5128" i="2"/>
  <c r="G5128" i="2"/>
  <c r="F5128" i="2"/>
  <c r="E5128" i="2"/>
  <c r="D5128" i="2"/>
  <c r="C5128" i="2"/>
  <c r="B5128" i="2"/>
  <c r="V5127" i="2"/>
  <c r="U5127" i="2"/>
  <c r="T5127" i="2"/>
  <c r="S5127" i="2"/>
  <c r="R5127" i="2"/>
  <c r="Q5127" i="2"/>
  <c r="P5127" i="2"/>
  <c r="O5127" i="2"/>
  <c r="N5127" i="2"/>
  <c r="M5127" i="2"/>
  <c r="L5127" i="2"/>
  <c r="K5127" i="2"/>
  <c r="J5127" i="2"/>
  <c r="I5127" i="2"/>
  <c r="H5127" i="2"/>
  <c r="G5127" i="2"/>
  <c r="F5127" i="2"/>
  <c r="E5127" i="2"/>
  <c r="D5127" i="2"/>
  <c r="C5127" i="2"/>
  <c r="B5127" i="2"/>
  <c r="V5126" i="2"/>
  <c r="U5126" i="2"/>
  <c r="T5126" i="2"/>
  <c r="S5126" i="2"/>
  <c r="R5126" i="2"/>
  <c r="Q5126" i="2"/>
  <c r="P5126" i="2"/>
  <c r="O5126" i="2"/>
  <c r="N5126" i="2"/>
  <c r="M5126" i="2"/>
  <c r="L5126" i="2"/>
  <c r="K5126" i="2"/>
  <c r="J5126" i="2"/>
  <c r="I5126" i="2"/>
  <c r="H5126" i="2"/>
  <c r="G5126" i="2"/>
  <c r="F5126" i="2"/>
  <c r="E5126" i="2"/>
  <c r="D5126" i="2"/>
  <c r="C5126" i="2"/>
  <c r="B5126" i="2"/>
  <c r="V5125" i="2"/>
  <c r="U5125" i="2"/>
  <c r="T5125" i="2"/>
  <c r="S5125" i="2"/>
  <c r="R5125" i="2"/>
  <c r="Q5125" i="2"/>
  <c r="P5125" i="2"/>
  <c r="O5125" i="2"/>
  <c r="N5125" i="2"/>
  <c r="M5125" i="2"/>
  <c r="L5125" i="2"/>
  <c r="K5125" i="2"/>
  <c r="J5125" i="2"/>
  <c r="I5125" i="2"/>
  <c r="H5125" i="2"/>
  <c r="G5125" i="2"/>
  <c r="F5125" i="2"/>
  <c r="E5125" i="2"/>
  <c r="D5125" i="2"/>
  <c r="C5125" i="2"/>
  <c r="B5125" i="2"/>
  <c r="V5124" i="2"/>
  <c r="U5124" i="2"/>
  <c r="T5124" i="2"/>
  <c r="S5124" i="2"/>
  <c r="R5124" i="2"/>
  <c r="Q5124" i="2"/>
  <c r="P5124" i="2"/>
  <c r="O5124" i="2"/>
  <c r="N5124" i="2"/>
  <c r="M5124" i="2"/>
  <c r="L5124" i="2"/>
  <c r="K5124" i="2"/>
  <c r="J5124" i="2"/>
  <c r="I5124" i="2"/>
  <c r="H5124" i="2"/>
  <c r="G5124" i="2"/>
  <c r="F5124" i="2"/>
  <c r="E5124" i="2"/>
  <c r="D5124" i="2"/>
  <c r="C5124" i="2"/>
  <c r="B5124" i="2"/>
  <c r="V5123" i="2"/>
  <c r="U5123" i="2"/>
  <c r="T5123" i="2"/>
  <c r="S5123" i="2"/>
  <c r="R5123" i="2"/>
  <c r="Q5123" i="2"/>
  <c r="P5123" i="2"/>
  <c r="O5123" i="2"/>
  <c r="N5123" i="2"/>
  <c r="M5123" i="2"/>
  <c r="L5123" i="2"/>
  <c r="K5123" i="2"/>
  <c r="J5123" i="2"/>
  <c r="I5123" i="2"/>
  <c r="H5123" i="2"/>
  <c r="G5123" i="2"/>
  <c r="F5123" i="2"/>
  <c r="E5123" i="2"/>
  <c r="D5123" i="2"/>
  <c r="C5123" i="2"/>
  <c r="B5123" i="2"/>
  <c r="V5122" i="2"/>
  <c r="U5122" i="2"/>
  <c r="T5122" i="2"/>
  <c r="S5122" i="2"/>
  <c r="R5122" i="2"/>
  <c r="Q5122" i="2"/>
  <c r="P5122" i="2"/>
  <c r="O5122" i="2"/>
  <c r="N5122" i="2"/>
  <c r="M5122" i="2"/>
  <c r="L5122" i="2"/>
  <c r="K5122" i="2"/>
  <c r="J5122" i="2"/>
  <c r="I5122" i="2"/>
  <c r="H5122" i="2"/>
  <c r="G5122" i="2"/>
  <c r="F5122" i="2"/>
  <c r="E5122" i="2"/>
  <c r="D5122" i="2"/>
  <c r="C5122" i="2"/>
  <c r="B5122" i="2"/>
  <c r="V5121" i="2"/>
  <c r="U5121" i="2"/>
  <c r="T5121" i="2"/>
  <c r="S5121" i="2"/>
  <c r="R5121" i="2"/>
  <c r="Q5121" i="2"/>
  <c r="P5121" i="2"/>
  <c r="O5121" i="2"/>
  <c r="N5121" i="2"/>
  <c r="M5121" i="2"/>
  <c r="L5121" i="2"/>
  <c r="K5121" i="2"/>
  <c r="J5121" i="2"/>
  <c r="I5121" i="2"/>
  <c r="H5121" i="2"/>
  <c r="G5121" i="2"/>
  <c r="F5121" i="2"/>
  <c r="E5121" i="2"/>
  <c r="D5121" i="2"/>
  <c r="C5121" i="2"/>
  <c r="B5121" i="2"/>
  <c r="V5120" i="2"/>
  <c r="U5120" i="2"/>
  <c r="T5120" i="2"/>
  <c r="S5120" i="2"/>
  <c r="R5120" i="2"/>
  <c r="Q5120" i="2"/>
  <c r="P5120" i="2"/>
  <c r="O5120" i="2"/>
  <c r="N5120" i="2"/>
  <c r="M5120" i="2"/>
  <c r="L5120" i="2"/>
  <c r="K5120" i="2"/>
  <c r="J5120" i="2"/>
  <c r="I5120" i="2"/>
  <c r="H5120" i="2"/>
  <c r="G5120" i="2"/>
  <c r="F5120" i="2"/>
  <c r="E5120" i="2"/>
  <c r="D5120" i="2"/>
  <c r="C5120" i="2"/>
  <c r="B5120" i="2"/>
  <c r="V5119" i="2"/>
  <c r="U5119" i="2"/>
  <c r="T5119" i="2"/>
  <c r="S5119" i="2"/>
  <c r="R5119" i="2"/>
  <c r="Q5119" i="2"/>
  <c r="P5119" i="2"/>
  <c r="O5119" i="2"/>
  <c r="N5119" i="2"/>
  <c r="M5119" i="2"/>
  <c r="L5119" i="2"/>
  <c r="K5119" i="2"/>
  <c r="J5119" i="2"/>
  <c r="I5119" i="2"/>
  <c r="H5119" i="2"/>
  <c r="G5119" i="2"/>
  <c r="F5119" i="2"/>
  <c r="E5119" i="2"/>
  <c r="D5119" i="2"/>
  <c r="C5119" i="2"/>
  <c r="B5119" i="2"/>
  <c r="V5118" i="2"/>
  <c r="U5118" i="2"/>
  <c r="T5118" i="2"/>
  <c r="S5118" i="2"/>
  <c r="R5118" i="2"/>
  <c r="Q5118" i="2"/>
  <c r="P5118" i="2"/>
  <c r="O5118" i="2"/>
  <c r="N5118" i="2"/>
  <c r="M5118" i="2"/>
  <c r="L5118" i="2"/>
  <c r="K5118" i="2"/>
  <c r="J5118" i="2"/>
  <c r="I5118" i="2"/>
  <c r="H5118" i="2"/>
  <c r="G5118" i="2"/>
  <c r="F5118" i="2"/>
  <c r="E5118" i="2"/>
  <c r="D5118" i="2"/>
  <c r="C5118" i="2"/>
  <c r="B5118" i="2"/>
  <c r="V5117" i="2"/>
  <c r="U5117" i="2"/>
  <c r="T5117" i="2"/>
  <c r="S5117" i="2"/>
  <c r="R5117" i="2"/>
  <c r="Q5117" i="2"/>
  <c r="P5117" i="2"/>
  <c r="O5117" i="2"/>
  <c r="N5117" i="2"/>
  <c r="M5117" i="2"/>
  <c r="L5117" i="2"/>
  <c r="K5117" i="2"/>
  <c r="J5117" i="2"/>
  <c r="I5117" i="2"/>
  <c r="H5117" i="2"/>
  <c r="G5117" i="2"/>
  <c r="F5117" i="2"/>
  <c r="E5117" i="2"/>
  <c r="D5117" i="2"/>
  <c r="C5117" i="2"/>
  <c r="B5117" i="2"/>
  <c r="V5116" i="2"/>
  <c r="U5116" i="2"/>
  <c r="T5116" i="2"/>
  <c r="S5116" i="2"/>
  <c r="R5116" i="2"/>
  <c r="Q5116" i="2"/>
  <c r="P5116" i="2"/>
  <c r="O5116" i="2"/>
  <c r="N5116" i="2"/>
  <c r="M5116" i="2"/>
  <c r="L5116" i="2"/>
  <c r="K5116" i="2"/>
  <c r="J5116" i="2"/>
  <c r="I5116" i="2"/>
  <c r="H5116" i="2"/>
  <c r="G5116" i="2"/>
  <c r="F5116" i="2"/>
  <c r="E5116" i="2"/>
  <c r="D5116" i="2"/>
  <c r="C5116" i="2"/>
  <c r="B5116" i="2"/>
  <c r="V5115" i="2"/>
  <c r="U5115" i="2"/>
  <c r="T5115" i="2"/>
  <c r="S5115" i="2"/>
  <c r="R5115" i="2"/>
  <c r="Q5115" i="2"/>
  <c r="P5115" i="2"/>
  <c r="O5115" i="2"/>
  <c r="N5115" i="2"/>
  <c r="M5115" i="2"/>
  <c r="L5115" i="2"/>
  <c r="K5115" i="2"/>
  <c r="J5115" i="2"/>
  <c r="I5115" i="2"/>
  <c r="H5115" i="2"/>
  <c r="G5115" i="2"/>
  <c r="F5115" i="2"/>
  <c r="E5115" i="2"/>
  <c r="D5115" i="2"/>
  <c r="C5115" i="2"/>
  <c r="B5115" i="2"/>
  <c r="V5114" i="2"/>
  <c r="U5114" i="2"/>
  <c r="T5114" i="2"/>
  <c r="S5114" i="2"/>
  <c r="R5114" i="2"/>
  <c r="Q5114" i="2"/>
  <c r="P5114" i="2"/>
  <c r="O5114" i="2"/>
  <c r="N5114" i="2"/>
  <c r="M5114" i="2"/>
  <c r="L5114" i="2"/>
  <c r="K5114" i="2"/>
  <c r="J5114" i="2"/>
  <c r="I5114" i="2"/>
  <c r="H5114" i="2"/>
  <c r="G5114" i="2"/>
  <c r="F5114" i="2"/>
  <c r="E5114" i="2"/>
  <c r="D5114" i="2"/>
  <c r="C5114" i="2"/>
  <c r="B5114" i="2"/>
  <c r="V5113" i="2"/>
  <c r="U5113" i="2"/>
  <c r="T5113" i="2"/>
  <c r="S5113" i="2"/>
  <c r="R5113" i="2"/>
  <c r="Q5113" i="2"/>
  <c r="P5113" i="2"/>
  <c r="O5113" i="2"/>
  <c r="N5113" i="2"/>
  <c r="M5113" i="2"/>
  <c r="L5113" i="2"/>
  <c r="K5113" i="2"/>
  <c r="J5113" i="2"/>
  <c r="I5113" i="2"/>
  <c r="H5113" i="2"/>
  <c r="G5113" i="2"/>
  <c r="F5113" i="2"/>
  <c r="E5113" i="2"/>
  <c r="D5113" i="2"/>
  <c r="C5113" i="2"/>
  <c r="B5113" i="2"/>
  <c r="V5112" i="2"/>
  <c r="U5112" i="2"/>
  <c r="T5112" i="2"/>
  <c r="S5112" i="2"/>
  <c r="R5112" i="2"/>
  <c r="Q5112" i="2"/>
  <c r="P5112" i="2"/>
  <c r="O5112" i="2"/>
  <c r="N5112" i="2"/>
  <c r="M5112" i="2"/>
  <c r="L5112" i="2"/>
  <c r="K5112" i="2"/>
  <c r="J5112" i="2"/>
  <c r="I5112" i="2"/>
  <c r="H5112" i="2"/>
  <c r="G5112" i="2"/>
  <c r="F5112" i="2"/>
  <c r="E5112" i="2"/>
  <c r="D5112" i="2"/>
  <c r="C5112" i="2"/>
  <c r="B5112" i="2"/>
  <c r="V5111" i="2"/>
  <c r="U5111" i="2"/>
  <c r="T5111" i="2"/>
  <c r="S5111" i="2"/>
  <c r="R5111" i="2"/>
  <c r="Q5111" i="2"/>
  <c r="P5111" i="2"/>
  <c r="O5111" i="2"/>
  <c r="N5111" i="2"/>
  <c r="M5111" i="2"/>
  <c r="L5111" i="2"/>
  <c r="K5111" i="2"/>
  <c r="J5111" i="2"/>
  <c r="I5111" i="2"/>
  <c r="H5111" i="2"/>
  <c r="G5111" i="2"/>
  <c r="F5111" i="2"/>
  <c r="E5111" i="2"/>
  <c r="D5111" i="2"/>
  <c r="C5111" i="2"/>
  <c r="B5111" i="2"/>
  <c r="V5110" i="2"/>
  <c r="U5110" i="2"/>
  <c r="T5110" i="2"/>
  <c r="S5110" i="2"/>
  <c r="R5110" i="2"/>
  <c r="Q5110" i="2"/>
  <c r="P5110" i="2"/>
  <c r="O5110" i="2"/>
  <c r="N5110" i="2"/>
  <c r="M5110" i="2"/>
  <c r="L5110" i="2"/>
  <c r="K5110" i="2"/>
  <c r="J5110" i="2"/>
  <c r="I5110" i="2"/>
  <c r="H5110" i="2"/>
  <c r="G5110" i="2"/>
  <c r="F5110" i="2"/>
  <c r="E5110" i="2"/>
  <c r="D5110" i="2"/>
  <c r="C5110" i="2"/>
  <c r="B5110" i="2"/>
  <c r="V5109" i="2"/>
  <c r="U5109" i="2"/>
  <c r="T5109" i="2"/>
  <c r="S5109" i="2"/>
  <c r="R5109" i="2"/>
  <c r="Q5109" i="2"/>
  <c r="P5109" i="2"/>
  <c r="O5109" i="2"/>
  <c r="N5109" i="2"/>
  <c r="M5109" i="2"/>
  <c r="L5109" i="2"/>
  <c r="K5109" i="2"/>
  <c r="J5109" i="2"/>
  <c r="I5109" i="2"/>
  <c r="H5109" i="2"/>
  <c r="G5109" i="2"/>
  <c r="F5109" i="2"/>
  <c r="E5109" i="2"/>
  <c r="D5109" i="2"/>
  <c r="C5109" i="2"/>
  <c r="B5109" i="2"/>
  <c r="V5108" i="2"/>
  <c r="U5108" i="2"/>
  <c r="T5108" i="2"/>
  <c r="S5108" i="2"/>
  <c r="R5108" i="2"/>
  <c r="Q5108" i="2"/>
  <c r="P5108" i="2"/>
  <c r="O5108" i="2"/>
  <c r="N5108" i="2"/>
  <c r="M5108" i="2"/>
  <c r="L5108" i="2"/>
  <c r="K5108" i="2"/>
  <c r="J5108" i="2"/>
  <c r="I5108" i="2"/>
  <c r="H5108" i="2"/>
  <c r="G5108" i="2"/>
  <c r="F5108" i="2"/>
  <c r="E5108" i="2"/>
  <c r="D5108" i="2"/>
  <c r="C5108" i="2"/>
  <c r="B5108" i="2"/>
  <c r="V5107" i="2"/>
  <c r="U5107" i="2"/>
  <c r="T5107" i="2"/>
  <c r="S5107" i="2"/>
  <c r="R5107" i="2"/>
  <c r="Q5107" i="2"/>
  <c r="P5107" i="2"/>
  <c r="O5107" i="2"/>
  <c r="N5107" i="2"/>
  <c r="M5107" i="2"/>
  <c r="L5107" i="2"/>
  <c r="K5107" i="2"/>
  <c r="J5107" i="2"/>
  <c r="I5107" i="2"/>
  <c r="H5107" i="2"/>
  <c r="G5107" i="2"/>
  <c r="F5107" i="2"/>
  <c r="E5107" i="2"/>
  <c r="D5107" i="2"/>
  <c r="C5107" i="2"/>
  <c r="B5107" i="2"/>
  <c r="V5106" i="2"/>
  <c r="U5106" i="2"/>
  <c r="T5106" i="2"/>
  <c r="S5106" i="2"/>
  <c r="R5106" i="2"/>
  <c r="Q5106" i="2"/>
  <c r="P5106" i="2"/>
  <c r="O5106" i="2"/>
  <c r="N5106" i="2"/>
  <c r="M5106" i="2"/>
  <c r="L5106" i="2"/>
  <c r="K5106" i="2"/>
  <c r="J5106" i="2"/>
  <c r="I5106" i="2"/>
  <c r="H5106" i="2"/>
  <c r="G5106" i="2"/>
  <c r="F5106" i="2"/>
  <c r="E5106" i="2"/>
  <c r="D5106" i="2"/>
  <c r="C5106" i="2"/>
  <c r="B5106" i="2"/>
  <c r="V5105" i="2"/>
  <c r="U5105" i="2"/>
  <c r="T5105" i="2"/>
  <c r="S5105" i="2"/>
  <c r="R5105" i="2"/>
  <c r="Q5105" i="2"/>
  <c r="P5105" i="2"/>
  <c r="O5105" i="2"/>
  <c r="N5105" i="2"/>
  <c r="M5105" i="2"/>
  <c r="L5105" i="2"/>
  <c r="K5105" i="2"/>
  <c r="J5105" i="2"/>
  <c r="I5105" i="2"/>
  <c r="H5105" i="2"/>
  <c r="G5105" i="2"/>
  <c r="F5105" i="2"/>
  <c r="E5105" i="2"/>
  <c r="D5105" i="2"/>
  <c r="C5105" i="2"/>
  <c r="B5105" i="2"/>
  <c r="V5104" i="2"/>
  <c r="U5104" i="2"/>
  <c r="T5104" i="2"/>
  <c r="S5104" i="2"/>
  <c r="R5104" i="2"/>
  <c r="Q5104" i="2"/>
  <c r="P5104" i="2"/>
  <c r="O5104" i="2"/>
  <c r="N5104" i="2"/>
  <c r="M5104" i="2"/>
  <c r="L5104" i="2"/>
  <c r="K5104" i="2"/>
  <c r="J5104" i="2"/>
  <c r="I5104" i="2"/>
  <c r="H5104" i="2"/>
  <c r="G5104" i="2"/>
  <c r="F5104" i="2"/>
  <c r="E5104" i="2"/>
  <c r="D5104" i="2"/>
  <c r="C5104" i="2"/>
  <c r="B5104" i="2"/>
  <c r="V5103" i="2"/>
  <c r="U5103" i="2"/>
  <c r="T5103" i="2"/>
  <c r="S5103" i="2"/>
  <c r="R5103" i="2"/>
  <c r="Q5103" i="2"/>
  <c r="P5103" i="2"/>
  <c r="O5103" i="2"/>
  <c r="N5103" i="2"/>
  <c r="M5103" i="2"/>
  <c r="L5103" i="2"/>
  <c r="K5103" i="2"/>
  <c r="J5103" i="2"/>
  <c r="I5103" i="2"/>
  <c r="H5103" i="2"/>
  <c r="G5103" i="2"/>
  <c r="F5103" i="2"/>
  <c r="E5103" i="2"/>
  <c r="D5103" i="2"/>
  <c r="C5103" i="2"/>
  <c r="B5103" i="2"/>
  <c r="V5102" i="2"/>
  <c r="U5102" i="2"/>
  <c r="T5102" i="2"/>
  <c r="S5102" i="2"/>
  <c r="R5102" i="2"/>
  <c r="Q5102" i="2"/>
  <c r="P5102" i="2"/>
  <c r="O5102" i="2"/>
  <c r="N5102" i="2"/>
  <c r="M5102" i="2"/>
  <c r="L5102" i="2"/>
  <c r="K5102" i="2"/>
  <c r="J5102" i="2"/>
  <c r="I5102" i="2"/>
  <c r="H5102" i="2"/>
  <c r="G5102" i="2"/>
  <c r="F5102" i="2"/>
  <c r="E5102" i="2"/>
  <c r="D5102" i="2"/>
  <c r="C5102" i="2"/>
  <c r="B5102" i="2"/>
  <c r="V5101" i="2"/>
  <c r="U5101" i="2"/>
  <c r="T5101" i="2"/>
  <c r="S5101" i="2"/>
  <c r="R5101" i="2"/>
  <c r="Q5101" i="2"/>
  <c r="P5101" i="2"/>
  <c r="O5101" i="2"/>
  <c r="N5101" i="2"/>
  <c r="M5101" i="2"/>
  <c r="L5101" i="2"/>
  <c r="K5101" i="2"/>
  <c r="J5101" i="2"/>
  <c r="I5101" i="2"/>
  <c r="H5101" i="2"/>
  <c r="G5101" i="2"/>
  <c r="F5101" i="2"/>
  <c r="E5101" i="2"/>
  <c r="D5101" i="2"/>
  <c r="C5101" i="2"/>
  <c r="B5101" i="2"/>
  <c r="V5100" i="2"/>
  <c r="U5100" i="2"/>
  <c r="T5100" i="2"/>
  <c r="S5100" i="2"/>
  <c r="R5100" i="2"/>
  <c r="Q5100" i="2"/>
  <c r="P5100" i="2"/>
  <c r="O5100" i="2"/>
  <c r="N5100" i="2"/>
  <c r="M5100" i="2"/>
  <c r="L5100" i="2"/>
  <c r="K5100" i="2"/>
  <c r="J5100" i="2"/>
  <c r="I5100" i="2"/>
  <c r="H5100" i="2"/>
  <c r="G5100" i="2"/>
  <c r="F5100" i="2"/>
  <c r="E5100" i="2"/>
  <c r="D5100" i="2"/>
  <c r="C5100" i="2"/>
  <c r="B5100" i="2"/>
  <c r="V5099" i="2"/>
  <c r="U5099" i="2"/>
  <c r="T5099" i="2"/>
  <c r="S5099" i="2"/>
  <c r="R5099" i="2"/>
  <c r="Q5099" i="2"/>
  <c r="P5099" i="2"/>
  <c r="O5099" i="2"/>
  <c r="N5099" i="2"/>
  <c r="M5099" i="2"/>
  <c r="L5099" i="2"/>
  <c r="K5099" i="2"/>
  <c r="J5099" i="2"/>
  <c r="I5099" i="2"/>
  <c r="H5099" i="2"/>
  <c r="G5099" i="2"/>
  <c r="F5099" i="2"/>
  <c r="E5099" i="2"/>
  <c r="D5099" i="2"/>
  <c r="C5099" i="2"/>
  <c r="B5099" i="2"/>
  <c r="V5098" i="2"/>
  <c r="U5098" i="2"/>
  <c r="T5098" i="2"/>
  <c r="S5098" i="2"/>
  <c r="R5098" i="2"/>
  <c r="Q5098" i="2"/>
  <c r="P5098" i="2"/>
  <c r="O5098" i="2"/>
  <c r="N5098" i="2"/>
  <c r="M5098" i="2"/>
  <c r="L5098" i="2"/>
  <c r="K5098" i="2"/>
  <c r="J5098" i="2"/>
  <c r="I5098" i="2"/>
  <c r="H5098" i="2"/>
  <c r="G5098" i="2"/>
  <c r="F5098" i="2"/>
  <c r="E5098" i="2"/>
  <c r="D5098" i="2"/>
  <c r="C5098" i="2"/>
  <c r="B5098" i="2"/>
  <c r="V5097" i="2"/>
  <c r="U5097" i="2"/>
  <c r="T5097" i="2"/>
  <c r="S5097" i="2"/>
  <c r="R5097" i="2"/>
  <c r="Q5097" i="2"/>
  <c r="P5097" i="2"/>
  <c r="O5097" i="2"/>
  <c r="N5097" i="2"/>
  <c r="M5097" i="2"/>
  <c r="L5097" i="2"/>
  <c r="K5097" i="2"/>
  <c r="J5097" i="2"/>
  <c r="I5097" i="2"/>
  <c r="H5097" i="2"/>
  <c r="G5097" i="2"/>
  <c r="F5097" i="2"/>
  <c r="E5097" i="2"/>
  <c r="D5097" i="2"/>
  <c r="C5097" i="2"/>
  <c r="B5097" i="2"/>
  <c r="V5096" i="2"/>
  <c r="U5096" i="2"/>
  <c r="T5096" i="2"/>
  <c r="S5096" i="2"/>
  <c r="R5096" i="2"/>
  <c r="Q5096" i="2"/>
  <c r="P5096" i="2"/>
  <c r="O5096" i="2"/>
  <c r="N5096" i="2"/>
  <c r="M5096" i="2"/>
  <c r="L5096" i="2"/>
  <c r="K5096" i="2"/>
  <c r="J5096" i="2"/>
  <c r="I5096" i="2"/>
  <c r="H5096" i="2"/>
  <c r="G5096" i="2"/>
  <c r="F5096" i="2"/>
  <c r="E5096" i="2"/>
  <c r="D5096" i="2"/>
  <c r="C5096" i="2"/>
  <c r="B5096" i="2"/>
  <c r="V5095" i="2"/>
  <c r="U5095" i="2"/>
  <c r="T5095" i="2"/>
  <c r="S5095" i="2"/>
  <c r="R5095" i="2"/>
  <c r="Q5095" i="2"/>
  <c r="P5095" i="2"/>
  <c r="O5095" i="2"/>
  <c r="N5095" i="2"/>
  <c r="M5095" i="2"/>
  <c r="L5095" i="2"/>
  <c r="K5095" i="2"/>
  <c r="J5095" i="2"/>
  <c r="I5095" i="2"/>
  <c r="H5095" i="2"/>
  <c r="G5095" i="2"/>
  <c r="F5095" i="2"/>
  <c r="E5095" i="2"/>
  <c r="D5095" i="2"/>
  <c r="C5095" i="2"/>
  <c r="B5095" i="2"/>
  <c r="V5094" i="2"/>
  <c r="U5094" i="2"/>
  <c r="T5094" i="2"/>
  <c r="S5094" i="2"/>
  <c r="R5094" i="2"/>
  <c r="Q5094" i="2"/>
  <c r="P5094" i="2"/>
  <c r="O5094" i="2"/>
  <c r="N5094" i="2"/>
  <c r="M5094" i="2"/>
  <c r="L5094" i="2"/>
  <c r="K5094" i="2"/>
  <c r="J5094" i="2"/>
  <c r="I5094" i="2"/>
  <c r="H5094" i="2"/>
  <c r="G5094" i="2"/>
  <c r="F5094" i="2"/>
  <c r="E5094" i="2"/>
  <c r="D5094" i="2"/>
  <c r="C5094" i="2"/>
  <c r="B5094" i="2"/>
  <c r="V5093" i="2"/>
  <c r="U5093" i="2"/>
  <c r="T5093" i="2"/>
  <c r="S5093" i="2"/>
  <c r="R5093" i="2"/>
  <c r="Q5093" i="2"/>
  <c r="P5093" i="2"/>
  <c r="O5093" i="2"/>
  <c r="N5093" i="2"/>
  <c r="M5093" i="2"/>
  <c r="L5093" i="2"/>
  <c r="K5093" i="2"/>
  <c r="J5093" i="2"/>
  <c r="I5093" i="2"/>
  <c r="H5093" i="2"/>
  <c r="G5093" i="2"/>
  <c r="F5093" i="2"/>
  <c r="E5093" i="2"/>
  <c r="D5093" i="2"/>
  <c r="C5093" i="2"/>
  <c r="B5093" i="2"/>
  <c r="V5092" i="2"/>
  <c r="U5092" i="2"/>
  <c r="T5092" i="2"/>
  <c r="S5092" i="2"/>
  <c r="R5092" i="2"/>
  <c r="Q5092" i="2"/>
  <c r="P5092" i="2"/>
  <c r="O5092" i="2"/>
  <c r="N5092" i="2"/>
  <c r="M5092" i="2"/>
  <c r="L5092" i="2"/>
  <c r="K5092" i="2"/>
  <c r="J5092" i="2"/>
  <c r="I5092" i="2"/>
  <c r="H5092" i="2"/>
  <c r="G5092" i="2"/>
  <c r="F5092" i="2"/>
  <c r="E5092" i="2"/>
  <c r="D5092" i="2"/>
  <c r="C5092" i="2"/>
  <c r="B5092" i="2"/>
  <c r="V5091" i="2"/>
  <c r="U5091" i="2"/>
  <c r="T5091" i="2"/>
  <c r="S5091" i="2"/>
  <c r="R5091" i="2"/>
  <c r="Q5091" i="2"/>
  <c r="P5091" i="2"/>
  <c r="O5091" i="2"/>
  <c r="N5091" i="2"/>
  <c r="M5091" i="2"/>
  <c r="L5091" i="2"/>
  <c r="K5091" i="2"/>
  <c r="J5091" i="2"/>
  <c r="I5091" i="2"/>
  <c r="H5091" i="2"/>
  <c r="G5091" i="2"/>
  <c r="F5091" i="2"/>
  <c r="E5091" i="2"/>
  <c r="D5091" i="2"/>
  <c r="C5091" i="2"/>
  <c r="B5091" i="2"/>
  <c r="V5090" i="2"/>
  <c r="U5090" i="2"/>
  <c r="T5090" i="2"/>
  <c r="S5090" i="2"/>
  <c r="R5090" i="2"/>
  <c r="Q5090" i="2"/>
  <c r="P5090" i="2"/>
  <c r="O5090" i="2"/>
  <c r="N5090" i="2"/>
  <c r="M5090" i="2"/>
  <c r="L5090" i="2"/>
  <c r="K5090" i="2"/>
  <c r="J5090" i="2"/>
  <c r="I5090" i="2"/>
  <c r="H5090" i="2"/>
  <c r="G5090" i="2"/>
  <c r="F5090" i="2"/>
  <c r="E5090" i="2"/>
  <c r="D5090" i="2"/>
  <c r="C5090" i="2"/>
  <c r="B5090" i="2"/>
  <c r="V5089" i="2"/>
  <c r="U5089" i="2"/>
  <c r="T5089" i="2"/>
  <c r="S5089" i="2"/>
  <c r="R5089" i="2"/>
  <c r="Q5089" i="2"/>
  <c r="P5089" i="2"/>
  <c r="O5089" i="2"/>
  <c r="N5089" i="2"/>
  <c r="M5089" i="2"/>
  <c r="L5089" i="2"/>
  <c r="K5089" i="2"/>
  <c r="J5089" i="2"/>
  <c r="I5089" i="2"/>
  <c r="H5089" i="2"/>
  <c r="G5089" i="2"/>
  <c r="F5089" i="2"/>
  <c r="E5089" i="2"/>
  <c r="D5089" i="2"/>
  <c r="C5089" i="2"/>
  <c r="B5089" i="2"/>
  <c r="V5088" i="2"/>
  <c r="U5088" i="2"/>
  <c r="T5088" i="2"/>
  <c r="S5088" i="2"/>
  <c r="R5088" i="2"/>
  <c r="Q5088" i="2"/>
  <c r="P5088" i="2"/>
  <c r="O5088" i="2"/>
  <c r="N5088" i="2"/>
  <c r="M5088" i="2"/>
  <c r="L5088" i="2"/>
  <c r="K5088" i="2"/>
  <c r="J5088" i="2"/>
  <c r="I5088" i="2"/>
  <c r="H5088" i="2"/>
  <c r="G5088" i="2"/>
  <c r="F5088" i="2"/>
  <c r="E5088" i="2"/>
  <c r="D5088" i="2"/>
  <c r="C5088" i="2"/>
  <c r="B5088" i="2"/>
  <c r="V5087" i="2"/>
  <c r="U5087" i="2"/>
  <c r="T5087" i="2"/>
  <c r="S5087" i="2"/>
  <c r="R5087" i="2"/>
  <c r="Q5087" i="2"/>
  <c r="P5087" i="2"/>
  <c r="O5087" i="2"/>
  <c r="N5087" i="2"/>
  <c r="M5087" i="2"/>
  <c r="L5087" i="2"/>
  <c r="K5087" i="2"/>
  <c r="J5087" i="2"/>
  <c r="I5087" i="2"/>
  <c r="H5087" i="2"/>
  <c r="G5087" i="2"/>
  <c r="F5087" i="2"/>
  <c r="E5087" i="2"/>
  <c r="D5087" i="2"/>
  <c r="C5087" i="2"/>
  <c r="B5087" i="2"/>
  <c r="V5086" i="2"/>
  <c r="U5086" i="2"/>
  <c r="T5086" i="2"/>
  <c r="S5086" i="2"/>
  <c r="R5086" i="2"/>
  <c r="Q5086" i="2"/>
  <c r="P5086" i="2"/>
  <c r="O5086" i="2"/>
  <c r="N5086" i="2"/>
  <c r="M5086" i="2"/>
  <c r="L5086" i="2"/>
  <c r="K5086" i="2"/>
  <c r="J5086" i="2"/>
  <c r="I5086" i="2"/>
  <c r="H5086" i="2"/>
  <c r="G5086" i="2"/>
  <c r="F5086" i="2"/>
  <c r="E5086" i="2"/>
  <c r="D5086" i="2"/>
  <c r="C5086" i="2"/>
  <c r="B5086" i="2"/>
  <c r="V5085" i="2"/>
  <c r="U5085" i="2"/>
  <c r="T5085" i="2"/>
  <c r="S5085" i="2"/>
  <c r="R5085" i="2"/>
  <c r="Q5085" i="2"/>
  <c r="P5085" i="2"/>
  <c r="O5085" i="2"/>
  <c r="N5085" i="2"/>
  <c r="M5085" i="2"/>
  <c r="L5085" i="2"/>
  <c r="K5085" i="2"/>
  <c r="J5085" i="2"/>
  <c r="I5085" i="2"/>
  <c r="H5085" i="2"/>
  <c r="G5085" i="2"/>
  <c r="F5085" i="2"/>
  <c r="E5085" i="2"/>
  <c r="D5085" i="2"/>
  <c r="C5085" i="2"/>
  <c r="B5085" i="2"/>
  <c r="V5084" i="2"/>
  <c r="U5084" i="2"/>
  <c r="T5084" i="2"/>
  <c r="S5084" i="2"/>
  <c r="R5084" i="2"/>
  <c r="Q5084" i="2"/>
  <c r="P5084" i="2"/>
  <c r="O5084" i="2"/>
  <c r="N5084" i="2"/>
  <c r="M5084" i="2"/>
  <c r="L5084" i="2"/>
  <c r="K5084" i="2"/>
  <c r="J5084" i="2"/>
  <c r="I5084" i="2"/>
  <c r="H5084" i="2"/>
  <c r="G5084" i="2"/>
  <c r="F5084" i="2"/>
  <c r="E5084" i="2"/>
  <c r="D5084" i="2"/>
  <c r="C5084" i="2"/>
  <c r="B5084" i="2"/>
  <c r="V5083" i="2"/>
  <c r="U5083" i="2"/>
  <c r="T5083" i="2"/>
  <c r="S5083" i="2"/>
  <c r="R5083" i="2"/>
  <c r="Q5083" i="2"/>
  <c r="P5083" i="2"/>
  <c r="O5083" i="2"/>
  <c r="N5083" i="2"/>
  <c r="M5083" i="2"/>
  <c r="L5083" i="2"/>
  <c r="K5083" i="2"/>
  <c r="J5083" i="2"/>
  <c r="I5083" i="2"/>
  <c r="H5083" i="2"/>
  <c r="G5083" i="2"/>
  <c r="F5083" i="2"/>
  <c r="E5083" i="2"/>
  <c r="D5083" i="2"/>
  <c r="C5083" i="2"/>
  <c r="B5083" i="2"/>
  <c r="V5082" i="2"/>
  <c r="U5082" i="2"/>
  <c r="T5082" i="2"/>
  <c r="S5082" i="2"/>
  <c r="R5082" i="2"/>
  <c r="Q5082" i="2"/>
  <c r="P5082" i="2"/>
  <c r="O5082" i="2"/>
  <c r="N5082" i="2"/>
  <c r="M5082" i="2"/>
  <c r="L5082" i="2"/>
  <c r="K5082" i="2"/>
  <c r="J5082" i="2"/>
  <c r="I5082" i="2"/>
  <c r="H5082" i="2"/>
  <c r="G5082" i="2"/>
  <c r="F5082" i="2"/>
  <c r="E5082" i="2"/>
  <c r="D5082" i="2"/>
  <c r="C5082" i="2"/>
  <c r="B5082" i="2"/>
  <c r="V5081" i="2"/>
  <c r="U5081" i="2"/>
  <c r="T5081" i="2"/>
  <c r="S5081" i="2"/>
  <c r="R5081" i="2"/>
  <c r="Q5081" i="2"/>
  <c r="P5081" i="2"/>
  <c r="O5081" i="2"/>
  <c r="N5081" i="2"/>
  <c r="M5081" i="2"/>
  <c r="L5081" i="2"/>
  <c r="K5081" i="2"/>
  <c r="J5081" i="2"/>
  <c r="I5081" i="2"/>
  <c r="H5081" i="2"/>
  <c r="G5081" i="2"/>
  <c r="F5081" i="2"/>
  <c r="E5081" i="2"/>
  <c r="D5081" i="2"/>
  <c r="C5081" i="2"/>
  <c r="B5081" i="2"/>
  <c r="V5080" i="2"/>
  <c r="U5080" i="2"/>
  <c r="T5080" i="2"/>
  <c r="S5080" i="2"/>
  <c r="R5080" i="2"/>
  <c r="Q5080" i="2"/>
  <c r="P5080" i="2"/>
  <c r="O5080" i="2"/>
  <c r="N5080" i="2"/>
  <c r="M5080" i="2"/>
  <c r="L5080" i="2"/>
  <c r="K5080" i="2"/>
  <c r="J5080" i="2"/>
  <c r="I5080" i="2"/>
  <c r="H5080" i="2"/>
  <c r="G5080" i="2"/>
  <c r="F5080" i="2"/>
  <c r="E5080" i="2"/>
  <c r="D5080" i="2"/>
  <c r="C5080" i="2"/>
  <c r="B5080" i="2"/>
  <c r="V5079" i="2"/>
  <c r="U5079" i="2"/>
  <c r="T5079" i="2"/>
  <c r="S5079" i="2"/>
  <c r="R5079" i="2"/>
  <c r="Q5079" i="2"/>
  <c r="P5079" i="2"/>
  <c r="O5079" i="2"/>
  <c r="N5079" i="2"/>
  <c r="M5079" i="2"/>
  <c r="L5079" i="2"/>
  <c r="K5079" i="2"/>
  <c r="J5079" i="2"/>
  <c r="I5079" i="2"/>
  <c r="H5079" i="2"/>
  <c r="G5079" i="2"/>
  <c r="F5079" i="2"/>
  <c r="E5079" i="2"/>
  <c r="D5079" i="2"/>
  <c r="C5079" i="2"/>
  <c r="B5079" i="2"/>
  <c r="V5078" i="2"/>
  <c r="U5078" i="2"/>
  <c r="T5078" i="2"/>
  <c r="S5078" i="2"/>
  <c r="R5078" i="2"/>
  <c r="Q5078" i="2"/>
  <c r="P5078" i="2"/>
  <c r="O5078" i="2"/>
  <c r="N5078" i="2"/>
  <c r="M5078" i="2"/>
  <c r="L5078" i="2"/>
  <c r="K5078" i="2"/>
  <c r="J5078" i="2"/>
  <c r="I5078" i="2"/>
  <c r="H5078" i="2"/>
  <c r="G5078" i="2"/>
  <c r="F5078" i="2"/>
  <c r="E5078" i="2"/>
  <c r="D5078" i="2"/>
  <c r="C5078" i="2"/>
  <c r="B5078" i="2"/>
  <c r="V5077" i="2"/>
  <c r="U5077" i="2"/>
  <c r="T5077" i="2"/>
  <c r="S5077" i="2"/>
  <c r="R5077" i="2"/>
  <c r="Q5077" i="2"/>
  <c r="P5077" i="2"/>
  <c r="O5077" i="2"/>
  <c r="N5077" i="2"/>
  <c r="M5077" i="2"/>
  <c r="L5077" i="2"/>
  <c r="K5077" i="2"/>
  <c r="J5077" i="2"/>
  <c r="I5077" i="2"/>
  <c r="H5077" i="2"/>
  <c r="G5077" i="2"/>
  <c r="F5077" i="2"/>
  <c r="E5077" i="2"/>
  <c r="D5077" i="2"/>
  <c r="C5077" i="2"/>
  <c r="B5077" i="2"/>
  <c r="V5076" i="2"/>
  <c r="U5076" i="2"/>
  <c r="T5076" i="2"/>
  <c r="S5076" i="2"/>
  <c r="R5076" i="2"/>
  <c r="Q5076" i="2"/>
  <c r="P5076" i="2"/>
  <c r="O5076" i="2"/>
  <c r="N5076" i="2"/>
  <c r="M5076" i="2"/>
  <c r="L5076" i="2"/>
  <c r="K5076" i="2"/>
  <c r="J5076" i="2"/>
  <c r="I5076" i="2"/>
  <c r="H5076" i="2"/>
  <c r="G5076" i="2"/>
  <c r="F5076" i="2"/>
  <c r="E5076" i="2"/>
  <c r="D5076" i="2"/>
  <c r="C5076" i="2"/>
  <c r="B5076" i="2"/>
  <c r="V5075" i="2"/>
  <c r="U5075" i="2"/>
  <c r="T5075" i="2"/>
  <c r="S5075" i="2"/>
  <c r="R5075" i="2"/>
  <c r="Q5075" i="2"/>
  <c r="P5075" i="2"/>
  <c r="O5075" i="2"/>
  <c r="N5075" i="2"/>
  <c r="M5075" i="2"/>
  <c r="L5075" i="2"/>
  <c r="K5075" i="2"/>
  <c r="J5075" i="2"/>
  <c r="I5075" i="2"/>
  <c r="H5075" i="2"/>
  <c r="G5075" i="2"/>
  <c r="F5075" i="2"/>
  <c r="E5075" i="2"/>
  <c r="D5075" i="2"/>
  <c r="C5075" i="2"/>
  <c r="B5075" i="2"/>
  <c r="V5074" i="2"/>
  <c r="U5074" i="2"/>
  <c r="T5074" i="2"/>
  <c r="S5074" i="2"/>
  <c r="R5074" i="2"/>
  <c r="Q5074" i="2"/>
  <c r="P5074" i="2"/>
  <c r="O5074" i="2"/>
  <c r="N5074" i="2"/>
  <c r="M5074" i="2"/>
  <c r="L5074" i="2"/>
  <c r="K5074" i="2"/>
  <c r="J5074" i="2"/>
  <c r="I5074" i="2"/>
  <c r="H5074" i="2"/>
  <c r="G5074" i="2"/>
  <c r="F5074" i="2"/>
  <c r="E5074" i="2"/>
  <c r="D5074" i="2"/>
  <c r="C5074" i="2"/>
  <c r="B5074" i="2"/>
  <c r="V5073" i="2"/>
  <c r="U5073" i="2"/>
  <c r="T5073" i="2"/>
  <c r="S5073" i="2"/>
  <c r="R5073" i="2"/>
  <c r="Q5073" i="2"/>
  <c r="P5073" i="2"/>
  <c r="O5073" i="2"/>
  <c r="N5073" i="2"/>
  <c r="M5073" i="2"/>
  <c r="L5073" i="2"/>
  <c r="K5073" i="2"/>
  <c r="J5073" i="2"/>
  <c r="I5073" i="2"/>
  <c r="H5073" i="2"/>
  <c r="G5073" i="2"/>
  <c r="F5073" i="2"/>
  <c r="E5073" i="2"/>
  <c r="D5073" i="2"/>
  <c r="C5073" i="2"/>
  <c r="B5073" i="2"/>
  <c r="V5072" i="2"/>
  <c r="U5072" i="2"/>
  <c r="T5072" i="2"/>
  <c r="S5072" i="2"/>
  <c r="R5072" i="2"/>
  <c r="Q5072" i="2"/>
  <c r="P5072" i="2"/>
  <c r="O5072" i="2"/>
  <c r="N5072" i="2"/>
  <c r="M5072" i="2"/>
  <c r="L5072" i="2"/>
  <c r="K5072" i="2"/>
  <c r="J5072" i="2"/>
  <c r="I5072" i="2"/>
  <c r="H5072" i="2"/>
  <c r="G5072" i="2"/>
  <c r="F5072" i="2"/>
  <c r="E5072" i="2"/>
  <c r="D5072" i="2"/>
  <c r="C5072" i="2"/>
  <c r="B5072" i="2"/>
  <c r="V5071" i="2"/>
  <c r="U5071" i="2"/>
  <c r="T5071" i="2"/>
  <c r="S5071" i="2"/>
  <c r="R5071" i="2"/>
  <c r="Q5071" i="2"/>
  <c r="P5071" i="2"/>
  <c r="O5071" i="2"/>
  <c r="N5071" i="2"/>
  <c r="M5071" i="2"/>
  <c r="L5071" i="2"/>
  <c r="K5071" i="2"/>
  <c r="J5071" i="2"/>
  <c r="I5071" i="2"/>
  <c r="H5071" i="2"/>
  <c r="G5071" i="2"/>
  <c r="F5071" i="2"/>
  <c r="E5071" i="2"/>
  <c r="D5071" i="2"/>
  <c r="C5071" i="2"/>
  <c r="B5071" i="2"/>
  <c r="V5070" i="2"/>
  <c r="U5070" i="2"/>
  <c r="T5070" i="2"/>
  <c r="S5070" i="2"/>
  <c r="R5070" i="2"/>
  <c r="Q5070" i="2"/>
  <c r="P5070" i="2"/>
  <c r="O5070" i="2"/>
  <c r="N5070" i="2"/>
  <c r="M5070" i="2"/>
  <c r="L5070" i="2"/>
  <c r="K5070" i="2"/>
  <c r="J5070" i="2"/>
  <c r="I5070" i="2"/>
  <c r="H5070" i="2"/>
  <c r="G5070" i="2"/>
  <c r="F5070" i="2"/>
  <c r="E5070" i="2"/>
  <c r="D5070" i="2"/>
  <c r="C5070" i="2"/>
  <c r="B5070" i="2"/>
  <c r="V5069" i="2"/>
  <c r="U5069" i="2"/>
  <c r="T5069" i="2"/>
  <c r="S5069" i="2"/>
  <c r="R5069" i="2"/>
  <c r="Q5069" i="2"/>
  <c r="P5069" i="2"/>
  <c r="O5069" i="2"/>
  <c r="N5069" i="2"/>
  <c r="M5069" i="2"/>
  <c r="L5069" i="2"/>
  <c r="K5069" i="2"/>
  <c r="J5069" i="2"/>
  <c r="I5069" i="2"/>
  <c r="H5069" i="2"/>
  <c r="G5069" i="2"/>
  <c r="F5069" i="2"/>
  <c r="E5069" i="2"/>
  <c r="D5069" i="2"/>
  <c r="C5069" i="2"/>
  <c r="B5069" i="2"/>
  <c r="V5068" i="2"/>
  <c r="U5068" i="2"/>
  <c r="T5068" i="2"/>
  <c r="S5068" i="2"/>
  <c r="R5068" i="2"/>
  <c r="Q5068" i="2"/>
  <c r="P5068" i="2"/>
  <c r="O5068" i="2"/>
  <c r="N5068" i="2"/>
  <c r="M5068" i="2"/>
  <c r="L5068" i="2"/>
  <c r="K5068" i="2"/>
  <c r="J5068" i="2"/>
  <c r="I5068" i="2"/>
  <c r="H5068" i="2"/>
  <c r="G5068" i="2"/>
  <c r="F5068" i="2"/>
  <c r="E5068" i="2"/>
  <c r="D5068" i="2"/>
  <c r="C5068" i="2"/>
  <c r="B5068" i="2"/>
  <c r="V5067" i="2"/>
  <c r="U5067" i="2"/>
  <c r="T5067" i="2"/>
  <c r="S5067" i="2"/>
  <c r="R5067" i="2"/>
  <c r="Q5067" i="2"/>
  <c r="P5067" i="2"/>
  <c r="O5067" i="2"/>
  <c r="N5067" i="2"/>
  <c r="M5067" i="2"/>
  <c r="L5067" i="2"/>
  <c r="K5067" i="2"/>
  <c r="J5067" i="2"/>
  <c r="I5067" i="2"/>
  <c r="H5067" i="2"/>
  <c r="G5067" i="2"/>
  <c r="F5067" i="2"/>
  <c r="E5067" i="2"/>
  <c r="D5067" i="2"/>
  <c r="C5067" i="2"/>
  <c r="B5067" i="2"/>
  <c r="V5066" i="2"/>
  <c r="U5066" i="2"/>
  <c r="T5066" i="2"/>
  <c r="S5066" i="2"/>
  <c r="R5066" i="2"/>
  <c r="Q5066" i="2"/>
  <c r="P5066" i="2"/>
  <c r="O5066" i="2"/>
  <c r="N5066" i="2"/>
  <c r="M5066" i="2"/>
  <c r="L5066" i="2"/>
  <c r="K5066" i="2"/>
  <c r="J5066" i="2"/>
  <c r="I5066" i="2"/>
  <c r="H5066" i="2"/>
  <c r="G5066" i="2"/>
  <c r="F5066" i="2"/>
  <c r="E5066" i="2"/>
  <c r="D5066" i="2"/>
  <c r="C5066" i="2"/>
  <c r="B5066" i="2"/>
  <c r="V5065" i="2"/>
  <c r="U5065" i="2"/>
  <c r="T5065" i="2"/>
  <c r="S5065" i="2"/>
  <c r="R5065" i="2"/>
  <c r="Q5065" i="2"/>
  <c r="P5065" i="2"/>
  <c r="O5065" i="2"/>
  <c r="N5065" i="2"/>
  <c r="M5065" i="2"/>
  <c r="L5065" i="2"/>
  <c r="K5065" i="2"/>
  <c r="J5065" i="2"/>
  <c r="I5065" i="2"/>
  <c r="H5065" i="2"/>
  <c r="G5065" i="2"/>
  <c r="F5065" i="2"/>
  <c r="E5065" i="2"/>
  <c r="D5065" i="2"/>
  <c r="C5065" i="2"/>
  <c r="B5065" i="2"/>
  <c r="V5064" i="2"/>
  <c r="U5064" i="2"/>
  <c r="T5064" i="2"/>
  <c r="S5064" i="2"/>
  <c r="R5064" i="2"/>
  <c r="Q5064" i="2"/>
  <c r="P5064" i="2"/>
  <c r="O5064" i="2"/>
  <c r="N5064" i="2"/>
  <c r="M5064" i="2"/>
  <c r="L5064" i="2"/>
  <c r="K5064" i="2"/>
  <c r="J5064" i="2"/>
  <c r="I5064" i="2"/>
  <c r="H5064" i="2"/>
  <c r="G5064" i="2"/>
  <c r="F5064" i="2"/>
  <c r="E5064" i="2"/>
  <c r="D5064" i="2"/>
  <c r="C5064" i="2"/>
  <c r="B5064" i="2"/>
  <c r="V5063" i="2"/>
  <c r="U5063" i="2"/>
  <c r="T5063" i="2"/>
  <c r="S5063" i="2"/>
  <c r="R5063" i="2"/>
  <c r="Q5063" i="2"/>
  <c r="P5063" i="2"/>
  <c r="O5063" i="2"/>
  <c r="N5063" i="2"/>
  <c r="M5063" i="2"/>
  <c r="L5063" i="2"/>
  <c r="K5063" i="2"/>
  <c r="J5063" i="2"/>
  <c r="I5063" i="2"/>
  <c r="H5063" i="2"/>
  <c r="G5063" i="2"/>
  <c r="F5063" i="2"/>
  <c r="E5063" i="2"/>
  <c r="D5063" i="2"/>
  <c r="C5063" i="2"/>
  <c r="B5063" i="2"/>
  <c r="V5062" i="2"/>
  <c r="U5062" i="2"/>
  <c r="T5062" i="2"/>
  <c r="S5062" i="2"/>
  <c r="R5062" i="2"/>
  <c r="Q5062" i="2"/>
  <c r="P5062" i="2"/>
  <c r="O5062" i="2"/>
  <c r="N5062" i="2"/>
  <c r="M5062" i="2"/>
  <c r="L5062" i="2"/>
  <c r="K5062" i="2"/>
  <c r="J5062" i="2"/>
  <c r="I5062" i="2"/>
  <c r="H5062" i="2"/>
  <c r="G5062" i="2"/>
  <c r="F5062" i="2"/>
  <c r="E5062" i="2"/>
  <c r="D5062" i="2"/>
  <c r="C5062" i="2"/>
  <c r="B5062" i="2"/>
  <c r="V5061" i="2"/>
  <c r="U5061" i="2"/>
  <c r="T5061" i="2"/>
  <c r="S5061" i="2"/>
  <c r="R5061" i="2"/>
  <c r="Q5061" i="2"/>
  <c r="P5061" i="2"/>
  <c r="O5061" i="2"/>
  <c r="N5061" i="2"/>
  <c r="M5061" i="2"/>
  <c r="L5061" i="2"/>
  <c r="K5061" i="2"/>
  <c r="J5061" i="2"/>
  <c r="I5061" i="2"/>
  <c r="H5061" i="2"/>
  <c r="G5061" i="2"/>
  <c r="F5061" i="2"/>
  <c r="E5061" i="2"/>
  <c r="D5061" i="2"/>
  <c r="C5061" i="2"/>
  <c r="B5061" i="2"/>
  <c r="V5060" i="2"/>
  <c r="U5060" i="2"/>
  <c r="T5060" i="2"/>
  <c r="S5060" i="2"/>
  <c r="R5060" i="2"/>
  <c r="Q5060" i="2"/>
  <c r="P5060" i="2"/>
  <c r="O5060" i="2"/>
  <c r="N5060" i="2"/>
  <c r="M5060" i="2"/>
  <c r="L5060" i="2"/>
  <c r="K5060" i="2"/>
  <c r="J5060" i="2"/>
  <c r="I5060" i="2"/>
  <c r="H5060" i="2"/>
  <c r="G5060" i="2"/>
  <c r="F5060" i="2"/>
  <c r="E5060" i="2"/>
  <c r="D5060" i="2"/>
  <c r="C5060" i="2"/>
  <c r="B5060" i="2"/>
  <c r="V5059" i="2"/>
  <c r="U5059" i="2"/>
  <c r="T5059" i="2"/>
  <c r="S5059" i="2"/>
  <c r="R5059" i="2"/>
  <c r="Q5059" i="2"/>
  <c r="P5059" i="2"/>
  <c r="O5059" i="2"/>
  <c r="N5059" i="2"/>
  <c r="M5059" i="2"/>
  <c r="L5059" i="2"/>
  <c r="K5059" i="2"/>
  <c r="J5059" i="2"/>
  <c r="I5059" i="2"/>
  <c r="H5059" i="2"/>
  <c r="G5059" i="2"/>
  <c r="F5059" i="2"/>
  <c r="E5059" i="2"/>
  <c r="D5059" i="2"/>
  <c r="C5059" i="2"/>
  <c r="B5059" i="2"/>
  <c r="V5058" i="2"/>
  <c r="U5058" i="2"/>
  <c r="T5058" i="2"/>
  <c r="S5058" i="2"/>
  <c r="R5058" i="2"/>
  <c r="Q5058" i="2"/>
  <c r="P5058" i="2"/>
  <c r="O5058" i="2"/>
  <c r="N5058" i="2"/>
  <c r="M5058" i="2"/>
  <c r="L5058" i="2"/>
  <c r="K5058" i="2"/>
  <c r="J5058" i="2"/>
  <c r="I5058" i="2"/>
  <c r="H5058" i="2"/>
  <c r="G5058" i="2"/>
  <c r="F5058" i="2"/>
  <c r="E5058" i="2"/>
  <c r="D5058" i="2"/>
  <c r="C5058" i="2"/>
  <c r="B5058" i="2"/>
  <c r="V5057" i="2"/>
  <c r="U5057" i="2"/>
  <c r="T5057" i="2"/>
  <c r="S5057" i="2"/>
  <c r="R5057" i="2"/>
  <c r="Q5057" i="2"/>
  <c r="P5057" i="2"/>
  <c r="O5057" i="2"/>
  <c r="N5057" i="2"/>
  <c r="M5057" i="2"/>
  <c r="L5057" i="2"/>
  <c r="K5057" i="2"/>
  <c r="J5057" i="2"/>
  <c r="I5057" i="2"/>
  <c r="H5057" i="2"/>
  <c r="G5057" i="2"/>
  <c r="F5057" i="2"/>
  <c r="E5057" i="2"/>
  <c r="D5057" i="2"/>
  <c r="C5057" i="2"/>
  <c r="B5057" i="2"/>
  <c r="V5056" i="2"/>
  <c r="U5056" i="2"/>
  <c r="T5056" i="2"/>
  <c r="S5056" i="2"/>
  <c r="R5056" i="2"/>
  <c r="Q5056" i="2"/>
  <c r="P5056" i="2"/>
  <c r="O5056" i="2"/>
  <c r="N5056" i="2"/>
  <c r="M5056" i="2"/>
  <c r="L5056" i="2"/>
  <c r="K5056" i="2"/>
  <c r="J5056" i="2"/>
  <c r="I5056" i="2"/>
  <c r="H5056" i="2"/>
  <c r="G5056" i="2"/>
  <c r="F5056" i="2"/>
  <c r="E5056" i="2"/>
  <c r="D5056" i="2"/>
  <c r="C5056" i="2"/>
  <c r="B5056" i="2"/>
  <c r="V5055" i="2"/>
  <c r="U5055" i="2"/>
  <c r="T5055" i="2"/>
  <c r="S5055" i="2"/>
  <c r="R5055" i="2"/>
  <c r="Q5055" i="2"/>
  <c r="P5055" i="2"/>
  <c r="O5055" i="2"/>
  <c r="N5055" i="2"/>
  <c r="M5055" i="2"/>
  <c r="L5055" i="2"/>
  <c r="K5055" i="2"/>
  <c r="J5055" i="2"/>
  <c r="I5055" i="2"/>
  <c r="H5055" i="2"/>
  <c r="G5055" i="2"/>
  <c r="F5055" i="2"/>
  <c r="E5055" i="2"/>
  <c r="D5055" i="2"/>
  <c r="C5055" i="2"/>
  <c r="B5055" i="2"/>
  <c r="V5054" i="2"/>
  <c r="U5054" i="2"/>
  <c r="T5054" i="2"/>
  <c r="S5054" i="2"/>
  <c r="R5054" i="2"/>
  <c r="Q5054" i="2"/>
  <c r="P5054" i="2"/>
  <c r="O5054" i="2"/>
  <c r="N5054" i="2"/>
  <c r="M5054" i="2"/>
  <c r="L5054" i="2"/>
  <c r="K5054" i="2"/>
  <c r="J5054" i="2"/>
  <c r="I5054" i="2"/>
  <c r="H5054" i="2"/>
  <c r="G5054" i="2"/>
  <c r="F5054" i="2"/>
  <c r="E5054" i="2"/>
  <c r="D5054" i="2"/>
  <c r="C5054" i="2"/>
  <c r="B5054" i="2"/>
  <c r="V5053" i="2"/>
  <c r="U5053" i="2"/>
  <c r="T5053" i="2"/>
  <c r="S5053" i="2"/>
  <c r="R5053" i="2"/>
  <c r="Q5053" i="2"/>
  <c r="P5053" i="2"/>
  <c r="O5053" i="2"/>
  <c r="N5053" i="2"/>
  <c r="M5053" i="2"/>
  <c r="L5053" i="2"/>
  <c r="K5053" i="2"/>
  <c r="J5053" i="2"/>
  <c r="I5053" i="2"/>
  <c r="H5053" i="2"/>
  <c r="G5053" i="2"/>
  <c r="F5053" i="2"/>
  <c r="E5053" i="2"/>
  <c r="D5053" i="2"/>
  <c r="C5053" i="2"/>
  <c r="B5053" i="2"/>
  <c r="V5052" i="2"/>
  <c r="U5052" i="2"/>
  <c r="T5052" i="2"/>
  <c r="S5052" i="2"/>
  <c r="R5052" i="2"/>
  <c r="Q5052" i="2"/>
  <c r="P5052" i="2"/>
  <c r="O5052" i="2"/>
  <c r="N5052" i="2"/>
  <c r="M5052" i="2"/>
  <c r="L5052" i="2"/>
  <c r="K5052" i="2"/>
  <c r="J5052" i="2"/>
  <c r="I5052" i="2"/>
  <c r="H5052" i="2"/>
  <c r="G5052" i="2"/>
  <c r="F5052" i="2"/>
  <c r="E5052" i="2"/>
  <c r="D5052" i="2"/>
  <c r="C5052" i="2"/>
  <c r="B5052" i="2"/>
  <c r="V5051" i="2"/>
  <c r="U5051" i="2"/>
  <c r="T5051" i="2"/>
  <c r="S5051" i="2"/>
  <c r="R5051" i="2"/>
  <c r="Q5051" i="2"/>
  <c r="P5051" i="2"/>
  <c r="O5051" i="2"/>
  <c r="N5051" i="2"/>
  <c r="M5051" i="2"/>
  <c r="L5051" i="2"/>
  <c r="K5051" i="2"/>
  <c r="J5051" i="2"/>
  <c r="I5051" i="2"/>
  <c r="H5051" i="2"/>
  <c r="G5051" i="2"/>
  <c r="F5051" i="2"/>
  <c r="E5051" i="2"/>
  <c r="D5051" i="2"/>
  <c r="C5051" i="2"/>
  <c r="B5051" i="2"/>
  <c r="V5050" i="2"/>
  <c r="U5050" i="2"/>
  <c r="T5050" i="2"/>
  <c r="S5050" i="2"/>
  <c r="R5050" i="2"/>
  <c r="Q5050" i="2"/>
  <c r="P5050" i="2"/>
  <c r="O5050" i="2"/>
  <c r="N5050" i="2"/>
  <c r="M5050" i="2"/>
  <c r="L5050" i="2"/>
  <c r="K5050" i="2"/>
  <c r="J5050" i="2"/>
  <c r="I5050" i="2"/>
  <c r="H5050" i="2"/>
  <c r="G5050" i="2"/>
  <c r="F5050" i="2"/>
  <c r="E5050" i="2"/>
  <c r="D5050" i="2"/>
  <c r="C5050" i="2"/>
  <c r="B5050" i="2"/>
  <c r="V5049" i="2"/>
  <c r="U5049" i="2"/>
  <c r="T5049" i="2"/>
  <c r="S5049" i="2"/>
  <c r="R5049" i="2"/>
  <c r="Q5049" i="2"/>
  <c r="P5049" i="2"/>
  <c r="O5049" i="2"/>
  <c r="N5049" i="2"/>
  <c r="M5049" i="2"/>
  <c r="L5049" i="2"/>
  <c r="K5049" i="2"/>
  <c r="J5049" i="2"/>
  <c r="I5049" i="2"/>
  <c r="H5049" i="2"/>
  <c r="G5049" i="2"/>
  <c r="F5049" i="2"/>
  <c r="E5049" i="2"/>
  <c r="D5049" i="2"/>
  <c r="C5049" i="2"/>
  <c r="B5049" i="2"/>
  <c r="V5048" i="2"/>
  <c r="U5048" i="2"/>
  <c r="T5048" i="2"/>
  <c r="S5048" i="2"/>
  <c r="R5048" i="2"/>
  <c r="Q5048" i="2"/>
  <c r="P5048" i="2"/>
  <c r="O5048" i="2"/>
  <c r="N5048" i="2"/>
  <c r="M5048" i="2"/>
  <c r="L5048" i="2"/>
  <c r="K5048" i="2"/>
  <c r="J5048" i="2"/>
  <c r="I5048" i="2"/>
  <c r="H5048" i="2"/>
  <c r="G5048" i="2"/>
  <c r="F5048" i="2"/>
  <c r="E5048" i="2"/>
  <c r="D5048" i="2"/>
  <c r="C5048" i="2"/>
  <c r="B5048" i="2"/>
  <c r="V5047" i="2"/>
  <c r="U5047" i="2"/>
  <c r="T5047" i="2"/>
  <c r="S5047" i="2"/>
  <c r="R5047" i="2"/>
  <c r="Q5047" i="2"/>
  <c r="P5047" i="2"/>
  <c r="O5047" i="2"/>
  <c r="N5047" i="2"/>
  <c r="M5047" i="2"/>
  <c r="L5047" i="2"/>
  <c r="K5047" i="2"/>
  <c r="J5047" i="2"/>
  <c r="I5047" i="2"/>
  <c r="H5047" i="2"/>
  <c r="G5047" i="2"/>
  <c r="F5047" i="2"/>
  <c r="E5047" i="2"/>
  <c r="D5047" i="2"/>
  <c r="C5047" i="2"/>
  <c r="B5047" i="2"/>
  <c r="V5046" i="2"/>
  <c r="U5046" i="2"/>
  <c r="T5046" i="2"/>
  <c r="S5046" i="2"/>
  <c r="R5046" i="2"/>
  <c r="Q5046" i="2"/>
  <c r="P5046" i="2"/>
  <c r="O5046" i="2"/>
  <c r="N5046" i="2"/>
  <c r="M5046" i="2"/>
  <c r="L5046" i="2"/>
  <c r="K5046" i="2"/>
  <c r="J5046" i="2"/>
  <c r="I5046" i="2"/>
  <c r="H5046" i="2"/>
  <c r="G5046" i="2"/>
  <c r="F5046" i="2"/>
  <c r="E5046" i="2"/>
  <c r="D5046" i="2"/>
  <c r="C5046" i="2"/>
  <c r="B5046" i="2"/>
  <c r="V5045" i="2"/>
  <c r="U5045" i="2"/>
  <c r="T5045" i="2"/>
  <c r="S5045" i="2"/>
  <c r="R5045" i="2"/>
  <c r="Q5045" i="2"/>
  <c r="P5045" i="2"/>
  <c r="O5045" i="2"/>
  <c r="N5045" i="2"/>
  <c r="M5045" i="2"/>
  <c r="L5045" i="2"/>
  <c r="K5045" i="2"/>
  <c r="J5045" i="2"/>
  <c r="I5045" i="2"/>
  <c r="H5045" i="2"/>
  <c r="G5045" i="2"/>
  <c r="F5045" i="2"/>
  <c r="E5045" i="2"/>
  <c r="D5045" i="2"/>
  <c r="C5045" i="2"/>
  <c r="B5045" i="2"/>
  <c r="V5044" i="2"/>
  <c r="U5044" i="2"/>
  <c r="T5044" i="2"/>
  <c r="S5044" i="2"/>
  <c r="R5044" i="2"/>
  <c r="Q5044" i="2"/>
  <c r="P5044" i="2"/>
  <c r="O5044" i="2"/>
  <c r="N5044" i="2"/>
  <c r="M5044" i="2"/>
  <c r="L5044" i="2"/>
  <c r="K5044" i="2"/>
  <c r="J5044" i="2"/>
  <c r="I5044" i="2"/>
  <c r="H5044" i="2"/>
  <c r="G5044" i="2"/>
  <c r="F5044" i="2"/>
  <c r="E5044" i="2"/>
  <c r="D5044" i="2"/>
  <c r="C5044" i="2"/>
  <c r="B5044" i="2"/>
  <c r="V5043" i="2"/>
  <c r="U5043" i="2"/>
  <c r="T5043" i="2"/>
  <c r="S5043" i="2"/>
  <c r="R5043" i="2"/>
  <c r="Q5043" i="2"/>
  <c r="P5043" i="2"/>
  <c r="O5043" i="2"/>
  <c r="N5043" i="2"/>
  <c r="M5043" i="2"/>
  <c r="L5043" i="2"/>
  <c r="K5043" i="2"/>
  <c r="J5043" i="2"/>
  <c r="I5043" i="2"/>
  <c r="H5043" i="2"/>
  <c r="G5043" i="2"/>
  <c r="F5043" i="2"/>
  <c r="E5043" i="2"/>
  <c r="D5043" i="2"/>
  <c r="C5043" i="2"/>
  <c r="B5043" i="2"/>
  <c r="V5042" i="2"/>
  <c r="U5042" i="2"/>
  <c r="T5042" i="2"/>
  <c r="S5042" i="2"/>
  <c r="R5042" i="2"/>
  <c r="Q5042" i="2"/>
  <c r="P5042" i="2"/>
  <c r="O5042" i="2"/>
  <c r="N5042" i="2"/>
  <c r="M5042" i="2"/>
  <c r="L5042" i="2"/>
  <c r="K5042" i="2"/>
  <c r="J5042" i="2"/>
  <c r="I5042" i="2"/>
  <c r="H5042" i="2"/>
  <c r="G5042" i="2"/>
  <c r="F5042" i="2"/>
  <c r="E5042" i="2"/>
  <c r="D5042" i="2"/>
  <c r="C5042" i="2"/>
  <c r="B5042" i="2"/>
  <c r="V5041" i="2"/>
  <c r="U5041" i="2"/>
  <c r="T5041" i="2"/>
  <c r="S5041" i="2"/>
  <c r="R5041" i="2"/>
  <c r="Q5041" i="2"/>
  <c r="P5041" i="2"/>
  <c r="O5041" i="2"/>
  <c r="N5041" i="2"/>
  <c r="M5041" i="2"/>
  <c r="L5041" i="2"/>
  <c r="K5041" i="2"/>
  <c r="J5041" i="2"/>
  <c r="I5041" i="2"/>
  <c r="H5041" i="2"/>
  <c r="G5041" i="2"/>
  <c r="F5041" i="2"/>
  <c r="E5041" i="2"/>
  <c r="D5041" i="2"/>
  <c r="C5041" i="2"/>
  <c r="B5041" i="2"/>
  <c r="V5040" i="2"/>
  <c r="U5040" i="2"/>
  <c r="T5040" i="2"/>
  <c r="S5040" i="2"/>
  <c r="R5040" i="2"/>
  <c r="Q5040" i="2"/>
  <c r="P5040" i="2"/>
  <c r="O5040" i="2"/>
  <c r="N5040" i="2"/>
  <c r="M5040" i="2"/>
  <c r="L5040" i="2"/>
  <c r="K5040" i="2"/>
  <c r="J5040" i="2"/>
  <c r="I5040" i="2"/>
  <c r="H5040" i="2"/>
  <c r="G5040" i="2"/>
  <c r="F5040" i="2"/>
  <c r="E5040" i="2"/>
  <c r="D5040" i="2"/>
  <c r="C5040" i="2"/>
  <c r="B5040" i="2"/>
  <c r="V5039" i="2"/>
  <c r="U5039" i="2"/>
  <c r="T5039" i="2"/>
  <c r="S5039" i="2"/>
  <c r="R5039" i="2"/>
  <c r="Q5039" i="2"/>
  <c r="P5039" i="2"/>
  <c r="O5039" i="2"/>
  <c r="N5039" i="2"/>
  <c r="M5039" i="2"/>
  <c r="L5039" i="2"/>
  <c r="K5039" i="2"/>
  <c r="J5039" i="2"/>
  <c r="I5039" i="2"/>
  <c r="H5039" i="2"/>
  <c r="G5039" i="2"/>
  <c r="F5039" i="2"/>
  <c r="E5039" i="2"/>
  <c r="D5039" i="2"/>
  <c r="C5039" i="2"/>
  <c r="B5039" i="2"/>
  <c r="V5038" i="2"/>
  <c r="U5038" i="2"/>
  <c r="T5038" i="2"/>
  <c r="S5038" i="2"/>
  <c r="R5038" i="2"/>
  <c r="Q5038" i="2"/>
  <c r="P5038" i="2"/>
  <c r="O5038" i="2"/>
  <c r="N5038" i="2"/>
  <c r="M5038" i="2"/>
  <c r="L5038" i="2"/>
  <c r="K5038" i="2"/>
  <c r="J5038" i="2"/>
  <c r="I5038" i="2"/>
  <c r="H5038" i="2"/>
  <c r="G5038" i="2"/>
  <c r="F5038" i="2"/>
  <c r="E5038" i="2"/>
  <c r="D5038" i="2"/>
  <c r="C5038" i="2"/>
  <c r="B5038" i="2"/>
  <c r="V5037" i="2"/>
  <c r="U5037" i="2"/>
  <c r="T5037" i="2"/>
  <c r="S5037" i="2"/>
  <c r="R5037" i="2"/>
  <c r="Q5037" i="2"/>
  <c r="P5037" i="2"/>
  <c r="O5037" i="2"/>
  <c r="N5037" i="2"/>
  <c r="M5037" i="2"/>
  <c r="L5037" i="2"/>
  <c r="K5037" i="2"/>
  <c r="J5037" i="2"/>
  <c r="I5037" i="2"/>
  <c r="H5037" i="2"/>
  <c r="G5037" i="2"/>
  <c r="F5037" i="2"/>
  <c r="E5037" i="2"/>
  <c r="D5037" i="2"/>
  <c r="C5037" i="2"/>
  <c r="B5037" i="2"/>
  <c r="V5036" i="2"/>
  <c r="U5036" i="2"/>
  <c r="T5036" i="2"/>
  <c r="S5036" i="2"/>
  <c r="R5036" i="2"/>
  <c r="Q5036" i="2"/>
  <c r="P5036" i="2"/>
  <c r="O5036" i="2"/>
  <c r="N5036" i="2"/>
  <c r="M5036" i="2"/>
  <c r="L5036" i="2"/>
  <c r="K5036" i="2"/>
  <c r="J5036" i="2"/>
  <c r="I5036" i="2"/>
  <c r="H5036" i="2"/>
  <c r="G5036" i="2"/>
  <c r="F5036" i="2"/>
  <c r="E5036" i="2"/>
  <c r="D5036" i="2"/>
  <c r="C5036" i="2"/>
  <c r="B5036" i="2"/>
  <c r="V5035" i="2"/>
  <c r="U5035" i="2"/>
  <c r="T5035" i="2"/>
  <c r="S5035" i="2"/>
  <c r="R5035" i="2"/>
  <c r="Q5035" i="2"/>
  <c r="P5035" i="2"/>
  <c r="O5035" i="2"/>
  <c r="N5035" i="2"/>
  <c r="M5035" i="2"/>
  <c r="L5035" i="2"/>
  <c r="K5035" i="2"/>
  <c r="J5035" i="2"/>
  <c r="I5035" i="2"/>
  <c r="H5035" i="2"/>
  <c r="G5035" i="2"/>
  <c r="F5035" i="2"/>
  <c r="E5035" i="2"/>
  <c r="D5035" i="2"/>
  <c r="C5035" i="2"/>
  <c r="B5035" i="2"/>
  <c r="V5034" i="2"/>
  <c r="U5034" i="2"/>
  <c r="T5034" i="2"/>
  <c r="S5034" i="2"/>
  <c r="R5034" i="2"/>
  <c r="Q5034" i="2"/>
  <c r="P5034" i="2"/>
  <c r="O5034" i="2"/>
  <c r="N5034" i="2"/>
  <c r="M5034" i="2"/>
  <c r="L5034" i="2"/>
  <c r="K5034" i="2"/>
  <c r="J5034" i="2"/>
  <c r="I5034" i="2"/>
  <c r="H5034" i="2"/>
  <c r="G5034" i="2"/>
  <c r="F5034" i="2"/>
  <c r="E5034" i="2"/>
  <c r="D5034" i="2"/>
  <c r="C5034" i="2"/>
  <c r="B5034" i="2"/>
  <c r="V5033" i="2"/>
  <c r="U5033" i="2"/>
  <c r="T5033" i="2"/>
  <c r="S5033" i="2"/>
  <c r="R5033" i="2"/>
  <c r="Q5033" i="2"/>
  <c r="P5033" i="2"/>
  <c r="O5033" i="2"/>
  <c r="N5033" i="2"/>
  <c r="M5033" i="2"/>
  <c r="L5033" i="2"/>
  <c r="K5033" i="2"/>
  <c r="J5033" i="2"/>
  <c r="I5033" i="2"/>
  <c r="H5033" i="2"/>
  <c r="G5033" i="2"/>
  <c r="F5033" i="2"/>
  <c r="E5033" i="2"/>
  <c r="D5033" i="2"/>
  <c r="C5033" i="2"/>
  <c r="B5033" i="2"/>
  <c r="V5032" i="2"/>
  <c r="U5032" i="2"/>
  <c r="T5032" i="2"/>
  <c r="S5032" i="2"/>
  <c r="R5032" i="2"/>
  <c r="Q5032" i="2"/>
  <c r="P5032" i="2"/>
  <c r="O5032" i="2"/>
  <c r="N5032" i="2"/>
  <c r="M5032" i="2"/>
  <c r="L5032" i="2"/>
  <c r="K5032" i="2"/>
  <c r="J5032" i="2"/>
  <c r="I5032" i="2"/>
  <c r="H5032" i="2"/>
  <c r="G5032" i="2"/>
  <c r="F5032" i="2"/>
  <c r="E5032" i="2"/>
  <c r="D5032" i="2"/>
  <c r="C5032" i="2"/>
  <c r="B5032" i="2"/>
  <c r="V5031" i="2"/>
  <c r="U5031" i="2"/>
  <c r="T5031" i="2"/>
  <c r="S5031" i="2"/>
  <c r="R5031" i="2"/>
  <c r="Q5031" i="2"/>
  <c r="P5031" i="2"/>
  <c r="O5031" i="2"/>
  <c r="N5031" i="2"/>
  <c r="M5031" i="2"/>
  <c r="L5031" i="2"/>
  <c r="K5031" i="2"/>
  <c r="J5031" i="2"/>
  <c r="I5031" i="2"/>
  <c r="H5031" i="2"/>
  <c r="G5031" i="2"/>
  <c r="F5031" i="2"/>
  <c r="E5031" i="2"/>
  <c r="D5031" i="2"/>
  <c r="C5031" i="2"/>
  <c r="B5031" i="2"/>
  <c r="V5030" i="2"/>
  <c r="U5030" i="2"/>
  <c r="T5030" i="2"/>
  <c r="S5030" i="2"/>
  <c r="R5030" i="2"/>
  <c r="Q5030" i="2"/>
  <c r="P5030" i="2"/>
  <c r="O5030" i="2"/>
  <c r="N5030" i="2"/>
  <c r="M5030" i="2"/>
  <c r="L5030" i="2"/>
  <c r="K5030" i="2"/>
  <c r="J5030" i="2"/>
  <c r="I5030" i="2"/>
  <c r="H5030" i="2"/>
  <c r="G5030" i="2"/>
  <c r="F5030" i="2"/>
  <c r="E5030" i="2"/>
  <c r="D5030" i="2"/>
  <c r="C5030" i="2"/>
  <c r="B5030" i="2"/>
  <c r="V5029" i="2"/>
  <c r="U5029" i="2"/>
  <c r="T5029" i="2"/>
  <c r="S5029" i="2"/>
  <c r="R5029" i="2"/>
  <c r="Q5029" i="2"/>
  <c r="P5029" i="2"/>
  <c r="O5029" i="2"/>
  <c r="N5029" i="2"/>
  <c r="M5029" i="2"/>
  <c r="L5029" i="2"/>
  <c r="K5029" i="2"/>
  <c r="J5029" i="2"/>
  <c r="I5029" i="2"/>
  <c r="H5029" i="2"/>
  <c r="G5029" i="2"/>
  <c r="F5029" i="2"/>
  <c r="E5029" i="2"/>
  <c r="D5029" i="2"/>
  <c r="C5029" i="2"/>
  <c r="B5029" i="2"/>
  <c r="V5028" i="2"/>
  <c r="U5028" i="2"/>
  <c r="T5028" i="2"/>
  <c r="S5028" i="2"/>
  <c r="R5028" i="2"/>
  <c r="Q5028" i="2"/>
  <c r="P5028" i="2"/>
  <c r="O5028" i="2"/>
  <c r="N5028" i="2"/>
  <c r="M5028" i="2"/>
  <c r="L5028" i="2"/>
  <c r="K5028" i="2"/>
  <c r="J5028" i="2"/>
  <c r="I5028" i="2"/>
  <c r="H5028" i="2"/>
  <c r="G5028" i="2"/>
  <c r="F5028" i="2"/>
  <c r="E5028" i="2"/>
  <c r="D5028" i="2"/>
  <c r="C5028" i="2"/>
  <c r="B5028" i="2"/>
  <c r="V5027" i="2"/>
  <c r="U5027" i="2"/>
  <c r="T5027" i="2"/>
  <c r="S5027" i="2"/>
  <c r="R5027" i="2"/>
  <c r="Q5027" i="2"/>
  <c r="P5027" i="2"/>
  <c r="O5027" i="2"/>
  <c r="N5027" i="2"/>
  <c r="M5027" i="2"/>
  <c r="L5027" i="2"/>
  <c r="K5027" i="2"/>
  <c r="J5027" i="2"/>
  <c r="I5027" i="2"/>
  <c r="H5027" i="2"/>
  <c r="G5027" i="2"/>
  <c r="F5027" i="2"/>
  <c r="E5027" i="2"/>
  <c r="D5027" i="2"/>
  <c r="C5027" i="2"/>
  <c r="B5027" i="2"/>
  <c r="V5026" i="2"/>
  <c r="U5026" i="2"/>
  <c r="T5026" i="2"/>
  <c r="S5026" i="2"/>
  <c r="R5026" i="2"/>
  <c r="Q5026" i="2"/>
  <c r="P5026" i="2"/>
  <c r="O5026" i="2"/>
  <c r="N5026" i="2"/>
  <c r="M5026" i="2"/>
  <c r="L5026" i="2"/>
  <c r="K5026" i="2"/>
  <c r="J5026" i="2"/>
  <c r="I5026" i="2"/>
  <c r="H5026" i="2"/>
  <c r="G5026" i="2"/>
  <c r="F5026" i="2"/>
  <c r="E5026" i="2"/>
  <c r="D5026" i="2"/>
  <c r="C5026" i="2"/>
  <c r="B5026" i="2"/>
  <c r="V5025" i="2"/>
  <c r="U5025" i="2"/>
  <c r="T5025" i="2"/>
  <c r="S5025" i="2"/>
  <c r="R5025" i="2"/>
  <c r="Q5025" i="2"/>
  <c r="P5025" i="2"/>
  <c r="O5025" i="2"/>
  <c r="N5025" i="2"/>
  <c r="M5025" i="2"/>
  <c r="L5025" i="2"/>
  <c r="K5025" i="2"/>
  <c r="J5025" i="2"/>
  <c r="I5025" i="2"/>
  <c r="H5025" i="2"/>
  <c r="G5025" i="2"/>
  <c r="F5025" i="2"/>
  <c r="E5025" i="2"/>
  <c r="D5025" i="2"/>
  <c r="C5025" i="2"/>
  <c r="B5025" i="2"/>
  <c r="V5024" i="2"/>
  <c r="U5024" i="2"/>
  <c r="T5024" i="2"/>
  <c r="S5024" i="2"/>
  <c r="R5024" i="2"/>
  <c r="Q5024" i="2"/>
  <c r="P5024" i="2"/>
  <c r="O5024" i="2"/>
  <c r="N5024" i="2"/>
  <c r="M5024" i="2"/>
  <c r="L5024" i="2"/>
  <c r="K5024" i="2"/>
  <c r="J5024" i="2"/>
  <c r="I5024" i="2"/>
  <c r="H5024" i="2"/>
  <c r="G5024" i="2"/>
  <c r="F5024" i="2"/>
  <c r="E5024" i="2"/>
  <c r="D5024" i="2"/>
  <c r="C5024" i="2"/>
  <c r="B5024" i="2"/>
  <c r="V5023" i="2"/>
  <c r="U5023" i="2"/>
  <c r="T5023" i="2"/>
  <c r="S5023" i="2"/>
  <c r="R5023" i="2"/>
  <c r="Q5023" i="2"/>
  <c r="P5023" i="2"/>
  <c r="O5023" i="2"/>
  <c r="N5023" i="2"/>
  <c r="M5023" i="2"/>
  <c r="L5023" i="2"/>
  <c r="K5023" i="2"/>
  <c r="J5023" i="2"/>
  <c r="I5023" i="2"/>
  <c r="H5023" i="2"/>
  <c r="G5023" i="2"/>
  <c r="F5023" i="2"/>
  <c r="E5023" i="2"/>
  <c r="D5023" i="2"/>
  <c r="C5023" i="2"/>
  <c r="B5023" i="2"/>
  <c r="V5022" i="2"/>
  <c r="U5022" i="2"/>
  <c r="T5022" i="2"/>
  <c r="S5022" i="2"/>
  <c r="R5022" i="2"/>
  <c r="Q5022" i="2"/>
  <c r="P5022" i="2"/>
  <c r="O5022" i="2"/>
  <c r="N5022" i="2"/>
  <c r="M5022" i="2"/>
  <c r="L5022" i="2"/>
  <c r="K5022" i="2"/>
  <c r="J5022" i="2"/>
  <c r="I5022" i="2"/>
  <c r="H5022" i="2"/>
  <c r="G5022" i="2"/>
  <c r="F5022" i="2"/>
  <c r="E5022" i="2"/>
  <c r="D5022" i="2"/>
  <c r="C5022" i="2"/>
  <c r="B5022" i="2"/>
  <c r="V5021" i="2"/>
  <c r="U5021" i="2"/>
  <c r="T5021" i="2"/>
  <c r="S5021" i="2"/>
  <c r="R5021" i="2"/>
  <c r="Q5021" i="2"/>
  <c r="P5021" i="2"/>
  <c r="O5021" i="2"/>
  <c r="N5021" i="2"/>
  <c r="M5021" i="2"/>
  <c r="L5021" i="2"/>
  <c r="K5021" i="2"/>
  <c r="J5021" i="2"/>
  <c r="I5021" i="2"/>
  <c r="H5021" i="2"/>
  <c r="G5021" i="2"/>
  <c r="F5021" i="2"/>
  <c r="E5021" i="2"/>
  <c r="D5021" i="2"/>
  <c r="C5021" i="2"/>
  <c r="B5021" i="2"/>
  <c r="V5020" i="2"/>
  <c r="U5020" i="2"/>
  <c r="T5020" i="2"/>
  <c r="S5020" i="2"/>
  <c r="R5020" i="2"/>
  <c r="Q5020" i="2"/>
  <c r="P5020" i="2"/>
  <c r="O5020" i="2"/>
  <c r="N5020" i="2"/>
  <c r="M5020" i="2"/>
  <c r="L5020" i="2"/>
  <c r="K5020" i="2"/>
  <c r="J5020" i="2"/>
  <c r="I5020" i="2"/>
  <c r="H5020" i="2"/>
  <c r="G5020" i="2"/>
  <c r="F5020" i="2"/>
  <c r="E5020" i="2"/>
  <c r="D5020" i="2"/>
  <c r="C5020" i="2"/>
  <c r="B5020" i="2"/>
  <c r="V5019" i="2"/>
  <c r="U5019" i="2"/>
  <c r="T5019" i="2"/>
  <c r="S5019" i="2"/>
  <c r="R5019" i="2"/>
  <c r="Q5019" i="2"/>
  <c r="P5019" i="2"/>
  <c r="O5019" i="2"/>
  <c r="N5019" i="2"/>
  <c r="M5019" i="2"/>
  <c r="L5019" i="2"/>
  <c r="K5019" i="2"/>
  <c r="J5019" i="2"/>
  <c r="I5019" i="2"/>
  <c r="H5019" i="2"/>
  <c r="G5019" i="2"/>
  <c r="F5019" i="2"/>
  <c r="E5019" i="2"/>
  <c r="D5019" i="2"/>
  <c r="C5019" i="2"/>
  <c r="B5019" i="2"/>
  <c r="V5018" i="2"/>
  <c r="U5018" i="2"/>
  <c r="T5018" i="2"/>
  <c r="S5018" i="2"/>
  <c r="R5018" i="2"/>
  <c r="Q5018" i="2"/>
  <c r="P5018" i="2"/>
  <c r="O5018" i="2"/>
  <c r="N5018" i="2"/>
  <c r="M5018" i="2"/>
  <c r="L5018" i="2"/>
  <c r="K5018" i="2"/>
  <c r="J5018" i="2"/>
  <c r="I5018" i="2"/>
  <c r="H5018" i="2"/>
  <c r="G5018" i="2"/>
  <c r="F5018" i="2"/>
  <c r="E5018" i="2"/>
  <c r="D5018" i="2"/>
  <c r="C5018" i="2"/>
  <c r="B5018" i="2"/>
  <c r="V5017" i="2"/>
  <c r="U5017" i="2"/>
  <c r="T5017" i="2"/>
  <c r="S5017" i="2"/>
  <c r="R5017" i="2"/>
  <c r="Q5017" i="2"/>
  <c r="P5017" i="2"/>
  <c r="O5017" i="2"/>
  <c r="N5017" i="2"/>
  <c r="M5017" i="2"/>
  <c r="L5017" i="2"/>
  <c r="K5017" i="2"/>
  <c r="J5017" i="2"/>
  <c r="I5017" i="2"/>
  <c r="H5017" i="2"/>
  <c r="G5017" i="2"/>
  <c r="F5017" i="2"/>
  <c r="E5017" i="2"/>
  <c r="D5017" i="2"/>
  <c r="C5017" i="2"/>
  <c r="B5017" i="2"/>
  <c r="V5016" i="2"/>
  <c r="U5016" i="2"/>
  <c r="T5016" i="2"/>
  <c r="S5016" i="2"/>
  <c r="R5016" i="2"/>
  <c r="Q5016" i="2"/>
  <c r="P5016" i="2"/>
  <c r="O5016" i="2"/>
  <c r="N5016" i="2"/>
  <c r="M5016" i="2"/>
  <c r="L5016" i="2"/>
  <c r="K5016" i="2"/>
  <c r="J5016" i="2"/>
  <c r="I5016" i="2"/>
  <c r="H5016" i="2"/>
  <c r="G5016" i="2"/>
  <c r="F5016" i="2"/>
  <c r="E5016" i="2"/>
  <c r="D5016" i="2"/>
  <c r="C5016" i="2"/>
  <c r="B5016" i="2"/>
  <c r="V5015" i="2"/>
  <c r="U5015" i="2"/>
  <c r="T5015" i="2"/>
  <c r="S5015" i="2"/>
  <c r="R5015" i="2"/>
  <c r="Q5015" i="2"/>
  <c r="P5015" i="2"/>
  <c r="O5015" i="2"/>
  <c r="N5015" i="2"/>
  <c r="M5015" i="2"/>
  <c r="L5015" i="2"/>
  <c r="K5015" i="2"/>
  <c r="J5015" i="2"/>
  <c r="I5015" i="2"/>
  <c r="H5015" i="2"/>
  <c r="G5015" i="2"/>
  <c r="F5015" i="2"/>
  <c r="E5015" i="2"/>
  <c r="D5015" i="2"/>
  <c r="C5015" i="2"/>
  <c r="B5015" i="2"/>
  <c r="V5014" i="2"/>
  <c r="U5014" i="2"/>
  <c r="T5014" i="2"/>
  <c r="S5014" i="2"/>
  <c r="R5014" i="2"/>
  <c r="Q5014" i="2"/>
  <c r="P5014" i="2"/>
  <c r="O5014" i="2"/>
  <c r="N5014" i="2"/>
  <c r="M5014" i="2"/>
  <c r="L5014" i="2"/>
  <c r="K5014" i="2"/>
  <c r="J5014" i="2"/>
  <c r="I5014" i="2"/>
  <c r="H5014" i="2"/>
  <c r="G5014" i="2"/>
  <c r="F5014" i="2"/>
  <c r="E5014" i="2"/>
  <c r="D5014" i="2"/>
  <c r="C5014" i="2"/>
  <c r="B5014" i="2"/>
  <c r="V5013" i="2"/>
  <c r="U5013" i="2"/>
  <c r="T5013" i="2"/>
  <c r="S5013" i="2"/>
  <c r="R5013" i="2"/>
  <c r="Q5013" i="2"/>
  <c r="P5013" i="2"/>
  <c r="O5013" i="2"/>
  <c r="N5013" i="2"/>
  <c r="M5013" i="2"/>
  <c r="L5013" i="2"/>
  <c r="K5013" i="2"/>
  <c r="J5013" i="2"/>
  <c r="I5013" i="2"/>
  <c r="H5013" i="2"/>
  <c r="G5013" i="2"/>
  <c r="F5013" i="2"/>
  <c r="E5013" i="2"/>
  <c r="D5013" i="2"/>
  <c r="C5013" i="2"/>
  <c r="B5013" i="2"/>
  <c r="V5012" i="2"/>
  <c r="U5012" i="2"/>
  <c r="T5012" i="2"/>
  <c r="S5012" i="2"/>
  <c r="R5012" i="2"/>
  <c r="Q5012" i="2"/>
  <c r="P5012" i="2"/>
  <c r="O5012" i="2"/>
  <c r="N5012" i="2"/>
  <c r="M5012" i="2"/>
  <c r="L5012" i="2"/>
  <c r="K5012" i="2"/>
  <c r="J5012" i="2"/>
  <c r="I5012" i="2"/>
  <c r="H5012" i="2"/>
  <c r="G5012" i="2"/>
  <c r="F5012" i="2"/>
  <c r="E5012" i="2"/>
  <c r="D5012" i="2"/>
  <c r="C5012" i="2"/>
  <c r="B5012" i="2"/>
  <c r="V5011" i="2"/>
  <c r="U5011" i="2"/>
  <c r="T5011" i="2"/>
  <c r="S5011" i="2"/>
  <c r="R5011" i="2"/>
  <c r="Q5011" i="2"/>
  <c r="P5011" i="2"/>
  <c r="O5011" i="2"/>
  <c r="N5011" i="2"/>
  <c r="M5011" i="2"/>
  <c r="L5011" i="2"/>
  <c r="K5011" i="2"/>
  <c r="J5011" i="2"/>
  <c r="I5011" i="2"/>
  <c r="H5011" i="2"/>
  <c r="G5011" i="2"/>
  <c r="F5011" i="2"/>
  <c r="E5011" i="2"/>
  <c r="D5011" i="2"/>
  <c r="C5011" i="2"/>
  <c r="B5011" i="2"/>
  <c r="V5010" i="2"/>
  <c r="U5010" i="2"/>
  <c r="T5010" i="2"/>
  <c r="S5010" i="2"/>
  <c r="R5010" i="2"/>
  <c r="Q5010" i="2"/>
  <c r="P5010" i="2"/>
  <c r="O5010" i="2"/>
  <c r="N5010" i="2"/>
  <c r="M5010" i="2"/>
  <c r="L5010" i="2"/>
  <c r="K5010" i="2"/>
  <c r="J5010" i="2"/>
  <c r="I5010" i="2"/>
  <c r="H5010" i="2"/>
  <c r="G5010" i="2"/>
  <c r="F5010" i="2"/>
  <c r="E5010" i="2"/>
  <c r="D5010" i="2"/>
  <c r="C5010" i="2"/>
  <c r="B5010" i="2"/>
  <c r="V5009" i="2"/>
  <c r="U5009" i="2"/>
  <c r="T5009" i="2"/>
  <c r="S5009" i="2"/>
  <c r="R5009" i="2"/>
  <c r="Q5009" i="2"/>
  <c r="P5009" i="2"/>
  <c r="O5009" i="2"/>
  <c r="N5009" i="2"/>
  <c r="M5009" i="2"/>
  <c r="L5009" i="2"/>
  <c r="K5009" i="2"/>
  <c r="J5009" i="2"/>
  <c r="I5009" i="2"/>
  <c r="H5009" i="2"/>
  <c r="G5009" i="2"/>
  <c r="F5009" i="2"/>
  <c r="E5009" i="2"/>
  <c r="D5009" i="2"/>
  <c r="C5009" i="2"/>
  <c r="B5009" i="2"/>
  <c r="V5008" i="2"/>
  <c r="U5008" i="2"/>
  <c r="T5008" i="2"/>
  <c r="S5008" i="2"/>
  <c r="R5008" i="2"/>
  <c r="Q5008" i="2"/>
  <c r="P5008" i="2"/>
  <c r="O5008" i="2"/>
  <c r="N5008" i="2"/>
  <c r="M5008" i="2"/>
  <c r="L5008" i="2"/>
  <c r="K5008" i="2"/>
  <c r="J5008" i="2"/>
  <c r="I5008" i="2"/>
  <c r="H5008" i="2"/>
  <c r="G5008" i="2"/>
  <c r="F5008" i="2"/>
  <c r="E5008" i="2"/>
  <c r="D5008" i="2"/>
  <c r="C5008" i="2"/>
  <c r="B5008" i="2"/>
  <c r="V5007" i="2"/>
  <c r="U5007" i="2"/>
  <c r="T5007" i="2"/>
  <c r="S5007" i="2"/>
  <c r="R5007" i="2"/>
  <c r="Q5007" i="2"/>
  <c r="P5007" i="2"/>
  <c r="O5007" i="2"/>
  <c r="N5007" i="2"/>
  <c r="M5007" i="2"/>
  <c r="L5007" i="2"/>
  <c r="K5007" i="2"/>
  <c r="J5007" i="2"/>
  <c r="I5007" i="2"/>
  <c r="H5007" i="2"/>
  <c r="G5007" i="2"/>
  <c r="F5007" i="2"/>
  <c r="E5007" i="2"/>
  <c r="D5007" i="2"/>
  <c r="C5007" i="2"/>
  <c r="B5007" i="2"/>
  <c r="V5006" i="2"/>
  <c r="U5006" i="2"/>
  <c r="T5006" i="2"/>
  <c r="S5006" i="2"/>
  <c r="R5006" i="2"/>
  <c r="Q5006" i="2"/>
  <c r="P5006" i="2"/>
  <c r="O5006" i="2"/>
  <c r="N5006" i="2"/>
  <c r="M5006" i="2"/>
  <c r="L5006" i="2"/>
  <c r="K5006" i="2"/>
  <c r="J5006" i="2"/>
  <c r="I5006" i="2"/>
  <c r="H5006" i="2"/>
  <c r="G5006" i="2"/>
  <c r="F5006" i="2"/>
  <c r="E5006" i="2"/>
  <c r="D5006" i="2"/>
  <c r="C5006" i="2"/>
  <c r="B5006" i="2"/>
  <c r="V5005" i="2"/>
  <c r="U5005" i="2"/>
  <c r="T5005" i="2"/>
  <c r="S5005" i="2"/>
  <c r="R5005" i="2"/>
  <c r="Q5005" i="2"/>
  <c r="P5005" i="2"/>
  <c r="O5005" i="2"/>
  <c r="N5005" i="2"/>
  <c r="M5005" i="2"/>
  <c r="L5005" i="2"/>
  <c r="K5005" i="2"/>
  <c r="J5005" i="2"/>
  <c r="I5005" i="2"/>
  <c r="H5005" i="2"/>
  <c r="G5005" i="2"/>
  <c r="F5005" i="2"/>
  <c r="E5005" i="2"/>
  <c r="D5005" i="2"/>
  <c r="C5005" i="2"/>
  <c r="B5005" i="2"/>
  <c r="V5004" i="2"/>
  <c r="U5004" i="2"/>
  <c r="T5004" i="2"/>
  <c r="S5004" i="2"/>
  <c r="R5004" i="2"/>
  <c r="Q5004" i="2"/>
  <c r="P5004" i="2"/>
  <c r="O5004" i="2"/>
  <c r="N5004" i="2"/>
  <c r="M5004" i="2"/>
  <c r="L5004" i="2"/>
  <c r="K5004" i="2"/>
  <c r="J5004" i="2"/>
  <c r="I5004" i="2"/>
  <c r="H5004" i="2"/>
  <c r="G5004" i="2"/>
  <c r="F5004" i="2"/>
  <c r="E5004" i="2"/>
  <c r="D5004" i="2"/>
  <c r="C5004" i="2"/>
  <c r="B5004" i="2"/>
  <c r="V5003" i="2"/>
  <c r="U5003" i="2"/>
  <c r="T5003" i="2"/>
  <c r="S5003" i="2"/>
  <c r="R5003" i="2"/>
  <c r="Q5003" i="2"/>
  <c r="P5003" i="2"/>
  <c r="O5003" i="2"/>
  <c r="N5003" i="2"/>
  <c r="M5003" i="2"/>
  <c r="L5003" i="2"/>
  <c r="K5003" i="2"/>
  <c r="J5003" i="2"/>
  <c r="I5003" i="2"/>
  <c r="H5003" i="2"/>
  <c r="G5003" i="2"/>
  <c r="F5003" i="2"/>
  <c r="E5003" i="2"/>
  <c r="D5003" i="2"/>
  <c r="C5003" i="2"/>
  <c r="B5003" i="2"/>
  <c r="V5002" i="2"/>
  <c r="U5002" i="2"/>
  <c r="T5002" i="2"/>
  <c r="S5002" i="2"/>
  <c r="R5002" i="2"/>
  <c r="Q5002" i="2"/>
  <c r="P5002" i="2"/>
  <c r="O5002" i="2"/>
  <c r="N5002" i="2"/>
  <c r="M5002" i="2"/>
  <c r="L5002" i="2"/>
  <c r="K5002" i="2"/>
  <c r="J5002" i="2"/>
  <c r="I5002" i="2"/>
  <c r="H5002" i="2"/>
  <c r="G5002" i="2"/>
  <c r="F5002" i="2"/>
  <c r="E5002" i="2"/>
  <c r="D5002" i="2"/>
  <c r="C5002" i="2"/>
  <c r="B5002" i="2"/>
  <c r="V5001" i="2"/>
  <c r="U5001" i="2"/>
  <c r="T5001" i="2"/>
  <c r="S5001" i="2"/>
  <c r="R5001" i="2"/>
  <c r="Q5001" i="2"/>
  <c r="P5001" i="2"/>
  <c r="O5001" i="2"/>
  <c r="N5001" i="2"/>
  <c r="M5001" i="2"/>
  <c r="L5001" i="2"/>
  <c r="K5001" i="2"/>
  <c r="J5001" i="2"/>
  <c r="I5001" i="2"/>
  <c r="H5001" i="2"/>
  <c r="G5001" i="2"/>
  <c r="F5001" i="2"/>
  <c r="E5001" i="2"/>
  <c r="D5001" i="2"/>
  <c r="C5001" i="2"/>
  <c r="B5001" i="2"/>
  <c r="V5000" i="2"/>
  <c r="U5000" i="2"/>
  <c r="T5000" i="2"/>
  <c r="S5000" i="2"/>
  <c r="R5000" i="2"/>
  <c r="Q5000" i="2"/>
  <c r="P5000" i="2"/>
  <c r="O5000" i="2"/>
  <c r="N5000" i="2"/>
  <c r="M5000" i="2"/>
  <c r="L5000" i="2"/>
  <c r="K5000" i="2"/>
  <c r="J5000" i="2"/>
  <c r="I5000" i="2"/>
  <c r="H5000" i="2"/>
  <c r="G5000" i="2"/>
  <c r="F5000" i="2"/>
  <c r="E5000" i="2"/>
  <c r="D5000" i="2"/>
  <c r="C5000" i="2"/>
  <c r="B5000" i="2"/>
  <c r="V4999" i="2"/>
  <c r="U4999" i="2"/>
  <c r="T4999" i="2"/>
  <c r="S4999" i="2"/>
  <c r="R4999" i="2"/>
  <c r="Q4999" i="2"/>
  <c r="P4999" i="2"/>
  <c r="O4999" i="2"/>
  <c r="N4999" i="2"/>
  <c r="M4999" i="2"/>
  <c r="L4999" i="2"/>
  <c r="K4999" i="2"/>
  <c r="J4999" i="2"/>
  <c r="I4999" i="2"/>
  <c r="H4999" i="2"/>
  <c r="G4999" i="2"/>
  <c r="F4999" i="2"/>
  <c r="E4999" i="2"/>
  <c r="D4999" i="2"/>
  <c r="C4999" i="2"/>
  <c r="B4999" i="2"/>
  <c r="V4998" i="2"/>
  <c r="U4998" i="2"/>
  <c r="T4998" i="2"/>
  <c r="S4998" i="2"/>
  <c r="R4998" i="2"/>
  <c r="Q4998" i="2"/>
  <c r="P4998" i="2"/>
  <c r="O4998" i="2"/>
  <c r="N4998" i="2"/>
  <c r="M4998" i="2"/>
  <c r="L4998" i="2"/>
  <c r="K4998" i="2"/>
  <c r="J4998" i="2"/>
  <c r="I4998" i="2"/>
  <c r="H4998" i="2"/>
  <c r="G4998" i="2"/>
  <c r="F4998" i="2"/>
  <c r="E4998" i="2"/>
  <c r="D4998" i="2"/>
  <c r="C4998" i="2"/>
  <c r="B4998" i="2"/>
  <c r="V4997" i="2"/>
  <c r="U4997" i="2"/>
  <c r="T4997" i="2"/>
  <c r="S4997" i="2"/>
  <c r="R4997" i="2"/>
  <c r="Q4997" i="2"/>
  <c r="P4997" i="2"/>
  <c r="O4997" i="2"/>
  <c r="N4997" i="2"/>
  <c r="M4997" i="2"/>
  <c r="L4997" i="2"/>
  <c r="K4997" i="2"/>
  <c r="J4997" i="2"/>
  <c r="I4997" i="2"/>
  <c r="H4997" i="2"/>
  <c r="G4997" i="2"/>
  <c r="F4997" i="2"/>
  <c r="E4997" i="2"/>
  <c r="D4997" i="2"/>
  <c r="C4997" i="2"/>
  <c r="B4997" i="2"/>
  <c r="V4996" i="2"/>
  <c r="U4996" i="2"/>
  <c r="T4996" i="2"/>
  <c r="S4996" i="2"/>
  <c r="R4996" i="2"/>
  <c r="Q4996" i="2"/>
  <c r="P4996" i="2"/>
  <c r="O4996" i="2"/>
  <c r="N4996" i="2"/>
  <c r="M4996" i="2"/>
  <c r="L4996" i="2"/>
  <c r="K4996" i="2"/>
  <c r="J4996" i="2"/>
  <c r="I4996" i="2"/>
  <c r="H4996" i="2"/>
  <c r="G4996" i="2"/>
  <c r="F4996" i="2"/>
  <c r="E4996" i="2"/>
  <c r="D4996" i="2"/>
  <c r="C4996" i="2"/>
  <c r="B4996" i="2"/>
  <c r="V4995" i="2"/>
  <c r="U4995" i="2"/>
  <c r="T4995" i="2"/>
  <c r="S4995" i="2"/>
  <c r="R4995" i="2"/>
  <c r="Q4995" i="2"/>
  <c r="P4995" i="2"/>
  <c r="O4995" i="2"/>
  <c r="N4995" i="2"/>
  <c r="M4995" i="2"/>
  <c r="L4995" i="2"/>
  <c r="K4995" i="2"/>
  <c r="J4995" i="2"/>
  <c r="I4995" i="2"/>
  <c r="H4995" i="2"/>
  <c r="G4995" i="2"/>
  <c r="F4995" i="2"/>
  <c r="E4995" i="2"/>
  <c r="D4995" i="2"/>
  <c r="C4995" i="2"/>
  <c r="B4995" i="2"/>
  <c r="V4994" i="2"/>
  <c r="U4994" i="2"/>
  <c r="T4994" i="2"/>
  <c r="S4994" i="2"/>
  <c r="R4994" i="2"/>
  <c r="Q4994" i="2"/>
  <c r="P4994" i="2"/>
  <c r="O4994" i="2"/>
  <c r="N4994" i="2"/>
  <c r="M4994" i="2"/>
  <c r="L4994" i="2"/>
  <c r="K4994" i="2"/>
  <c r="J4994" i="2"/>
  <c r="I4994" i="2"/>
  <c r="H4994" i="2"/>
  <c r="G4994" i="2"/>
  <c r="F4994" i="2"/>
  <c r="E4994" i="2"/>
  <c r="D4994" i="2"/>
  <c r="C4994" i="2"/>
  <c r="B4994" i="2"/>
  <c r="V4993" i="2"/>
  <c r="U4993" i="2"/>
  <c r="T4993" i="2"/>
  <c r="S4993" i="2"/>
  <c r="R4993" i="2"/>
  <c r="Q4993" i="2"/>
  <c r="P4993" i="2"/>
  <c r="O4993" i="2"/>
  <c r="N4993" i="2"/>
  <c r="M4993" i="2"/>
  <c r="L4993" i="2"/>
  <c r="K4993" i="2"/>
  <c r="J4993" i="2"/>
  <c r="I4993" i="2"/>
  <c r="H4993" i="2"/>
  <c r="G4993" i="2"/>
  <c r="F4993" i="2"/>
  <c r="E4993" i="2"/>
  <c r="D4993" i="2"/>
  <c r="C4993" i="2"/>
  <c r="B4993" i="2"/>
  <c r="V4992" i="2"/>
  <c r="U4992" i="2"/>
  <c r="T4992" i="2"/>
  <c r="S4992" i="2"/>
  <c r="R4992" i="2"/>
  <c r="Q4992" i="2"/>
  <c r="P4992" i="2"/>
  <c r="O4992" i="2"/>
  <c r="N4992" i="2"/>
  <c r="M4992" i="2"/>
  <c r="L4992" i="2"/>
  <c r="K4992" i="2"/>
  <c r="J4992" i="2"/>
  <c r="I4992" i="2"/>
  <c r="H4992" i="2"/>
  <c r="G4992" i="2"/>
  <c r="F4992" i="2"/>
  <c r="E4992" i="2"/>
  <c r="D4992" i="2"/>
  <c r="C4992" i="2"/>
  <c r="B4992" i="2"/>
  <c r="V4991" i="2"/>
  <c r="U4991" i="2"/>
  <c r="T4991" i="2"/>
  <c r="S4991" i="2"/>
  <c r="R4991" i="2"/>
  <c r="Q4991" i="2"/>
  <c r="P4991" i="2"/>
  <c r="O4991" i="2"/>
  <c r="N4991" i="2"/>
  <c r="M4991" i="2"/>
  <c r="L4991" i="2"/>
  <c r="K4991" i="2"/>
  <c r="J4991" i="2"/>
  <c r="I4991" i="2"/>
  <c r="H4991" i="2"/>
  <c r="G4991" i="2"/>
  <c r="F4991" i="2"/>
  <c r="E4991" i="2"/>
  <c r="D4991" i="2"/>
  <c r="C4991" i="2"/>
  <c r="B4991" i="2"/>
  <c r="V4990" i="2"/>
  <c r="U4990" i="2"/>
  <c r="T4990" i="2"/>
  <c r="S4990" i="2"/>
  <c r="R4990" i="2"/>
  <c r="Q4990" i="2"/>
  <c r="P4990" i="2"/>
  <c r="O4990" i="2"/>
  <c r="N4990" i="2"/>
  <c r="M4990" i="2"/>
  <c r="L4990" i="2"/>
  <c r="K4990" i="2"/>
  <c r="J4990" i="2"/>
  <c r="I4990" i="2"/>
  <c r="H4990" i="2"/>
  <c r="G4990" i="2"/>
  <c r="F4990" i="2"/>
  <c r="E4990" i="2"/>
  <c r="D4990" i="2"/>
  <c r="C4990" i="2"/>
  <c r="B4990" i="2"/>
  <c r="V4989" i="2"/>
  <c r="U4989" i="2"/>
  <c r="T4989" i="2"/>
  <c r="S4989" i="2"/>
  <c r="R4989" i="2"/>
  <c r="Q4989" i="2"/>
  <c r="P4989" i="2"/>
  <c r="O4989" i="2"/>
  <c r="N4989" i="2"/>
  <c r="M4989" i="2"/>
  <c r="L4989" i="2"/>
  <c r="K4989" i="2"/>
  <c r="J4989" i="2"/>
  <c r="I4989" i="2"/>
  <c r="H4989" i="2"/>
  <c r="G4989" i="2"/>
  <c r="F4989" i="2"/>
  <c r="E4989" i="2"/>
  <c r="D4989" i="2"/>
  <c r="C4989" i="2"/>
  <c r="B4989" i="2"/>
  <c r="V4988" i="2"/>
  <c r="U4988" i="2"/>
  <c r="T4988" i="2"/>
  <c r="S4988" i="2"/>
  <c r="R4988" i="2"/>
  <c r="Q4988" i="2"/>
  <c r="P4988" i="2"/>
  <c r="O4988" i="2"/>
  <c r="N4988" i="2"/>
  <c r="M4988" i="2"/>
  <c r="L4988" i="2"/>
  <c r="K4988" i="2"/>
  <c r="J4988" i="2"/>
  <c r="I4988" i="2"/>
  <c r="H4988" i="2"/>
  <c r="G4988" i="2"/>
  <c r="F4988" i="2"/>
  <c r="E4988" i="2"/>
  <c r="D4988" i="2"/>
  <c r="C4988" i="2"/>
  <c r="B4988" i="2"/>
  <c r="V4987" i="2"/>
  <c r="U4987" i="2"/>
  <c r="T4987" i="2"/>
  <c r="S4987" i="2"/>
  <c r="R4987" i="2"/>
  <c r="Q4987" i="2"/>
  <c r="P4987" i="2"/>
  <c r="O4987" i="2"/>
  <c r="N4987" i="2"/>
  <c r="M4987" i="2"/>
  <c r="L4987" i="2"/>
  <c r="K4987" i="2"/>
  <c r="J4987" i="2"/>
  <c r="I4987" i="2"/>
  <c r="H4987" i="2"/>
  <c r="G4987" i="2"/>
  <c r="F4987" i="2"/>
  <c r="E4987" i="2"/>
  <c r="D4987" i="2"/>
  <c r="C4987" i="2"/>
  <c r="B4987" i="2"/>
  <c r="V4986" i="2"/>
  <c r="U4986" i="2"/>
  <c r="T4986" i="2"/>
  <c r="S4986" i="2"/>
  <c r="R4986" i="2"/>
  <c r="Q4986" i="2"/>
  <c r="P4986" i="2"/>
  <c r="O4986" i="2"/>
  <c r="N4986" i="2"/>
  <c r="M4986" i="2"/>
  <c r="L4986" i="2"/>
  <c r="K4986" i="2"/>
  <c r="J4986" i="2"/>
  <c r="I4986" i="2"/>
  <c r="H4986" i="2"/>
  <c r="G4986" i="2"/>
  <c r="F4986" i="2"/>
  <c r="E4986" i="2"/>
  <c r="D4986" i="2"/>
  <c r="C4986" i="2"/>
  <c r="B4986" i="2"/>
  <c r="V4985" i="2"/>
  <c r="U4985" i="2"/>
  <c r="T4985" i="2"/>
  <c r="S4985" i="2"/>
  <c r="R4985" i="2"/>
  <c r="Q4985" i="2"/>
  <c r="P4985" i="2"/>
  <c r="O4985" i="2"/>
  <c r="N4985" i="2"/>
  <c r="M4985" i="2"/>
  <c r="L4985" i="2"/>
  <c r="K4985" i="2"/>
  <c r="J4985" i="2"/>
  <c r="I4985" i="2"/>
  <c r="H4985" i="2"/>
  <c r="G4985" i="2"/>
  <c r="F4985" i="2"/>
  <c r="E4985" i="2"/>
  <c r="D4985" i="2"/>
  <c r="C4985" i="2"/>
  <c r="B4985" i="2"/>
  <c r="V4984" i="2"/>
  <c r="U4984" i="2"/>
  <c r="T4984" i="2"/>
  <c r="S4984" i="2"/>
  <c r="R4984" i="2"/>
  <c r="Q4984" i="2"/>
  <c r="P4984" i="2"/>
  <c r="O4984" i="2"/>
  <c r="N4984" i="2"/>
  <c r="M4984" i="2"/>
  <c r="L4984" i="2"/>
  <c r="K4984" i="2"/>
  <c r="J4984" i="2"/>
  <c r="I4984" i="2"/>
  <c r="H4984" i="2"/>
  <c r="G4984" i="2"/>
  <c r="F4984" i="2"/>
  <c r="E4984" i="2"/>
  <c r="D4984" i="2"/>
  <c r="C4984" i="2"/>
  <c r="B4984" i="2"/>
  <c r="V4983" i="2"/>
  <c r="U4983" i="2"/>
  <c r="T4983" i="2"/>
  <c r="S4983" i="2"/>
  <c r="R4983" i="2"/>
  <c r="Q4983" i="2"/>
  <c r="P4983" i="2"/>
  <c r="O4983" i="2"/>
  <c r="N4983" i="2"/>
  <c r="M4983" i="2"/>
  <c r="L4983" i="2"/>
  <c r="K4983" i="2"/>
  <c r="J4983" i="2"/>
  <c r="I4983" i="2"/>
  <c r="H4983" i="2"/>
  <c r="G4983" i="2"/>
  <c r="F4983" i="2"/>
  <c r="E4983" i="2"/>
  <c r="D4983" i="2"/>
  <c r="C4983" i="2"/>
  <c r="B4983" i="2"/>
  <c r="V4982" i="2"/>
  <c r="U4982" i="2"/>
  <c r="T4982" i="2"/>
  <c r="S4982" i="2"/>
  <c r="R4982" i="2"/>
  <c r="Q4982" i="2"/>
  <c r="P4982" i="2"/>
  <c r="O4982" i="2"/>
  <c r="N4982" i="2"/>
  <c r="M4982" i="2"/>
  <c r="L4982" i="2"/>
  <c r="K4982" i="2"/>
  <c r="J4982" i="2"/>
  <c r="I4982" i="2"/>
  <c r="H4982" i="2"/>
  <c r="G4982" i="2"/>
  <c r="F4982" i="2"/>
  <c r="E4982" i="2"/>
  <c r="D4982" i="2"/>
  <c r="C4982" i="2"/>
  <c r="B4982" i="2"/>
  <c r="V4981" i="2"/>
  <c r="U4981" i="2"/>
  <c r="T4981" i="2"/>
  <c r="S4981" i="2"/>
  <c r="R4981" i="2"/>
  <c r="Q4981" i="2"/>
  <c r="P4981" i="2"/>
  <c r="O4981" i="2"/>
  <c r="N4981" i="2"/>
  <c r="M4981" i="2"/>
  <c r="L4981" i="2"/>
  <c r="K4981" i="2"/>
  <c r="J4981" i="2"/>
  <c r="I4981" i="2"/>
  <c r="H4981" i="2"/>
  <c r="G4981" i="2"/>
  <c r="F4981" i="2"/>
  <c r="E4981" i="2"/>
  <c r="D4981" i="2"/>
  <c r="C4981" i="2"/>
  <c r="B4981" i="2"/>
  <c r="V4980" i="2"/>
  <c r="U4980" i="2"/>
  <c r="T4980" i="2"/>
  <c r="S4980" i="2"/>
  <c r="R4980" i="2"/>
  <c r="Q4980" i="2"/>
  <c r="P4980" i="2"/>
  <c r="O4980" i="2"/>
  <c r="N4980" i="2"/>
  <c r="M4980" i="2"/>
  <c r="L4980" i="2"/>
  <c r="K4980" i="2"/>
  <c r="J4980" i="2"/>
  <c r="I4980" i="2"/>
  <c r="H4980" i="2"/>
  <c r="G4980" i="2"/>
  <c r="F4980" i="2"/>
  <c r="E4980" i="2"/>
  <c r="D4980" i="2"/>
  <c r="C4980" i="2"/>
  <c r="B4980" i="2"/>
  <c r="V4979" i="2"/>
  <c r="U4979" i="2"/>
  <c r="T4979" i="2"/>
  <c r="S4979" i="2"/>
  <c r="R4979" i="2"/>
  <c r="Q4979" i="2"/>
  <c r="P4979" i="2"/>
  <c r="O4979" i="2"/>
  <c r="N4979" i="2"/>
  <c r="M4979" i="2"/>
  <c r="L4979" i="2"/>
  <c r="K4979" i="2"/>
  <c r="J4979" i="2"/>
  <c r="I4979" i="2"/>
  <c r="H4979" i="2"/>
  <c r="G4979" i="2"/>
  <c r="F4979" i="2"/>
  <c r="E4979" i="2"/>
  <c r="D4979" i="2"/>
  <c r="C4979" i="2"/>
  <c r="B4979" i="2"/>
  <c r="V4978" i="2"/>
  <c r="U4978" i="2"/>
  <c r="T4978" i="2"/>
  <c r="S4978" i="2"/>
  <c r="R4978" i="2"/>
  <c r="Q4978" i="2"/>
  <c r="P4978" i="2"/>
  <c r="O4978" i="2"/>
  <c r="N4978" i="2"/>
  <c r="M4978" i="2"/>
  <c r="L4978" i="2"/>
  <c r="K4978" i="2"/>
  <c r="J4978" i="2"/>
  <c r="I4978" i="2"/>
  <c r="H4978" i="2"/>
  <c r="G4978" i="2"/>
  <c r="F4978" i="2"/>
  <c r="E4978" i="2"/>
  <c r="D4978" i="2"/>
  <c r="C4978" i="2"/>
  <c r="B4978" i="2"/>
  <c r="V4977" i="2"/>
  <c r="U4977" i="2"/>
  <c r="T4977" i="2"/>
  <c r="S4977" i="2"/>
  <c r="R4977" i="2"/>
  <c r="Q4977" i="2"/>
  <c r="P4977" i="2"/>
  <c r="O4977" i="2"/>
  <c r="N4977" i="2"/>
  <c r="M4977" i="2"/>
  <c r="L4977" i="2"/>
  <c r="K4977" i="2"/>
  <c r="J4977" i="2"/>
  <c r="I4977" i="2"/>
  <c r="H4977" i="2"/>
  <c r="G4977" i="2"/>
  <c r="F4977" i="2"/>
  <c r="E4977" i="2"/>
  <c r="D4977" i="2"/>
  <c r="C4977" i="2"/>
  <c r="B4977" i="2"/>
  <c r="V4976" i="2"/>
  <c r="U4976" i="2"/>
  <c r="T4976" i="2"/>
  <c r="S4976" i="2"/>
  <c r="R4976" i="2"/>
  <c r="Q4976" i="2"/>
  <c r="P4976" i="2"/>
  <c r="O4976" i="2"/>
  <c r="N4976" i="2"/>
  <c r="M4976" i="2"/>
  <c r="L4976" i="2"/>
  <c r="K4976" i="2"/>
  <c r="J4976" i="2"/>
  <c r="I4976" i="2"/>
  <c r="H4976" i="2"/>
  <c r="G4976" i="2"/>
  <c r="F4976" i="2"/>
  <c r="E4976" i="2"/>
  <c r="D4976" i="2"/>
  <c r="C4976" i="2"/>
  <c r="B4976" i="2"/>
  <c r="V4975" i="2"/>
  <c r="U4975" i="2"/>
  <c r="T4975" i="2"/>
  <c r="S4975" i="2"/>
  <c r="R4975" i="2"/>
  <c r="Q4975" i="2"/>
  <c r="P4975" i="2"/>
  <c r="O4975" i="2"/>
  <c r="N4975" i="2"/>
  <c r="M4975" i="2"/>
  <c r="L4975" i="2"/>
  <c r="K4975" i="2"/>
  <c r="J4975" i="2"/>
  <c r="I4975" i="2"/>
  <c r="H4975" i="2"/>
  <c r="G4975" i="2"/>
  <c r="F4975" i="2"/>
  <c r="E4975" i="2"/>
  <c r="D4975" i="2"/>
  <c r="C4975" i="2"/>
  <c r="B4975" i="2"/>
  <c r="V4974" i="2"/>
  <c r="U4974" i="2"/>
  <c r="T4974" i="2"/>
  <c r="S4974" i="2"/>
  <c r="R4974" i="2"/>
  <c r="Q4974" i="2"/>
  <c r="P4974" i="2"/>
  <c r="O4974" i="2"/>
  <c r="N4974" i="2"/>
  <c r="M4974" i="2"/>
  <c r="L4974" i="2"/>
  <c r="K4974" i="2"/>
  <c r="J4974" i="2"/>
  <c r="I4974" i="2"/>
  <c r="H4974" i="2"/>
  <c r="G4974" i="2"/>
  <c r="F4974" i="2"/>
  <c r="E4974" i="2"/>
  <c r="D4974" i="2"/>
  <c r="C4974" i="2"/>
  <c r="B4974" i="2"/>
  <c r="V4973" i="2"/>
  <c r="U4973" i="2"/>
  <c r="T4973" i="2"/>
  <c r="S4973" i="2"/>
  <c r="R4973" i="2"/>
  <c r="Q4973" i="2"/>
  <c r="P4973" i="2"/>
  <c r="O4973" i="2"/>
  <c r="N4973" i="2"/>
  <c r="M4973" i="2"/>
  <c r="L4973" i="2"/>
  <c r="K4973" i="2"/>
  <c r="J4973" i="2"/>
  <c r="I4973" i="2"/>
  <c r="H4973" i="2"/>
  <c r="G4973" i="2"/>
  <c r="F4973" i="2"/>
  <c r="E4973" i="2"/>
  <c r="D4973" i="2"/>
  <c r="C4973" i="2"/>
  <c r="B4973" i="2"/>
  <c r="V4972" i="2"/>
  <c r="U4972" i="2"/>
  <c r="T4972" i="2"/>
  <c r="S4972" i="2"/>
  <c r="R4972" i="2"/>
  <c r="Q4972" i="2"/>
  <c r="P4972" i="2"/>
  <c r="O4972" i="2"/>
  <c r="N4972" i="2"/>
  <c r="M4972" i="2"/>
  <c r="L4972" i="2"/>
  <c r="K4972" i="2"/>
  <c r="J4972" i="2"/>
  <c r="I4972" i="2"/>
  <c r="H4972" i="2"/>
  <c r="G4972" i="2"/>
  <c r="F4972" i="2"/>
  <c r="E4972" i="2"/>
  <c r="D4972" i="2"/>
  <c r="C4972" i="2"/>
  <c r="B4972" i="2"/>
  <c r="V4971" i="2"/>
  <c r="U4971" i="2"/>
  <c r="T4971" i="2"/>
  <c r="S4971" i="2"/>
  <c r="R4971" i="2"/>
  <c r="Q4971" i="2"/>
  <c r="P4971" i="2"/>
  <c r="O4971" i="2"/>
  <c r="N4971" i="2"/>
  <c r="M4971" i="2"/>
  <c r="L4971" i="2"/>
  <c r="K4971" i="2"/>
  <c r="J4971" i="2"/>
  <c r="I4971" i="2"/>
  <c r="H4971" i="2"/>
  <c r="G4971" i="2"/>
  <c r="F4971" i="2"/>
  <c r="E4971" i="2"/>
  <c r="D4971" i="2"/>
  <c r="C4971" i="2"/>
  <c r="B4971" i="2"/>
  <c r="V4970" i="2"/>
  <c r="U4970" i="2"/>
  <c r="T4970" i="2"/>
  <c r="S4970" i="2"/>
  <c r="R4970" i="2"/>
  <c r="Q4970" i="2"/>
  <c r="P4970" i="2"/>
  <c r="O4970" i="2"/>
  <c r="N4970" i="2"/>
  <c r="M4970" i="2"/>
  <c r="L4970" i="2"/>
  <c r="K4970" i="2"/>
  <c r="J4970" i="2"/>
  <c r="I4970" i="2"/>
  <c r="H4970" i="2"/>
  <c r="G4970" i="2"/>
  <c r="F4970" i="2"/>
  <c r="E4970" i="2"/>
  <c r="D4970" i="2"/>
  <c r="C4970" i="2"/>
  <c r="B4970" i="2"/>
  <c r="V4969" i="2"/>
  <c r="U4969" i="2"/>
  <c r="T4969" i="2"/>
  <c r="S4969" i="2"/>
  <c r="R4969" i="2"/>
  <c r="Q4969" i="2"/>
  <c r="P4969" i="2"/>
  <c r="O4969" i="2"/>
  <c r="N4969" i="2"/>
  <c r="M4969" i="2"/>
  <c r="L4969" i="2"/>
  <c r="K4969" i="2"/>
  <c r="J4969" i="2"/>
  <c r="I4969" i="2"/>
  <c r="H4969" i="2"/>
  <c r="G4969" i="2"/>
  <c r="F4969" i="2"/>
  <c r="E4969" i="2"/>
  <c r="D4969" i="2"/>
  <c r="C4969" i="2"/>
  <c r="B4969" i="2"/>
  <c r="V4968" i="2"/>
  <c r="U4968" i="2"/>
  <c r="T4968" i="2"/>
  <c r="S4968" i="2"/>
  <c r="R4968" i="2"/>
  <c r="Q4968" i="2"/>
  <c r="P4968" i="2"/>
  <c r="O4968" i="2"/>
  <c r="N4968" i="2"/>
  <c r="M4968" i="2"/>
  <c r="L4968" i="2"/>
  <c r="K4968" i="2"/>
  <c r="J4968" i="2"/>
  <c r="I4968" i="2"/>
  <c r="H4968" i="2"/>
  <c r="G4968" i="2"/>
  <c r="F4968" i="2"/>
  <c r="E4968" i="2"/>
  <c r="D4968" i="2"/>
  <c r="C4968" i="2"/>
  <c r="B4968" i="2"/>
  <c r="V4967" i="2"/>
  <c r="U4967" i="2"/>
  <c r="T4967" i="2"/>
  <c r="S4967" i="2"/>
  <c r="R4967" i="2"/>
  <c r="Q4967" i="2"/>
  <c r="P4967" i="2"/>
  <c r="O4967" i="2"/>
  <c r="N4967" i="2"/>
  <c r="M4967" i="2"/>
  <c r="L4967" i="2"/>
  <c r="K4967" i="2"/>
  <c r="J4967" i="2"/>
  <c r="I4967" i="2"/>
  <c r="H4967" i="2"/>
  <c r="G4967" i="2"/>
  <c r="F4967" i="2"/>
  <c r="E4967" i="2"/>
  <c r="D4967" i="2"/>
  <c r="C4967" i="2"/>
  <c r="B4967" i="2"/>
  <c r="V4966" i="2"/>
  <c r="U4966" i="2"/>
  <c r="T4966" i="2"/>
  <c r="S4966" i="2"/>
  <c r="R4966" i="2"/>
  <c r="Q4966" i="2"/>
  <c r="P4966" i="2"/>
  <c r="O4966" i="2"/>
  <c r="N4966" i="2"/>
  <c r="M4966" i="2"/>
  <c r="L4966" i="2"/>
  <c r="K4966" i="2"/>
  <c r="J4966" i="2"/>
  <c r="I4966" i="2"/>
  <c r="H4966" i="2"/>
  <c r="G4966" i="2"/>
  <c r="F4966" i="2"/>
  <c r="E4966" i="2"/>
  <c r="D4966" i="2"/>
  <c r="C4966" i="2"/>
  <c r="B4966" i="2"/>
  <c r="V4965" i="2"/>
  <c r="U4965" i="2"/>
  <c r="T4965" i="2"/>
  <c r="S4965" i="2"/>
  <c r="R4965" i="2"/>
  <c r="Q4965" i="2"/>
  <c r="P4965" i="2"/>
  <c r="O4965" i="2"/>
  <c r="N4965" i="2"/>
  <c r="M4965" i="2"/>
  <c r="L4965" i="2"/>
  <c r="K4965" i="2"/>
  <c r="J4965" i="2"/>
  <c r="I4965" i="2"/>
  <c r="H4965" i="2"/>
  <c r="G4965" i="2"/>
  <c r="F4965" i="2"/>
  <c r="E4965" i="2"/>
  <c r="D4965" i="2"/>
  <c r="C4965" i="2"/>
  <c r="B4965" i="2"/>
  <c r="V4964" i="2"/>
  <c r="U4964" i="2"/>
  <c r="T4964" i="2"/>
  <c r="S4964" i="2"/>
  <c r="R4964" i="2"/>
  <c r="Q4964" i="2"/>
  <c r="P4964" i="2"/>
  <c r="O4964" i="2"/>
  <c r="N4964" i="2"/>
  <c r="M4964" i="2"/>
  <c r="L4964" i="2"/>
  <c r="K4964" i="2"/>
  <c r="J4964" i="2"/>
  <c r="I4964" i="2"/>
  <c r="H4964" i="2"/>
  <c r="G4964" i="2"/>
  <c r="F4964" i="2"/>
  <c r="E4964" i="2"/>
  <c r="D4964" i="2"/>
  <c r="C4964" i="2"/>
  <c r="B4964" i="2"/>
  <c r="V4963" i="2"/>
  <c r="U4963" i="2"/>
  <c r="T4963" i="2"/>
  <c r="S4963" i="2"/>
  <c r="R4963" i="2"/>
  <c r="Q4963" i="2"/>
  <c r="P4963" i="2"/>
  <c r="O4963" i="2"/>
  <c r="N4963" i="2"/>
  <c r="M4963" i="2"/>
  <c r="L4963" i="2"/>
  <c r="K4963" i="2"/>
  <c r="J4963" i="2"/>
  <c r="I4963" i="2"/>
  <c r="H4963" i="2"/>
  <c r="G4963" i="2"/>
  <c r="F4963" i="2"/>
  <c r="E4963" i="2"/>
  <c r="D4963" i="2"/>
  <c r="C4963" i="2"/>
  <c r="B4963" i="2"/>
  <c r="V4962" i="2"/>
  <c r="U4962" i="2"/>
  <c r="T4962" i="2"/>
  <c r="S4962" i="2"/>
  <c r="R4962" i="2"/>
  <c r="Q4962" i="2"/>
  <c r="P4962" i="2"/>
  <c r="O4962" i="2"/>
  <c r="N4962" i="2"/>
  <c r="M4962" i="2"/>
  <c r="L4962" i="2"/>
  <c r="K4962" i="2"/>
  <c r="J4962" i="2"/>
  <c r="I4962" i="2"/>
  <c r="H4962" i="2"/>
  <c r="G4962" i="2"/>
  <c r="F4962" i="2"/>
  <c r="E4962" i="2"/>
  <c r="D4962" i="2"/>
  <c r="C4962" i="2"/>
  <c r="B4962" i="2"/>
  <c r="V4961" i="2"/>
  <c r="U4961" i="2"/>
  <c r="T4961" i="2"/>
  <c r="S4961" i="2"/>
  <c r="R4961" i="2"/>
  <c r="Q4961" i="2"/>
  <c r="P4961" i="2"/>
  <c r="O4961" i="2"/>
  <c r="N4961" i="2"/>
  <c r="M4961" i="2"/>
  <c r="L4961" i="2"/>
  <c r="K4961" i="2"/>
  <c r="J4961" i="2"/>
  <c r="I4961" i="2"/>
  <c r="H4961" i="2"/>
  <c r="G4961" i="2"/>
  <c r="F4961" i="2"/>
  <c r="E4961" i="2"/>
  <c r="D4961" i="2"/>
  <c r="C4961" i="2"/>
  <c r="B4961" i="2"/>
  <c r="V4960" i="2"/>
  <c r="U4960" i="2"/>
  <c r="T4960" i="2"/>
  <c r="S4960" i="2"/>
  <c r="R4960" i="2"/>
  <c r="Q4960" i="2"/>
  <c r="P4960" i="2"/>
  <c r="O4960" i="2"/>
  <c r="N4960" i="2"/>
  <c r="M4960" i="2"/>
  <c r="L4960" i="2"/>
  <c r="K4960" i="2"/>
  <c r="J4960" i="2"/>
  <c r="I4960" i="2"/>
  <c r="H4960" i="2"/>
  <c r="G4960" i="2"/>
  <c r="F4960" i="2"/>
  <c r="E4960" i="2"/>
  <c r="D4960" i="2"/>
  <c r="C4960" i="2"/>
  <c r="B4960" i="2"/>
  <c r="V4959" i="2"/>
  <c r="U4959" i="2"/>
  <c r="T4959" i="2"/>
  <c r="S4959" i="2"/>
  <c r="R4959" i="2"/>
  <c r="Q4959" i="2"/>
  <c r="P4959" i="2"/>
  <c r="O4959" i="2"/>
  <c r="N4959" i="2"/>
  <c r="M4959" i="2"/>
  <c r="L4959" i="2"/>
  <c r="K4959" i="2"/>
  <c r="J4959" i="2"/>
  <c r="I4959" i="2"/>
  <c r="H4959" i="2"/>
  <c r="G4959" i="2"/>
  <c r="F4959" i="2"/>
  <c r="E4959" i="2"/>
  <c r="D4959" i="2"/>
  <c r="C4959" i="2"/>
  <c r="B4959" i="2"/>
  <c r="V4958" i="2"/>
  <c r="U4958" i="2"/>
  <c r="T4958" i="2"/>
  <c r="S4958" i="2"/>
  <c r="R4958" i="2"/>
  <c r="Q4958" i="2"/>
  <c r="P4958" i="2"/>
  <c r="O4958" i="2"/>
  <c r="N4958" i="2"/>
  <c r="M4958" i="2"/>
  <c r="L4958" i="2"/>
  <c r="K4958" i="2"/>
  <c r="J4958" i="2"/>
  <c r="I4958" i="2"/>
  <c r="H4958" i="2"/>
  <c r="G4958" i="2"/>
  <c r="F4958" i="2"/>
  <c r="E4958" i="2"/>
  <c r="D4958" i="2"/>
  <c r="C4958" i="2"/>
  <c r="B4958" i="2"/>
  <c r="V4957" i="2"/>
  <c r="U4957" i="2"/>
  <c r="T4957" i="2"/>
  <c r="S4957" i="2"/>
  <c r="R4957" i="2"/>
  <c r="Q4957" i="2"/>
  <c r="P4957" i="2"/>
  <c r="O4957" i="2"/>
  <c r="N4957" i="2"/>
  <c r="M4957" i="2"/>
  <c r="L4957" i="2"/>
  <c r="K4957" i="2"/>
  <c r="J4957" i="2"/>
  <c r="I4957" i="2"/>
  <c r="H4957" i="2"/>
  <c r="G4957" i="2"/>
  <c r="F4957" i="2"/>
  <c r="E4957" i="2"/>
  <c r="D4957" i="2"/>
  <c r="C4957" i="2"/>
  <c r="B4957" i="2"/>
  <c r="V4956" i="2"/>
  <c r="U4956" i="2"/>
  <c r="T4956" i="2"/>
  <c r="S4956" i="2"/>
  <c r="R4956" i="2"/>
  <c r="Q4956" i="2"/>
  <c r="P4956" i="2"/>
  <c r="O4956" i="2"/>
  <c r="N4956" i="2"/>
  <c r="M4956" i="2"/>
  <c r="L4956" i="2"/>
  <c r="K4956" i="2"/>
  <c r="J4956" i="2"/>
  <c r="I4956" i="2"/>
  <c r="H4956" i="2"/>
  <c r="G4956" i="2"/>
  <c r="F4956" i="2"/>
  <c r="E4956" i="2"/>
  <c r="D4956" i="2"/>
  <c r="C4956" i="2"/>
  <c r="B4956" i="2"/>
  <c r="V4955" i="2"/>
  <c r="U4955" i="2"/>
  <c r="T4955" i="2"/>
  <c r="S4955" i="2"/>
  <c r="R4955" i="2"/>
  <c r="Q4955" i="2"/>
  <c r="P4955" i="2"/>
  <c r="O4955" i="2"/>
  <c r="N4955" i="2"/>
  <c r="M4955" i="2"/>
  <c r="L4955" i="2"/>
  <c r="K4955" i="2"/>
  <c r="J4955" i="2"/>
  <c r="I4955" i="2"/>
  <c r="H4955" i="2"/>
  <c r="G4955" i="2"/>
  <c r="F4955" i="2"/>
  <c r="E4955" i="2"/>
  <c r="D4955" i="2"/>
  <c r="C4955" i="2"/>
  <c r="B4955" i="2"/>
  <c r="V4954" i="2"/>
  <c r="U4954" i="2"/>
  <c r="T4954" i="2"/>
  <c r="S4954" i="2"/>
  <c r="R4954" i="2"/>
  <c r="Q4954" i="2"/>
  <c r="P4954" i="2"/>
  <c r="O4954" i="2"/>
  <c r="N4954" i="2"/>
  <c r="M4954" i="2"/>
  <c r="L4954" i="2"/>
  <c r="K4954" i="2"/>
  <c r="J4954" i="2"/>
  <c r="I4954" i="2"/>
  <c r="H4954" i="2"/>
  <c r="G4954" i="2"/>
  <c r="F4954" i="2"/>
  <c r="E4954" i="2"/>
  <c r="D4954" i="2"/>
  <c r="C4954" i="2"/>
  <c r="B4954" i="2"/>
  <c r="V4953" i="2"/>
  <c r="U4953" i="2"/>
  <c r="T4953" i="2"/>
  <c r="S4953" i="2"/>
  <c r="R4953" i="2"/>
  <c r="Q4953" i="2"/>
  <c r="P4953" i="2"/>
  <c r="O4953" i="2"/>
  <c r="N4953" i="2"/>
  <c r="M4953" i="2"/>
  <c r="L4953" i="2"/>
  <c r="K4953" i="2"/>
  <c r="J4953" i="2"/>
  <c r="I4953" i="2"/>
  <c r="H4953" i="2"/>
  <c r="G4953" i="2"/>
  <c r="F4953" i="2"/>
  <c r="E4953" i="2"/>
  <c r="D4953" i="2"/>
  <c r="C4953" i="2"/>
  <c r="B4953" i="2"/>
  <c r="V4952" i="2"/>
  <c r="U4952" i="2"/>
  <c r="T4952" i="2"/>
  <c r="S4952" i="2"/>
  <c r="R4952" i="2"/>
  <c r="Q4952" i="2"/>
  <c r="P4952" i="2"/>
  <c r="O4952" i="2"/>
  <c r="N4952" i="2"/>
  <c r="M4952" i="2"/>
  <c r="L4952" i="2"/>
  <c r="K4952" i="2"/>
  <c r="J4952" i="2"/>
  <c r="I4952" i="2"/>
  <c r="H4952" i="2"/>
  <c r="G4952" i="2"/>
  <c r="F4952" i="2"/>
  <c r="E4952" i="2"/>
  <c r="D4952" i="2"/>
  <c r="C4952" i="2"/>
  <c r="B4952" i="2"/>
  <c r="V4951" i="2"/>
  <c r="U4951" i="2"/>
  <c r="T4951" i="2"/>
  <c r="S4951" i="2"/>
  <c r="R4951" i="2"/>
  <c r="Q4951" i="2"/>
  <c r="P4951" i="2"/>
  <c r="O4951" i="2"/>
  <c r="N4951" i="2"/>
  <c r="M4951" i="2"/>
  <c r="L4951" i="2"/>
  <c r="K4951" i="2"/>
  <c r="J4951" i="2"/>
  <c r="I4951" i="2"/>
  <c r="H4951" i="2"/>
  <c r="G4951" i="2"/>
  <c r="F4951" i="2"/>
  <c r="E4951" i="2"/>
  <c r="D4951" i="2"/>
  <c r="C4951" i="2"/>
  <c r="B4951" i="2"/>
  <c r="V4950" i="2"/>
  <c r="U4950" i="2"/>
  <c r="T4950" i="2"/>
  <c r="S4950" i="2"/>
  <c r="R4950" i="2"/>
  <c r="Q4950" i="2"/>
  <c r="P4950" i="2"/>
  <c r="O4950" i="2"/>
  <c r="N4950" i="2"/>
  <c r="M4950" i="2"/>
  <c r="L4950" i="2"/>
  <c r="K4950" i="2"/>
  <c r="J4950" i="2"/>
  <c r="I4950" i="2"/>
  <c r="H4950" i="2"/>
  <c r="G4950" i="2"/>
  <c r="F4950" i="2"/>
  <c r="E4950" i="2"/>
  <c r="D4950" i="2"/>
  <c r="C4950" i="2"/>
  <c r="B4950" i="2"/>
  <c r="V4949" i="2"/>
  <c r="U4949" i="2"/>
  <c r="T4949" i="2"/>
  <c r="S4949" i="2"/>
  <c r="R4949" i="2"/>
  <c r="Q4949" i="2"/>
  <c r="P4949" i="2"/>
  <c r="O4949" i="2"/>
  <c r="N4949" i="2"/>
  <c r="M4949" i="2"/>
  <c r="L4949" i="2"/>
  <c r="K4949" i="2"/>
  <c r="J4949" i="2"/>
  <c r="I4949" i="2"/>
  <c r="H4949" i="2"/>
  <c r="G4949" i="2"/>
  <c r="F4949" i="2"/>
  <c r="E4949" i="2"/>
  <c r="D4949" i="2"/>
  <c r="C4949" i="2"/>
  <c r="B4949" i="2"/>
  <c r="V4948" i="2"/>
  <c r="U4948" i="2"/>
  <c r="T4948" i="2"/>
  <c r="S4948" i="2"/>
  <c r="R4948" i="2"/>
  <c r="Q4948" i="2"/>
  <c r="P4948" i="2"/>
  <c r="O4948" i="2"/>
  <c r="N4948" i="2"/>
  <c r="M4948" i="2"/>
  <c r="L4948" i="2"/>
  <c r="K4948" i="2"/>
  <c r="J4948" i="2"/>
  <c r="I4948" i="2"/>
  <c r="H4948" i="2"/>
  <c r="G4948" i="2"/>
  <c r="F4948" i="2"/>
  <c r="E4948" i="2"/>
  <c r="D4948" i="2"/>
  <c r="C4948" i="2"/>
  <c r="B4948" i="2"/>
  <c r="V4947" i="2"/>
  <c r="U4947" i="2"/>
  <c r="T4947" i="2"/>
  <c r="S4947" i="2"/>
  <c r="R4947" i="2"/>
  <c r="Q4947" i="2"/>
  <c r="P4947" i="2"/>
  <c r="O4947" i="2"/>
  <c r="N4947" i="2"/>
  <c r="M4947" i="2"/>
  <c r="L4947" i="2"/>
  <c r="K4947" i="2"/>
  <c r="J4947" i="2"/>
  <c r="I4947" i="2"/>
  <c r="H4947" i="2"/>
  <c r="G4947" i="2"/>
  <c r="F4947" i="2"/>
  <c r="E4947" i="2"/>
  <c r="D4947" i="2"/>
  <c r="C4947" i="2"/>
  <c r="B4947" i="2"/>
  <c r="V4946" i="2"/>
  <c r="U4946" i="2"/>
  <c r="T4946" i="2"/>
  <c r="S4946" i="2"/>
  <c r="R4946" i="2"/>
  <c r="Q4946" i="2"/>
  <c r="P4946" i="2"/>
  <c r="O4946" i="2"/>
  <c r="N4946" i="2"/>
  <c r="M4946" i="2"/>
  <c r="L4946" i="2"/>
  <c r="K4946" i="2"/>
  <c r="J4946" i="2"/>
  <c r="I4946" i="2"/>
  <c r="H4946" i="2"/>
  <c r="G4946" i="2"/>
  <c r="F4946" i="2"/>
  <c r="E4946" i="2"/>
  <c r="D4946" i="2"/>
  <c r="C4946" i="2"/>
  <c r="B4946" i="2"/>
  <c r="V4945" i="2"/>
  <c r="U4945" i="2"/>
  <c r="T4945" i="2"/>
  <c r="S4945" i="2"/>
  <c r="R4945" i="2"/>
  <c r="Q4945" i="2"/>
  <c r="P4945" i="2"/>
  <c r="O4945" i="2"/>
  <c r="N4945" i="2"/>
  <c r="M4945" i="2"/>
  <c r="L4945" i="2"/>
  <c r="K4945" i="2"/>
  <c r="J4945" i="2"/>
  <c r="I4945" i="2"/>
  <c r="H4945" i="2"/>
  <c r="G4945" i="2"/>
  <c r="F4945" i="2"/>
  <c r="E4945" i="2"/>
  <c r="D4945" i="2"/>
  <c r="C4945" i="2"/>
  <c r="B4945" i="2"/>
  <c r="V4944" i="2"/>
  <c r="U4944" i="2"/>
  <c r="T4944" i="2"/>
  <c r="S4944" i="2"/>
  <c r="R4944" i="2"/>
  <c r="Q4944" i="2"/>
  <c r="P4944" i="2"/>
  <c r="O4944" i="2"/>
  <c r="N4944" i="2"/>
  <c r="M4944" i="2"/>
  <c r="L4944" i="2"/>
  <c r="K4944" i="2"/>
  <c r="J4944" i="2"/>
  <c r="I4944" i="2"/>
  <c r="H4944" i="2"/>
  <c r="G4944" i="2"/>
  <c r="F4944" i="2"/>
  <c r="E4944" i="2"/>
  <c r="D4944" i="2"/>
  <c r="C4944" i="2"/>
  <c r="B4944" i="2"/>
  <c r="V4943" i="2"/>
  <c r="U4943" i="2"/>
  <c r="T4943" i="2"/>
  <c r="S4943" i="2"/>
  <c r="R4943" i="2"/>
  <c r="Q4943" i="2"/>
  <c r="P4943" i="2"/>
  <c r="O4943" i="2"/>
  <c r="N4943" i="2"/>
  <c r="M4943" i="2"/>
  <c r="L4943" i="2"/>
  <c r="K4943" i="2"/>
  <c r="J4943" i="2"/>
  <c r="I4943" i="2"/>
  <c r="H4943" i="2"/>
  <c r="G4943" i="2"/>
  <c r="F4943" i="2"/>
  <c r="E4943" i="2"/>
  <c r="D4943" i="2"/>
  <c r="C4943" i="2"/>
  <c r="B4943" i="2"/>
  <c r="V4942" i="2"/>
  <c r="U4942" i="2"/>
  <c r="T4942" i="2"/>
  <c r="S4942" i="2"/>
  <c r="R4942" i="2"/>
  <c r="Q4942" i="2"/>
  <c r="P4942" i="2"/>
  <c r="O4942" i="2"/>
  <c r="N4942" i="2"/>
  <c r="M4942" i="2"/>
  <c r="L4942" i="2"/>
  <c r="K4942" i="2"/>
  <c r="J4942" i="2"/>
  <c r="I4942" i="2"/>
  <c r="H4942" i="2"/>
  <c r="G4942" i="2"/>
  <c r="F4942" i="2"/>
  <c r="E4942" i="2"/>
  <c r="D4942" i="2"/>
  <c r="C4942" i="2"/>
  <c r="B4942" i="2"/>
  <c r="V4941" i="2"/>
  <c r="U4941" i="2"/>
  <c r="T4941" i="2"/>
  <c r="S4941" i="2"/>
  <c r="R4941" i="2"/>
  <c r="Q4941" i="2"/>
  <c r="P4941" i="2"/>
  <c r="O4941" i="2"/>
  <c r="N4941" i="2"/>
  <c r="M4941" i="2"/>
  <c r="L4941" i="2"/>
  <c r="K4941" i="2"/>
  <c r="J4941" i="2"/>
  <c r="I4941" i="2"/>
  <c r="H4941" i="2"/>
  <c r="G4941" i="2"/>
  <c r="F4941" i="2"/>
  <c r="E4941" i="2"/>
  <c r="D4941" i="2"/>
  <c r="C4941" i="2"/>
  <c r="B4941" i="2"/>
  <c r="V4940" i="2"/>
  <c r="U4940" i="2"/>
  <c r="T4940" i="2"/>
  <c r="S4940" i="2"/>
  <c r="R4940" i="2"/>
  <c r="Q4940" i="2"/>
  <c r="P4940" i="2"/>
  <c r="O4940" i="2"/>
  <c r="N4940" i="2"/>
  <c r="M4940" i="2"/>
  <c r="L4940" i="2"/>
  <c r="K4940" i="2"/>
  <c r="J4940" i="2"/>
  <c r="I4940" i="2"/>
  <c r="H4940" i="2"/>
  <c r="G4940" i="2"/>
  <c r="F4940" i="2"/>
  <c r="E4940" i="2"/>
  <c r="D4940" i="2"/>
  <c r="C4940" i="2"/>
  <c r="B4940" i="2"/>
  <c r="V4939" i="2"/>
  <c r="U4939" i="2"/>
  <c r="T4939" i="2"/>
  <c r="S4939" i="2"/>
  <c r="R4939" i="2"/>
  <c r="Q4939" i="2"/>
  <c r="P4939" i="2"/>
  <c r="O4939" i="2"/>
  <c r="N4939" i="2"/>
  <c r="M4939" i="2"/>
  <c r="L4939" i="2"/>
  <c r="K4939" i="2"/>
  <c r="J4939" i="2"/>
  <c r="I4939" i="2"/>
  <c r="H4939" i="2"/>
  <c r="G4939" i="2"/>
  <c r="F4939" i="2"/>
  <c r="E4939" i="2"/>
  <c r="D4939" i="2"/>
  <c r="C4939" i="2"/>
  <c r="B4939" i="2"/>
  <c r="V4938" i="2"/>
  <c r="U4938" i="2"/>
  <c r="T4938" i="2"/>
  <c r="S4938" i="2"/>
  <c r="R4938" i="2"/>
  <c r="Q4938" i="2"/>
  <c r="P4938" i="2"/>
  <c r="O4938" i="2"/>
  <c r="N4938" i="2"/>
  <c r="M4938" i="2"/>
  <c r="L4938" i="2"/>
  <c r="K4938" i="2"/>
  <c r="J4938" i="2"/>
  <c r="I4938" i="2"/>
  <c r="H4938" i="2"/>
  <c r="G4938" i="2"/>
  <c r="F4938" i="2"/>
  <c r="E4938" i="2"/>
  <c r="D4938" i="2"/>
  <c r="C4938" i="2"/>
  <c r="B4938" i="2"/>
  <c r="V4937" i="2"/>
  <c r="U4937" i="2"/>
  <c r="T4937" i="2"/>
  <c r="S4937" i="2"/>
  <c r="R4937" i="2"/>
  <c r="Q4937" i="2"/>
  <c r="P4937" i="2"/>
  <c r="O4937" i="2"/>
  <c r="N4937" i="2"/>
  <c r="M4937" i="2"/>
  <c r="L4937" i="2"/>
  <c r="K4937" i="2"/>
  <c r="J4937" i="2"/>
  <c r="I4937" i="2"/>
  <c r="H4937" i="2"/>
  <c r="G4937" i="2"/>
  <c r="F4937" i="2"/>
  <c r="E4937" i="2"/>
  <c r="D4937" i="2"/>
  <c r="C4937" i="2"/>
  <c r="B4937" i="2"/>
  <c r="V4936" i="2"/>
  <c r="U4936" i="2"/>
  <c r="T4936" i="2"/>
  <c r="S4936" i="2"/>
  <c r="R4936" i="2"/>
  <c r="Q4936" i="2"/>
  <c r="P4936" i="2"/>
  <c r="O4936" i="2"/>
  <c r="N4936" i="2"/>
  <c r="M4936" i="2"/>
  <c r="L4936" i="2"/>
  <c r="K4936" i="2"/>
  <c r="J4936" i="2"/>
  <c r="I4936" i="2"/>
  <c r="H4936" i="2"/>
  <c r="G4936" i="2"/>
  <c r="F4936" i="2"/>
  <c r="E4936" i="2"/>
  <c r="D4936" i="2"/>
  <c r="C4936" i="2"/>
  <c r="B4936" i="2"/>
  <c r="V4935" i="2"/>
  <c r="U4935" i="2"/>
  <c r="T4935" i="2"/>
  <c r="S4935" i="2"/>
  <c r="R4935" i="2"/>
  <c r="Q4935" i="2"/>
  <c r="P4935" i="2"/>
  <c r="O4935" i="2"/>
  <c r="N4935" i="2"/>
  <c r="M4935" i="2"/>
  <c r="L4935" i="2"/>
  <c r="K4935" i="2"/>
  <c r="J4935" i="2"/>
  <c r="I4935" i="2"/>
  <c r="H4935" i="2"/>
  <c r="G4935" i="2"/>
  <c r="F4935" i="2"/>
  <c r="E4935" i="2"/>
  <c r="D4935" i="2"/>
  <c r="C4935" i="2"/>
  <c r="B4935" i="2"/>
  <c r="V4934" i="2"/>
  <c r="U4934" i="2"/>
  <c r="T4934" i="2"/>
  <c r="S4934" i="2"/>
  <c r="R4934" i="2"/>
  <c r="Q4934" i="2"/>
  <c r="P4934" i="2"/>
  <c r="O4934" i="2"/>
  <c r="N4934" i="2"/>
  <c r="M4934" i="2"/>
  <c r="L4934" i="2"/>
  <c r="K4934" i="2"/>
  <c r="J4934" i="2"/>
  <c r="I4934" i="2"/>
  <c r="H4934" i="2"/>
  <c r="G4934" i="2"/>
  <c r="F4934" i="2"/>
  <c r="E4934" i="2"/>
  <c r="D4934" i="2"/>
  <c r="C4934" i="2"/>
  <c r="B4934" i="2"/>
  <c r="V4933" i="2"/>
  <c r="U4933" i="2"/>
  <c r="T4933" i="2"/>
  <c r="S4933" i="2"/>
  <c r="R4933" i="2"/>
  <c r="Q4933" i="2"/>
  <c r="P4933" i="2"/>
  <c r="O4933" i="2"/>
  <c r="N4933" i="2"/>
  <c r="M4933" i="2"/>
  <c r="L4933" i="2"/>
  <c r="K4933" i="2"/>
  <c r="J4933" i="2"/>
  <c r="I4933" i="2"/>
  <c r="H4933" i="2"/>
  <c r="G4933" i="2"/>
  <c r="F4933" i="2"/>
  <c r="E4933" i="2"/>
  <c r="D4933" i="2"/>
  <c r="C4933" i="2"/>
  <c r="B4933" i="2"/>
  <c r="V4932" i="2"/>
  <c r="U4932" i="2"/>
  <c r="T4932" i="2"/>
  <c r="S4932" i="2"/>
  <c r="R4932" i="2"/>
  <c r="Q4932" i="2"/>
  <c r="P4932" i="2"/>
  <c r="O4932" i="2"/>
  <c r="N4932" i="2"/>
  <c r="M4932" i="2"/>
  <c r="L4932" i="2"/>
  <c r="K4932" i="2"/>
  <c r="J4932" i="2"/>
  <c r="I4932" i="2"/>
  <c r="H4932" i="2"/>
  <c r="G4932" i="2"/>
  <c r="F4932" i="2"/>
  <c r="E4932" i="2"/>
  <c r="D4932" i="2"/>
  <c r="C4932" i="2"/>
  <c r="B4932" i="2"/>
  <c r="V4931" i="2"/>
  <c r="U4931" i="2"/>
  <c r="T4931" i="2"/>
  <c r="S4931" i="2"/>
  <c r="R4931" i="2"/>
  <c r="Q4931" i="2"/>
  <c r="P4931" i="2"/>
  <c r="O4931" i="2"/>
  <c r="N4931" i="2"/>
  <c r="M4931" i="2"/>
  <c r="L4931" i="2"/>
  <c r="K4931" i="2"/>
  <c r="J4931" i="2"/>
  <c r="I4931" i="2"/>
  <c r="H4931" i="2"/>
  <c r="G4931" i="2"/>
  <c r="F4931" i="2"/>
  <c r="E4931" i="2"/>
  <c r="D4931" i="2"/>
  <c r="C4931" i="2"/>
  <c r="B4931" i="2"/>
  <c r="V4930" i="2"/>
  <c r="U4930" i="2"/>
  <c r="T4930" i="2"/>
  <c r="S4930" i="2"/>
  <c r="R4930" i="2"/>
  <c r="Q4930" i="2"/>
  <c r="P4930" i="2"/>
  <c r="O4930" i="2"/>
  <c r="N4930" i="2"/>
  <c r="M4930" i="2"/>
  <c r="L4930" i="2"/>
  <c r="K4930" i="2"/>
  <c r="J4930" i="2"/>
  <c r="I4930" i="2"/>
  <c r="H4930" i="2"/>
  <c r="G4930" i="2"/>
  <c r="F4930" i="2"/>
  <c r="E4930" i="2"/>
  <c r="D4930" i="2"/>
  <c r="C4930" i="2"/>
  <c r="B4930" i="2"/>
  <c r="V4929" i="2"/>
  <c r="U4929" i="2"/>
  <c r="T4929" i="2"/>
  <c r="S4929" i="2"/>
  <c r="R4929" i="2"/>
  <c r="Q4929" i="2"/>
  <c r="P4929" i="2"/>
  <c r="O4929" i="2"/>
  <c r="N4929" i="2"/>
  <c r="M4929" i="2"/>
  <c r="L4929" i="2"/>
  <c r="K4929" i="2"/>
  <c r="J4929" i="2"/>
  <c r="I4929" i="2"/>
  <c r="H4929" i="2"/>
  <c r="G4929" i="2"/>
  <c r="F4929" i="2"/>
  <c r="E4929" i="2"/>
  <c r="D4929" i="2"/>
  <c r="C4929" i="2"/>
  <c r="B4929" i="2"/>
  <c r="V4928" i="2"/>
  <c r="U4928" i="2"/>
  <c r="T4928" i="2"/>
  <c r="S4928" i="2"/>
  <c r="R4928" i="2"/>
  <c r="Q4928" i="2"/>
  <c r="P4928" i="2"/>
  <c r="O4928" i="2"/>
  <c r="N4928" i="2"/>
  <c r="M4928" i="2"/>
  <c r="L4928" i="2"/>
  <c r="K4928" i="2"/>
  <c r="J4928" i="2"/>
  <c r="I4928" i="2"/>
  <c r="H4928" i="2"/>
  <c r="G4928" i="2"/>
  <c r="F4928" i="2"/>
  <c r="E4928" i="2"/>
  <c r="D4928" i="2"/>
  <c r="C4928" i="2"/>
  <c r="B4928" i="2"/>
  <c r="V4927" i="2"/>
  <c r="U4927" i="2"/>
  <c r="T4927" i="2"/>
  <c r="S4927" i="2"/>
  <c r="R4927" i="2"/>
  <c r="Q4927" i="2"/>
  <c r="P4927" i="2"/>
  <c r="O4927" i="2"/>
  <c r="N4927" i="2"/>
  <c r="M4927" i="2"/>
  <c r="L4927" i="2"/>
  <c r="K4927" i="2"/>
  <c r="J4927" i="2"/>
  <c r="I4927" i="2"/>
  <c r="H4927" i="2"/>
  <c r="G4927" i="2"/>
  <c r="F4927" i="2"/>
  <c r="E4927" i="2"/>
  <c r="D4927" i="2"/>
  <c r="C4927" i="2"/>
  <c r="B4927" i="2"/>
  <c r="V4926" i="2"/>
  <c r="U4926" i="2"/>
  <c r="T4926" i="2"/>
  <c r="S4926" i="2"/>
  <c r="R4926" i="2"/>
  <c r="Q4926" i="2"/>
  <c r="P4926" i="2"/>
  <c r="O4926" i="2"/>
  <c r="N4926" i="2"/>
  <c r="M4926" i="2"/>
  <c r="L4926" i="2"/>
  <c r="K4926" i="2"/>
  <c r="J4926" i="2"/>
  <c r="I4926" i="2"/>
  <c r="H4926" i="2"/>
  <c r="G4926" i="2"/>
  <c r="F4926" i="2"/>
  <c r="E4926" i="2"/>
  <c r="D4926" i="2"/>
  <c r="C4926" i="2"/>
  <c r="B4926" i="2"/>
  <c r="V4925" i="2"/>
  <c r="U4925" i="2"/>
  <c r="T4925" i="2"/>
  <c r="S4925" i="2"/>
  <c r="R4925" i="2"/>
  <c r="Q4925" i="2"/>
  <c r="P4925" i="2"/>
  <c r="O4925" i="2"/>
  <c r="N4925" i="2"/>
  <c r="M4925" i="2"/>
  <c r="L4925" i="2"/>
  <c r="K4925" i="2"/>
  <c r="J4925" i="2"/>
  <c r="I4925" i="2"/>
  <c r="H4925" i="2"/>
  <c r="G4925" i="2"/>
  <c r="F4925" i="2"/>
  <c r="E4925" i="2"/>
  <c r="D4925" i="2"/>
  <c r="C4925" i="2"/>
  <c r="B4925" i="2"/>
  <c r="V4924" i="2"/>
  <c r="U4924" i="2"/>
  <c r="T4924" i="2"/>
  <c r="S4924" i="2"/>
  <c r="R4924" i="2"/>
  <c r="Q4924" i="2"/>
  <c r="P4924" i="2"/>
  <c r="O4924" i="2"/>
  <c r="N4924" i="2"/>
  <c r="M4924" i="2"/>
  <c r="L4924" i="2"/>
  <c r="K4924" i="2"/>
  <c r="J4924" i="2"/>
  <c r="I4924" i="2"/>
  <c r="H4924" i="2"/>
  <c r="G4924" i="2"/>
  <c r="F4924" i="2"/>
  <c r="E4924" i="2"/>
  <c r="D4924" i="2"/>
  <c r="C4924" i="2"/>
  <c r="B4924" i="2"/>
  <c r="V4923" i="2"/>
  <c r="U4923" i="2"/>
  <c r="T4923" i="2"/>
  <c r="S4923" i="2"/>
  <c r="R4923" i="2"/>
  <c r="Q4923" i="2"/>
  <c r="P4923" i="2"/>
  <c r="O4923" i="2"/>
  <c r="N4923" i="2"/>
  <c r="M4923" i="2"/>
  <c r="L4923" i="2"/>
  <c r="K4923" i="2"/>
  <c r="J4923" i="2"/>
  <c r="I4923" i="2"/>
  <c r="H4923" i="2"/>
  <c r="G4923" i="2"/>
  <c r="F4923" i="2"/>
  <c r="E4923" i="2"/>
  <c r="D4923" i="2"/>
  <c r="C4923" i="2"/>
  <c r="B4923" i="2"/>
  <c r="V4922" i="2"/>
  <c r="U4922" i="2"/>
  <c r="T4922" i="2"/>
  <c r="S4922" i="2"/>
  <c r="R4922" i="2"/>
  <c r="Q4922" i="2"/>
  <c r="P4922" i="2"/>
  <c r="O4922" i="2"/>
  <c r="N4922" i="2"/>
  <c r="M4922" i="2"/>
  <c r="L4922" i="2"/>
  <c r="K4922" i="2"/>
  <c r="J4922" i="2"/>
  <c r="I4922" i="2"/>
  <c r="H4922" i="2"/>
  <c r="G4922" i="2"/>
  <c r="F4922" i="2"/>
  <c r="E4922" i="2"/>
  <c r="D4922" i="2"/>
  <c r="C4922" i="2"/>
  <c r="B4922" i="2"/>
  <c r="V4921" i="2"/>
  <c r="U4921" i="2"/>
  <c r="T4921" i="2"/>
  <c r="S4921" i="2"/>
  <c r="R4921" i="2"/>
  <c r="Q4921" i="2"/>
  <c r="P4921" i="2"/>
  <c r="O4921" i="2"/>
  <c r="N4921" i="2"/>
  <c r="M4921" i="2"/>
  <c r="L4921" i="2"/>
  <c r="K4921" i="2"/>
  <c r="J4921" i="2"/>
  <c r="I4921" i="2"/>
  <c r="H4921" i="2"/>
  <c r="G4921" i="2"/>
  <c r="F4921" i="2"/>
  <c r="E4921" i="2"/>
  <c r="D4921" i="2"/>
  <c r="C4921" i="2"/>
  <c r="B4921" i="2"/>
  <c r="V4920" i="2"/>
  <c r="U4920" i="2"/>
  <c r="T4920" i="2"/>
  <c r="S4920" i="2"/>
  <c r="R4920" i="2"/>
  <c r="Q4920" i="2"/>
  <c r="P4920" i="2"/>
  <c r="O4920" i="2"/>
  <c r="N4920" i="2"/>
  <c r="M4920" i="2"/>
  <c r="L4920" i="2"/>
  <c r="K4920" i="2"/>
  <c r="J4920" i="2"/>
  <c r="I4920" i="2"/>
  <c r="H4920" i="2"/>
  <c r="G4920" i="2"/>
  <c r="F4920" i="2"/>
  <c r="E4920" i="2"/>
  <c r="D4920" i="2"/>
  <c r="C4920" i="2"/>
  <c r="B4920" i="2"/>
  <c r="V4919" i="2"/>
  <c r="U4919" i="2"/>
  <c r="T4919" i="2"/>
  <c r="S4919" i="2"/>
  <c r="R4919" i="2"/>
  <c r="Q4919" i="2"/>
  <c r="P4919" i="2"/>
  <c r="O4919" i="2"/>
  <c r="N4919" i="2"/>
  <c r="M4919" i="2"/>
  <c r="L4919" i="2"/>
  <c r="K4919" i="2"/>
  <c r="J4919" i="2"/>
  <c r="I4919" i="2"/>
  <c r="H4919" i="2"/>
  <c r="G4919" i="2"/>
  <c r="F4919" i="2"/>
  <c r="E4919" i="2"/>
  <c r="D4919" i="2"/>
  <c r="C4919" i="2"/>
  <c r="B4919" i="2"/>
  <c r="V4918" i="2"/>
  <c r="U4918" i="2"/>
  <c r="T4918" i="2"/>
  <c r="S4918" i="2"/>
  <c r="R4918" i="2"/>
  <c r="Q4918" i="2"/>
  <c r="P4918" i="2"/>
  <c r="O4918" i="2"/>
  <c r="N4918" i="2"/>
  <c r="M4918" i="2"/>
  <c r="L4918" i="2"/>
  <c r="K4918" i="2"/>
  <c r="J4918" i="2"/>
  <c r="I4918" i="2"/>
  <c r="H4918" i="2"/>
  <c r="G4918" i="2"/>
  <c r="F4918" i="2"/>
  <c r="E4918" i="2"/>
  <c r="D4918" i="2"/>
  <c r="C4918" i="2"/>
  <c r="B4918" i="2"/>
  <c r="V4917" i="2"/>
  <c r="U4917" i="2"/>
  <c r="T4917" i="2"/>
  <c r="S4917" i="2"/>
  <c r="R4917" i="2"/>
  <c r="Q4917" i="2"/>
  <c r="P4917" i="2"/>
  <c r="O4917" i="2"/>
  <c r="N4917" i="2"/>
  <c r="M4917" i="2"/>
  <c r="L4917" i="2"/>
  <c r="K4917" i="2"/>
  <c r="J4917" i="2"/>
  <c r="I4917" i="2"/>
  <c r="H4917" i="2"/>
  <c r="G4917" i="2"/>
  <c r="F4917" i="2"/>
  <c r="E4917" i="2"/>
  <c r="D4917" i="2"/>
  <c r="C4917" i="2"/>
  <c r="B4917" i="2"/>
  <c r="V4916" i="2"/>
  <c r="U4916" i="2"/>
  <c r="T4916" i="2"/>
  <c r="S4916" i="2"/>
  <c r="R4916" i="2"/>
  <c r="Q4916" i="2"/>
  <c r="P4916" i="2"/>
  <c r="O4916" i="2"/>
  <c r="N4916" i="2"/>
  <c r="M4916" i="2"/>
  <c r="L4916" i="2"/>
  <c r="K4916" i="2"/>
  <c r="J4916" i="2"/>
  <c r="I4916" i="2"/>
  <c r="H4916" i="2"/>
  <c r="G4916" i="2"/>
  <c r="F4916" i="2"/>
  <c r="E4916" i="2"/>
  <c r="D4916" i="2"/>
  <c r="C4916" i="2"/>
  <c r="B4916" i="2"/>
  <c r="V4915" i="2"/>
  <c r="U4915" i="2"/>
  <c r="T4915" i="2"/>
  <c r="S4915" i="2"/>
  <c r="R4915" i="2"/>
  <c r="Q4915" i="2"/>
  <c r="P4915" i="2"/>
  <c r="O4915" i="2"/>
  <c r="N4915" i="2"/>
  <c r="M4915" i="2"/>
  <c r="L4915" i="2"/>
  <c r="K4915" i="2"/>
  <c r="J4915" i="2"/>
  <c r="I4915" i="2"/>
  <c r="H4915" i="2"/>
  <c r="G4915" i="2"/>
  <c r="F4915" i="2"/>
  <c r="E4915" i="2"/>
  <c r="D4915" i="2"/>
  <c r="C4915" i="2"/>
  <c r="B4915" i="2"/>
  <c r="V4914" i="2"/>
  <c r="U4914" i="2"/>
  <c r="T4914" i="2"/>
  <c r="S4914" i="2"/>
  <c r="R4914" i="2"/>
  <c r="Q4914" i="2"/>
  <c r="P4914" i="2"/>
  <c r="O4914" i="2"/>
  <c r="N4914" i="2"/>
  <c r="M4914" i="2"/>
  <c r="L4914" i="2"/>
  <c r="K4914" i="2"/>
  <c r="J4914" i="2"/>
  <c r="I4914" i="2"/>
  <c r="H4914" i="2"/>
  <c r="G4914" i="2"/>
  <c r="F4914" i="2"/>
  <c r="E4914" i="2"/>
  <c r="D4914" i="2"/>
  <c r="C4914" i="2"/>
  <c r="B4914" i="2"/>
  <c r="V4913" i="2"/>
  <c r="U4913" i="2"/>
  <c r="T4913" i="2"/>
  <c r="S4913" i="2"/>
  <c r="R4913" i="2"/>
  <c r="Q4913" i="2"/>
  <c r="P4913" i="2"/>
  <c r="O4913" i="2"/>
  <c r="N4913" i="2"/>
  <c r="M4913" i="2"/>
  <c r="L4913" i="2"/>
  <c r="K4913" i="2"/>
  <c r="J4913" i="2"/>
  <c r="I4913" i="2"/>
  <c r="H4913" i="2"/>
  <c r="G4913" i="2"/>
  <c r="F4913" i="2"/>
  <c r="E4913" i="2"/>
  <c r="D4913" i="2"/>
  <c r="C4913" i="2"/>
  <c r="B4913" i="2"/>
  <c r="V4912" i="2"/>
  <c r="U4912" i="2"/>
  <c r="T4912" i="2"/>
  <c r="S4912" i="2"/>
  <c r="R4912" i="2"/>
  <c r="Q4912" i="2"/>
  <c r="P4912" i="2"/>
  <c r="O4912" i="2"/>
  <c r="N4912" i="2"/>
  <c r="M4912" i="2"/>
  <c r="L4912" i="2"/>
  <c r="K4912" i="2"/>
  <c r="J4912" i="2"/>
  <c r="I4912" i="2"/>
  <c r="H4912" i="2"/>
  <c r="G4912" i="2"/>
  <c r="F4912" i="2"/>
  <c r="E4912" i="2"/>
  <c r="D4912" i="2"/>
  <c r="C4912" i="2"/>
  <c r="B4912" i="2"/>
  <c r="V4911" i="2"/>
  <c r="U4911" i="2"/>
  <c r="T4911" i="2"/>
  <c r="S4911" i="2"/>
  <c r="R4911" i="2"/>
  <c r="Q4911" i="2"/>
  <c r="P4911" i="2"/>
  <c r="O4911" i="2"/>
  <c r="N4911" i="2"/>
  <c r="M4911" i="2"/>
  <c r="L4911" i="2"/>
  <c r="K4911" i="2"/>
  <c r="J4911" i="2"/>
  <c r="I4911" i="2"/>
  <c r="H4911" i="2"/>
  <c r="G4911" i="2"/>
  <c r="F4911" i="2"/>
  <c r="E4911" i="2"/>
  <c r="D4911" i="2"/>
  <c r="C4911" i="2"/>
  <c r="B4911" i="2"/>
  <c r="V4910" i="2"/>
  <c r="U4910" i="2"/>
  <c r="T4910" i="2"/>
  <c r="S4910" i="2"/>
  <c r="R4910" i="2"/>
  <c r="Q4910" i="2"/>
  <c r="P4910" i="2"/>
  <c r="O4910" i="2"/>
  <c r="N4910" i="2"/>
  <c r="M4910" i="2"/>
  <c r="L4910" i="2"/>
  <c r="K4910" i="2"/>
  <c r="J4910" i="2"/>
  <c r="I4910" i="2"/>
  <c r="H4910" i="2"/>
  <c r="G4910" i="2"/>
  <c r="F4910" i="2"/>
  <c r="E4910" i="2"/>
  <c r="D4910" i="2"/>
  <c r="C4910" i="2"/>
  <c r="B4910" i="2"/>
  <c r="V4909" i="2"/>
  <c r="U4909" i="2"/>
  <c r="T4909" i="2"/>
  <c r="S4909" i="2"/>
  <c r="R4909" i="2"/>
  <c r="Q4909" i="2"/>
  <c r="P4909" i="2"/>
  <c r="O4909" i="2"/>
  <c r="N4909" i="2"/>
  <c r="M4909" i="2"/>
  <c r="L4909" i="2"/>
  <c r="K4909" i="2"/>
  <c r="J4909" i="2"/>
  <c r="I4909" i="2"/>
  <c r="H4909" i="2"/>
  <c r="G4909" i="2"/>
  <c r="F4909" i="2"/>
  <c r="E4909" i="2"/>
  <c r="D4909" i="2"/>
  <c r="C4909" i="2"/>
  <c r="B4909" i="2"/>
  <c r="V4908" i="2"/>
  <c r="U4908" i="2"/>
  <c r="T4908" i="2"/>
  <c r="S4908" i="2"/>
  <c r="R4908" i="2"/>
  <c r="Q4908" i="2"/>
  <c r="P4908" i="2"/>
  <c r="O4908" i="2"/>
  <c r="N4908" i="2"/>
  <c r="M4908" i="2"/>
  <c r="L4908" i="2"/>
  <c r="K4908" i="2"/>
  <c r="J4908" i="2"/>
  <c r="I4908" i="2"/>
  <c r="H4908" i="2"/>
  <c r="G4908" i="2"/>
  <c r="F4908" i="2"/>
  <c r="E4908" i="2"/>
  <c r="D4908" i="2"/>
  <c r="C4908" i="2"/>
  <c r="B4908" i="2"/>
  <c r="V4907" i="2"/>
  <c r="U4907" i="2"/>
  <c r="T4907" i="2"/>
  <c r="S4907" i="2"/>
  <c r="R4907" i="2"/>
  <c r="Q4907" i="2"/>
  <c r="P4907" i="2"/>
  <c r="O4907" i="2"/>
  <c r="N4907" i="2"/>
  <c r="M4907" i="2"/>
  <c r="L4907" i="2"/>
  <c r="K4907" i="2"/>
  <c r="J4907" i="2"/>
  <c r="I4907" i="2"/>
  <c r="H4907" i="2"/>
  <c r="G4907" i="2"/>
  <c r="F4907" i="2"/>
  <c r="E4907" i="2"/>
  <c r="D4907" i="2"/>
  <c r="C4907" i="2"/>
  <c r="B4907" i="2"/>
  <c r="V4906" i="2"/>
  <c r="U4906" i="2"/>
  <c r="T4906" i="2"/>
  <c r="S4906" i="2"/>
  <c r="R4906" i="2"/>
  <c r="Q4906" i="2"/>
  <c r="P4906" i="2"/>
  <c r="O4906" i="2"/>
  <c r="N4906" i="2"/>
  <c r="M4906" i="2"/>
  <c r="L4906" i="2"/>
  <c r="K4906" i="2"/>
  <c r="J4906" i="2"/>
  <c r="I4906" i="2"/>
  <c r="H4906" i="2"/>
  <c r="G4906" i="2"/>
  <c r="F4906" i="2"/>
  <c r="E4906" i="2"/>
  <c r="D4906" i="2"/>
  <c r="C4906" i="2"/>
  <c r="B4906" i="2"/>
  <c r="V4905" i="2"/>
  <c r="U4905" i="2"/>
  <c r="T4905" i="2"/>
  <c r="S4905" i="2"/>
  <c r="R4905" i="2"/>
  <c r="Q4905" i="2"/>
  <c r="P4905" i="2"/>
  <c r="O4905" i="2"/>
  <c r="N4905" i="2"/>
  <c r="M4905" i="2"/>
  <c r="L4905" i="2"/>
  <c r="K4905" i="2"/>
  <c r="J4905" i="2"/>
  <c r="I4905" i="2"/>
  <c r="H4905" i="2"/>
  <c r="G4905" i="2"/>
  <c r="F4905" i="2"/>
  <c r="E4905" i="2"/>
  <c r="D4905" i="2"/>
  <c r="C4905" i="2"/>
  <c r="B4905" i="2"/>
  <c r="V4904" i="2"/>
  <c r="U4904" i="2"/>
  <c r="T4904" i="2"/>
  <c r="S4904" i="2"/>
  <c r="R4904" i="2"/>
  <c r="Q4904" i="2"/>
  <c r="P4904" i="2"/>
  <c r="O4904" i="2"/>
  <c r="N4904" i="2"/>
  <c r="M4904" i="2"/>
  <c r="L4904" i="2"/>
  <c r="K4904" i="2"/>
  <c r="J4904" i="2"/>
  <c r="I4904" i="2"/>
  <c r="H4904" i="2"/>
  <c r="G4904" i="2"/>
  <c r="F4904" i="2"/>
  <c r="E4904" i="2"/>
  <c r="D4904" i="2"/>
  <c r="C4904" i="2"/>
  <c r="B4904" i="2"/>
  <c r="V4903" i="2"/>
  <c r="U4903" i="2"/>
  <c r="T4903" i="2"/>
  <c r="S4903" i="2"/>
  <c r="R4903" i="2"/>
  <c r="Q4903" i="2"/>
  <c r="P4903" i="2"/>
  <c r="O4903" i="2"/>
  <c r="N4903" i="2"/>
  <c r="M4903" i="2"/>
  <c r="L4903" i="2"/>
  <c r="K4903" i="2"/>
  <c r="J4903" i="2"/>
  <c r="I4903" i="2"/>
  <c r="H4903" i="2"/>
  <c r="G4903" i="2"/>
  <c r="F4903" i="2"/>
  <c r="E4903" i="2"/>
  <c r="D4903" i="2"/>
  <c r="C4903" i="2"/>
  <c r="B4903" i="2"/>
  <c r="V4902" i="2"/>
  <c r="U4902" i="2"/>
  <c r="T4902" i="2"/>
  <c r="S4902" i="2"/>
  <c r="R4902" i="2"/>
  <c r="Q4902" i="2"/>
  <c r="P4902" i="2"/>
  <c r="O4902" i="2"/>
  <c r="N4902" i="2"/>
  <c r="M4902" i="2"/>
  <c r="L4902" i="2"/>
  <c r="K4902" i="2"/>
  <c r="J4902" i="2"/>
  <c r="I4902" i="2"/>
  <c r="H4902" i="2"/>
  <c r="G4902" i="2"/>
  <c r="F4902" i="2"/>
  <c r="E4902" i="2"/>
  <c r="D4902" i="2"/>
  <c r="C4902" i="2"/>
  <c r="B4902" i="2"/>
  <c r="V4901" i="2"/>
  <c r="U4901" i="2"/>
  <c r="T4901" i="2"/>
  <c r="S4901" i="2"/>
  <c r="R4901" i="2"/>
  <c r="Q4901" i="2"/>
  <c r="P4901" i="2"/>
  <c r="O4901" i="2"/>
  <c r="N4901" i="2"/>
  <c r="M4901" i="2"/>
  <c r="L4901" i="2"/>
  <c r="K4901" i="2"/>
  <c r="J4901" i="2"/>
  <c r="I4901" i="2"/>
  <c r="H4901" i="2"/>
  <c r="G4901" i="2"/>
  <c r="F4901" i="2"/>
  <c r="E4901" i="2"/>
  <c r="D4901" i="2"/>
  <c r="C4901" i="2"/>
  <c r="B4901" i="2"/>
  <c r="V4900" i="2"/>
  <c r="U4900" i="2"/>
  <c r="T4900" i="2"/>
  <c r="S4900" i="2"/>
  <c r="R4900" i="2"/>
  <c r="Q4900" i="2"/>
  <c r="P4900" i="2"/>
  <c r="O4900" i="2"/>
  <c r="N4900" i="2"/>
  <c r="M4900" i="2"/>
  <c r="L4900" i="2"/>
  <c r="K4900" i="2"/>
  <c r="J4900" i="2"/>
  <c r="I4900" i="2"/>
  <c r="H4900" i="2"/>
  <c r="G4900" i="2"/>
  <c r="F4900" i="2"/>
  <c r="E4900" i="2"/>
  <c r="D4900" i="2"/>
  <c r="C4900" i="2"/>
  <c r="B4900" i="2"/>
  <c r="V4899" i="2"/>
  <c r="U4899" i="2"/>
  <c r="T4899" i="2"/>
  <c r="S4899" i="2"/>
  <c r="R4899" i="2"/>
  <c r="Q4899" i="2"/>
  <c r="P4899" i="2"/>
  <c r="O4899" i="2"/>
  <c r="N4899" i="2"/>
  <c r="M4899" i="2"/>
  <c r="L4899" i="2"/>
  <c r="K4899" i="2"/>
  <c r="J4899" i="2"/>
  <c r="I4899" i="2"/>
  <c r="H4899" i="2"/>
  <c r="G4899" i="2"/>
  <c r="F4899" i="2"/>
  <c r="E4899" i="2"/>
  <c r="D4899" i="2"/>
  <c r="C4899" i="2"/>
  <c r="B4899" i="2"/>
  <c r="V4898" i="2"/>
  <c r="U4898" i="2"/>
  <c r="T4898" i="2"/>
  <c r="S4898" i="2"/>
  <c r="R4898" i="2"/>
  <c r="Q4898" i="2"/>
  <c r="P4898" i="2"/>
  <c r="O4898" i="2"/>
  <c r="N4898" i="2"/>
  <c r="M4898" i="2"/>
  <c r="L4898" i="2"/>
  <c r="K4898" i="2"/>
  <c r="J4898" i="2"/>
  <c r="I4898" i="2"/>
  <c r="H4898" i="2"/>
  <c r="G4898" i="2"/>
  <c r="F4898" i="2"/>
  <c r="E4898" i="2"/>
  <c r="D4898" i="2"/>
  <c r="C4898" i="2"/>
  <c r="B4898" i="2"/>
  <c r="V4897" i="2"/>
  <c r="U4897" i="2"/>
  <c r="T4897" i="2"/>
  <c r="S4897" i="2"/>
  <c r="R4897" i="2"/>
  <c r="Q4897" i="2"/>
  <c r="P4897" i="2"/>
  <c r="O4897" i="2"/>
  <c r="N4897" i="2"/>
  <c r="M4897" i="2"/>
  <c r="L4897" i="2"/>
  <c r="K4897" i="2"/>
  <c r="J4897" i="2"/>
  <c r="I4897" i="2"/>
  <c r="H4897" i="2"/>
  <c r="G4897" i="2"/>
  <c r="F4897" i="2"/>
  <c r="E4897" i="2"/>
  <c r="D4897" i="2"/>
  <c r="C4897" i="2"/>
  <c r="B4897" i="2"/>
  <c r="V4896" i="2"/>
  <c r="U4896" i="2"/>
  <c r="T4896" i="2"/>
  <c r="S4896" i="2"/>
  <c r="R4896" i="2"/>
  <c r="Q4896" i="2"/>
  <c r="P4896" i="2"/>
  <c r="O4896" i="2"/>
  <c r="N4896" i="2"/>
  <c r="M4896" i="2"/>
  <c r="L4896" i="2"/>
  <c r="K4896" i="2"/>
  <c r="J4896" i="2"/>
  <c r="I4896" i="2"/>
  <c r="H4896" i="2"/>
  <c r="G4896" i="2"/>
  <c r="F4896" i="2"/>
  <c r="E4896" i="2"/>
  <c r="D4896" i="2"/>
  <c r="C4896" i="2"/>
  <c r="B4896" i="2"/>
  <c r="V4895" i="2"/>
  <c r="U4895" i="2"/>
  <c r="T4895" i="2"/>
  <c r="S4895" i="2"/>
  <c r="R4895" i="2"/>
  <c r="Q4895" i="2"/>
  <c r="P4895" i="2"/>
  <c r="O4895" i="2"/>
  <c r="N4895" i="2"/>
  <c r="M4895" i="2"/>
  <c r="L4895" i="2"/>
  <c r="K4895" i="2"/>
  <c r="J4895" i="2"/>
  <c r="I4895" i="2"/>
  <c r="H4895" i="2"/>
  <c r="G4895" i="2"/>
  <c r="F4895" i="2"/>
  <c r="E4895" i="2"/>
  <c r="D4895" i="2"/>
  <c r="C4895" i="2"/>
  <c r="B4895" i="2"/>
  <c r="V4894" i="2"/>
  <c r="U4894" i="2"/>
  <c r="T4894" i="2"/>
  <c r="S4894" i="2"/>
  <c r="R4894" i="2"/>
  <c r="Q4894" i="2"/>
  <c r="P4894" i="2"/>
  <c r="O4894" i="2"/>
  <c r="N4894" i="2"/>
  <c r="M4894" i="2"/>
  <c r="L4894" i="2"/>
  <c r="K4894" i="2"/>
  <c r="J4894" i="2"/>
  <c r="I4894" i="2"/>
  <c r="H4894" i="2"/>
  <c r="G4894" i="2"/>
  <c r="F4894" i="2"/>
  <c r="E4894" i="2"/>
  <c r="D4894" i="2"/>
  <c r="C4894" i="2"/>
  <c r="B4894" i="2"/>
  <c r="V4893" i="2"/>
  <c r="U4893" i="2"/>
  <c r="T4893" i="2"/>
  <c r="S4893" i="2"/>
  <c r="R4893" i="2"/>
  <c r="Q4893" i="2"/>
  <c r="P4893" i="2"/>
  <c r="O4893" i="2"/>
  <c r="N4893" i="2"/>
  <c r="M4893" i="2"/>
  <c r="L4893" i="2"/>
  <c r="K4893" i="2"/>
  <c r="J4893" i="2"/>
  <c r="I4893" i="2"/>
  <c r="H4893" i="2"/>
  <c r="G4893" i="2"/>
  <c r="F4893" i="2"/>
  <c r="E4893" i="2"/>
  <c r="D4893" i="2"/>
  <c r="C4893" i="2"/>
  <c r="B4893" i="2"/>
  <c r="V4892" i="2"/>
  <c r="U4892" i="2"/>
  <c r="T4892" i="2"/>
  <c r="S4892" i="2"/>
  <c r="R4892" i="2"/>
  <c r="Q4892" i="2"/>
  <c r="P4892" i="2"/>
  <c r="O4892" i="2"/>
  <c r="N4892" i="2"/>
  <c r="M4892" i="2"/>
  <c r="L4892" i="2"/>
  <c r="K4892" i="2"/>
  <c r="J4892" i="2"/>
  <c r="I4892" i="2"/>
  <c r="H4892" i="2"/>
  <c r="G4892" i="2"/>
  <c r="F4892" i="2"/>
  <c r="E4892" i="2"/>
  <c r="D4892" i="2"/>
  <c r="C4892" i="2"/>
  <c r="B4892" i="2"/>
  <c r="V4891" i="2"/>
  <c r="U4891" i="2"/>
  <c r="T4891" i="2"/>
  <c r="S4891" i="2"/>
  <c r="R4891" i="2"/>
  <c r="Q4891" i="2"/>
  <c r="P4891" i="2"/>
  <c r="O4891" i="2"/>
  <c r="N4891" i="2"/>
  <c r="M4891" i="2"/>
  <c r="L4891" i="2"/>
  <c r="K4891" i="2"/>
  <c r="J4891" i="2"/>
  <c r="I4891" i="2"/>
  <c r="H4891" i="2"/>
  <c r="G4891" i="2"/>
  <c r="F4891" i="2"/>
  <c r="E4891" i="2"/>
  <c r="D4891" i="2"/>
  <c r="C4891" i="2"/>
  <c r="B4891" i="2"/>
  <c r="V4890" i="2"/>
  <c r="U4890" i="2"/>
  <c r="T4890" i="2"/>
  <c r="S4890" i="2"/>
  <c r="R4890" i="2"/>
  <c r="Q4890" i="2"/>
  <c r="P4890" i="2"/>
  <c r="O4890" i="2"/>
  <c r="N4890" i="2"/>
  <c r="M4890" i="2"/>
  <c r="L4890" i="2"/>
  <c r="K4890" i="2"/>
  <c r="J4890" i="2"/>
  <c r="I4890" i="2"/>
  <c r="H4890" i="2"/>
  <c r="G4890" i="2"/>
  <c r="F4890" i="2"/>
  <c r="E4890" i="2"/>
  <c r="D4890" i="2"/>
  <c r="C4890" i="2"/>
  <c r="B4890" i="2"/>
  <c r="V4889" i="2"/>
  <c r="U4889" i="2"/>
  <c r="T4889" i="2"/>
  <c r="S4889" i="2"/>
  <c r="R4889" i="2"/>
  <c r="Q4889" i="2"/>
  <c r="P4889" i="2"/>
  <c r="O4889" i="2"/>
  <c r="N4889" i="2"/>
  <c r="M4889" i="2"/>
  <c r="L4889" i="2"/>
  <c r="K4889" i="2"/>
  <c r="J4889" i="2"/>
  <c r="I4889" i="2"/>
  <c r="H4889" i="2"/>
  <c r="G4889" i="2"/>
  <c r="F4889" i="2"/>
  <c r="E4889" i="2"/>
  <c r="D4889" i="2"/>
  <c r="C4889" i="2"/>
  <c r="B4889" i="2"/>
  <c r="V4888" i="2"/>
  <c r="U4888" i="2"/>
  <c r="T4888" i="2"/>
  <c r="S4888" i="2"/>
  <c r="R4888" i="2"/>
  <c r="Q4888" i="2"/>
  <c r="P4888" i="2"/>
  <c r="O4888" i="2"/>
  <c r="N4888" i="2"/>
  <c r="M4888" i="2"/>
  <c r="L4888" i="2"/>
  <c r="K4888" i="2"/>
  <c r="J4888" i="2"/>
  <c r="I4888" i="2"/>
  <c r="H4888" i="2"/>
  <c r="G4888" i="2"/>
  <c r="F4888" i="2"/>
  <c r="E4888" i="2"/>
  <c r="D4888" i="2"/>
  <c r="C4888" i="2"/>
  <c r="B4888" i="2"/>
  <c r="V4887" i="2"/>
  <c r="U4887" i="2"/>
  <c r="T4887" i="2"/>
  <c r="S4887" i="2"/>
  <c r="R4887" i="2"/>
  <c r="Q4887" i="2"/>
  <c r="P4887" i="2"/>
  <c r="O4887" i="2"/>
  <c r="N4887" i="2"/>
  <c r="M4887" i="2"/>
  <c r="L4887" i="2"/>
  <c r="K4887" i="2"/>
  <c r="J4887" i="2"/>
  <c r="I4887" i="2"/>
  <c r="H4887" i="2"/>
  <c r="G4887" i="2"/>
  <c r="F4887" i="2"/>
  <c r="E4887" i="2"/>
  <c r="D4887" i="2"/>
  <c r="C4887" i="2"/>
  <c r="B4887" i="2"/>
  <c r="V4886" i="2"/>
  <c r="U4886" i="2"/>
  <c r="T4886" i="2"/>
  <c r="S4886" i="2"/>
  <c r="R4886" i="2"/>
  <c r="Q4886" i="2"/>
  <c r="P4886" i="2"/>
  <c r="O4886" i="2"/>
  <c r="N4886" i="2"/>
  <c r="M4886" i="2"/>
  <c r="L4886" i="2"/>
  <c r="K4886" i="2"/>
  <c r="J4886" i="2"/>
  <c r="I4886" i="2"/>
  <c r="H4886" i="2"/>
  <c r="G4886" i="2"/>
  <c r="F4886" i="2"/>
  <c r="E4886" i="2"/>
  <c r="D4886" i="2"/>
  <c r="C4886" i="2"/>
  <c r="B4886" i="2"/>
  <c r="V4885" i="2"/>
  <c r="U4885" i="2"/>
  <c r="T4885" i="2"/>
  <c r="S4885" i="2"/>
  <c r="R4885" i="2"/>
  <c r="Q4885" i="2"/>
  <c r="P4885" i="2"/>
  <c r="O4885" i="2"/>
  <c r="N4885" i="2"/>
  <c r="M4885" i="2"/>
  <c r="L4885" i="2"/>
  <c r="K4885" i="2"/>
  <c r="J4885" i="2"/>
  <c r="I4885" i="2"/>
  <c r="H4885" i="2"/>
  <c r="G4885" i="2"/>
  <c r="F4885" i="2"/>
  <c r="E4885" i="2"/>
  <c r="D4885" i="2"/>
  <c r="C4885" i="2"/>
  <c r="B4885" i="2"/>
  <c r="V4884" i="2"/>
  <c r="U4884" i="2"/>
  <c r="T4884" i="2"/>
  <c r="S4884" i="2"/>
  <c r="R4884" i="2"/>
  <c r="Q4884" i="2"/>
  <c r="P4884" i="2"/>
  <c r="O4884" i="2"/>
  <c r="N4884" i="2"/>
  <c r="M4884" i="2"/>
  <c r="L4884" i="2"/>
  <c r="K4884" i="2"/>
  <c r="J4884" i="2"/>
  <c r="I4884" i="2"/>
  <c r="H4884" i="2"/>
  <c r="G4884" i="2"/>
  <c r="F4884" i="2"/>
  <c r="E4884" i="2"/>
  <c r="D4884" i="2"/>
  <c r="C4884" i="2"/>
  <c r="B4884" i="2"/>
  <c r="V4883" i="2"/>
  <c r="U4883" i="2"/>
  <c r="T4883" i="2"/>
  <c r="S4883" i="2"/>
  <c r="R4883" i="2"/>
  <c r="Q4883" i="2"/>
  <c r="P4883" i="2"/>
  <c r="O4883" i="2"/>
  <c r="N4883" i="2"/>
  <c r="M4883" i="2"/>
  <c r="L4883" i="2"/>
  <c r="K4883" i="2"/>
  <c r="J4883" i="2"/>
  <c r="I4883" i="2"/>
  <c r="H4883" i="2"/>
  <c r="G4883" i="2"/>
  <c r="F4883" i="2"/>
  <c r="E4883" i="2"/>
  <c r="D4883" i="2"/>
  <c r="C4883" i="2"/>
  <c r="B4883" i="2"/>
  <c r="V4882" i="2"/>
  <c r="U4882" i="2"/>
  <c r="T4882" i="2"/>
  <c r="S4882" i="2"/>
  <c r="R4882" i="2"/>
  <c r="Q4882" i="2"/>
  <c r="P4882" i="2"/>
  <c r="O4882" i="2"/>
  <c r="N4882" i="2"/>
  <c r="M4882" i="2"/>
  <c r="L4882" i="2"/>
  <c r="K4882" i="2"/>
  <c r="J4882" i="2"/>
  <c r="I4882" i="2"/>
  <c r="H4882" i="2"/>
  <c r="G4882" i="2"/>
  <c r="F4882" i="2"/>
  <c r="E4882" i="2"/>
  <c r="D4882" i="2"/>
  <c r="C4882" i="2"/>
  <c r="B4882" i="2"/>
  <c r="V4881" i="2"/>
  <c r="U4881" i="2"/>
  <c r="T4881" i="2"/>
  <c r="S4881" i="2"/>
  <c r="R4881" i="2"/>
  <c r="Q4881" i="2"/>
  <c r="P4881" i="2"/>
  <c r="O4881" i="2"/>
  <c r="N4881" i="2"/>
  <c r="M4881" i="2"/>
  <c r="L4881" i="2"/>
  <c r="K4881" i="2"/>
  <c r="J4881" i="2"/>
  <c r="I4881" i="2"/>
  <c r="H4881" i="2"/>
  <c r="G4881" i="2"/>
  <c r="F4881" i="2"/>
  <c r="E4881" i="2"/>
  <c r="D4881" i="2"/>
  <c r="C4881" i="2"/>
  <c r="B4881" i="2"/>
  <c r="V4880" i="2"/>
  <c r="U4880" i="2"/>
  <c r="T4880" i="2"/>
  <c r="S4880" i="2"/>
  <c r="R4880" i="2"/>
  <c r="Q4880" i="2"/>
  <c r="P4880" i="2"/>
  <c r="O4880" i="2"/>
  <c r="N4880" i="2"/>
  <c r="M4880" i="2"/>
  <c r="L4880" i="2"/>
  <c r="K4880" i="2"/>
  <c r="J4880" i="2"/>
  <c r="I4880" i="2"/>
  <c r="H4880" i="2"/>
  <c r="G4880" i="2"/>
  <c r="F4880" i="2"/>
  <c r="E4880" i="2"/>
  <c r="D4880" i="2"/>
  <c r="C4880" i="2"/>
  <c r="B4880" i="2"/>
  <c r="V4879" i="2"/>
  <c r="U4879" i="2"/>
  <c r="T4879" i="2"/>
  <c r="S4879" i="2"/>
  <c r="R4879" i="2"/>
  <c r="Q4879" i="2"/>
  <c r="P4879" i="2"/>
  <c r="O4879" i="2"/>
  <c r="N4879" i="2"/>
  <c r="M4879" i="2"/>
  <c r="L4879" i="2"/>
  <c r="K4879" i="2"/>
  <c r="J4879" i="2"/>
  <c r="I4879" i="2"/>
  <c r="H4879" i="2"/>
  <c r="G4879" i="2"/>
  <c r="F4879" i="2"/>
  <c r="E4879" i="2"/>
  <c r="D4879" i="2"/>
  <c r="C4879" i="2"/>
  <c r="B4879" i="2"/>
  <c r="V4878" i="2"/>
  <c r="U4878" i="2"/>
  <c r="T4878" i="2"/>
  <c r="S4878" i="2"/>
  <c r="R4878" i="2"/>
  <c r="Q4878" i="2"/>
  <c r="P4878" i="2"/>
  <c r="O4878" i="2"/>
  <c r="N4878" i="2"/>
  <c r="M4878" i="2"/>
  <c r="L4878" i="2"/>
  <c r="K4878" i="2"/>
  <c r="J4878" i="2"/>
  <c r="I4878" i="2"/>
  <c r="H4878" i="2"/>
  <c r="G4878" i="2"/>
  <c r="F4878" i="2"/>
  <c r="E4878" i="2"/>
  <c r="D4878" i="2"/>
  <c r="C4878" i="2"/>
  <c r="B4878" i="2"/>
  <c r="V4877" i="2"/>
  <c r="U4877" i="2"/>
  <c r="T4877" i="2"/>
  <c r="S4877" i="2"/>
  <c r="R4877" i="2"/>
  <c r="Q4877" i="2"/>
  <c r="P4877" i="2"/>
  <c r="O4877" i="2"/>
  <c r="N4877" i="2"/>
  <c r="M4877" i="2"/>
  <c r="L4877" i="2"/>
  <c r="K4877" i="2"/>
  <c r="J4877" i="2"/>
  <c r="I4877" i="2"/>
  <c r="H4877" i="2"/>
  <c r="G4877" i="2"/>
  <c r="F4877" i="2"/>
  <c r="E4877" i="2"/>
  <c r="D4877" i="2"/>
  <c r="C4877" i="2"/>
  <c r="B4877" i="2"/>
  <c r="V4876" i="2"/>
  <c r="U4876" i="2"/>
  <c r="T4876" i="2"/>
  <c r="S4876" i="2"/>
  <c r="R4876" i="2"/>
  <c r="Q4876" i="2"/>
  <c r="P4876" i="2"/>
  <c r="O4876" i="2"/>
  <c r="N4876" i="2"/>
  <c r="M4876" i="2"/>
  <c r="L4876" i="2"/>
  <c r="K4876" i="2"/>
  <c r="J4876" i="2"/>
  <c r="I4876" i="2"/>
  <c r="H4876" i="2"/>
  <c r="G4876" i="2"/>
  <c r="F4876" i="2"/>
  <c r="E4876" i="2"/>
  <c r="D4876" i="2"/>
  <c r="C4876" i="2"/>
  <c r="B4876" i="2"/>
  <c r="V4875" i="2"/>
  <c r="U4875" i="2"/>
  <c r="T4875" i="2"/>
  <c r="S4875" i="2"/>
  <c r="R4875" i="2"/>
  <c r="Q4875" i="2"/>
  <c r="P4875" i="2"/>
  <c r="O4875" i="2"/>
  <c r="N4875" i="2"/>
  <c r="M4875" i="2"/>
  <c r="L4875" i="2"/>
  <c r="K4875" i="2"/>
  <c r="J4875" i="2"/>
  <c r="I4875" i="2"/>
  <c r="H4875" i="2"/>
  <c r="G4875" i="2"/>
  <c r="F4875" i="2"/>
  <c r="E4875" i="2"/>
  <c r="D4875" i="2"/>
  <c r="C4875" i="2"/>
  <c r="B4875" i="2"/>
  <c r="V4874" i="2"/>
  <c r="U4874" i="2"/>
  <c r="T4874" i="2"/>
  <c r="S4874" i="2"/>
  <c r="R4874" i="2"/>
  <c r="Q4874" i="2"/>
  <c r="P4874" i="2"/>
  <c r="O4874" i="2"/>
  <c r="N4874" i="2"/>
  <c r="M4874" i="2"/>
  <c r="L4874" i="2"/>
  <c r="K4874" i="2"/>
  <c r="J4874" i="2"/>
  <c r="I4874" i="2"/>
  <c r="H4874" i="2"/>
  <c r="G4874" i="2"/>
  <c r="F4874" i="2"/>
  <c r="E4874" i="2"/>
  <c r="D4874" i="2"/>
  <c r="C4874" i="2"/>
  <c r="B4874" i="2"/>
  <c r="V4873" i="2"/>
  <c r="U4873" i="2"/>
  <c r="T4873" i="2"/>
  <c r="S4873" i="2"/>
  <c r="R4873" i="2"/>
  <c r="Q4873" i="2"/>
  <c r="P4873" i="2"/>
  <c r="O4873" i="2"/>
  <c r="N4873" i="2"/>
  <c r="M4873" i="2"/>
  <c r="L4873" i="2"/>
  <c r="K4873" i="2"/>
  <c r="J4873" i="2"/>
  <c r="I4873" i="2"/>
  <c r="H4873" i="2"/>
  <c r="G4873" i="2"/>
  <c r="F4873" i="2"/>
  <c r="E4873" i="2"/>
  <c r="D4873" i="2"/>
  <c r="C4873" i="2"/>
  <c r="B4873" i="2"/>
  <c r="V4872" i="2"/>
  <c r="U4872" i="2"/>
  <c r="T4872" i="2"/>
  <c r="S4872" i="2"/>
  <c r="R4872" i="2"/>
  <c r="Q4872" i="2"/>
  <c r="P4872" i="2"/>
  <c r="O4872" i="2"/>
  <c r="N4872" i="2"/>
  <c r="M4872" i="2"/>
  <c r="L4872" i="2"/>
  <c r="K4872" i="2"/>
  <c r="J4872" i="2"/>
  <c r="I4872" i="2"/>
  <c r="H4872" i="2"/>
  <c r="G4872" i="2"/>
  <c r="F4872" i="2"/>
  <c r="E4872" i="2"/>
  <c r="D4872" i="2"/>
  <c r="C4872" i="2"/>
  <c r="B4872" i="2"/>
  <c r="V4871" i="2"/>
  <c r="U4871" i="2"/>
  <c r="T4871" i="2"/>
  <c r="S4871" i="2"/>
  <c r="R4871" i="2"/>
  <c r="Q4871" i="2"/>
  <c r="P4871" i="2"/>
  <c r="O4871" i="2"/>
  <c r="N4871" i="2"/>
  <c r="M4871" i="2"/>
  <c r="L4871" i="2"/>
  <c r="K4871" i="2"/>
  <c r="J4871" i="2"/>
  <c r="I4871" i="2"/>
  <c r="H4871" i="2"/>
  <c r="G4871" i="2"/>
  <c r="F4871" i="2"/>
  <c r="E4871" i="2"/>
  <c r="D4871" i="2"/>
  <c r="C4871" i="2"/>
  <c r="B4871" i="2"/>
  <c r="V4870" i="2"/>
  <c r="U4870" i="2"/>
  <c r="T4870" i="2"/>
  <c r="S4870" i="2"/>
  <c r="R4870" i="2"/>
  <c r="Q4870" i="2"/>
  <c r="P4870" i="2"/>
  <c r="O4870" i="2"/>
  <c r="N4870" i="2"/>
  <c r="M4870" i="2"/>
  <c r="L4870" i="2"/>
  <c r="K4870" i="2"/>
  <c r="J4870" i="2"/>
  <c r="I4870" i="2"/>
  <c r="H4870" i="2"/>
  <c r="G4870" i="2"/>
  <c r="F4870" i="2"/>
  <c r="E4870" i="2"/>
  <c r="D4870" i="2"/>
  <c r="C4870" i="2"/>
  <c r="B4870" i="2"/>
  <c r="V4869" i="2"/>
  <c r="U4869" i="2"/>
  <c r="T4869" i="2"/>
  <c r="S4869" i="2"/>
  <c r="R4869" i="2"/>
  <c r="Q4869" i="2"/>
  <c r="P4869" i="2"/>
  <c r="O4869" i="2"/>
  <c r="N4869" i="2"/>
  <c r="M4869" i="2"/>
  <c r="L4869" i="2"/>
  <c r="K4869" i="2"/>
  <c r="J4869" i="2"/>
  <c r="I4869" i="2"/>
  <c r="H4869" i="2"/>
  <c r="G4869" i="2"/>
  <c r="F4869" i="2"/>
  <c r="E4869" i="2"/>
  <c r="D4869" i="2"/>
  <c r="C4869" i="2"/>
  <c r="B4869" i="2"/>
  <c r="V4868" i="2"/>
  <c r="U4868" i="2"/>
  <c r="T4868" i="2"/>
  <c r="S4868" i="2"/>
  <c r="R4868" i="2"/>
  <c r="Q4868" i="2"/>
  <c r="P4868" i="2"/>
  <c r="O4868" i="2"/>
  <c r="N4868" i="2"/>
  <c r="M4868" i="2"/>
  <c r="L4868" i="2"/>
  <c r="K4868" i="2"/>
  <c r="J4868" i="2"/>
  <c r="I4868" i="2"/>
  <c r="H4868" i="2"/>
  <c r="G4868" i="2"/>
  <c r="F4868" i="2"/>
  <c r="E4868" i="2"/>
  <c r="D4868" i="2"/>
  <c r="C4868" i="2"/>
  <c r="B4868" i="2"/>
  <c r="V4867" i="2"/>
  <c r="U4867" i="2"/>
  <c r="T4867" i="2"/>
  <c r="S4867" i="2"/>
  <c r="R4867" i="2"/>
  <c r="Q4867" i="2"/>
  <c r="P4867" i="2"/>
  <c r="O4867" i="2"/>
  <c r="N4867" i="2"/>
  <c r="M4867" i="2"/>
  <c r="L4867" i="2"/>
  <c r="K4867" i="2"/>
  <c r="J4867" i="2"/>
  <c r="I4867" i="2"/>
  <c r="H4867" i="2"/>
  <c r="G4867" i="2"/>
  <c r="F4867" i="2"/>
  <c r="E4867" i="2"/>
  <c r="D4867" i="2"/>
  <c r="C4867" i="2"/>
  <c r="B4867" i="2"/>
  <c r="V4866" i="2"/>
  <c r="U4866" i="2"/>
  <c r="T4866" i="2"/>
  <c r="S4866" i="2"/>
  <c r="R4866" i="2"/>
  <c r="Q4866" i="2"/>
  <c r="P4866" i="2"/>
  <c r="O4866" i="2"/>
  <c r="N4866" i="2"/>
  <c r="M4866" i="2"/>
  <c r="L4866" i="2"/>
  <c r="K4866" i="2"/>
  <c r="J4866" i="2"/>
  <c r="I4866" i="2"/>
  <c r="H4866" i="2"/>
  <c r="G4866" i="2"/>
  <c r="F4866" i="2"/>
  <c r="E4866" i="2"/>
  <c r="D4866" i="2"/>
  <c r="C4866" i="2"/>
  <c r="B4866" i="2"/>
  <c r="V4865" i="2"/>
  <c r="U4865" i="2"/>
  <c r="T4865" i="2"/>
  <c r="S4865" i="2"/>
  <c r="R4865" i="2"/>
  <c r="Q4865" i="2"/>
  <c r="P4865" i="2"/>
  <c r="O4865" i="2"/>
  <c r="N4865" i="2"/>
  <c r="M4865" i="2"/>
  <c r="L4865" i="2"/>
  <c r="K4865" i="2"/>
  <c r="J4865" i="2"/>
  <c r="I4865" i="2"/>
  <c r="H4865" i="2"/>
  <c r="G4865" i="2"/>
  <c r="F4865" i="2"/>
  <c r="E4865" i="2"/>
  <c r="D4865" i="2"/>
  <c r="C4865" i="2"/>
  <c r="B4865" i="2"/>
  <c r="V4864" i="2"/>
  <c r="U4864" i="2"/>
  <c r="T4864" i="2"/>
  <c r="S4864" i="2"/>
  <c r="R4864" i="2"/>
  <c r="Q4864" i="2"/>
  <c r="P4864" i="2"/>
  <c r="O4864" i="2"/>
  <c r="N4864" i="2"/>
  <c r="M4864" i="2"/>
  <c r="L4864" i="2"/>
  <c r="K4864" i="2"/>
  <c r="J4864" i="2"/>
  <c r="I4864" i="2"/>
  <c r="H4864" i="2"/>
  <c r="G4864" i="2"/>
  <c r="F4864" i="2"/>
  <c r="E4864" i="2"/>
  <c r="D4864" i="2"/>
  <c r="C4864" i="2"/>
  <c r="B4864" i="2"/>
  <c r="V4863" i="2"/>
  <c r="U4863" i="2"/>
  <c r="T4863" i="2"/>
  <c r="S4863" i="2"/>
  <c r="R4863" i="2"/>
  <c r="Q4863" i="2"/>
  <c r="P4863" i="2"/>
  <c r="O4863" i="2"/>
  <c r="N4863" i="2"/>
  <c r="M4863" i="2"/>
  <c r="L4863" i="2"/>
  <c r="K4863" i="2"/>
  <c r="J4863" i="2"/>
  <c r="I4863" i="2"/>
  <c r="H4863" i="2"/>
  <c r="G4863" i="2"/>
  <c r="F4863" i="2"/>
  <c r="E4863" i="2"/>
  <c r="D4863" i="2"/>
  <c r="C4863" i="2"/>
  <c r="B4863" i="2"/>
  <c r="V4862" i="2"/>
  <c r="U4862" i="2"/>
  <c r="T4862" i="2"/>
  <c r="S4862" i="2"/>
  <c r="R4862" i="2"/>
  <c r="Q4862" i="2"/>
  <c r="P4862" i="2"/>
  <c r="O4862" i="2"/>
  <c r="N4862" i="2"/>
  <c r="M4862" i="2"/>
  <c r="L4862" i="2"/>
  <c r="K4862" i="2"/>
  <c r="J4862" i="2"/>
  <c r="I4862" i="2"/>
  <c r="H4862" i="2"/>
  <c r="G4862" i="2"/>
  <c r="F4862" i="2"/>
  <c r="E4862" i="2"/>
  <c r="D4862" i="2"/>
  <c r="C4862" i="2"/>
  <c r="B4862" i="2"/>
  <c r="V4861" i="2"/>
  <c r="U4861" i="2"/>
  <c r="T4861" i="2"/>
  <c r="S4861" i="2"/>
  <c r="R4861" i="2"/>
  <c r="Q4861" i="2"/>
  <c r="P4861" i="2"/>
  <c r="O4861" i="2"/>
  <c r="N4861" i="2"/>
  <c r="M4861" i="2"/>
  <c r="L4861" i="2"/>
  <c r="K4861" i="2"/>
  <c r="J4861" i="2"/>
  <c r="I4861" i="2"/>
  <c r="H4861" i="2"/>
  <c r="G4861" i="2"/>
  <c r="F4861" i="2"/>
  <c r="E4861" i="2"/>
  <c r="D4861" i="2"/>
  <c r="C4861" i="2"/>
  <c r="B4861" i="2"/>
  <c r="V4860" i="2"/>
  <c r="U4860" i="2"/>
  <c r="T4860" i="2"/>
  <c r="S4860" i="2"/>
  <c r="R4860" i="2"/>
  <c r="Q4860" i="2"/>
  <c r="P4860" i="2"/>
  <c r="O4860" i="2"/>
  <c r="N4860" i="2"/>
  <c r="M4860" i="2"/>
  <c r="L4860" i="2"/>
  <c r="K4860" i="2"/>
  <c r="J4860" i="2"/>
  <c r="I4860" i="2"/>
  <c r="H4860" i="2"/>
  <c r="G4860" i="2"/>
  <c r="F4860" i="2"/>
  <c r="E4860" i="2"/>
  <c r="D4860" i="2"/>
  <c r="C4860" i="2"/>
  <c r="B4860" i="2"/>
  <c r="V4859" i="2"/>
  <c r="U4859" i="2"/>
  <c r="T4859" i="2"/>
  <c r="S4859" i="2"/>
  <c r="R4859" i="2"/>
  <c r="Q4859" i="2"/>
  <c r="P4859" i="2"/>
  <c r="O4859" i="2"/>
  <c r="N4859" i="2"/>
  <c r="M4859" i="2"/>
  <c r="L4859" i="2"/>
  <c r="K4859" i="2"/>
  <c r="J4859" i="2"/>
  <c r="I4859" i="2"/>
  <c r="H4859" i="2"/>
  <c r="G4859" i="2"/>
  <c r="F4859" i="2"/>
  <c r="E4859" i="2"/>
  <c r="D4859" i="2"/>
  <c r="C4859" i="2"/>
  <c r="B4859" i="2"/>
  <c r="V4858" i="2"/>
  <c r="U4858" i="2"/>
  <c r="T4858" i="2"/>
  <c r="S4858" i="2"/>
  <c r="R4858" i="2"/>
  <c r="Q4858" i="2"/>
  <c r="P4858" i="2"/>
  <c r="O4858" i="2"/>
  <c r="N4858" i="2"/>
  <c r="M4858" i="2"/>
  <c r="L4858" i="2"/>
  <c r="K4858" i="2"/>
  <c r="J4858" i="2"/>
  <c r="I4858" i="2"/>
  <c r="H4858" i="2"/>
  <c r="G4858" i="2"/>
  <c r="F4858" i="2"/>
  <c r="E4858" i="2"/>
  <c r="D4858" i="2"/>
  <c r="C4858" i="2"/>
  <c r="B4858" i="2"/>
  <c r="V4857" i="2"/>
  <c r="U4857" i="2"/>
  <c r="T4857" i="2"/>
  <c r="S4857" i="2"/>
  <c r="R4857" i="2"/>
  <c r="Q4857" i="2"/>
  <c r="P4857" i="2"/>
  <c r="O4857" i="2"/>
  <c r="N4857" i="2"/>
  <c r="M4857" i="2"/>
  <c r="L4857" i="2"/>
  <c r="K4857" i="2"/>
  <c r="J4857" i="2"/>
  <c r="I4857" i="2"/>
  <c r="H4857" i="2"/>
  <c r="G4857" i="2"/>
  <c r="F4857" i="2"/>
  <c r="E4857" i="2"/>
  <c r="D4857" i="2"/>
  <c r="C4857" i="2"/>
  <c r="B4857" i="2"/>
  <c r="V4856" i="2"/>
  <c r="U4856" i="2"/>
  <c r="T4856" i="2"/>
  <c r="S4856" i="2"/>
  <c r="R4856" i="2"/>
  <c r="Q4856" i="2"/>
  <c r="P4856" i="2"/>
  <c r="O4856" i="2"/>
  <c r="N4856" i="2"/>
  <c r="M4856" i="2"/>
  <c r="L4856" i="2"/>
  <c r="K4856" i="2"/>
  <c r="J4856" i="2"/>
  <c r="I4856" i="2"/>
  <c r="H4856" i="2"/>
  <c r="G4856" i="2"/>
  <c r="F4856" i="2"/>
  <c r="E4856" i="2"/>
  <c r="D4856" i="2"/>
  <c r="C4856" i="2"/>
  <c r="B4856" i="2"/>
  <c r="V4855" i="2"/>
  <c r="U4855" i="2"/>
  <c r="T4855" i="2"/>
  <c r="S4855" i="2"/>
  <c r="R4855" i="2"/>
  <c r="Q4855" i="2"/>
  <c r="P4855" i="2"/>
  <c r="O4855" i="2"/>
  <c r="N4855" i="2"/>
  <c r="M4855" i="2"/>
  <c r="L4855" i="2"/>
  <c r="K4855" i="2"/>
  <c r="J4855" i="2"/>
  <c r="I4855" i="2"/>
  <c r="H4855" i="2"/>
  <c r="G4855" i="2"/>
  <c r="F4855" i="2"/>
  <c r="E4855" i="2"/>
  <c r="D4855" i="2"/>
  <c r="C4855" i="2"/>
  <c r="B4855" i="2"/>
  <c r="V4854" i="2"/>
  <c r="U4854" i="2"/>
  <c r="T4854" i="2"/>
  <c r="S4854" i="2"/>
  <c r="R4854" i="2"/>
  <c r="Q4854" i="2"/>
  <c r="P4854" i="2"/>
  <c r="O4854" i="2"/>
  <c r="N4854" i="2"/>
  <c r="M4854" i="2"/>
  <c r="L4854" i="2"/>
  <c r="K4854" i="2"/>
  <c r="J4854" i="2"/>
  <c r="I4854" i="2"/>
  <c r="H4854" i="2"/>
  <c r="G4854" i="2"/>
  <c r="F4854" i="2"/>
  <c r="E4854" i="2"/>
  <c r="D4854" i="2"/>
  <c r="C4854" i="2"/>
  <c r="B4854" i="2"/>
  <c r="V4853" i="2"/>
  <c r="U4853" i="2"/>
  <c r="T4853" i="2"/>
  <c r="S4853" i="2"/>
  <c r="R4853" i="2"/>
  <c r="Q4853" i="2"/>
  <c r="P4853" i="2"/>
  <c r="O4853" i="2"/>
  <c r="N4853" i="2"/>
  <c r="M4853" i="2"/>
  <c r="L4853" i="2"/>
  <c r="K4853" i="2"/>
  <c r="J4853" i="2"/>
  <c r="I4853" i="2"/>
  <c r="H4853" i="2"/>
  <c r="G4853" i="2"/>
  <c r="F4853" i="2"/>
  <c r="E4853" i="2"/>
  <c r="D4853" i="2"/>
  <c r="C4853" i="2"/>
  <c r="B4853" i="2"/>
  <c r="V4852" i="2"/>
  <c r="U4852" i="2"/>
  <c r="T4852" i="2"/>
  <c r="S4852" i="2"/>
  <c r="R4852" i="2"/>
  <c r="Q4852" i="2"/>
  <c r="P4852" i="2"/>
  <c r="O4852" i="2"/>
  <c r="N4852" i="2"/>
  <c r="M4852" i="2"/>
  <c r="L4852" i="2"/>
  <c r="K4852" i="2"/>
  <c r="J4852" i="2"/>
  <c r="I4852" i="2"/>
  <c r="H4852" i="2"/>
  <c r="G4852" i="2"/>
  <c r="F4852" i="2"/>
  <c r="E4852" i="2"/>
  <c r="D4852" i="2"/>
  <c r="C4852" i="2"/>
  <c r="B4852" i="2"/>
  <c r="V4851" i="2"/>
  <c r="U4851" i="2"/>
  <c r="T4851" i="2"/>
  <c r="S4851" i="2"/>
  <c r="R4851" i="2"/>
  <c r="Q4851" i="2"/>
  <c r="P4851" i="2"/>
  <c r="O4851" i="2"/>
  <c r="N4851" i="2"/>
  <c r="M4851" i="2"/>
  <c r="L4851" i="2"/>
  <c r="K4851" i="2"/>
  <c r="J4851" i="2"/>
  <c r="I4851" i="2"/>
  <c r="H4851" i="2"/>
  <c r="G4851" i="2"/>
  <c r="F4851" i="2"/>
  <c r="E4851" i="2"/>
  <c r="D4851" i="2"/>
  <c r="C4851" i="2"/>
  <c r="B4851" i="2"/>
  <c r="V4850" i="2"/>
  <c r="U4850" i="2"/>
  <c r="T4850" i="2"/>
  <c r="S4850" i="2"/>
  <c r="R4850" i="2"/>
  <c r="Q4850" i="2"/>
  <c r="P4850" i="2"/>
  <c r="O4850" i="2"/>
  <c r="N4850" i="2"/>
  <c r="M4850" i="2"/>
  <c r="L4850" i="2"/>
  <c r="K4850" i="2"/>
  <c r="J4850" i="2"/>
  <c r="I4850" i="2"/>
  <c r="H4850" i="2"/>
  <c r="G4850" i="2"/>
  <c r="F4850" i="2"/>
  <c r="E4850" i="2"/>
  <c r="D4850" i="2"/>
  <c r="C4850" i="2"/>
  <c r="B4850" i="2"/>
  <c r="V4849" i="2"/>
  <c r="U4849" i="2"/>
  <c r="T4849" i="2"/>
  <c r="S4849" i="2"/>
  <c r="R4849" i="2"/>
  <c r="Q4849" i="2"/>
  <c r="P4849" i="2"/>
  <c r="O4849" i="2"/>
  <c r="N4849" i="2"/>
  <c r="M4849" i="2"/>
  <c r="L4849" i="2"/>
  <c r="K4849" i="2"/>
  <c r="J4849" i="2"/>
  <c r="I4849" i="2"/>
  <c r="H4849" i="2"/>
  <c r="G4849" i="2"/>
  <c r="F4849" i="2"/>
  <c r="E4849" i="2"/>
  <c r="D4849" i="2"/>
  <c r="C4849" i="2"/>
  <c r="B4849" i="2"/>
  <c r="V4848" i="2"/>
  <c r="U4848" i="2"/>
  <c r="T4848" i="2"/>
  <c r="S4848" i="2"/>
  <c r="R4848" i="2"/>
  <c r="Q4848" i="2"/>
  <c r="P4848" i="2"/>
  <c r="O4848" i="2"/>
  <c r="N4848" i="2"/>
  <c r="M4848" i="2"/>
  <c r="L4848" i="2"/>
  <c r="K4848" i="2"/>
  <c r="J4848" i="2"/>
  <c r="I4848" i="2"/>
  <c r="H4848" i="2"/>
  <c r="G4848" i="2"/>
  <c r="F4848" i="2"/>
  <c r="E4848" i="2"/>
  <c r="D4848" i="2"/>
  <c r="C4848" i="2"/>
  <c r="B4848" i="2"/>
  <c r="V4847" i="2"/>
  <c r="U4847" i="2"/>
  <c r="T4847" i="2"/>
  <c r="S4847" i="2"/>
  <c r="R4847" i="2"/>
  <c r="Q4847" i="2"/>
  <c r="P4847" i="2"/>
  <c r="O4847" i="2"/>
  <c r="N4847" i="2"/>
  <c r="M4847" i="2"/>
  <c r="L4847" i="2"/>
  <c r="K4847" i="2"/>
  <c r="J4847" i="2"/>
  <c r="I4847" i="2"/>
  <c r="H4847" i="2"/>
  <c r="G4847" i="2"/>
  <c r="F4847" i="2"/>
  <c r="E4847" i="2"/>
  <c r="D4847" i="2"/>
  <c r="C4847" i="2"/>
  <c r="B4847" i="2"/>
  <c r="V4846" i="2"/>
  <c r="U4846" i="2"/>
  <c r="T4846" i="2"/>
  <c r="S4846" i="2"/>
  <c r="R4846" i="2"/>
  <c r="Q4846" i="2"/>
  <c r="P4846" i="2"/>
  <c r="O4846" i="2"/>
  <c r="N4846" i="2"/>
  <c r="M4846" i="2"/>
  <c r="L4846" i="2"/>
  <c r="K4846" i="2"/>
  <c r="J4846" i="2"/>
  <c r="I4846" i="2"/>
  <c r="H4846" i="2"/>
  <c r="G4846" i="2"/>
  <c r="F4846" i="2"/>
  <c r="E4846" i="2"/>
  <c r="D4846" i="2"/>
  <c r="C4846" i="2"/>
  <c r="B4846" i="2"/>
  <c r="V4845" i="2"/>
  <c r="U4845" i="2"/>
  <c r="T4845" i="2"/>
  <c r="S4845" i="2"/>
  <c r="R4845" i="2"/>
  <c r="Q4845" i="2"/>
  <c r="P4845" i="2"/>
  <c r="O4845" i="2"/>
  <c r="N4845" i="2"/>
  <c r="M4845" i="2"/>
  <c r="L4845" i="2"/>
  <c r="K4845" i="2"/>
  <c r="J4845" i="2"/>
  <c r="I4845" i="2"/>
  <c r="H4845" i="2"/>
  <c r="G4845" i="2"/>
  <c r="F4845" i="2"/>
  <c r="E4845" i="2"/>
  <c r="D4845" i="2"/>
  <c r="C4845" i="2"/>
  <c r="B4845" i="2"/>
  <c r="V4844" i="2"/>
  <c r="U4844" i="2"/>
  <c r="T4844" i="2"/>
  <c r="S4844" i="2"/>
  <c r="R4844" i="2"/>
  <c r="Q4844" i="2"/>
  <c r="P4844" i="2"/>
  <c r="O4844" i="2"/>
  <c r="N4844" i="2"/>
  <c r="M4844" i="2"/>
  <c r="L4844" i="2"/>
  <c r="K4844" i="2"/>
  <c r="J4844" i="2"/>
  <c r="I4844" i="2"/>
  <c r="H4844" i="2"/>
  <c r="G4844" i="2"/>
  <c r="F4844" i="2"/>
  <c r="E4844" i="2"/>
  <c r="D4844" i="2"/>
  <c r="C4844" i="2"/>
  <c r="B4844" i="2"/>
  <c r="V4843" i="2"/>
  <c r="U4843" i="2"/>
  <c r="T4843" i="2"/>
  <c r="S4843" i="2"/>
  <c r="R4843" i="2"/>
  <c r="Q4843" i="2"/>
  <c r="P4843" i="2"/>
  <c r="O4843" i="2"/>
  <c r="N4843" i="2"/>
  <c r="M4843" i="2"/>
  <c r="L4843" i="2"/>
  <c r="K4843" i="2"/>
  <c r="J4843" i="2"/>
  <c r="I4843" i="2"/>
  <c r="H4843" i="2"/>
  <c r="G4843" i="2"/>
  <c r="F4843" i="2"/>
  <c r="E4843" i="2"/>
  <c r="D4843" i="2"/>
  <c r="C4843" i="2"/>
  <c r="B4843" i="2"/>
  <c r="V4842" i="2"/>
  <c r="U4842" i="2"/>
  <c r="T4842" i="2"/>
  <c r="S4842" i="2"/>
  <c r="R4842" i="2"/>
  <c r="Q4842" i="2"/>
  <c r="P4842" i="2"/>
  <c r="O4842" i="2"/>
  <c r="N4842" i="2"/>
  <c r="M4842" i="2"/>
  <c r="L4842" i="2"/>
  <c r="K4842" i="2"/>
  <c r="J4842" i="2"/>
  <c r="I4842" i="2"/>
  <c r="H4842" i="2"/>
  <c r="G4842" i="2"/>
  <c r="F4842" i="2"/>
  <c r="E4842" i="2"/>
  <c r="D4842" i="2"/>
  <c r="C4842" i="2"/>
  <c r="B4842" i="2"/>
  <c r="V4841" i="2"/>
  <c r="U4841" i="2"/>
  <c r="T4841" i="2"/>
  <c r="S4841" i="2"/>
  <c r="R4841" i="2"/>
  <c r="Q4841" i="2"/>
  <c r="P4841" i="2"/>
  <c r="O4841" i="2"/>
  <c r="N4841" i="2"/>
  <c r="M4841" i="2"/>
  <c r="L4841" i="2"/>
  <c r="K4841" i="2"/>
  <c r="J4841" i="2"/>
  <c r="I4841" i="2"/>
  <c r="H4841" i="2"/>
  <c r="G4841" i="2"/>
  <c r="F4841" i="2"/>
  <c r="E4841" i="2"/>
  <c r="D4841" i="2"/>
  <c r="C4841" i="2"/>
  <c r="B4841" i="2"/>
  <c r="V4840" i="2"/>
  <c r="U4840" i="2"/>
  <c r="T4840" i="2"/>
  <c r="S4840" i="2"/>
  <c r="R4840" i="2"/>
  <c r="Q4840" i="2"/>
  <c r="P4840" i="2"/>
  <c r="O4840" i="2"/>
  <c r="N4840" i="2"/>
  <c r="M4840" i="2"/>
  <c r="L4840" i="2"/>
  <c r="K4840" i="2"/>
  <c r="J4840" i="2"/>
  <c r="I4840" i="2"/>
  <c r="H4840" i="2"/>
  <c r="G4840" i="2"/>
  <c r="F4840" i="2"/>
  <c r="E4840" i="2"/>
  <c r="D4840" i="2"/>
  <c r="C4840" i="2"/>
  <c r="B4840" i="2"/>
  <c r="V4839" i="2"/>
  <c r="U4839" i="2"/>
  <c r="T4839" i="2"/>
  <c r="S4839" i="2"/>
  <c r="R4839" i="2"/>
  <c r="Q4839" i="2"/>
  <c r="P4839" i="2"/>
  <c r="O4839" i="2"/>
  <c r="N4839" i="2"/>
  <c r="M4839" i="2"/>
  <c r="L4839" i="2"/>
  <c r="K4839" i="2"/>
  <c r="J4839" i="2"/>
  <c r="I4839" i="2"/>
  <c r="H4839" i="2"/>
  <c r="G4839" i="2"/>
  <c r="F4839" i="2"/>
  <c r="E4839" i="2"/>
  <c r="D4839" i="2"/>
  <c r="C4839" i="2"/>
  <c r="B4839" i="2"/>
  <c r="V4838" i="2"/>
  <c r="U4838" i="2"/>
  <c r="T4838" i="2"/>
  <c r="S4838" i="2"/>
  <c r="R4838" i="2"/>
  <c r="Q4838" i="2"/>
  <c r="P4838" i="2"/>
  <c r="O4838" i="2"/>
  <c r="N4838" i="2"/>
  <c r="M4838" i="2"/>
  <c r="L4838" i="2"/>
  <c r="K4838" i="2"/>
  <c r="J4838" i="2"/>
  <c r="I4838" i="2"/>
  <c r="H4838" i="2"/>
  <c r="G4838" i="2"/>
  <c r="F4838" i="2"/>
  <c r="E4838" i="2"/>
  <c r="D4838" i="2"/>
  <c r="C4838" i="2"/>
  <c r="B4838" i="2"/>
  <c r="V4837" i="2"/>
  <c r="U4837" i="2"/>
  <c r="T4837" i="2"/>
  <c r="S4837" i="2"/>
  <c r="R4837" i="2"/>
  <c r="Q4837" i="2"/>
  <c r="P4837" i="2"/>
  <c r="O4837" i="2"/>
  <c r="N4837" i="2"/>
  <c r="M4837" i="2"/>
  <c r="L4837" i="2"/>
  <c r="K4837" i="2"/>
  <c r="J4837" i="2"/>
  <c r="I4837" i="2"/>
  <c r="H4837" i="2"/>
  <c r="G4837" i="2"/>
  <c r="F4837" i="2"/>
  <c r="E4837" i="2"/>
  <c r="D4837" i="2"/>
  <c r="C4837" i="2"/>
  <c r="B4837" i="2"/>
  <c r="V4836" i="2"/>
  <c r="U4836" i="2"/>
  <c r="T4836" i="2"/>
  <c r="S4836" i="2"/>
  <c r="R4836" i="2"/>
  <c r="Q4836" i="2"/>
  <c r="P4836" i="2"/>
  <c r="O4836" i="2"/>
  <c r="N4836" i="2"/>
  <c r="M4836" i="2"/>
  <c r="L4836" i="2"/>
  <c r="K4836" i="2"/>
  <c r="J4836" i="2"/>
  <c r="I4836" i="2"/>
  <c r="H4836" i="2"/>
  <c r="G4836" i="2"/>
  <c r="F4836" i="2"/>
  <c r="E4836" i="2"/>
  <c r="D4836" i="2"/>
  <c r="C4836" i="2"/>
  <c r="B4836" i="2"/>
  <c r="V4835" i="2"/>
  <c r="U4835" i="2"/>
  <c r="T4835" i="2"/>
  <c r="S4835" i="2"/>
  <c r="R4835" i="2"/>
  <c r="Q4835" i="2"/>
  <c r="P4835" i="2"/>
  <c r="O4835" i="2"/>
  <c r="N4835" i="2"/>
  <c r="M4835" i="2"/>
  <c r="L4835" i="2"/>
  <c r="K4835" i="2"/>
  <c r="J4835" i="2"/>
  <c r="I4835" i="2"/>
  <c r="H4835" i="2"/>
  <c r="G4835" i="2"/>
  <c r="F4835" i="2"/>
  <c r="E4835" i="2"/>
  <c r="D4835" i="2"/>
  <c r="C4835" i="2"/>
  <c r="B4835" i="2"/>
  <c r="V4834" i="2"/>
  <c r="U4834" i="2"/>
  <c r="T4834" i="2"/>
  <c r="S4834" i="2"/>
  <c r="R4834" i="2"/>
  <c r="Q4834" i="2"/>
  <c r="P4834" i="2"/>
  <c r="O4834" i="2"/>
  <c r="N4834" i="2"/>
  <c r="M4834" i="2"/>
  <c r="L4834" i="2"/>
  <c r="K4834" i="2"/>
  <c r="J4834" i="2"/>
  <c r="I4834" i="2"/>
  <c r="H4834" i="2"/>
  <c r="G4834" i="2"/>
  <c r="F4834" i="2"/>
  <c r="E4834" i="2"/>
  <c r="D4834" i="2"/>
  <c r="C4834" i="2"/>
  <c r="B4834" i="2"/>
  <c r="V4833" i="2"/>
  <c r="U4833" i="2"/>
  <c r="T4833" i="2"/>
  <c r="S4833" i="2"/>
  <c r="R4833" i="2"/>
  <c r="Q4833" i="2"/>
  <c r="P4833" i="2"/>
  <c r="O4833" i="2"/>
  <c r="N4833" i="2"/>
  <c r="M4833" i="2"/>
  <c r="L4833" i="2"/>
  <c r="K4833" i="2"/>
  <c r="J4833" i="2"/>
  <c r="I4833" i="2"/>
  <c r="H4833" i="2"/>
  <c r="G4833" i="2"/>
  <c r="F4833" i="2"/>
  <c r="E4833" i="2"/>
  <c r="D4833" i="2"/>
  <c r="C4833" i="2"/>
  <c r="B4833" i="2"/>
  <c r="V4832" i="2"/>
  <c r="U4832" i="2"/>
  <c r="T4832" i="2"/>
  <c r="S4832" i="2"/>
  <c r="R4832" i="2"/>
  <c r="Q4832" i="2"/>
  <c r="P4832" i="2"/>
  <c r="O4832" i="2"/>
  <c r="N4832" i="2"/>
  <c r="M4832" i="2"/>
  <c r="L4832" i="2"/>
  <c r="K4832" i="2"/>
  <c r="J4832" i="2"/>
  <c r="I4832" i="2"/>
  <c r="H4832" i="2"/>
  <c r="G4832" i="2"/>
  <c r="F4832" i="2"/>
  <c r="E4832" i="2"/>
  <c r="D4832" i="2"/>
  <c r="C4832" i="2"/>
  <c r="B4832" i="2"/>
  <c r="V4831" i="2"/>
  <c r="U4831" i="2"/>
  <c r="T4831" i="2"/>
  <c r="S4831" i="2"/>
  <c r="R4831" i="2"/>
  <c r="Q4831" i="2"/>
  <c r="P4831" i="2"/>
  <c r="O4831" i="2"/>
  <c r="N4831" i="2"/>
  <c r="M4831" i="2"/>
  <c r="L4831" i="2"/>
  <c r="K4831" i="2"/>
  <c r="J4831" i="2"/>
  <c r="I4831" i="2"/>
  <c r="H4831" i="2"/>
  <c r="G4831" i="2"/>
  <c r="F4831" i="2"/>
  <c r="E4831" i="2"/>
  <c r="D4831" i="2"/>
  <c r="C4831" i="2"/>
  <c r="B4831" i="2"/>
  <c r="V4830" i="2"/>
  <c r="U4830" i="2"/>
  <c r="T4830" i="2"/>
  <c r="S4830" i="2"/>
  <c r="R4830" i="2"/>
  <c r="Q4830" i="2"/>
  <c r="P4830" i="2"/>
  <c r="O4830" i="2"/>
  <c r="N4830" i="2"/>
  <c r="M4830" i="2"/>
  <c r="L4830" i="2"/>
  <c r="K4830" i="2"/>
  <c r="J4830" i="2"/>
  <c r="I4830" i="2"/>
  <c r="H4830" i="2"/>
  <c r="G4830" i="2"/>
  <c r="F4830" i="2"/>
  <c r="E4830" i="2"/>
  <c r="D4830" i="2"/>
  <c r="C4830" i="2"/>
  <c r="B4830" i="2"/>
  <c r="V4829" i="2"/>
  <c r="U4829" i="2"/>
  <c r="T4829" i="2"/>
  <c r="S4829" i="2"/>
  <c r="R4829" i="2"/>
  <c r="Q4829" i="2"/>
  <c r="P4829" i="2"/>
  <c r="O4829" i="2"/>
  <c r="N4829" i="2"/>
  <c r="M4829" i="2"/>
  <c r="L4829" i="2"/>
  <c r="K4829" i="2"/>
  <c r="J4829" i="2"/>
  <c r="I4829" i="2"/>
  <c r="H4829" i="2"/>
  <c r="G4829" i="2"/>
  <c r="F4829" i="2"/>
  <c r="E4829" i="2"/>
  <c r="D4829" i="2"/>
  <c r="C4829" i="2"/>
  <c r="B4829" i="2"/>
  <c r="V4828" i="2"/>
  <c r="U4828" i="2"/>
  <c r="T4828" i="2"/>
  <c r="S4828" i="2"/>
  <c r="R4828" i="2"/>
  <c r="Q4828" i="2"/>
  <c r="P4828" i="2"/>
  <c r="O4828" i="2"/>
  <c r="N4828" i="2"/>
  <c r="M4828" i="2"/>
  <c r="L4828" i="2"/>
  <c r="K4828" i="2"/>
  <c r="J4828" i="2"/>
  <c r="I4828" i="2"/>
  <c r="H4828" i="2"/>
  <c r="G4828" i="2"/>
  <c r="F4828" i="2"/>
  <c r="E4828" i="2"/>
  <c r="D4828" i="2"/>
  <c r="C4828" i="2"/>
  <c r="B4828" i="2"/>
  <c r="V4827" i="2"/>
  <c r="U4827" i="2"/>
  <c r="T4827" i="2"/>
  <c r="S4827" i="2"/>
  <c r="R4827" i="2"/>
  <c r="Q4827" i="2"/>
  <c r="P4827" i="2"/>
  <c r="O4827" i="2"/>
  <c r="N4827" i="2"/>
  <c r="M4827" i="2"/>
  <c r="L4827" i="2"/>
  <c r="K4827" i="2"/>
  <c r="J4827" i="2"/>
  <c r="I4827" i="2"/>
  <c r="H4827" i="2"/>
  <c r="G4827" i="2"/>
  <c r="F4827" i="2"/>
  <c r="E4827" i="2"/>
  <c r="D4827" i="2"/>
  <c r="C4827" i="2"/>
  <c r="B4827" i="2"/>
  <c r="V4826" i="2"/>
  <c r="U4826" i="2"/>
  <c r="T4826" i="2"/>
  <c r="S4826" i="2"/>
  <c r="R4826" i="2"/>
  <c r="Q4826" i="2"/>
  <c r="P4826" i="2"/>
  <c r="O4826" i="2"/>
  <c r="N4826" i="2"/>
  <c r="M4826" i="2"/>
  <c r="L4826" i="2"/>
  <c r="K4826" i="2"/>
  <c r="J4826" i="2"/>
  <c r="I4826" i="2"/>
  <c r="H4826" i="2"/>
  <c r="G4826" i="2"/>
  <c r="F4826" i="2"/>
  <c r="E4826" i="2"/>
  <c r="D4826" i="2"/>
  <c r="C4826" i="2"/>
  <c r="B4826" i="2"/>
  <c r="V4825" i="2"/>
  <c r="U4825" i="2"/>
  <c r="T4825" i="2"/>
  <c r="S4825" i="2"/>
  <c r="R4825" i="2"/>
  <c r="Q4825" i="2"/>
  <c r="P4825" i="2"/>
  <c r="O4825" i="2"/>
  <c r="N4825" i="2"/>
  <c r="M4825" i="2"/>
  <c r="L4825" i="2"/>
  <c r="K4825" i="2"/>
  <c r="J4825" i="2"/>
  <c r="I4825" i="2"/>
  <c r="H4825" i="2"/>
  <c r="G4825" i="2"/>
  <c r="F4825" i="2"/>
  <c r="E4825" i="2"/>
  <c r="D4825" i="2"/>
  <c r="C4825" i="2"/>
  <c r="B4825" i="2"/>
  <c r="V4824" i="2"/>
  <c r="U4824" i="2"/>
  <c r="T4824" i="2"/>
  <c r="S4824" i="2"/>
  <c r="R4824" i="2"/>
  <c r="Q4824" i="2"/>
  <c r="P4824" i="2"/>
  <c r="O4824" i="2"/>
  <c r="N4824" i="2"/>
  <c r="M4824" i="2"/>
  <c r="L4824" i="2"/>
  <c r="K4824" i="2"/>
  <c r="J4824" i="2"/>
  <c r="I4824" i="2"/>
  <c r="H4824" i="2"/>
  <c r="G4824" i="2"/>
  <c r="F4824" i="2"/>
  <c r="E4824" i="2"/>
  <c r="D4824" i="2"/>
  <c r="C4824" i="2"/>
  <c r="B4824" i="2"/>
  <c r="V4823" i="2"/>
  <c r="U4823" i="2"/>
  <c r="T4823" i="2"/>
  <c r="S4823" i="2"/>
  <c r="R4823" i="2"/>
  <c r="Q4823" i="2"/>
  <c r="P4823" i="2"/>
  <c r="O4823" i="2"/>
  <c r="N4823" i="2"/>
  <c r="M4823" i="2"/>
  <c r="L4823" i="2"/>
  <c r="K4823" i="2"/>
  <c r="J4823" i="2"/>
  <c r="I4823" i="2"/>
  <c r="H4823" i="2"/>
  <c r="G4823" i="2"/>
  <c r="F4823" i="2"/>
  <c r="E4823" i="2"/>
  <c r="D4823" i="2"/>
  <c r="C4823" i="2"/>
  <c r="B4823" i="2"/>
  <c r="V4822" i="2"/>
  <c r="U4822" i="2"/>
  <c r="T4822" i="2"/>
  <c r="S4822" i="2"/>
  <c r="R4822" i="2"/>
  <c r="Q4822" i="2"/>
  <c r="P4822" i="2"/>
  <c r="O4822" i="2"/>
  <c r="N4822" i="2"/>
  <c r="M4822" i="2"/>
  <c r="L4822" i="2"/>
  <c r="K4822" i="2"/>
  <c r="J4822" i="2"/>
  <c r="I4822" i="2"/>
  <c r="H4822" i="2"/>
  <c r="G4822" i="2"/>
  <c r="F4822" i="2"/>
  <c r="E4822" i="2"/>
  <c r="D4822" i="2"/>
  <c r="C4822" i="2"/>
  <c r="B4822" i="2"/>
  <c r="V4821" i="2"/>
  <c r="U4821" i="2"/>
  <c r="T4821" i="2"/>
  <c r="S4821" i="2"/>
  <c r="R4821" i="2"/>
  <c r="Q4821" i="2"/>
  <c r="P4821" i="2"/>
  <c r="O4821" i="2"/>
  <c r="N4821" i="2"/>
  <c r="M4821" i="2"/>
  <c r="L4821" i="2"/>
  <c r="K4821" i="2"/>
  <c r="J4821" i="2"/>
  <c r="I4821" i="2"/>
  <c r="H4821" i="2"/>
  <c r="G4821" i="2"/>
  <c r="F4821" i="2"/>
  <c r="E4821" i="2"/>
  <c r="D4821" i="2"/>
  <c r="C4821" i="2"/>
  <c r="B4821" i="2"/>
  <c r="V4820" i="2"/>
  <c r="U4820" i="2"/>
  <c r="T4820" i="2"/>
  <c r="S4820" i="2"/>
  <c r="R4820" i="2"/>
  <c r="Q4820" i="2"/>
  <c r="P4820" i="2"/>
  <c r="O4820" i="2"/>
  <c r="N4820" i="2"/>
  <c r="M4820" i="2"/>
  <c r="L4820" i="2"/>
  <c r="K4820" i="2"/>
  <c r="J4820" i="2"/>
  <c r="I4820" i="2"/>
  <c r="H4820" i="2"/>
  <c r="G4820" i="2"/>
  <c r="F4820" i="2"/>
  <c r="E4820" i="2"/>
  <c r="D4820" i="2"/>
  <c r="C4820" i="2"/>
  <c r="B4820" i="2"/>
  <c r="V4819" i="2"/>
  <c r="U4819" i="2"/>
  <c r="T4819" i="2"/>
  <c r="S4819" i="2"/>
  <c r="R4819" i="2"/>
  <c r="Q4819" i="2"/>
  <c r="P4819" i="2"/>
  <c r="O4819" i="2"/>
  <c r="N4819" i="2"/>
  <c r="M4819" i="2"/>
  <c r="L4819" i="2"/>
  <c r="K4819" i="2"/>
  <c r="J4819" i="2"/>
  <c r="I4819" i="2"/>
  <c r="H4819" i="2"/>
  <c r="G4819" i="2"/>
  <c r="F4819" i="2"/>
  <c r="E4819" i="2"/>
  <c r="D4819" i="2"/>
  <c r="C4819" i="2"/>
  <c r="B4819" i="2"/>
  <c r="V4818" i="2"/>
  <c r="U4818" i="2"/>
  <c r="T4818" i="2"/>
  <c r="S4818" i="2"/>
  <c r="R4818" i="2"/>
  <c r="Q4818" i="2"/>
  <c r="P4818" i="2"/>
  <c r="O4818" i="2"/>
  <c r="N4818" i="2"/>
  <c r="M4818" i="2"/>
  <c r="L4818" i="2"/>
  <c r="K4818" i="2"/>
  <c r="J4818" i="2"/>
  <c r="I4818" i="2"/>
  <c r="H4818" i="2"/>
  <c r="G4818" i="2"/>
  <c r="F4818" i="2"/>
  <c r="E4818" i="2"/>
  <c r="D4818" i="2"/>
  <c r="C4818" i="2"/>
  <c r="B4818" i="2"/>
  <c r="V4817" i="2"/>
  <c r="U4817" i="2"/>
  <c r="T4817" i="2"/>
  <c r="S4817" i="2"/>
  <c r="R4817" i="2"/>
  <c r="Q4817" i="2"/>
  <c r="P4817" i="2"/>
  <c r="O4817" i="2"/>
  <c r="N4817" i="2"/>
  <c r="M4817" i="2"/>
  <c r="L4817" i="2"/>
  <c r="K4817" i="2"/>
  <c r="J4817" i="2"/>
  <c r="I4817" i="2"/>
  <c r="H4817" i="2"/>
  <c r="G4817" i="2"/>
  <c r="F4817" i="2"/>
  <c r="E4817" i="2"/>
  <c r="D4817" i="2"/>
  <c r="C4817" i="2"/>
  <c r="B4817" i="2"/>
  <c r="V4816" i="2"/>
  <c r="U4816" i="2"/>
  <c r="T4816" i="2"/>
  <c r="S4816" i="2"/>
  <c r="R4816" i="2"/>
  <c r="Q4816" i="2"/>
  <c r="P4816" i="2"/>
  <c r="O4816" i="2"/>
  <c r="N4816" i="2"/>
  <c r="M4816" i="2"/>
  <c r="L4816" i="2"/>
  <c r="K4816" i="2"/>
  <c r="J4816" i="2"/>
  <c r="I4816" i="2"/>
  <c r="H4816" i="2"/>
  <c r="G4816" i="2"/>
  <c r="F4816" i="2"/>
  <c r="E4816" i="2"/>
  <c r="D4816" i="2"/>
  <c r="C4816" i="2"/>
  <c r="B4816" i="2"/>
  <c r="V4815" i="2"/>
  <c r="U4815" i="2"/>
  <c r="T4815" i="2"/>
  <c r="S4815" i="2"/>
  <c r="R4815" i="2"/>
  <c r="Q4815" i="2"/>
  <c r="P4815" i="2"/>
  <c r="O4815" i="2"/>
  <c r="N4815" i="2"/>
  <c r="M4815" i="2"/>
  <c r="L4815" i="2"/>
  <c r="K4815" i="2"/>
  <c r="J4815" i="2"/>
  <c r="I4815" i="2"/>
  <c r="H4815" i="2"/>
  <c r="G4815" i="2"/>
  <c r="F4815" i="2"/>
  <c r="E4815" i="2"/>
  <c r="D4815" i="2"/>
  <c r="C4815" i="2"/>
  <c r="B4815" i="2"/>
  <c r="V4814" i="2"/>
  <c r="U4814" i="2"/>
  <c r="T4814" i="2"/>
  <c r="S4814" i="2"/>
  <c r="R4814" i="2"/>
  <c r="Q4814" i="2"/>
  <c r="P4814" i="2"/>
  <c r="O4814" i="2"/>
  <c r="N4814" i="2"/>
  <c r="M4814" i="2"/>
  <c r="L4814" i="2"/>
  <c r="K4814" i="2"/>
  <c r="J4814" i="2"/>
  <c r="I4814" i="2"/>
  <c r="H4814" i="2"/>
  <c r="G4814" i="2"/>
  <c r="F4814" i="2"/>
  <c r="E4814" i="2"/>
  <c r="D4814" i="2"/>
  <c r="C4814" i="2"/>
  <c r="B4814" i="2"/>
  <c r="V4813" i="2"/>
  <c r="U4813" i="2"/>
  <c r="T4813" i="2"/>
  <c r="S4813" i="2"/>
  <c r="R4813" i="2"/>
  <c r="Q4813" i="2"/>
  <c r="P4813" i="2"/>
  <c r="O4813" i="2"/>
  <c r="N4813" i="2"/>
  <c r="M4813" i="2"/>
  <c r="L4813" i="2"/>
  <c r="K4813" i="2"/>
  <c r="J4813" i="2"/>
  <c r="I4813" i="2"/>
  <c r="H4813" i="2"/>
  <c r="G4813" i="2"/>
  <c r="F4813" i="2"/>
  <c r="E4813" i="2"/>
  <c r="D4813" i="2"/>
  <c r="C4813" i="2"/>
  <c r="B4813" i="2"/>
  <c r="V4812" i="2"/>
  <c r="U4812" i="2"/>
  <c r="T4812" i="2"/>
  <c r="S4812" i="2"/>
  <c r="R4812" i="2"/>
  <c r="Q4812" i="2"/>
  <c r="P4812" i="2"/>
  <c r="O4812" i="2"/>
  <c r="N4812" i="2"/>
  <c r="M4812" i="2"/>
  <c r="L4812" i="2"/>
  <c r="K4812" i="2"/>
  <c r="J4812" i="2"/>
  <c r="I4812" i="2"/>
  <c r="H4812" i="2"/>
  <c r="G4812" i="2"/>
  <c r="F4812" i="2"/>
  <c r="E4812" i="2"/>
  <c r="D4812" i="2"/>
  <c r="C4812" i="2"/>
  <c r="B4812" i="2"/>
  <c r="V4811" i="2"/>
  <c r="U4811" i="2"/>
  <c r="T4811" i="2"/>
  <c r="S4811" i="2"/>
  <c r="R4811" i="2"/>
  <c r="Q4811" i="2"/>
  <c r="P4811" i="2"/>
  <c r="O4811" i="2"/>
  <c r="N4811" i="2"/>
  <c r="M4811" i="2"/>
  <c r="L4811" i="2"/>
  <c r="K4811" i="2"/>
  <c r="J4811" i="2"/>
  <c r="I4811" i="2"/>
  <c r="H4811" i="2"/>
  <c r="G4811" i="2"/>
  <c r="F4811" i="2"/>
  <c r="E4811" i="2"/>
  <c r="D4811" i="2"/>
  <c r="C4811" i="2"/>
  <c r="B4811" i="2"/>
  <c r="V4810" i="2"/>
  <c r="U4810" i="2"/>
  <c r="T4810" i="2"/>
  <c r="S4810" i="2"/>
  <c r="R4810" i="2"/>
  <c r="Q4810" i="2"/>
  <c r="P4810" i="2"/>
  <c r="O4810" i="2"/>
  <c r="N4810" i="2"/>
  <c r="M4810" i="2"/>
  <c r="L4810" i="2"/>
  <c r="K4810" i="2"/>
  <c r="J4810" i="2"/>
  <c r="I4810" i="2"/>
  <c r="H4810" i="2"/>
  <c r="G4810" i="2"/>
  <c r="F4810" i="2"/>
  <c r="E4810" i="2"/>
  <c r="D4810" i="2"/>
  <c r="C4810" i="2"/>
  <c r="B4810" i="2"/>
  <c r="V4809" i="2"/>
  <c r="U4809" i="2"/>
  <c r="T4809" i="2"/>
  <c r="S4809" i="2"/>
  <c r="R4809" i="2"/>
  <c r="Q4809" i="2"/>
  <c r="P4809" i="2"/>
  <c r="O4809" i="2"/>
  <c r="N4809" i="2"/>
  <c r="M4809" i="2"/>
  <c r="L4809" i="2"/>
  <c r="K4809" i="2"/>
  <c r="J4809" i="2"/>
  <c r="I4809" i="2"/>
  <c r="H4809" i="2"/>
  <c r="G4809" i="2"/>
  <c r="F4809" i="2"/>
  <c r="E4809" i="2"/>
  <c r="D4809" i="2"/>
  <c r="C4809" i="2"/>
  <c r="B4809" i="2"/>
  <c r="V4808" i="2"/>
  <c r="U4808" i="2"/>
  <c r="T4808" i="2"/>
  <c r="S4808" i="2"/>
  <c r="R4808" i="2"/>
  <c r="Q4808" i="2"/>
  <c r="P4808" i="2"/>
  <c r="O4808" i="2"/>
  <c r="N4808" i="2"/>
  <c r="M4808" i="2"/>
  <c r="L4808" i="2"/>
  <c r="K4808" i="2"/>
  <c r="J4808" i="2"/>
  <c r="I4808" i="2"/>
  <c r="H4808" i="2"/>
  <c r="G4808" i="2"/>
  <c r="F4808" i="2"/>
  <c r="E4808" i="2"/>
  <c r="D4808" i="2"/>
  <c r="C4808" i="2"/>
  <c r="B4808" i="2"/>
  <c r="V4807" i="2"/>
  <c r="U4807" i="2"/>
  <c r="T4807" i="2"/>
  <c r="S4807" i="2"/>
  <c r="R4807" i="2"/>
  <c r="Q4807" i="2"/>
  <c r="P4807" i="2"/>
  <c r="O4807" i="2"/>
  <c r="N4807" i="2"/>
  <c r="M4807" i="2"/>
  <c r="L4807" i="2"/>
  <c r="K4807" i="2"/>
  <c r="J4807" i="2"/>
  <c r="I4807" i="2"/>
  <c r="H4807" i="2"/>
  <c r="G4807" i="2"/>
  <c r="F4807" i="2"/>
  <c r="E4807" i="2"/>
  <c r="D4807" i="2"/>
  <c r="C4807" i="2"/>
  <c r="B4807" i="2"/>
  <c r="V4806" i="2"/>
  <c r="U4806" i="2"/>
  <c r="T4806" i="2"/>
  <c r="S4806" i="2"/>
  <c r="R4806" i="2"/>
  <c r="Q4806" i="2"/>
  <c r="P4806" i="2"/>
  <c r="O4806" i="2"/>
  <c r="N4806" i="2"/>
  <c r="M4806" i="2"/>
  <c r="L4806" i="2"/>
  <c r="K4806" i="2"/>
  <c r="J4806" i="2"/>
  <c r="I4806" i="2"/>
  <c r="H4806" i="2"/>
  <c r="G4806" i="2"/>
  <c r="F4806" i="2"/>
  <c r="E4806" i="2"/>
  <c r="D4806" i="2"/>
  <c r="C4806" i="2"/>
  <c r="B4806" i="2"/>
  <c r="V4805" i="2"/>
  <c r="U4805" i="2"/>
  <c r="T4805" i="2"/>
  <c r="S4805" i="2"/>
  <c r="R4805" i="2"/>
  <c r="Q4805" i="2"/>
  <c r="P4805" i="2"/>
  <c r="O4805" i="2"/>
  <c r="N4805" i="2"/>
  <c r="M4805" i="2"/>
  <c r="L4805" i="2"/>
  <c r="K4805" i="2"/>
  <c r="J4805" i="2"/>
  <c r="I4805" i="2"/>
  <c r="H4805" i="2"/>
  <c r="G4805" i="2"/>
  <c r="F4805" i="2"/>
  <c r="E4805" i="2"/>
  <c r="D4805" i="2"/>
  <c r="C4805" i="2"/>
  <c r="B4805" i="2"/>
  <c r="V4804" i="2"/>
  <c r="U4804" i="2"/>
  <c r="T4804" i="2"/>
  <c r="S4804" i="2"/>
  <c r="R4804" i="2"/>
  <c r="Q4804" i="2"/>
  <c r="P4804" i="2"/>
  <c r="O4804" i="2"/>
  <c r="N4804" i="2"/>
  <c r="M4804" i="2"/>
  <c r="L4804" i="2"/>
  <c r="K4804" i="2"/>
  <c r="J4804" i="2"/>
  <c r="I4804" i="2"/>
  <c r="H4804" i="2"/>
  <c r="G4804" i="2"/>
  <c r="F4804" i="2"/>
  <c r="E4804" i="2"/>
  <c r="D4804" i="2"/>
  <c r="C4804" i="2"/>
  <c r="B4804" i="2"/>
  <c r="V4803" i="2"/>
  <c r="U4803" i="2"/>
  <c r="T4803" i="2"/>
  <c r="S4803" i="2"/>
  <c r="R4803" i="2"/>
  <c r="Q4803" i="2"/>
  <c r="P4803" i="2"/>
  <c r="O4803" i="2"/>
  <c r="N4803" i="2"/>
  <c r="M4803" i="2"/>
  <c r="L4803" i="2"/>
  <c r="K4803" i="2"/>
  <c r="J4803" i="2"/>
  <c r="I4803" i="2"/>
  <c r="H4803" i="2"/>
  <c r="G4803" i="2"/>
  <c r="F4803" i="2"/>
  <c r="E4803" i="2"/>
  <c r="D4803" i="2"/>
  <c r="C4803" i="2"/>
  <c r="B4803" i="2"/>
  <c r="V4802" i="2"/>
  <c r="U4802" i="2"/>
  <c r="T4802" i="2"/>
  <c r="S4802" i="2"/>
  <c r="R4802" i="2"/>
  <c r="Q4802" i="2"/>
  <c r="P4802" i="2"/>
  <c r="O4802" i="2"/>
  <c r="N4802" i="2"/>
  <c r="M4802" i="2"/>
  <c r="L4802" i="2"/>
  <c r="K4802" i="2"/>
  <c r="J4802" i="2"/>
  <c r="I4802" i="2"/>
  <c r="H4802" i="2"/>
  <c r="G4802" i="2"/>
  <c r="F4802" i="2"/>
  <c r="E4802" i="2"/>
  <c r="D4802" i="2"/>
  <c r="C4802" i="2"/>
  <c r="B4802" i="2"/>
  <c r="V4801" i="2"/>
  <c r="U4801" i="2"/>
  <c r="T4801" i="2"/>
  <c r="S4801" i="2"/>
  <c r="R4801" i="2"/>
  <c r="Q4801" i="2"/>
  <c r="P4801" i="2"/>
  <c r="O4801" i="2"/>
  <c r="N4801" i="2"/>
  <c r="M4801" i="2"/>
  <c r="L4801" i="2"/>
  <c r="K4801" i="2"/>
  <c r="J4801" i="2"/>
  <c r="I4801" i="2"/>
  <c r="H4801" i="2"/>
  <c r="G4801" i="2"/>
  <c r="F4801" i="2"/>
  <c r="E4801" i="2"/>
  <c r="D4801" i="2"/>
  <c r="C4801" i="2"/>
  <c r="B4801" i="2"/>
  <c r="V4800" i="2"/>
  <c r="U4800" i="2"/>
  <c r="T4800" i="2"/>
  <c r="S4800" i="2"/>
  <c r="R4800" i="2"/>
  <c r="Q4800" i="2"/>
  <c r="P4800" i="2"/>
  <c r="O4800" i="2"/>
  <c r="N4800" i="2"/>
  <c r="M4800" i="2"/>
  <c r="L4800" i="2"/>
  <c r="K4800" i="2"/>
  <c r="J4800" i="2"/>
  <c r="I4800" i="2"/>
  <c r="H4800" i="2"/>
  <c r="G4800" i="2"/>
  <c r="F4800" i="2"/>
  <c r="E4800" i="2"/>
  <c r="D4800" i="2"/>
  <c r="C4800" i="2"/>
  <c r="B4800" i="2"/>
  <c r="V4799" i="2"/>
  <c r="U4799" i="2"/>
  <c r="T4799" i="2"/>
  <c r="S4799" i="2"/>
  <c r="R4799" i="2"/>
  <c r="Q4799" i="2"/>
  <c r="P4799" i="2"/>
  <c r="O4799" i="2"/>
  <c r="N4799" i="2"/>
  <c r="M4799" i="2"/>
  <c r="L4799" i="2"/>
  <c r="K4799" i="2"/>
  <c r="J4799" i="2"/>
  <c r="I4799" i="2"/>
  <c r="H4799" i="2"/>
  <c r="G4799" i="2"/>
  <c r="F4799" i="2"/>
  <c r="E4799" i="2"/>
  <c r="D4799" i="2"/>
  <c r="C4799" i="2"/>
  <c r="B4799" i="2"/>
  <c r="V4798" i="2"/>
  <c r="U4798" i="2"/>
  <c r="T4798" i="2"/>
  <c r="S4798" i="2"/>
  <c r="R4798" i="2"/>
  <c r="Q4798" i="2"/>
  <c r="P4798" i="2"/>
  <c r="O4798" i="2"/>
  <c r="N4798" i="2"/>
  <c r="M4798" i="2"/>
  <c r="L4798" i="2"/>
  <c r="K4798" i="2"/>
  <c r="J4798" i="2"/>
  <c r="I4798" i="2"/>
  <c r="H4798" i="2"/>
  <c r="G4798" i="2"/>
  <c r="F4798" i="2"/>
  <c r="E4798" i="2"/>
  <c r="D4798" i="2"/>
  <c r="C4798" i="2"/>
  <c r="B4798" i="2"/>
  <c r="V4797" i="2"/>
  <c r="U4797" i="2"/>
  <c r="T4797" i="2"/>
  <c r="S4797" i="2"/>
  <c r="R4797" i="2"/>
  <c r="Q4797" i="2"/>
  <c r="P4797" i="2"/>
  <c r="O4797" i="2"/>
  <c r="N4797" i="2"/>
  <c r="M4797" i="2"/>
  <c r="L4797" i="2"/>
  <c r="K4797" i="2"/>
  <c r="J4797" i="2"/>
  <c r="I4797" i="2"/>
  <c r="H4797" i="2"/>
  <c r="G4797" i="2"/>
  <c r="F4797" i="2"/>
  <c r="E4797" i="2"/>
  <c r="D4797" i="2"/>
  <c r="C4797" i="2"/>
  <c r="B4797" i="2"/>
  <c r="V4796" i="2"/>
  <c r="U4796" i="2"/>
  <c r="T4796" i="2"/>
  <c r="S4796" i="2"/>
  <c r="R4796" i="2"/>
  <c r="Q4796" i="2"/>
  <c r="P4796" i="2"/>
  <c r="O4796" i="2"/>
  <c r="N4796" i="2"/>
  <c r="M4796" i="2"/>
  <c r="L4796" i="2"/>
  <c r="K4796" i="2"/>
  <c r="J4796" i="2"/>
  <c r="I4796" i="2"/>
  <c r="H4796" i="2"/>
  <c r="G4796" i="2"/>
  <c r="F4796" i="2"/>
  <c r="E4796" i="2"/>
  <c r="D4796" i="2"/>
  <c r="C4796" i="2"/>
  <c r="B4796" i="2"/>
  <c r="V4795" i="2"/>
  <c r="U4795" i="2"/>
  <c r="T4795" i="2"/>
  <c r="S4795" i="2"/>
  <c r="R4795" i="2"/>
  <c r="Q4795" i="2"/>
  <c r="P4795" i="2"/>
  <c r="O4795" i="2"/>
  <c r="N4795" i="2"/>
  <c r="M4795" i="2"/>
  <c r="L4795" i="2"/>
  <c r="K4795" i="2"/>
  <c r="J4795" i="2"/>
  <c r="I4795" i="2"/>
  <c r="H4795" i="2"/>
  <c r="G4795" i="2"/>
  <c r="F4795" i="2"/>
  <c r="E4795" i="2"/>
  <c r="D4795" i="2"/>
  <c r="C4795" i="2"/>
  <c r="B4795" i="2"/>
  <c r="V4794" i="2"/>
  <c r="U4794" i="2"/>
  <c r="T4794" i="2"/>
  <c r="S4794" i="2"/>
  <c r="R4794" i="2"/>
  <c r="Q4794" i="2"/>
  <c r="P4794" i="2"/>
  <c r="O4794" i="2"/>
  <c r="N4794" i="2"/>
  <c r="M4794" i="2"/>
  <c r="L4794" i="2"/>
  <c r="K4794" i="2"/>
  <c r="J4794" i="2"/>
  <c r="I4794" i="2"/>
  <c r="H4794" i="2"/>
  <c r="G4794" i="2"/>
  <c r="F4794" i="2"/>
  <c r="E4794" i="2"/>
  <c r="D4794" i="2"/>
  <c r="C4794" i="2"/>
  <c r="B4794" i="2"/>
  <c r="V4793" i="2"/>
  <c r="U4793" i="2"/>
  <c r="T4793" i="2"/>
  <c r="S4793" i="2"/>
  <c r="R4793" i="2"/>
  <c r="Q4793" i="2"/>
  <c r="P4793" i="2"/>
  <c r="O4793" i="2"/>
  <c r="N4793" i="2"/>
  <c r="M4793" i="2"/>
  <c r="L4793" i="2"/>
  <c r="K4793" i="2"/>
  <c r="J4793" i="2"/>
  <c r="I4793" i="2"/>
  <c r="H4793" i="2"/>
  <c r="G4793" i="2"/>
  <c r="F4793" i="2"/>
  <c r="E4793" i="2"/>
  <c r="D4793" i="2"/>
  <c r="C4793" i="2"/>
  <c r="B4793" i="2"/>
  <c r="V4792" i="2"/>
  <c r="U4792" i="2"/>
  <c r="T4792" i="2"/>
  <c r="S4792" i="2"/>
  <c r="R4792" i="2"/>
  <c r="Q4792" i="2"/>
  <c r="P4792" i="2"/>
  <c r="O4792" i="2"/>
  <c r="N4792" i="2"/>
  <c r="M4792" i="2"/>
  <c r="L4792" i="2"/>
  <c r="K4792" i="2"/>
  <c r="J4792" i="2"/>
  <c r="I4792" i="2"/>
  <c r="H4792" i="2"/>
  <c r="G4792" i="2"/>
  <c r="F4792" i="2"/>
  <c r="E4792" i="2"/>
  <c r="D4792" i="2"/>
  <c r="C4792" i="2"/>
  <c r="B4792" i="2"/>
  <c r="V4791" i="2"/>
  <c r="U4791" i="2"/>
  <c r="T4791" i="2"/>
  <c r="S4791" i="2"/>
  <c r="R4791" i="2"/>
  <c r="Q4791" i="2"/>
  <c r="P4791" i="2"/>
  <c r="O4791" i="2"/>
  <c r="N4791" i="2"/>
  <c r="M4791" i="2"/>
  <c r="L4791" i="2"/>
  <c r="K4791" i="2"/>
  <c r="J4791" i="2"/>
  <c r="I4791" i="2"/>
  <c r="H4791" i="2"/>
  <c r="G4791" i="2"/>
  <c r="F4791" i="2"/>
  <c r="E4791" i="2"/>
  <c r="D4791" i="2"/>
  <c r="C4791" i="2"/>
  <c r="B4791" i="2"/>
  <c r="V4790" i="2"/>
  <c r="U4790" i="2"/>
  <c r="T4790" i="2"/>
  <c r="S4790" i="2"/>
  <c r="R4790" i="2"/>
  <c r="Q4790" i="2"/>
  <c r="P4790" i="2"/>
  <c r="O4790" i="2"/>
  <c r="N4790" i="2"/>
  <c r="M4790" i="2"/>
  <c r="L4790" i="2"/>
  <c r="K4790" i="2"/>
  <c r="J4790" i="2"/>
  <c r="I4790" i="2"/>
  <c r="H4790" i="2"/>
  <c r="G4790" i="2"/>
  <c r="F4790" i="2"/>
  <c r="E4790" i="2"/>
  <c r="D4790" i="2"/>
  <c r="C4790" i="2"/>
  <c r="B4790" i="2"/>
  <c r="V4789" i="2"/>
  <c r="U4789" i="2"/>
  <c r="T4789" i="2"/>
  <c r="S4789" i="2"/>
  <c r="R4789" i="2"/>
  <c r="Q4789" i="2"/>
  <c r="P4789" i="2"/>
  <c r="O4789" i="2"/>
  <c r="N4789" i="2"/>
  <c r="M4789" i="2"/>
  <c r="L4789" i="2"/>
  <c r="K4789" i="2"/>
  <c r="J4789" i="2"/>
  <c r="I4789" i="2"/>
  <c r="H4789" i="2"/>
  <c r="G4789" i="2"/>
  <c r="F4789" i="2"/>
  <c r="E4789" i="2"/>
  <c r="D4789" i="2"/>
  <c r="C4789" i="2"/>
  <c r="B4789" i="2"/>
  <c r="V4788" i="2"/>
  <c r="U4788" i="2"/>
  <c r="T4788" i="2"/>
  <c r="S4788" i="2"/>
  <c r="R4788" i="2"/>
  <c r="Q4788" i="2"/>
  <c r="P4788" i="2"/>
  <c r="O4788" i="2"/>
  <c r="N4788" i="2"/>
  <c r="M4788" i="2"/>
  <c r="L4788" i="2"/>
  <c r="K4788" i="2"/>
  <c r="J4788" i="2"/>
  <c r="I4788" i="2"/>
  <c r="H4788" i="2"/>
  <c r="G4788" i="2"/>
  <c r="F4788" i="2"/>
  <c r="E4788" i="2"/>
  <c r="D4788" i="2"/>
  <c r="C4788" i="2"/>
  <c r="B4788" i="2"/>
  <c r="V4787" i="2"/>
  <c r="U4787" i="2"/>
  <c r="T4787" i="2"/>
  <c r="S4787" i="2"/>
  <c r="R4787" i="2"/>
  <c r="Q4787" i="2"/>
  <c r="P4787" i="2"/>
  <c r="O4787" i="2"/>
  <c r="N4787" i="2"/>
  <c r="M4787" i="2"/>
  <c r="L4787" i="2"/>
  <c r="K4787" i="2"/>
  <c r="J4787" i="2"/>
  <c r="I4787" i="2"/>
  <c r="H4787" i="2"/>
  <c r="G4787" i="2"/>
  <c r="F4787" i="2"/>
  <c r="E4787" i="2"/>
  <c r="D4787" i="2"/>
  <c r="C4787" i="2"/>
  <c r="B4787" i="2"/>
  <c r="V4786" i="2"/>
  <c r="U4786" i="2"/>
  <c r="T4786" i="2"/>
  <c r="S4786" i="2"/>
  <c r="R4786" i="2"/>
  <c r="Q4786" i="2"/>
  <c r="P4786" i="2"/>
  <c r="O4786" i="2"/>
  <c r="N4786" i="2"/>
  <c r="M4786" i="2"/>
  <c r="L4786" i="2"/>
  <c r="K4786" i="2"/>
  <c r="J4786" i="2"/>
  <c r="I4786" i="2"/>
  <c r="H4786" i="2"/>
  <c r="G4786" i="2"/>
  <c r="F4786" i="2"/>
  <c r="E4786" i="2"/>
  <c r="D4786" i="2"/>
  <c r="C4786" i="2"/>
  <c r="B4786" i="2"/>
  <c r="V4785" i="2"/>
  <c r="U4785" i="2"/>
  <c r="T4785" i="2"/>
  <c r="S4785" i="2"/>
  <c r="R4785" i="2"/>
  <c r="Q4785" i="2"/>
  <c r="P4785" i="2"/>
  <c r="O4785" i="2"/>
  <c r="N4785" i="2"/>
  <c r="M4785" i="2"/>
  <c r="L4785" i="2"/>
  <c r="K4785" i="2"/>
  <c r="J4785" i="2"/>
  <c r="I4785" i="2"/>
  <c r="H4785" i="2"/>
  <c r="G4785" i="2"/>
  <c r="F4785" i="2"/>
  <c r="E4785" i="2"/>
  <c r="D4785" i="2"/>
  <c r="C4785" i="2"/>
  <c r="B4785" i="2"/>
  <c r="V4784" i="2"/>
  <c r="U4784" i="2"/>
  <c r="T4784" i="2"/>
  <c r="S4784" i="2"/>
  <c r="R4784" i="2"/>
  <c r="Q4784" i="2"/>
  <c r="P4784" i="2"/>
  <c r="O4784" i="2"/>
  <c r="N4784" i="2"/>
  <c r="M4784" i="2"/>
  <c r="L4784" i="2"/>
  <c r="K4784" i="2"/>
  <c r="J4784" i="2"/>
  <c r="I4784" i="2"/>
  <c r="H4784" i="2"/>
  <c r="G4784" i="2"/>
  <c r="F4784" i="2"/>
  <c r="E4784" i="2"/>
  <c r="D4784" i="2"/>
  <c r="C4784" i="2"/>
  <c r="B4784" i="2"/>
  <c r="V4783" i="2"/>
  <c r="U4783" i="2"/>
  <c r="T4783" i="2"/>
  <c r="S4783" i="2"/>
  <c r="R4783" i="2"/>
  <c r="Q4783" i="2"/>
  <c r="P4783" i="2"/>
  <c r="O4783" i="2"/>
  <c r="N4783" i="2"/>
  <c r="M4783" i="2"/>
  <c r="L4783" i="2"/>
  <c r="K4783" i="2"/>
  <c r="J4783" i="2"/>
  <c r="I4783" i="2"/>
  <c r="H4783" i="2"/>
  <c r="G4783" i="2"/>
  <c r="F4783" i="2"/>
  <c r="E4783" i="2"/>
  <c r="D4783" i="2"/>
  <c r="C4783" i="2"/>
  <c r="B4783" i="2"/>
  <c r="V4782" i="2"/>
  <c r="U4782" i="2"/>
  <c r="T4782" i="2"/>
  <c r="S4782" i="2"/>
  <c r="R4782" i="2"/>
  <c r="Q4782" i="2"/>
  <c r="P4782" i="2"/>
  <c r="O4782" i="2"/>
  <c r="N4782" i="2"/>
  <c r="M4782" i="2"/>
  <c r="L4782" i="2"/>
  <c r="K4782" i="2"/>
  <c r="J4782" i="2"/>
  <c r="I4782" i="2"/>
  <c r="H4782" i="2"/>
  <c r="G4782" i="2"/>
  <c r="F4782" i="2"/>
  <c r="E4782" i="2"/>
  <c r="D4782" i="2"/>
  <c r="C4782" i="2"/>
  <c r="B4782" i="2"/>
  <c r="V4781" i="2"/>
  <c r="U4781" i="2"/>
  <c r="T4781" i="2"/>
  <c r="S4781" i="2"/>
  <c r="R4781" i="2"/>
  <c r="Q4781" i="2"/>
  <c r="P4781" i="2"/>
  <c r="O4781" i="2"/>
  <c r="N4781" i="2"/>
  <c r="M4781" i="2"/>
  <c r="L4781" i="2"/>
  <c r="K4781" i="2"/>
  <c r="J4781" i="2"/>
  <c r="I4781" i="2"/>
  <c r="H4781" i="2"/>
  <c r="G4781" i="2"/>
  <c r="F4781" i="2"/>
  <c r="E4781" i="2"/>
  <c r="D4781" i="2"/>
  <c r="C4781" i="2"/>
  <c r="B4781" i="2"/>
  <c r="V4780" i="2"/>
  <c r="U4780" i="2"/>
  <c r="T4780" i="2"/>
  <c r="S4780" i="2"/>
  <c r="R4780" i="2"/>
  <c r="Q4780" i="2"/>
  <c r="P4780" i="2"/>
  <c r="O4780" i="2"/>
  <c r="N4780" i="2"/>
  <c r="M4780" i="2"/>
  <c r="L4780" i="2"/>
  <c r="K4780" i="2"/>
  <c r="J4780" i="2"/>
  <c r="I4780" i="2"/>
  <c r="H4780" i="2"/>
  <c r="G4780" i="2"/>
  <c r="F4780" i="2"/>
  <c r="E4780" i="2"/>
  <c r="D4780" i="2"/>
  <c r="C4780" i="2"/>
  <c r="B4780" i="2"/>
  <c r="V4779" i="2"/>
  <c r="U4779" i="2"/>
  <c r="T4779" i="2"/>
  <c r="S4779" i="2"/>
  <c r="R4779" i="2"/>
  <c r="Q4779" i="2"/>
  <c r="P4779" i="2"/>
  <c r="O4779" i="2"/>
  <c r="N4779" i="2"/>
  <c r="M4779" i="2"/>
  <c r="L4779" i="2"/>
  <c r="K4779" i="2"/>
  <c r="J4779" i="2"/>
  <c r="I4779" i="2"/>
  <c r="H4779" i="2"/>
  <c r="G4779" i="2"/>
  <c r="F4779" i="2"/>
  <c r="E4779" i="2"/>
  <c r="D4779" i="2"/>
  <c r="C4779" i="2"/>
  <c r="B4779" i="2"/>
  <c r="V4778" i="2"/>
  <c r="U4778" i="2"/>
  <c r="T4778" i="2"/>
  <c r="S4778" i="2"/>
  <c r="R4778" i="2"/>
  <c r="Q4778" i="2"/>
  <c r="P4778" i="2"/>
  <c r="O4778" i="2"/>
  <c r="N4778" i="2"/>
  <c r="M4778" i="2"/>
  <c r="L4778" i="2"/>
  <c r="K4778" i="2"/>
  <c r="J4778" i="2"/>
  <c r="I4778" i="2"/>
  <c r="H4778" i="2"/>
  <c r="G4778" i="2"/>
  <c r="F4778" i="2"/>
  <c r="E4778" i="2"/>
  <c r="D4778" i="2"/>
  <c r="C4778" i="2"/>
  <c r="B4778" i="2"/>
  <c r="V4777" i="2"/>
  <c r="U4777" i="2"/>
  <c r="T4777" i="2"/>
  <c r="S4777" i="2"/>
  <c r="R4777" i="2"/>
  <c r="Q4777" i="2"/>
  <c r="P4777" i="2"/>
  <c r="O4777" i="2"/>
  <c r="N4777" i="2"/>
  <c r="M4777" i="2"/>
  <c r="L4777" i="2"/>
  <c r="K4777" i="2"/>
  <c r="J4777" i="2"/>
  <c r="I4777" i="2"/>
  <c r="H4777" i="2"/>
  <c r="G4777" i="2"/>
  <c r="F4777" i="2"/>
  <c r="E4777" i="2"/>
  <c r="D4777" i="2"/>
  <c r="C4777" i="2"/>
  <c r="B4777" i="2"/>
  <c r="V4776" i="2"/>
  <c r="U4776" i="2"/>
  <c r="T4776" i="2"/>
  <c r="S4776" i="2"/>
  <c r="R4776" i="2"/>
  <c r="Q4776" i="2"/>
  <c r="P4776" i="2"/>
  <c r="O4776" i="2"/>
  <c r="N4776" i="2"/>
  <c r="M4776" i="2"/>
  <c r="L4776" i="2"/>
  <c r="K4776" i="2"/>
  <c r="J4776" i="2"/>
  <c r="I4776" i="2"/>
  <c r="H4776" i="2"/>
  <c r="G4776" i="2"/>
  <c r="F4776" i="2"/>
  <c r="E4776" i="2"/>
  <c r="D4776" i="2"/>
  <c r="C4776" i="2"/>
  <c r="B4776" i="2"/>
  <c r="V4775" i="2"/>
  <c r="U4775" i="2"/>
  <c r="T4775" i="2"/>
  <c r="S4775" i="2"/>
  <c r="R4775" i="2"/>
  <c r="Q4775" i="2"/>
  <c r="P4775" i="2"/>
  <c r="O4775" i="2"/>
  <c r="N4775" i="2"/>
  <c r="M4775" i="2"/>
  <c r="L4775" i="2"/>
  <c r="K4775" i="2"/>
  <c r="J4775" i="2"/>
  <c r="I4775" i="2"/>
  <c r="H4775" i="2"/>
  <c r="G4775" i="2"/>
  <c r="F4775" i="2"/>
  <c r="E4775" i="2"/>
  <c r="D4775" i="2"/>
  <c r="C4775" i="2"/>
  <c r="B4775" i="2"/>
  <c r="V4774" i="2"/>
  <c r="U4774" i="2"/>
  <c r="T4774" i="2"/>
  <c r="S4774" i="2"/>
  <c r="R4774" i="2"/>
  <c r="Q4774" i="2"/>
  <c r="P4774" i="2"/>
  <c r="O4774" i="2"/>
  <c r="N4774" i="2"/>
  <c r="M4774" i="2"/>
  <c r="L4774" i="2"/>
  <c r="K4774" i="2"/>
  <c r="J4774" i="2"/>
  <c r="I4774" i="2"/>
  <c r="H4774" i="2"/>
  <c r="G4774" i="2"/>
  <c r="F4774" i="2"/>
  <c r="E4774" i="2"/>
  <c r="D4774" i="2"/>
  <c r="C4774" i="2"/>
  <c r="B4774" i="2"/>
  <c r="V4773" i="2"/>
  <c r="U4773" i="2"/>
  <c r="T4773" i="2"/>
  <c r="S4773" i="2"/>
  <c r="R4773" i="2"/>
  <c r="Q4773" i="2"/>
  <c r="P4773" i="2"/>
  <c r="O4773" i="2"/>
  <c r="N4773" i="2"/>
  <c r="M4773" i="2"/>
  <c r="L4773" i="2"/>
  <c r="K4773" i="2"/>
  <c r="J4773" i="2"/>
  <c r="I4773" i="2"/>
  <c r="H4773" i="2"/>
  <c r="G4773" i="2"/>
  <c r="F4773" i="2"/>
  <c r="E4773" i="2"/>
  <c r="D4773" i="2"/>
  <c r="C4773" i="2"/>
  <c r="B4773" i="2"/>
  <c r="V4772" i="2"/>
  <c r="U4772" i="2"/>
  <c r="T4772" i="2"/>
  <c r="S4772" i="2"/>
  <c r="R4772" i="2"/>
  <c r="Q4772" i="2"/>
  <c r="P4772" i="2"/>
  <c r="O4772" i="2"/>
  <c r="N4772" i="2"/>
  <c r="M4772" i="2"/>
  <c r="L4772" i="2"/>
  <c r="K4772" i="2"/>
  <c r="J4772" i="2"/>
  <c r="I4772" i="2"/>
  <c r="H4772" i="2"/>
  <c r="G4772" i="2"/>
  <c r="F4772" i="2"/>
  <c r="E4772" i="2"/>
  <c r="D4772" i="2"/>
  <c r="C4772" i="2"/>
  <c r="B4772" i="2"/>
  <c r="V4771" i="2"/>
  <c r="U4771" i="2"/>
  <c r="T4771" i="2"/>
  <c r="S4771" i="2"/>
  <c r="R4771" i="2"/>
  <c r="Q4771" i="2"/>
  <c r="P4771" i="2"/>
  <c r="O4771" i="2"/>
  <c r="N4771" i="2"/>
  <c r="M4771" i="2"/>
  <c r="L4771" i="2"/>
  <c r="K4771" i="2"/>
  <c r="J4771" i="2"/>
  <c r="I4771" i="2"/>
  <c r="H4771" i="2"/>
  <c r="G4771" i="2"/>
  <c r="F4771" i="2"/>
  <c r="E4771" i="2"/>
  <c r="D4771" i="2"/>
  <c r="C4771" i="2"/>
  <c r="B4771" i="2"/>
  <c r="V4770" i="2"/>
  <c r="U4770" i="2"/>
  <c r="T4770" i="2"/>
  <c r="S4770" i="2"/>
  <c r="R4770" i="2"/>
  <c r="Q4770" i="2"/>
  <c r="P4770" i="2"/>
  <c r="O4770" i="2"/>
  <c r="N4770" i="2"/>
  <c r="M4770" i="2"/>
  <c r="L4770" i="2"/>
  <c r="K4770" i="2"/>
  <c r="J4770" i="2"/>
  <c r="I4770" i="2"/>
  <c r="H4770" i="2"/>
  <c r="G4770" i="2"/>
  <c r="F4770" i="2"/>
  <c r="E4770" i="2"/>
  <c r="D4770" i="2"/>
  <c r="C4770" i="2"/>
  <c r="B4770" i="2"/>
  <c r="V4769" i="2"/>
  <c r="U4769" i="2"/>
  <c r="T4769" i="2"/>
  <c r="S4769" i="2"/>
  <c r="R4769" i="2"/>
  <c r="Q4769" i="2"/>
  <c r="P4769" i="2"/>
  <c r="O4769" i="2"/>
  <c r="N4769" i="2"/>
  <c r="M4769" i="2"/>
  <c r="L4769" i="2"/>
  <c r="K4769" i="2"/>
  <c r="J4769" i="2"/>
  <c r="I4769" i="2"/>
  <c r="H4769" i="2"/>
  <c r="G4769" i="2"/>
  <c r="F4769" i="2"/>
  <c r="E4769" i="2"/>
  <c r="D4769" i="2"/>
  <c r="C4769" i="2"/>
  <c r="B4769" i="2"/>
  <c r="V4768" i="2"/>
  <c r="U4768" i="2"/>
  <c r="T4768" i="2"/>
  <c r="S4768" i="2"/>
  <c r="R4768" i="2"/>
  <c r="Q4768" i="2"/>
  <c r="P4768" i="2"/>
  <c r="O4768" i="2"/>
  <c r="N4768" i="2"/>
  <c r="M4768" i="2"/>
  <c r="L4768" i="2"/>
  <c r="K4768" i="2"/>
  <c r="J4768" i="2"/>
  <c r="I4768" i="2"/>
  <c r="H4768" i="2"/>
  <c r="G4768" i="2"/>
  <c r="F4768" i="2"/>
  <c r="E4768" i="2"/>
  <c r="D4768" i="2"/>
  <c r="C4768" i="2"/>
  <c r="B4768" i="2"/>
  <c r="V4767" i="2"/>
  <c r="U4767" i="2"/>
  <c r="T4767" i="2"/>
  <c r="S4767" i="2"/>
  <c r="R4767" i="2"/>
  <c r="Q4767" i="2"/>
  <c r="P4767" i="2"/>
  <c r="O4767" i="2"/>
  <c r="N4767" i="2"/>
  <c r="M4767" i="2"/>
  <c r="L4767" i="2"/>
  <c r="K4767" i="2"/>
  <c r="J4767" i="2"/>
  <c r="I4767" i="2"/>
  <c r="H4767" i="2"/>
  <c r="G4767" i="2"/>
  <c r="F4767" i="2"/>
  <c r="E4767" i="2"/>
  <c r="D4767" i="2"/>
  <c r="C4767" i="2"/>
  <c r="B4767" i="2"/>
  <c r="V4766" i="2"/>
  <c r="U4766" i="2"/>
  <c r="T4766" i="2"/>
  <c r="S4766" i="2"/>
  <c r="R4766" i="2"/>
  <c r="Q4766" i="2"/>
  <c r="P4766" i="2"/>
  <c r="O4766" i="2"/>
  <c r="N4766" i="2"/>
  <c r="M4766" i="2"/>
  <c r="L4766" i="2"/>
  <c r="K4766" i="2"/>
  <c r="J4766" i="2"/>
  <c r="I4766" i="2"/>
  <c r="H4766" i="2"/>
  <c r="G4766" i="2"/>
  <c r="F4766" i="2"/>
  <c r="E4766" i="2"/>
  <c r="D4766" i="2"/>
  <c r="C4766" i="2"/>
  <c r="B4766" i="2"/>
  <c r="V4765" i="2"/>
  <c r="U4765" i="2"/>
  <c r="T4765" i="2"/>
  <c r="S4765" i="2"/>
  <c r="R4765" i="2"/>
  <c r="Q4765" i="2"/>
  <c r="P4765" i="2"/>
  <c r="O4765" i="2"/>
  <c r="N4765" i="2"/>
  <c r="M4765" i="2"/>
  <c r="L4765" i="2"/>
  <c r="K4765" i="2"/>
  <c r="J4765" i="2"/>
  <c r="I4765" i="2"/>
  <c r="H4765" i="2"/>
  <c r="G4765" i="2"/>
  <c r="F4765" i="2"/>
  <c r="E4765" i="2"/>
  <c r="D4765" i="2"/>
  <c r="C4765" i="2"/>
  <c r="B4765" i="2"/>
  <c r="V4764" i="2"/>
  <c r="U4764" i="2"/>
  <c r="T4764" i="2"/>
  <c r="S4764" i="2"/>
  <c r="R4764" i="2"/>
  <c r="Q4764" i="2"/>
  <c r="P4764" i="2"/>
  <c r="O4764" i="2"/>
  <c r="N4764" i="2"/>
  <c r="M4764" i="2"/>
  <c r="L4764" i="2"/>
  <c r="K4764" i="2"/>
  <c r="J4764" i="2"/>
  <c r="I4764" i="2"/>
  <c r="H4764" i="2"/>
  <c r="G4764" i="2"/>
  <c r="F4764" i="2"/>
  <c r="E4764" i="2"/>
  <c r="D4764" i="2"/>
  <c r="C4764" i="2"/>
  <c r="B4764" i="2"/>
  <c r="V4763" i="2"/>
  <c r="U4763" i="2"/>
  <c r="T4763" i="2"/>
  <c r="S4763" i="2"/>
  <c r="R4763" i="2"/>
  <c r="Q4763" i="2"/>
  <c r="P4763" i="2"/>
  <c r="O4763" i="2"/>
  <c r="N4763" i="2"/>
  <c r="M4763" i="2"/>
  <c r="L4763" i="2"/>
  <c r="K4763" i="2"/>
  <c r="J4763" i="2"/>
  <c r="I4763" i="2"/>
  <c r="H4763" i="2"/>
  <c r="G4763" i="2"/>
  <c r="F4763" i="2"/>
  <c r="E4763" i="2"/>
  <c r="D4763" i="2"/>
  <c r="C4763" i="2"/>
  <c r="B4763" i="2"/>
  <c r="V4762" i="2"/>
  <c r="U4762" i="2"/>
  <c r="T4762" i="2"/>
  <c r="S4762" i="2"/>
  <c r="R4762" i="2"/>
  <c r="Q4762" i="2"/>
  <c r="P4762" i="2"/>
  <c r="O4762" i="2"/>
  <c r="N4762" i="2"/>
  <c r="M4762" i="2"/>
  <c r="L4762" i="2"/>
  <c r="K4762" i="2"/>
  <c r="J4762" i="2"/>
  <c r="I4762" i="2"/>
  <c r="H4762" i="2"/>
  <c r="G4762" i="2"/>
  <c r="F4762" i="2"/>
  <c r="E4762" i="2"/>
  <c r="D4762" i="2"/>
  <c r="C4762" i="2"/>
  <c r="B4762" i="2"/>
  <c r="V4761" i="2"/>
  <c r="U4761" i="2"/>
  <c r="T4761" i="2"/>
  <c r="S4761" i="2"/>
  <c r="R4761" i="2"/>
  <c r="Q4761" i="2"/>
  <c r="P4761" i="2"/>
  <c r="O4761" i="2"/>
  <c r="N4761" i="2"/>
  <c r="M4761" i="2"/>
  <c r="L4761" i="2"/>
  <c r="K4761" i="2"/>
  <c r="J4761" i="2"/>
  <c r="I4761" i="2"/>
  <c r="H4761" i="2"/>
  <c r="G4761" i="2"/>
  <c r="F4761" i="2"/>
  <c r="E4761" i="2"/>
  <c r="D4761" i="2"/>
  <c r="C4761" i="2"/>
  <c r="B4761" i="2"/>
  <c r="V4760" i="2"/>
  <c r="U4760" i="2"/>
  <c r="T4760" i="2"/>
  <c r="S4760" i="2"/>
  <c r="R4760" i="2"/>
  <c r="Q4760" i="2"/>
  <c r="P4760" i="2"/>
  <c r="O4760" i="2"/>
  <c r="N4760" i="2"/>
  <c r="M4760" i="2"/>
  <c r="L4760" i="2"/>
  <c r="K4760" i="2"/>
  <c r="J4760" i="2"/>
  <c r="I4760" i="2"/>
  <c r="H4760" i="2"/>
  <c r="G4760" i="2"/>
  <c r="F4760" i="2"/>
  <c r="E4760" i="2"/>
  <c r="D4760" i="2"/>
  <c r="C4760" i="2"/>
  <c r="B4760" i="2"/>
  <c r="V4759" i="2"/>
  <c r="U4759" i="2"/>
  <c r="T4759" i="2"/>
  <c r="S4759" i="2"/>
  <c r="R4759" i="2"/>
  <c r="Q4759" i="2"/>
  <c r="P4759" i="2"/>
  <c r="O4759" i="2"/>
  <c r="N4759" i="2"/>
  <c r="M4759" i="2"/>
  <c r="L4759" i="2"/>
  <c r="K4759" i="2"/>
  <c r="J4759" i="2"/>
  <c r="I4759" i="2"/>
  <c r="H4759" i="2"/>
  <c r="G4759" i="2"/>
  <c r="F4759" i="2"/>
  <c r="E4759" i="2"/>
  <c r="D4759" i="2"/>
  <c r="C4759" i="2"/>
  <c r="B4759" i="2"/>
  <c r="V4758" i="2"/>
  <c r="U4758" i="2"/>
  <c r="T4758" i="2"/>
  <c r="S4758" i="2"/>
  <c r="R4758" i="2"/>
  <c r="Q4758" i="2"/>
  <c r="P4758" i="2"/>
  <c r="O4758" i="2"/>
  <c r="N4758" i="2"/>
  <c r="M4758" i="2"/>
  <c r="L4758" i="2"/>
  <c r="K4758" i="2"/>
  <c r="J4758" i="2"/>
  <c r="I4758" i="2"/>
  <c r="H4758" i="2"/>
  <c r="G4758" i="2"/>
  <c r="F4758" i="2"/>
  <c r="E4758" i="2"/>
  <c r="D4758" i="2"/>
  <c r="C4758" i="2"/>
  <c r="B4758" i="2"/>
  <c r="V4757" i="2"/>
  <c r="U4757" i="2"/>
  <c r="T4757" i="2"/>
  <c r="S4757" i="2"/>
  <c r="R4757" i="2"/>
  <c r="Q4757" i="2"/>
  <c r="P4757" i="2"/>
  <c r="O4757" i="2"/>
  <c r="N4757" i="2"/>
  <c r="M4757" i="2"/>
  <c r="L4757" i="2"/>
  <c r="K4757" i="2"/>
  <c r="J4757" i="2"/>
  <c r="I4757" i="2"/>
  <c r="H4757" i="2"/>
  <c r="G4757" i="2"/>
  <c r="F4757" i="2"/>
  <c r="E4757" i="2"/>
  <c r="D4757" i="2"/>
  <c r="C4757" i="2"/>
  <c r="B4757" i="2"/>
  <c r="V4756" i="2"/>
  <c r="U4756" i="2"/>
  <c r="T4756" i="2"/>
  <c r="S4756" i="2"/>
  <c r="R4756" i="2"/>
  <c r="Q4756" i="2"/>
  <c r="P4756" i="2"/>
  <c r="O4756" i="2"/>
  <c r="N4756" i="2"/>
  <c r="M4756" i="2"/>
  <c r="L4756" i="2"/>
  <c r="K4756" i="2"/>
  <c r="J4756" i="2"/>
  <c r="I4756" i="2"/>
  <c r="H4756" i="2"/>
  <c r="G4756" i="2"/>
  <c r="F4756" i="2"/>
  <c r="E4756" i="2"/>
  <c r="D4756" i="2"/>
  <c r="C4756" i="2"/>
  <c r="B4756" i="2"/>
  <c r="V4755" i="2"/>
  <c r="U4755" i="2"/>
  <c r="T4755" i="2"/>
  <c r="S4755" i="2"/>
  <c r="R4755" i="2"/>
  <c r="Q4755" i="2"/>
  <c r="P4755" i="2"/>
  <c r="O4755" i="2"/>
  <c r="N4755" i="2"/>
  <c r="M4755" i="2"/>
  <c r="L4755" i="2"/>
  <c r="K4755" i="2"/>
  <c r="J4755" i="2"/>
  <c r="I4755" i="2"/>
  <c r="H4755" i="2"/>
  <c r="G4755" i="2"/>
  <c r="F4755" i="2"/>
  <c r="E4755" i="2"/>
  <c r="D4755" i="2"/>
  <c r="C4755" i="2"/>
  <c r="B4755" i="2"/>
  <c r="V4754" i="2"/>
  <c r="U4754" i="2"/>
  <c r="T4754" i="2"/>
  <c r="S4754" i="2"/>
  <c r="R4754" i="2"/>
  <c r="Q4754" i="2"/>
  <c r="P4754" i="2"/>
  <c r="O4754" i="2"/>
  <c r="N4754" i="2"/>
  <c r="M4754" i="2"/>
  <c r="L4754" i="2"/>
  <c r="K4754" i="2"/>
  <c r="J4754" i="2"/>
  <c r="I4754" i="2"/>
  <c r="H4754" i="2"/>
  <c r="G4754" i="2"/>
  <c r="F4754" i="2"/>
  <c r="E4754" i="2"/>
  <c r="D4754" i="2"/>
  <c r="C4754" i="2"/>
  <c r="B4754" i="2"/>
  <c r="V4753" i="2"/>
  <c r="U4753" i="2"/>
  <c r="T4753" i="2"/>
  <c r="S4753" i="2"/>
  <c r="R4753" i="2"/>
  <c r="Q4753" i="2"/>
  <c r="P4753" i="2"/>
  <c r="O4753" i="2"/>
  <c r="N4753" i="2"/>
  <c r="M4753" i="2"/>
  <c r="L4753" i="2"/>
  <c r="K4753" i="2"/>
  <c r="J4753" i="2"/>
  <c r="I4753" i="2"/>
  <c r="H4753" i="2"/>
  <c r="G4753" i="2"/>
  <c r="F4753" i="2"/>
  <c r="E4753" i="2"/>
  <c r="D4753" i="2"/>
  <c r="C4753" i="2"/>
  <c r="B4753" i="2"/>
  <c r="V4752" i="2"/>
  <c r="U4752" i="2"/>
  <c r="T4752" i="2"/>
  <c r="S4752" i="2"/>
  <c r="R4752" i="2"/>
  <c r="Q4752" i="2"/>
  <c r="P4752" i="2"/>
  <c r="O4752" i="2"/>
  <c r="N4752" i="2"/>
  <c r="M4752" i="2"/>
  <c r="L4752" i="2"/>
  <c r="K4752" i="2"/>
  <c r="J4752" i="2"/>
  <c r="I4752" i="2"/>
  <c r="H4752" i="2"/>
  <c r="G4752" i="2"/>
  <c r="F4752" i="2"/>
  <c r="E4752" i="2"/>
  <c r="D4752" i="2"/>
  <c r="C4752" i="2"/>
  <c r="B4752" i="2"/>
  <c r="V4751" i="2"/>
  <c r="U4751" i="2"/>
  <c r="T4751" i="2"/>
  <c r="S4751" i="2"/>
  <c r="R4751" i="2"/>
  <c r="Q4751" i="2"/>
  <c r="P4751" i="2"/>
  <c r="O4751" i="2"/>
  <c r="N4751" i="2"/>
  <c r="M4751" i="2"/>
  <c r="L4751" i="2"/>
  <c r="K4751" i="2"/>
  <c r="J4751" i="2"/>
  <c r="I4751" i="2"/>
  <c r="H4751" i="2"/>
  <c r="G4751" i="2"/>
  <c r="F4751" i="2"/>
  <c r="E4751" i="2"/>
  <c r="D4751" i="2"/>
  <c r="C4751" i="2"/>
  <c r="B4751" i="2"/>
  <c r="V4750" i="2"/>
  <c r="U4750" i="2"/>
  <c r="T4750" i="2"/>
  <c r="S4750" i="2"/>
  <c r="R4750" i="2"/>
  <c r="Q4750" i="2"/>
  <c r="P4750" i="2"/>
  <c r="O4750" i="2"/>
  <c r="N4750" i="2"/>
  <c r="M4750" i="2"/>
  <c r="L4750" i="2"/>
  <c r="K4750" i="2"/>
  <c r="J4750" i="2"/>
  <c r="I4750" i="2"/>
  <c r="H4750" i="2"/>
  <c r="G4750" i="2"/>
  <c r="F4750" i="2"/>
  <c r="E4750" i="2"/>
  <c r="D4750" i="2"/>
  <c r="C4750" i="2"/>
  <c r="B4750" i="2"/>
  <c r="V4749" i="2"/>
  <c r="U4749" i="2"/>
  <c r="T4749" i="2"/>
  <c r="S4749" i="2"/>
  <c r="R4749" i="2"/>
  <c r="Q4749" i="2"/>
  <c r="P4749" i="2"/>
  <c r="O4749" i="2"/>
  <c r="N4749" i="2"/>
  <c r="M4749" i="2"/>
  <c r="L4749" i="2"/>
  <c r="K4749" i="2"/>
  <c r="J4749" i="2"/>
  <c r="I4749" i="2"/>
  <c r="H4749" i="2"/>
  <c r="G4749" i="2"/>
  <c r="F4749" i="2"/>
  <c r="E4749" i="2"/>
  <c r="D4749" i="2"/>
  <c r="C4749" i="2"/>
  <c r="B4749" i="2"/>
  <c r="V4748" i="2"/>
  <c r="U4748" i="2"/>
  <c r="T4748" i="2"/>
  <c r="S4748" i="2"/>
  <c r="R4748" i="2"/>
  <c r="Q4748" i="2"/>
  <c r="P4748" i="2"/>
  <c r="O4748" i="2"/>
  <c r="N4748" i="2"/>
  <c r="M4748" i="2"/>
  <c r="L4748" i="2"/>
  <c r="K4748" i="2"/>
  <c r="J4748" i="2"/>
  <c r="I4748" i="2"/>
  <c r="H4748" i="2"/>
  <c r="G4748" i="2"/>
  <c r="F4748" i="2"/>
  <c r="E4748" i="2"/>
  <c r="D4748" i="2"/>
  <c r="C4748" i="2"/>
  <c r="B4748" i="2"/>
  <c r="V4747" i="2"/>
  <c r="U4747" i="2"/>
  <c r="T4747" i="2"/>
  <c r="S4747" i="2"/>
  <c r="R4747" i="2"/>
  <c r="Q4747" i="2"/>
  <c r="P4747" i="2"/>
  <c r="O4747" i="2"/>
  <c r="N4747" i="2"/>
  <c r="M4747" i="2"/>
  <c r="L4747" i="2"/>
  <c r="K4747" i="2"/>
  <c r="J4747" i="2"/>
  <c r="I4747" i="2"/>
  <c r="H4747" i="2"/>
  <c r="G4747" i="2"/>
  <c r="F4747" i="2"/>
  <c r="E4747" i="2"/>
  <c r="D4747" i="2"/>
  <c r="C4747" i="2"/>
  <c r="B4747" i="2"/>
  <c r="V4746" i="2"/>
  <c r="U4746" i="2"/>
  <c r="T4746" i="2"/>
  <c r="S4746" i="2"/>
  <c r="R4746" i="2"/>
  <c r="Q4746" i="2"/>
  <c r="P4746" i="2"/>
  <c r="O4746" i="2"/>
  <c r="N4746" i="2"/>
  <c r="M4746" i="2"/>
  <c r="L4746" i="2"/>
  <c r="K4746" i="2"/>
  <c r="J4746" i="2"/>
  <c r="I4746" i="2"/>
  <c r="H4746" i="2"/>
  <c r="G4746" i="2"/>
  <c r="F4746" i="2"/>
  <c r="E4746" i="2"/>
  <c r="D4746" i="2"/>
  <c r="C4746" i="2"/>
  <c r="B4746" i="2"/>
  <c r="V4745" i="2"/>
  <c r="U4745" i="2"/>
  <c r="T4745" i="2"/>
  <c r="S4745" i="2"/>
  <c r="R4745" i="2"/>
  <c r="Q4745" i="2"/>
  <c r="P4745" i="2"/>
  <c r="O4745" i="2"/>
  <c r="N4745" i="2"/>
  <c r="M4745" i="2"/>
  <c r="L4745" i="2"/>
  <c r="K4745" i="2"/>
  <c r="J4745" i="2"/>
  <c r="I4745" i="2"/>
  <c r="H4745" i="2"/>
  <c r="G4745" i="2"/>
  <c r="F4745" i="2"/>
  <c r="E4745" i="2"/>
  <c r="D4745" i="2"/>
  <c r="C4745" i="2"/>
  <c r="B4745" i="2"/>
  <c r="V4744" i="2"/>
  <c r="U4744" i="2"/>
  <c r="T4744" i="2"/>
  <c r="S4744" i="2"/>
  <c r="R4744" i="2"/>
  <c r="Q4744" i="2"/>
  <c r="P4744" i="2"/>
  <c r="O4744" i="2"/>
  <c r="N4744" i="2"/>
  <c r="M4744" i="2"/>
  <c r="L4744" i="2"/>
  <c r="K4744" i="2"/>
  <c r="J4744" i="2"/>
  <c r="I4744" i="2"/>
  <c r="H4744" i="2"/>
  <c r="G4744" i="2"/>
  <c r="F4744" i="2"/>
  <c r="E4744" i="2"/>
  <c r="D4744" i="2"/>
  <c r="C4744" i="2"/>
  <c r="B4744" i="2"/>
  <c r="V4743" i="2"/>
  <c r="U4743" i="2"/>
  <c r="T4743" i="2"/>
  <c r="S4743" i="2"/>
  <c r="R4743" i="2"/>
  <c r="Q4743" i="2"/>
  <c r="P4743" i="2"/>
  <c r="O4743" i="2"/>
  <c r="N4743" i="2"/>
  <c r="M4743" i="2"/>
  <c r="L4743" i="2"/>
  <c r="K4743" i="2"/>
  <c r="J4743" i="2"/>
  <c r="I4743" i="2"/>
  <c r="H4743" i="2"/>
  <c r="G4743" i="2"/>
  <c r="F4743" i="2"/>
  <c r="E4743" i="2"/>
  <c r="D4743" i="2"/>
  <c r="C4743" i="2"/>
  <c r="B4743" i="2"/>
  <c r="V4742" i="2"/>
  <c r="U4742" i="2"/>
  <c r="T4742" i="2"/>
  <c r="S4742" i="2"/>
  <c r="R4742" i="2"/>
  <c r="Q4742" i="2"/>
  <c r="P4742" i="2"/>
  <c r="O4742" i="2"/>
  <c r="N4742" i="2"/>
  <c r="M4742" i="2"/>
  <c r="L4742" i="2"/>
  <c r="K4742" i="2"/>
  <c r="J4742" i="2"/>
  <c r="I4742" i="2"/>
  <c r="H4742" i="2"/>
  <c r="G4742" i="2"/>
  <c r="F4742" i="2"/>
  <c r="E4742" i="2"/>
  <c r="D4742" i="2"/>
  <c r="C4742" i="2"/>
  <c r="B4742" i="2"/>
  <c r="V4741" i="2"/>
  <c r="U4741" i="2"/>
  <c r="T4741" i="2"/>
  <c r="S4741" i="2"/>
  <c r="R4741" i="2"/>
  <c r="Q4741" i="2"/>
  <c r="P4741" i="2"/>
  <c r="O4741" i="2"/>
  <c r="N4741" i="2"/>
  <c r="M4741" i="2"/>
  <c r="L4741" i="2"/>
  <c r="K4741" i="2"/>
  <c r="J4741" i="2"/>
  <c r="I4741" i="2"/>
  <c r="H4741" i="2"/>
  <c r="G4741" i="2"/>
  <c r="F4741" i="2"/>
  <c r="E4741" i="2"/>
  <c r="D4741" i="2"/>
  <c r="C4741" i="2"/>
  <c r="B4741" i="2"/>
  <c r="V4740" i="2"/>
  <c r="U4740" i="2"/>
  <c r="T4740" i="2"/>
  <c r="S4740" i="2"/>
  <c r="R4740" i="2"/>
  <c r="Q4740" i="2"/>
  <c r="P4740" i="2"/>
  <c r="O4740" i="2"/>
  <c r="N4740" i="2"/>
  <c r="M4740" i="2"/>
  <c r="L4740" i="2"/>
  <c r="K4740" i="2"/>
  <c r="J4740" i="2"/>
  <c r="I4740" i="2"/>
  <c r="H4740" i="2"/>
  <c r="G4740" i="2"/>
  <c r="F4740" i="2"/>
  <c r="E4740" i="2"/>
  <c r="D4740" i="2"/>
  <c r="C4740" i="2"/>
  <c r="B4740" i="2"/>
  <c r="V4739" i="2"/>
  <c r="U4739" i="2"/>
  <c r="T4739" i="2"/>
  <c r="S4739" i="2"/>
  <c r="R4739" i="2"/>
  <c r="Q4739" i="2"/>
  <c r="P4739" i="2"/>
  <c r="O4739" i="2"/>
  <c r="N4739" i="2"/>
  <c r="M4739" i="2"/>
  <c r="L4739" i="2"/>
  <c r="K4739" i="2"/>
  <c r="J4739" i="2"/>
  <c r="I4739" i="2"/>
  <c r="H4739" i="2"/>
  <c r="G4739" i="2"/>
  <c r="F4739" i="2"/>
  <c r="E4739" i="2"/>
  <c r="D4739" i="2"/>
  <c r="C4739" i="2"/>
  <c r="B4739" i="2"/>
  <c r="V4738" i="2"/>
  <c r="U4738" i="2"/>
  <c r="T4738" i="2"/>
  <c r="S4738" i="2"/>
  <c r="R4738" i="2"/>
  <c r="Q4738" i="2"/>
  <c r="P4738" i="2"/>
  <c r="O4738" i="2"/>
  <c r="N4738" i="2"/>
  <c r="M4738" i="2"/>
  <c r="L4738" i="2"/>
  <c r="K4738" i="2"/>
  <c r="J4738" i="2"/>
  <c r="I4738" i="2"/>
  <c r="H4738" i="2"/>
  <c r="G4738" i="2"/>
  <c r="F4738" i="2"/>
  <c r="E4738" i="2"/>
  <c r="D4738" i="2"/>
  <c r="C4738" i="2"/>
  <c r="B4738" i="2"/>
  <c r="V4737" i="2"/>
  <c r="U4737" i="2"/>
  <c r="T4737" i="2"/>
  <c r="S4737" i="2"/>
  <c r="R4737" i="2"/>
  <c r="Q4737" i="2"/>
  <c r="P4737" i="2"/>
  <c r="O4737" i="2"/>
  <c r="N4737" i="2"/>
  <c r="M4737" i="2"/>
  <c r="L4737" i="2"/>
  <c r="K4737" i="2"/>
  <c r="J4737" i="2"/>
  <c r="I4737" i="2"/>
  <c r="H4737" i="2"/>
  <c r="G4737" i="2"/>
  <c r="F4737" i="2"/>
  <c r="E4737" i="2"/>
  <c r="D4737" i="2"/>
  <c r="C4737" i="2"/>
  <c r="B4737" i="2"/>
  <c r="V4736" i="2"/>
  <c r="U4736" i="2"/>
  <c r="T4736" i="2"/>
  <c r="S4736" i="2"/>
  <c r="R4736" i="2"/>
  <c r="Q4736" i="2"/>
  <c r="P4736" i="2"/>
  <c r="O4736" i="2"/>
  <c r="N4736" i="2"/>
  <c r="M4736" i="2"/>
  <c r="L4736" i="2"/>
  <c r="K4736" i="2"/>
  <c r="J4736" i="2"/>
  <c r="I4736" i="2"/>
  <c r="H4736" i="2"/>
  <c r="G4736" i="2"/>
  <c r="F4736" i="2"/>
  <c r="E4736" i="2"/>
  <c r="D4736" i="2"/>
  <c r="C4736" i="2"/>
  <c r="B4736" i="2"/>
  <c r="V4735" i="2"/>
  <c r="U4735" i="2"/>
  <c r="T4735" i="2"/>
  <c r="S4735" i="2"/>
  <c r="R4735" i="2"/>
  <c r="Q4735" i="2"/>
  <c r="P4735" i="2"/>
  <c r="O4735" i="2"/>
  <c r="N4735" i="2"/>
  <c r="M4735" i="2"/>
  <c r="L4735" i="2"/>
  <c r="K4735" i="2"/>
  <c r="J4735" i="2"/>
  <c r="I4735" i="2"/>
  <c r="H4735" i="2"/>
  <c r="G4735" i="2"/>
  <c r="F4735" i="2"/>
  <c r="E4735" i="2"/>
  <c r="D4735" i="2"/>
  <c r="C4735" i="2"/>
  <c r="B4735" i="2"/>
  <c r="V4734" i="2"/>
  <c r="U4734" i="2"/>
  <c r="T4734" i="2"/>
  <c r="S4734" i="2"/>
  <c r="R4734" i="2"/>
  <c r="Q4734" i="2"/>
  <c r="P4734" i="2"/>
  <c r="O4734" i="2"/>
  <c r="N4734" i="2"/>
  <c r="M4734" i="2"/>
  <c r="L4734" i="2"/>
  <c r="K4734" i="2"/>
  <c r="J4734" i="2"/>
  <c r="I4734" i="2"/>
  <c r="H4734" i="2"/>
  <c r="G4734" i="2"/>
  <c r="F4734" i="2"/>
  <c r="E4734" i="2"/>
  <c r="D4734" i="2"/>
  <c r="C4734" i="2"/>
  <c r="B4734" i="2"/>
  <c r="V4733" i="2"/>
  <c r="U4733" i="2"/>
  <c r="T4733" i="2"/>
  <c r="S4733" i="2"/>
  <c r="R4733" i="2"/>
  <c r="Q4733" i="2"/>
  <c r="P4733" i="2"/>
  <c r="O4733" i="2"/>
  <c r="N4733" i="2"/>
  <c r="M4733" i="2"/>
  <c r="L4733" i="2"/>
  <c r="K4733" i="2"/>
  <c r="J4733" i="2"/>
  <c r="I4733" i="2"/>
  <c r="H4733" i="2"/>
  <c r="G4733" i="2"/>
  <c r="F4733" i="2"/>
  <c r="E4733" i="2"/>
  <c r="D4733" i="2"/>
  <c r="C4733" i="2"/>
  <c r="B4733" i="2"/>
  <c r="V4732" i="2"/>
  <c r="U4732" i="2"/>
  <c r="T4732" i="2"/>
  <c r="S4732" i="2"/>
  <c r="R4732" i="2"/>
  <c r="Q4732" i="2"/>
  <c r="P4732" i="2"/>
  <c r="O4732" i="2"/>
  <c r="N4732" i="2"/>
  <c r="M4732" i="2"/>
  <c r="L4732" i="2"/>
  <c r="K4732" i="2"/>
  <c r="J4732" i="2"/>
  <c r="I4732" i="2"/>
  <c r="H4732" i="2"/>
  <c r="G4732" i="2"/>
  <c r="F4732" i="2"/>
  <c r="E4732" i="2"/>
  <c r="D4732" i="2"/>
  <c r="C4732" i="2"/>
  <c r="B4732" i="2"/>
  <c r="V4731" i="2"/>
  <c r="U4731" i="2"/>
  <c r="T4731" i="2"/>
  <c r="S4731" i="2"/>
  <c r="R4731" i="2"/>
  <c r="Q4731" i="2"/>
  <c r="P4731" i="2"/>
  <c r="O4731" i="2"/>
  <c r="N4731" i="2"/>
  <c r="M4731" i="2"/>
  <c r="L4731" i="2"/>
  <c r="K4731" i="2"/>
  <c r="J4731" i="2"/>
  <c r="I4731" i="2"/>
  <c r="H4731" i="2"/>
  <c r="G4731" i="2"/>
  <c r="F4731" i="2"/>
  <c r="E4731" i="2"/>
  <c r="D4731" i="2"/>
  <c r="C4731" i="2"/>
  <c r="B4731" i="2"/>
  <c r="V4730" i="2"/>
  <c r="U4730" i="2"/>
  <c r="T4730" i="2"/>
  <c r="S4730" i="2"/>
  <c r="R4730" i="2"/>
  <c r="Q4730" i="2"/>
  <c r="P4730" i="2"/>
  <c r="O4730" i="2"/>
  <c r="N4730" i="2"/>
  <c r="M4730" i="2"/>
  <c r="L4730" i="2"/>
  <c r="K4730" i="2"/>
  <c r="J4730" i="2"/>
  <c r="I4730" i="2"/>
  <c r="H4730" i="2"/>
  <c r="G4730" i="2"/>
  <c r="F4730" i="2"/>
  <c r="E4730" i="2"/>
  <c r="D4730" i="2"/>
  <c r="C4730" i="2"/>
  <c r="B4730" i="2"/>
  <c r="V4729" i="2"/>
  <c r="U4729" i="2"/>
  <c r="T4729" i="2"/>
  <c r="S4729" i="2"/>
  <c r="R4729" i="2"/>
  <c r="Q4729" i="2"/>
  <c r="P4729" i="2"/>
  <c r="O4729" i="2"/>
  <c r="N4729" i="2"/>
  <c r="M4729" i="2"/>
  <c r="L4729" i="2"/>
  <c r="K4729" i="2"/>
  <c r="J4729" i="2"/>
  <c r="I4729" i="2"/>
  <c r="H4729" i="2"/>
  <c r="G4729" i="2"/>
  <c r="F4729" i="2"/>
  <c r="E4729" i="2"/>
  <c r="D4729" i="2"/>
  <c r="C4729" i="2"/>
  <c r="B4729" i="2"/>
  <c r="V4728" i="2"/>
  <c r="U4728" i="2"/>
  <c r="T4728" i="2"/>
  <c r="S4728" i="2"/>
  <c r="R4728" i="2"/>
  <c r="Q4728" i="2"/>
  <c r="P4728" i="2"/>
  <c r="O4728" i="2"/>
  <c r="N4728" i="2"/>
  <c r="M4728" i="2"/>
  <c r="L4728" i="2"/>
  <c r="K4728" i="2"/>
  <c r="J4728" i="2"/>
  <c r="I4728" i="2"/>
  <c r="H4728" i="2"/>
  <c r="G4728" i="2"/>
  <c r="F4728" i="2"/>
  <c r="E4728" i="2"/>
  <c r="D4728" i="2"/>
  <c r="C4728" i="2"/>
  <c r="B4728" i="2"/>
  <c r="V4727" i="2"/>
  <c r="U4727" i="2"/>
  <c r="T4727" i="2"/>
  <c r="S4727" i="2"/>
  <c r="R4727" i="2"/>
  <c r="Q4727" i="2"/>
  <c r="P4727" i="2"/>
  <c r="O4727" i="2"/>
  <c r="N4727" i="2"/>
  <c r="M4727" i="2"/>
  <c r="L4727" i="2"/>
  <c r="K4727" i="2"/>
  <c r="J4727" i="2"/>
  <c r="I4727" i="2"/>
  <c r="H4727" i="2"/>
  <c r="G4727" i="2"/>
  <c r="F4727" i="2"/>
  <c r="E4727" i="2"/>
  <c r="D4727" i="2"/>
  <c r="C4727" i="2"/>
  <c r="B4727" i="2"/>
  <c r="V4726" i="2"/>
  <c r="U4726" i="2"/>
  <c r="T4726" i="2"/>
  <c r="S4726" i="2"/>
  <c r="R4726" i="2"/>
  <c r="Q4726" i="2"/>
  <c r="P4726" i="2"/>
  <c r="O4726" i="2"/>
  <c r="N4726" i="2"/>
  <c r="M4726" i="2"/>
  <c r="L4726" i="2"/>
  <c r="K4726" i="2"/>
  <c r="J4726" i="2"/>
  <c r="I4726" i="2"/>
  <c r="H4726" i="2"/>
  <c r="G4726" i="2"/>
  <c r="F4726" i="2"/>
  <c r="E4726" i="2"/>
  <c r="D4726" i="2"/>
  <c r="C4726" i="2"/>
  <c r="B4726" i="2"/>
  <c r="V4725" i="2"/>
  <c r="U4725" i="2"/>
  <c r="T4725" i="2"/>
  <c r="S4725" i="2"/>
  <c r="R4725" i="2"/>
  <c r="Q4725" i="2"/>
  <c r="P4725" i="2"/>
  <c r="O4725" i="2"/>
  <c r="N4725" i="2"/>
  <c r="M4725" i="2"/>
  <c r="L4725" i="2"/>
  <c r="K4725" i="2"/>
  <c r="J4725" i="2"/>
  <c r="I4725" i="2"/>
  <c r="H4725" i="2"/>
  <c r="G4725" i="2"/>
  <c r="F4725" i="2"/>
  <c r="E4725" i="2"/>
  <c r="D4725" i="2"/>
  <c r="C4725" i="2"/>
  <c r="B4725" i="2"/>
  <c r="V4724" i="2"/>
  <c r="U4724" i="2"/>
  <c r="T4724" i="2"/>
  <c r="S4724" i="2"/>
  <c r="R4724" i="2"/>
  <c r="Q4724" i="2"/>
  <c r="P4724" i="2"/>
  <c r="O4724" i="2"/>
  <c r="N4724" i="2"/>
  <c r="M4724" i="2"/>
  <c r="L4724" i="2"/>
  <c r="K4724" i="2"/>
  <c r="J4724" i="2"/>
  <c r="I4724" i="2"/>
  <c r="H4724" i="2"/>
  <c r="G4724" i="2"/>
  <c r="F4724" i="2"/>
  <c r="E4724" i="2"/>
  <c r="D4724" i="2"/>
  <c r="C4724" i="2"/>
  <c r="B4724" i="2"/>
  <c r="V4723" i="2"/>
  <c r="U4723" i="2"/>
  <c r="T4723" i="2"/>
  <c r="S4723" i="2"/>
  <c r="R4723" i="2"/>
  <c r="Q4723" i="2"/>
  <c r="P4723" i="2"/>
  <c r="O4723" i="2"/>
  <c r="N4723" i="2"/>
  <c r="M4723" i="2"/>
  <c r="L4723" i="2"/>
  <c r="K4723" i="2"/>
  <c r="J4723" i="2"/>
  <c r="I4723" i="2"/>
  <c r="H4723" i="2"/>
  <c r="G4723" i="2"/>
  <c r="F4723" i="2"/>
  <c r="E4723" i="2"/>
  <c r="D4723" i="2"/>
  <c r="C4723" i="2"/>
  <c r="B4723" i="2"/>
  <c r="V4722" i="2"/>
  <c r="U4722" i="2"/>
  <c r="T4722" i="2"/>
  <c r="S4722" i="2"/>
  <c r="R4722" i="2"/>
  <c r="Q4722" i="2"/>
  <c r="P4722" i="2"/>
  <c r="O4722" i="2"/>
  <c r="N4722" i="2"/>
  <c r="M4722" i="2"/>
  <c r="L4722" i="2"/>
  <c r="K4722" i="2"/>
  <c r="J4722" i="2"/>
  <c r="I4722" i="2"/>
  <c r="H4722" i="2"/>
  <c r="G4722" i="2"/>
  <c r="F4722" i="2"/>
  <c r="E4722" i="2"/>
  <c r="D4722" i="2"/>
  <c r="C4722" i="2"/>
  <c r="B4722" i="2"/>
  <c r="V4721" i="2"/>
  <c r="U4721" i="2"/>
  <c r="T4721" i="2"/>
  <c r="S4721" i="2"/>
  <c r="R4721" i="2"/>
  <c r="Q4721" i="2"/>
  <c r="P4721" i="2"/>
  <c r="O4721" i="2"/>
  <c r="N4721" i="2"/>
  <c r="M4721" i="2"/>
  <c r="L4721" i="2"/>
  <c r="K4721" i="2"/>
  <c r="J4721" i="2"/>
  <c r="I4721" i="2"/>
  <c r="H4721" i="2"/>
  <c r="G4721" i="2"/>
  <c r="F4721" i="2"/>
  <c r="E4721" i="2"/>
  <c r="D4721" i="2"/>
  <c r="C4721" i="2"/>
  <c r="B4721" i="2"/>
  <c r="V4720" i="2"/>
  <c r="U4720" i="2"/>
  <c r="T4720" i="2"/>
  <c r="S4720" i="2"/>
  <c r="R4720" i="2"/>
  <c r="Q4720" i="2"/>
  <c r="P4720" i="2"/>
  <c r="O4720" i="2"/>
  <c r="N4720" i="2"/>
  <c r="M4720" i="2"/>
  <c r="L4720" i="2"/>
  <c r="K4720" i="2"/>
  <c r="J4720" i="2"/>
  <c r="I4720" i="2"/>
  <c r="H4720" i="2"/>
  <c r="G4720" i="2"/>
  <c r="F4720" i="2"/>
  <c r="E4720" i="2"/>
  <c r="D4720" i="2"/>
  <c r="C4720" i="2"/>
  <c r="B4720" i="2"/>
  <c r="V4719" i="2"/>
  <c r="U4719" i="2"/>
  <c r="T4719" i="2"/>
  <c r="S4719" i="2"/>
  <c r="R4719" i="2"/>
  <c r="Q4719" i="2"/>
  <c r="P4719" i="2"/>
  <c r="O4719" i="2"/>
  <c r="N4719" i="2"/>
  <c r="M4719" i="2"/>
  <c r="L4719" i="2"/>
  <c r="K4719" i="2"/>
  <c r="J4719" i="2"/>
  <c r="I4719" i="2"/>
  <c r="H4719" i="2"/>
  <c r="G4719" i="2"/>
  <c r="F4719" i="2"/>
  <c r="E4719" i="2"/>
  <c r="D4719" i="2"/>
  <c r="C4719" i="2"/>
  <c r="B4719" i="2"/>
  <c r="V4718" i="2"/>
  <c r="U4718" i="2"/>
  <c r="T4718" i="2"/>
  <c r="S4718" i="2"/>
  <c r="R4718" i="2"/>
  <c r="Q4718" i="2"/>
  <c r="P4718" i="2"/>
  <c r="O4718" i="2"/>
  <c r="N4718" i="2"/>
  <c r="M4718" i="2"/>
  <c r="L4718" i="2"/>
  <c r="K4718" i="2"/>
  <c r="J4718" i="2"/>
  <c r="I4718" i="2"/>
  <c r="H4718" i="2"/>
  <c r="G4718" i="2"/>
  <c r="F4718" i="2"/>
  <c r="E4718" i="2"/>
  <c r="D4718" i="2"/>
  <c r="C4718" i="2"/>
  <c r="B4718" i="2"/>
  <c r="V4717" i="2"/>
  <c r="U4717" i="2"/>
  <c r="T4717" i="2"/>
  <c r="S4717" i="2"/>
  <c r="R4717" i="2"/>
  <c r="Q4717" i="2"/>
  <c r="P4717" i="2"/>
  <c r="O4717" i="2"/>
  <c r="N4717" i="2"/>
  <c r="M4717" i="2"/>
  <c r="L4717" i="2"/>
  <c r="K4717" i="2"/>
  <c r="J4717" i="2"/>
  <c r="I4717" i="2"/>
  <c r="H4717" i="2"/>
  <c r="G4717" i="2"/>
  <c r="F4717" i="2"/>
  <c r="E4717" i="2"/>
  <c r="D4717" i="2"/>
  <c r="C4717" i="2"/>
  <c r="B4717" i="2"/>
  <c r="V4716" i="2"/>
  <c r="U4716" i="2"/>
  <c r="T4716" i="2"/>
  <c r="S4716" i="2"/>
  <c r="R4716" i="2"/>
  <c r="Q4716" i="2"/>
  <c r="P4716" i="2"/>
  <c r="O4716" i="2"/>
  <c r="N4716" i="2"/>
  <c r="M4716" i="2"/>
  <c r="L4716" i="2"/>
  <c r="K4716" i="2"/>
  <c r="J4716" i="2"/>
  <c r="I4716" i="2"/>
  <c r="H4716" i="2"/>
  <c r="G4716" i="2"/>
  <c r="F4716" i="2"/>
  <c r="E4716" i="2"/>
  <c r="D4716" i="2"/>
  <c r="C4716" i="2"/>
  <c r="B4716" i="2"/>
  <c r="V4715" i="2"/>
  <c r="U4715" i="2"/>
  <c r="T4715" i="2"/>
  <c r="S4715" i="2"/>
  <c r="R4715" i="2"/>
  <c r="Q4715" i="2"/>
  <c r="P4715" i="2"/>
  <c r="O4715" i="2"/>
  <c r="N4715" i="2"/>
  <c r="M4715" i="2"/>
  <c r="L4715" i="2"/>
  <c r="K4715" i="2"/>
  <c r="J4715" i="2"/>
  <c r="I4715" i="2"/>
  <c r="H4715" i="2"/>
  <c r="G4715" i="2"/>
  <c r="F4715" i="2"/>
  <c r="E4715" i="2"/>
  <c r="D4715" i="2"/>
  <c r="C4715" i="2"/>
  <c r="B4715" i="2"/>
  <c r="V4714" i="2"/>
  <c r="U4714" i="2"/>
  <c r="T4714" i="2"/>
  <c r="S4714" i="2"/>
  <c r="R4714" i="2"/>
  <c r="Q4714" i="2"/>
  <c r="P4714" i="2"/>
  <c r="O4714" i="2"/>
  <c r="N4714" i="2"/>
  <c r="M4714" i="2"/>
  <c r="L4714" i="2"/>
  <c r="K4714" i="2"/>
  <c r="J4714" i="2"/>
  <c r="I4714" i="2"/>
  <c r="H4714" i="2"/>
  <c r="G4714" i="2"/>
  <c r="F4714" i="2"/>
  <c r="E4714" i="2"/>
  <c r="D4714" i="2"/>
  <c r="C4714" i="2"/>
  <c r="B4714" i="2"/>
  <c r="V4713" i="2"/>
  <c r="U4713" i="2"/>
  <c r="T4713" i="2"/>
  <c r="S4713" i="2"/>
  <c r="R4713" i="2"/>
  <c r="Q4713" i="2"/>
  <c r="P4713" i="2"/>
  <c r="O4713" i="2"/>
  <c r="N4713" i="2"/>
  <c r="M4713" i="2"/>
  <c r="L4713" i="2"/>
  <c r="K4713" i="2"/>
  <c r="J4713" i="2"/>
  <c r="I4713" i="2"/>
  <c r="H4713" i="2"/>
  <c r="G4713" i="2"/>
  <c r="F4713" i="2"/>
  <c r="E4713" i="2"/>
  <c r="D4713" i="2"/>
  <c r="C4713" i="2"/>
  <c r="B4713" i="2"/>
  <c r="V4712" i="2"/>
  <c r="U4712" i="2"/>
  <c r="T4712" i="2"/>
  <c r="S4712" i="2"/>
  <c r="R4712" i="2"/>
  <c r="Q4712" i="2"/>
  <c r="P4712" i="2"/>
  <c r="O4712" i="2"/>
  <c r="N4712" i="2"/>
  <c r="M4712" i="2"/>
  <c r="L4712" i="2"/>
  <c r="K4712" i="2"/>
  <c r="J4712" i="2"/>
  <c r="I4712" i="2"/>
  <c r="H4712" i="2"/>
  <c r="G4712" i="2"/>
  <c r="F4712" i="2"/>
  <c r="E4712" i="2"/>
  <c r="D4712" i="2"/>
  <c r="C4712" i="2"/>
  <c r="B4712" i="2"/>
  <c r="V4711" i="2"/>
  <c r="U4711" i="2"/>
  <c r="T4711" i="2"/>
  <c r="S4711" i="2"/>
  <c r="R4711" i="2"/>
  <c r="Q4711" i="2"/>
  <c r="P4711" i="2"/>
  <c r="O4711" i="2"/>
  <c r="N4711" i="2"/>
  <c r="M4711" i="2"/>
  <c r="L4711" i="2"/>
  <c r="K4711" i="2"/>
  <c r="J4711" i="2"/>
  <c r="I4711" i="2"/>
  <c r="H4711" i="2"/>
  <c r="G4711" i="2"/>
  <c r="F4711" i="2"/>
  <c r="E4711" i="2"/>
  <c r="D4711" i="2"/>
  <c r="C4711" i="2"/>
  <c r="B4711" i="2"/>
  <c r="V4710" i="2"/>
  <c r="U4710" i="2"/>
  <c r="T4710" i="2"/>
  <c r="S4710" i="2"/>
  <c r="R4710" i="2"/>
  <c r="Q4710" i="2"/>
  <c r="P4710" i="2"/>
  <c r="O4710" i="2"/>
  <c r="N4710" i="2"/>
  <c r="M4710" i="2"/>
  <c r="L4710" i="2"/>
  <c r="K4710" i="2"/>
  <c r="J4710" i="2"/>
  <c r="I4710" i="2"/>
  <c r="H4710" i="2"/>
  <c r="G4710" i="2"/>
  <c r="F4710" i="2"/>
  <c r="E4710" i="2"/>
  <c r="D4710" i="2"/>
  <c r="C4710" i="2"/>
  <c r="B4710" i="2"/>
  <c r="V4709" i="2"/>
  <c r="U4709" i="2"/>
  <c r="T4709" i="2"/>
  <c r="S4709" i="2"/>
  <c r="R4709" i="2"/>
  <c r="Q4709" i="2"/>
  <c r="P4709" i="2"/>
  <c r="O4709" i="2"/>
  <c r="N4709" i="2"/>
  <c r="M4709" i="2"/>
  <c r="L4709" i="2"/>
  <c r="K4709" i="2"/>
  <c r="J4709" i="2"/>
  <c r="I4709" i="2"/>
  <c r="H4709" i="2"/>
  <c r="G4709" i="2"/>
  <c r="F4709" i="2"/>
  <c r="E4709" i="2"/>
  <c r="D4709" i="2"/>
  <c r="C4709" i="2"/>
  <c r="B4709" i="2"/>
  <c r="V4708" i="2"/>
  <c r="U4708" i="2"/>
  <c r="T4708" i="2"/>
  <c r="S4708" i="2"/>
  <c r="R4708" i="2"/>
  <c r="Q4708" i="2"/>
  <c r="P4708" i="2"/>
  <c r="O4708" i="2"/>
  <c r="N4708" i="2"/>
  <c r="M4708" i="2"/>
  <c r="L4708" i="2"/>
  <c r="K4708" i="2"/>
  <c r="J4708" i="2"/>
  <c r="I4708" i="2"/>
  <c r="H4708" i="2"/>
  <c r="G4708" i="2"/>
  <c r="F4708" i="2"/>
  <c r="E4708" i="2"/>
  <c r="D4708" i="2"/>
  <c r="C4708" i="2"/>
  <c r="B4708" i="2"/>
  <c r="V4707" i="2"/>
  <c r="U4707" i="2"/>
  <c r="T4707" i="2"/>
  <c r="S4707" i="2"/>
  <c r="R4707" i="2"/>
  <c r="Q4707" i="2"/>
  <c r="P4707" i="2"/>
  <c r="O4707" i="2"/>
  <c r="N4707" i="2"/>
  <c r="M4707" i="2"/>
  <c r="L4707" i="2"/>
  <c r="K4707" i="2"/>
  <c r="J4707" i="2"/>
  <c r="I4707" i="2"/>
  <c r="H4707" i="2"/>
  <c r="G4707" i="2"/>
  <c r="F4707" i="2"/>
  <c r="E4707" i="2"/>
  <c r="D4707" i="2"/>
  <c r="C4707" i="2"/>
  <c r="B4707" i="2"/>
  <c r="V4706" i="2"/>
  <c r="U4706" i="2"/>
  <c r="T4706" i="2"/>
  <c r="S4706" i="2"/>
  <c r="R4706" i="2"/>
  <c r="Q4706" i="2"/>
  <c r="P4706" i="2"/>
  <c r="O4706" i="2"/>
  <c r="N4706" i="2"/>
  <c r="M4706" i="2"/>
  <c r="L4706" i="2"/>
  <c r="K4706" i="2"/>
  <c r="J4706" i="2"/>
  <c r="I4706" i="2"/>
  <c r="H4706" i="2"/>
  <c r="G4706" i="2"/>
  <c r="F4706" i="2"/>
  <c r="E4706" i="2"/>
  <c r="D4706" i="2"/>
  <c r="C4706" i="2"/>
  <c r="B4706" i="2"/>
  <c r="V4705" i="2"/>
  <c r="U4705" i="2"/>
  <c r="T4705" i="2"/>
  <c r="S4705" i="2"/>
  <c r="R4705" i="2"/>
  <c r="Q4705" i="2"/>
  <c r="P4705" i="2"/>
  <c r="O4705" i="2"/>
  <c r="N4705" i="2"/>
  <c r="M4705" i="2"/>
  <c r="L4705" i="2"/>
  <c r="K4705" i="2"/>
  <c r="J4705" i="2"/>
  <c r="I4705" i="2"/>
  <c r="H4705" i="2"/>
  <c r="G4705" i="2"/>
  <c r="F4705" i="2"/>
  <c r="E4705" i="2"/>
  <c r="D4705" i="2"/>
  <c r="C4705" i="2"/>
  <c r="B4705" i="2"/>
  <c r="V4704" i="2"/>
  <c r="U4704" i="2"/>
  <c r="T4704" i="2"/>
  <c r="S4704" i="2"/>
  <c r="R4704" i="2"/>
  <c r="Q4704" i="2"/>
  <c r="P4704" i="2"/>
  <c r="O4704" i="2"/>
  <c r="N4704" i="2"/>
  <c r="M4704" i="2"/>
  <c r="L4704" i="2"/>
  <c r="K4704" i="2"/>
  <c r="J4704" i="2"/>
  <c r="I4704" i="2"/>
  <c r="H4704" i="2"/>
  <c r="G4704" i="2"/>
  <c r="F4704" i="2"/>
  <c r="E4704" i="2"/>
  <c r="D4704" i="2"/>
  <c r="C4704" i="2"/>
  <c r="B4704" i="2"/>
  <c r="V4703" i="2"/>
  <c r="U4703" i="2"/>
  <c r="T4703" i="2"/>
  <c r="S4703" i="2"/>
  <c r="R4703" i="2"/>
  <c r="Q4703" i="2"/>
  <c r="P4703" i="2"/>
  <c r="O4703" i="2"/>
  <c r="N4703" i="2"/>
  <c r="M4703" i="2"/>
  <c r="L4703" i="2"/>
  <c r="K4703" i="2"/>
  <c r="J4703" i="2"/>
  <c r="I4703" i="2"/>
  <c r="H4703" i="2"/>
  <c r="G4703" i="2"/>
  <c r="F4703" i="2"/>
  <c r="E4703" i="2"/>
  <c r="D4703" i="2"/>
  <c r="C4703" i="2"/>
  <c r="B4703" i="2"/>
  <c r="V4702" i="2"/>
  <c r="U4702" i="2"/>
  <c r="T4702" i="2"/>
  <c r="S4702" i="2"/>
  <c r="R4702" i="2"/>
  <c r="Q4702" i="2"/>
  <c r="P4702" i="2"/>
  <c r="O4702" i="2"/>
  <c r="N4702" i="2"/>
  <c r="M4702" i="2"/>
  <c r="L4702" i="2"/>
  <c r="K4702" i="2"/>
  <c r="J4702" i="2"/>
  <c r="I4702" i="2"/>
  <c r="H4702" i="2"/>
  <c r="G4702" i="2"/>
  <c r="F4702" i="2"/>
  <c r="E4702" i="2"/>
  <c r="D4702" i="2"/>
  <c r="C4702" i="2"/>
  <c r="B4702" i="2"/>
  <c r="V4701" i="2"/>
  <c r="U4701" i="2"/>
  <c r="T4701" i="2"/>
  <c r="S4701" i="2"/>
  <c r="R4701" i="2"/>
  <c r="Q4701" i="2"/>
  <c r="P4701" i="2"/>
  <c r="O4701" i="2"/>
  <c r="N4701" i="2"/>
  <c r="M4701" i="2"/>
  <c r="L4701" i="2"/>
  <c r="K4701" i="2"/>
  <c r="J4701" i="2"/>
  <c r="I4701" i="2"/>
  <c r="H4701" i="2"/>
  <c r="G4701" i="2"/>
  <c r="F4701" i="2"/>
  <c r="E4701" i="2"/>
  <c r="D4701" i="2"/>
  <c r="C4701" i="2"/>
  <c r="B4701" i="2"/>
  <c r="V4700" i="2"/>
  <c r="U4700" i="2"/>
  <c r="T4700" i="2"/>
  <c r="S4700" i="2"/>
  <c r="R4700" i="2"/>
  <c r="Q4700" i="2"/>
  <c r="P4700" i="2"/>
  <c r="O4700" i="2"/>
  <c r="N4700" i="2"/>
  <c r="M4700" i="2"/>
  <c r="L4700" i="2"/>
  <c r="K4700" i="2"/>
  <c r="J4700" i="2"/>
  <c r="I4700" i="2"/>
  <c r="H4700" i="2"/>
  <c r="G4700" i="2"/>
  <c r="F4700" i="2"/>
  <c r="E4700" i="2"/>
  <c r="D4700" i="2"/>
  <c r="C4700" i="2"/>
  <c r="B4700" i="2"/>
  <c r="V4699" i="2"/>
  <c r="U4699" i="2"/>
  <c r="T4699" i="2"/>
  <c r="S4699" i="2"/>
  <c r="R4699" i="2"/>
  <c r="Q4699" i="2"/>
  <c r="P4699" i="2"/>
  <c r="O4699" i="2"/>
  <c r="N4699" i="2"/>
  <c r="M4699" i="2"/>
  <c r="L4699" i="2"/>
  <c r="K4699" i="2"/>
  <c r="J4699" i="2"/>
  <c r="I4699" i="2"/>
  <c r="H4699" i="2"/>
  <c r="G4699" i="2"/>
  <c r="F4699" i="2"/>
  <c r="E4699" i="2"/>
  <c r="D4699" i="2"/>
  <c r="C4699" i="2"/>
  <c r="B4699" i="2"/>
  <c r="V4698" i="2"/>
  <c r="U4698" i="2"/>
  <c r="T4698" i="2"/>
  <c r="S4698" i="2"/>
  <c r="R4698" i="2"/>
  <c r="Q4698" i="2"/>
  <c r="P4698" i="2"/>
  <c r="O4698" i="2"/>
  <c r="N4698" i="2"/>
  <c r="M4698" i="2"/>
  <c r="L4698" i="2"/>
  <c r="K4698" i="2"/>
  <c r="J4698" i="2"/>
  <c r="I4698" i="2"/>
  <c r="H4698" i="2"/>
  <c r="G4698" i="2"/>
  <c r="F4698" i="2"/>
  <c r="E4698" i="2"/>
  <c r="D4698" i="2"/>
  <c r="C4698" i="2"/>
  <c r="B4698" i="2"/>
  <c r="V4697" i="2"/>
  <c r="U4697" i="2"/>
  <c r="T4697" i="2"/>
  <c r="S4697" i="2"/>
  <c r="R4697" i="2"/>
  <c r="Q4697" i="2"/>
  <c r="P4697" i="2"/>
  <c r="O4697" i="2"/>
  <c r="N4697" i="2"/>
  <c r="M4697" i="2"/>
  <c r="L4697" i="2"/>
  <c r="K4697" i="2"/>
  <c r="J4697" i="2"/>
  <c r="I4697" i="2"/>
  <c r="H4697" i="2"/>
  <c r="G4697" i="2"/>
  <c r="F4697" i="2"/>
  <c r="E4697" i="2"/>
  <c r="D4697" i="2"/>
  <c r="C4697" i="2"/>
  <c r="B4697" i="2"/>
  <c r="V4696" i="2"/>
  <c r="U4696" i="2"/>
  <c r="T4696" i="2"/>
  <c r="S4696" i="2"/>
  <c r="R4696" i="2"/>
  <c r="Q4696" i="2"/>
  <c r="P4696" i="2"/>
  <c r="O4696" i="2"/>
  <c r="N4696" i="2"/>
  <c r="M4696" i="2"/>
  <c r="L4696" i="2"/>
  <c r="K4696" i="2"/>
  <c r="J4696" i="2"/>
  <c r="I4696" i="2"/>
  <c r="H4696" i="2"/>
  <c r="G4696" i="2"/>
  <c r="F4696" i="2"/>
  <c r="E4696" i="2"/>
  <c r="D4696" i="2"/>
  <c r="C4696" i="2"/>
  <c r="B4696" i="2"/>
  <c r="V4695" i="2"/>
  <c r="U4695" i="2"/>
  <c r="T4695" i="2"/>
  <c r="S4695" i="2"/>
  <c r="R4695" i="2"/>
  <c r="Q4695" i="2"/>
  <c r="P4695" i="2"/>
  <c r="O4695" i="2"/>
  <c r="N4695" i="2"/>
  <c r="M4695" i="2"/>
  <c r="L4695" i="2"/>
  <c r="K4695" i="2"/>
  <c r="J4695" i="2"/>
  <c r="I4695" i="2"/>
  <c r="H4695" i="2"/>
  <c r="G4695" i="2"/>
  <c r="F4695" i="2"/>
  <c r="E4695" i="2"/>
  <c r="D4695" i="2"/>
  <c r="C4695" i="2"/>
  <c r="B4695" i="2"/>
  <c r="V4694" i="2"/>
  <c r="U4694" i="2"/>
  <c r="T4694" i="2"/>
  <c r="S4694" i="2"/>
  <c r="R4694" i="2"/>
  <c r="Q4694" i="2"/>
  <c r="P4694" i="2"/>
  <c r="O4694" i="2"/>
  <c r="N4694" i="2"/>
  <c r="M4694" i="2"/>
  <c r="L4694" i="2"/>
  <c r="K4694" i="2"/>
  <c r="J4694" i="2"/>
  <c r="I4694" i="2"/>
  <c r="H4694" i="2"/>
  <c r="G4694" i="2"/>
  <c r="F4694" i="2"/>
  <c r="E4694" i="2"/>
  <c r="D4694" i="2"/>
  <c r="C4694" i="2"/>
  <c r="B4694" i="2"/>
  <c r="V4693" i="2"/>
  <c r="U4693" i="2"/>
  <c r="T4693" i="2"/>
  <c r="S4693" i="2"/>
  <c r="R4693" i="2"/>
  <c r="Q4693" i="2"/>
  <c r="P4693" i="2"/>
  <c r="O4693" i="2"/>
  <c r="N4693" i="2"/>
  <c r="M4693" i="2"/>
  <c r="L4693" i="2"/>
  <c r="K4693" i="2"/>
  <c r="J4693" i="2"/>
  <c r="I4693" i="2"/>
  <c r="H4693" i="2"/>
  <c r="G4693" i="2"/>
  <c r="F4693" i="2"/>
  <c r="E4693" i="2"/>
  <c r="D4693" i="2"/>
  <c r="C4693" i="2"/>
  <c r="B4693" i="2"/>
  <c r="V4692" i="2"/>
  <c r="U4692" i="2"/>
  <c r="T4692" i="2"/>
  <c r="S4692" i="2"/>
  <c r="R4692" i="2"/>
  <c r="Q4692" i="2"/>
  <c r="P4692" i="2"/>
  <c r="O4692" i="2"/>
  <c r="N4692" i="2"/>
  <c r="M4692" i="2"/>
  <c r="L4692" i="2"/>
  <c r="K4692" i="2"/>
  <c r="J4692" i="2"/>
  <c r="I4692" i="2"/>
  <c r="H4692" i="2"/>
  <c r="G4692" i="2"/>
  <c r="F4692" i="2"/>
  <c r="E4692" i="2"/>
  <c r="D4692" i="2"/>
  <c r="C4692" i="2"/>
  <c r="B4692" i="2"/>
  <c r="V4691" i="2"/>
  <c r="U4691" i="2"/>
  <c r="T4691" i="2"/>
  <c r="S4691" i="2"/>
  <c r="R4691" i="2"/>
  <c r="Q4691" i="2"/>
  <c r="P4691" i="2"/>
  <c r="O4691" i="2"/>
  <c r="N4691" i="2"/>
  <c r="M4691" i="2"/>
  <c r="L4691" i="2"/>
  <c r="K4691" i="2"/>
  <c r="J4691" i="2"/>
  <c r="I4691" i="2"/>
  <c r="H4691" i="2"/>
  <c r="G4691" i="2"/>
  <c r="F4691" i="2"/>
  <c r="E4691" i="2"/>
  <c r="D4691" i="2"/>
  <c r="C4691" i="2"/>
  <c r="B4691" i="2"/>
  <c r="V4690" i="2"/>
  <c r="U4690" i="2"/>
  <c r="T4690" i="2"/>
  <c r="S4690" i="2"/>
  <c r="R4690" i="2"/>
  <c r="Q4690" i="2"/>
  <c r="P4690" i="2"/>
  <c r="O4690" i="2"/>
  <c r="N4690" i="2"/>
  <c r="M4690" i="2"/>
  <c r="L4690" i="2"/>
  <c r="K4690" i="2"/>
  <c r="J4690" i="2"/>
  <c r="I4690" i="2"/>
  <c r="H4690" i="2"/>
  <c r="G4690" i="2"/>
  <c r="F4690" i="2"/>
  <c r="E4690" i="2"/>
  <c r="D4690" i="2"/>
  <c r="C4690" i="2"/>
  <c r="B4690" i="2"/>
  <c r="V4689" i="2"/>
  <c r="U4689" i="2"/>
  <c r="T4689" i="2"/>
  <c r="S4689" i="2"/>
  <c r="R4689" i="2"/>
  <c r="Q4689" i="2"/>
  <c r="P4689" i="2"/>
  <c r="O4689" i="2"/>
  <c r="N4689" i="2"/>
  <c r="M4689" i="2"/>
  <c r="L4689" i="2"/>
  <c r="K4689" i="2"/>
  <c r="J4689" i="2"/>
  <c r="I4689" i="2"/>
  <c r="H4689" i="2"/>
  <c r="G4689" i="2"/>
  <c r="F4689" i="2"/>
  <c r="E4689" i="2"/>
  <c r="D4689" i="2"/>
  <c r="C4689" i="2"/>
  <c r="B4689" i="2"/>
  <c r="V4688" i="2"/>
  <c r="U4688" i="2"/>
  <c r="T4688" i="2"/>
  <c r="S4688" i="2"/>
  <c r="R4688" i="2"/>
  <c r="Q4688" i="2"/>
  <c r="P4688" i="2"/>
  <c r="O4688" i="2"/>
  <c r="N4688" i="2"/>
  <c r="M4688" i="2"/>
  <c r="L4688" i="2"/>
  <c r="K4688" i="2"/>
  <c r="J4688" i="2"/>
  <c r="I4688" i="2"/>
  <c r="H4688" i="2"/>
  <c r="G4688" i="2"/>
  <c r="F4688" i="2"/>
  <c r="E4688" i="2"/>
  <c r="D4688" i="2"/>
  <c r="C4688" i="2"/>
  <c r="B4688" i="2"/>
  <c r="V4687" i="2"/>
  <c r="U4687" i="2"/>
  <c r="T4687" i="2"/>
  <c r="S4687" i="2"/>
  <c r="R4687" i="2"/>
  <c r="Q4687" i="2"/>
  <c r="P4687" i="2"/>
  <c r="O4687" i="2"/>
  <c r="N4687" i="2"/>
  <c r="M4687" i="2"/>
  <c r="L4687" i="2"/>
  <c r="K4687" i="2"/>
  <c r="J4687" i="2"/>
  <c r="I4687" i="2"/>
  <c r="H4687" i="2"/>
  <c r="G4687" i="2"/>
  <c r="F4687" i="2"/>
  <c r="E4687" i="2"/>
  <c r="D4687" i="2"/>
  <c r="C4687" i="2"/>
  <c r="B4687" i="2"/>
  <c r="V4686" i="2"/>
  <c r="U4686" i="2"/>
  <c r="T4686" i="2"/>
  <c r="S4686" i="2"/>
  <c r="R4686" i="2"/>
  <c r="Q4686" i="2"/>
  <c r="P4686" i="2"/>
  <c r="O4686" i="2"/>
  <c r="N4686" i="2"/>
  <c r="M4686" i="2"/>
  <c r="L4686" i="2"/>
  <c r="K4686" i="2"/>
  <c r="J4686" i="2"/>
  <c r="I4686" i="2"/>
  <c r="H4686" i="2"/>
  <c r="G4686" i="2"/>
  <c r="F4686" i="2"/>
  <c r="E4686" i="2"/>
  <c r="D4686" i="2"/>
  <c r="C4686" i="2"/>
  <c r="B4686" i="2"/>
  <c r="V4685" i="2"/>
  <c r="U4685" i="2"/>
  <c r="T4685" i="2"/>
  <c r="S4685" i="2"/>
  <c r="R4685" i="2"/>
  <c r="Q4685" i="2"/>
  <c r="P4685" i="2"/>
  <c r="O4685" i="2"/>
  <c r="N4685" i="2"/>
  <c r="M4685" i="2"/>
  <c r="L4685" i="2"/>
  <c r="K4685" i="2"/>
  <c r="J4685" i="2"/>
  <c r="I4685" i="2"/>
  <c r="H4685" i="2"/>
  <c r="G4685" i="2"/>
  <c r="F4685" i="2"/>
  <c r="E4685" i="2"/>
  <c r="D4685" i="2"/>
  <c r="C4685" i="2"/>
  <c r="B4685" i="2"/>
  <c r="V4684" i="2"/>
  <c r="U4684" i="2"/>
  <c r="T4684" i="2"/>
  <c r="S4684" i="2"/>
  <c r="R4684" i="2"/>
  <c r="Q4684" i="2"/>
  <c r="P4684" i="2"/>
  <c r="O4684" i="2"/>
  <c r="N4684" i="2"/>
  <c r="M4684" i="2"/>
  <c r="L4684" i="2"/>
  <c r="K4684" i="2"/>
  <c r="J4684" i="2"/>
  <c r="I4684" i="2"/>
  <c r="H4684" i="2"/>
  <c r="G4684" i="2"/>
  <c r="F4684" i="2"/>
  <c r="E4684" i="2"/>
  <c r="D4684" i="2"/>
  <c r="C4684" i="2"/>
  <c r="B4684" i="2"/>
  <c r="V4683" i="2"/>
  <c r="U4683" i="2"/>
  <c r="T4683" i="2"/>
  <c r="S4683" i="2"/>
  <c r="R4683" i="2"/>
  <c r="Q4683" i="2"/>
  <c r="P4683" i="2"/>
  <c r="O4683" i="2"/>
  <c r="N4683" i="2"/>
  <c r="M4683" i="2"/>
  <c r="L4683" i="2"/>
  <c r="K4683" i="2"/>
  <c r="J4683" i="2"/>
  <c r="I4683" i="2"/>
  <c r="H4683" i="2"/>
  <c r="G4683" i="2"/>
  <c r="F4683" i="2"/>
  <c r="E4683" i="2"/>
  <c r="D4683" i="2"/>
  <c r="C4683" i="2"/>
  <c r="B4683" i="2"/>
  <c r="V4682" i="2"/>
  <c r="U4682" i="2"/>
  <c r="T4682" i="2"/>
  <c r="S4682" i="2"/>
  <c r="R4682" i="2"/>
  <c r="Q4682" i="2"/>
  <c r="P4682" i="2"/>
  <c r="O4682" i="2"/>
  <c r="N4682" i="2"/>
  <c r="M4682" i="2"/>
  <c r="L4682" i="2"/>
  <c r="K4682" i="2"/>
  <c r="J4682" i="2"/>
  <c r="I4682" i="2"/>
  <c r="H4682" i="2"/>
  <c r="G4682" i="2"/>
  <c r="F4682" i="2"/>
  <c r="E4682" i="2"/>
  <c r="D4682" i="2"/>
  <c r="C4682" i="2"/>
  <c r="B4682" i="2"/>
  <c r="V4681" i="2"/>
  <c r="U4681" i="2"/>
  <c r="T4681" i="2"/>
  <c r="S4681" i="2"/>
  <c r="R4681" i="2"/>
  <c r="Q4681" i="2"/>
  <c r="P4681" i="2"/>
  <c r="O4681" i="2"/>
  <c r="N4681" i="2"/>
  <c r="M4681" i="2"/>
  <c r="L4681" i="2"/>
  <c r="K4681" i="2"/>
  <c r="J4681" i="2"/>
  <c r="I4681" i="2"/>
  <c r="H4681" i="2"/>
  <c r="G4681" i="2"/>
  <c r="F4681" i="2"/>
  <c r="E4681" i="2"/>
  <c r="D4681" i="2"/>
  <c r="C4681" i="2"/>
  <c r="B4681" i="2"/>
  <c r="V4680" i="2"/>
  <c r="U4680" i="2"/>
  <c r="T4680" i="2"/>
  <c r="S4680" i="2"/>
  <c r="R4680" i="2"/>
  <c r="Q4680" i="2"/>
  <c r="P4680" i="2"/>
  <c r="O4680" i="2"/>
  <c r="N4680" i="2"/>
  <c r="M4680" i="2"/>
  <c r="L4680" i="2"/>
  <c r="K4680" i="2"/>
  <c r="J4680" i="2"/>
  <c r="I4680" i="2"/>
  <c r="H4680" i="2"/>
  <c r="G4680" i="2"/>
  <c r="F4680" i="2"/>
  <c r="E4680" i="2"/>
  <c r="D4680" i="2"/>
  <c r="C4680" i="2"/>
  <c r="B4680" i="2"/>
  <c r="V4679" i="2"/>
  <c r="U4679" i="2"/>
  <c r="T4679" i="2"/>
  <c r="S4679" i="2"/>
  <c r="R4679" i="2"/>
  <c r="Q4679" i="2"/>
  <c r="P4679" i="2"/>
  <c r="O4679" i="2"/>
  <c r="N4679" i="2"/>
  <c r="M4679" i="2"/>
  <c r="L4679" i="2"/>
  <c r="K4679" i="2"/>
  <c r="J4679" i="2"/>
  <c r="I4679" i="2"/>
  <c r="H4679" i="2"/>
  <c r="G4679" i="2"/>
  <c r="F4679" i="2"/>
  <c r="E4679" i="2"/>
  <c r="D4679" i="2"/>
  <c r="C4679" i="2"/>
  <c r="B4679" i="2"/>
  <c r="V4678" i="2"/>
  <c r="U4678" i="2"/>
  <c r="T4678" i="2"/>
  <c r="S4678" i="2"/>
  <c r="R4678" i="2"/>
  <c r="Q4678" i="2"/>
  <c r="P4678" i="2"/>
  <c r="O4678" i="2"/>
  <c r="N4678" i="2"/>
  <c r="M4678" i="2"/>
  <c r="L4678" i="2"/>
  <c r="K4678" i="2"/>
  <c r="J4678" i="2"/>
  <c r="I4678" i="2"/>
  <c r="H4678" i="2"/>
  <c r="G4678" i="2"/>
  <c r="F4678" i="2"/>
  <c r="E4678" i="2"/>
  <c r="D4678" i="2"/>
  <c r="C4678" i="2"/>
  <c r="B4678" i="2"/>
  <c r="V4677" i="2"/>
  <c r="U4677" i="2"/>
  <c r="T4677" i="2"/>
  <c r="S4677" i="2"/>
  <c r="R4677" i="2"/>
  <c r="Q4677" i="2"/>
  <c r="P4677" i="2"/>
  <c r="O4677" i="2"/>
  <c r="N4677" i="2"/>
  <c r="M4677" i="2"/>
  <c r="L4677" i="2"/>
  <c r="K4677" i="2"/>
  <c r="J4677" i="2"/>
  <c r="I4677" i="2"/>
  <c r="H4677" i="2"/>
  <c r="G4677" i="2"/>
  <c r="F4677" i="2"/>
  <c r="E4677" i="2"/>
  <c r="D4677" i="2"/>
  <c r="C4677" i="2"/>
  <c r="B4677" i="2"/>
  <c r="V4676" i="2"/>
  <c r="U4676" i="2"/>
  <c r="T4676" i="2"/>
  <c r="S4676" i="2"/>
  <c r="R4676" i="2"/>
  <c r="Q4676" i="2"/>
  <c r="P4676" i="2"/>
  <c r="O4676" i="2"/>
  <c r="N4676" i="2"/>
  <c r="M4676" i="2"/>
  <c r="L4676" i="2"/>
  <c r="K4676" i="2"/>
  <c r="J4676" i="2"/>
  <c r="I4676" i="2"/>
  <c r="H4676" i="2"/>
  <c r="G4676" i="2"/>
  <c r="F4676" i="2"/>
  <c r="E4676" i="2"/>
  <c r="D4676" i="2"/>
  <c r="C4676" i="2"/>
  <c r="B4676" i="2"/>
  <c r="V4675" i="2"/>
  <c r="U4675" i="2"/>
  <c r="T4675" i="2"/>
  <c r="S4675" i="2"/>
  <c r="R4675" i="2"/>
  <c r="Q4675" i="2"/>
  <c r="P4675" i="2"/>
  <c r="O4675" i="2"/>
  <c r="N4675" i="2"/>
  <c r="M4675" i="2"/>
  <c r="L4675" i="2"/>
  <c r="K4675" i="2"/>
  <c r="J4675" i="2"/>
  <c r="I4675" i="2"/>
  <c r="H4675" i="2"/>
  <c r="G4675" i="2"/>
  <c r="F4675" i="2"/>
  <c r="E4675" i="2"/>
  <c r="D4675" i="2"/>
  <c r="C4675" i="2"/>
  <c r="B4675" i="2"/>
  <c r="V4674" i="2"/>
  <c r="U4674" i="2"/>
  <c r="T4674" i="2"/>
  <c r="S4674" i="2"/>
  <c r="R4674" i="2"/>
  <c r="Q4674" i="2"/>
  <c r="P4674" i="2"/>
  <c r="O4674" i="2"/>
  <c r="N4674" i="2"/>
  <c r="M4674" i="2"/>
  <c r="L4674" i="2"/>
  <c r="K4674" i="2"/>
  <c r="J4674" i="2"/>
  <c r="I4674" i="2"/>
  <c r="H4674" i="2"/>
  <c r="G4674" i="2"/>
  <c r="F4674" i="2"/>
  <c r="E4674" i="2"/>
  <c r="D4674" i="2"/>
  <c r="C4674" i="2"/>
  <c r="B4674" i="2"/>
  <c r="V4673" i="2"/>
  <c r="U4673" i="2"/>
  <c r="T4673" i="2"/>
  <c r="S4673" i="2"/>
  <c r="R4673" i="2"/>
  <c r="Q4673" i="2"/>
  <c r="P4673" i="2"/>
  <c r="O4673" i="2"/>
  <c r="N4673" i="2"/>
  <c r="M4673" i="2"/>
  <c r="L4673" i="2"/>
  <c r="K4673" i="2"/>
  <c r="J4673" i="2"/>
  <c r="I4673" i="2"/>
  <c r="H4673" i="2"/>
  <c r="G4673" i="2"/>
  <c r="F4673" i="2"/>
  <c r="E4673" i="2"/>
  <c r="D4673" i="2"/>
  <c r="C4673" i="2"/>
  <c r="B4673" i="2"/>
  <c r="V4672" i="2"/>
  <c r="U4672" i="2"/>
  <c r="T4672" i="2"/>
  <c r="S4672" i="2"/>
  <c r="R4672" i="2"/>
  <c r="Q4672" i="2"/>
  <c r="P4672" i="2"/>
  <c r="O4672" i="2"/>
  <c r="N4672" i="2"/>
  <c r="M4672" i="2"/>
  <c r="L4672" i="2"/>
  <c r="K4672" i="2"/>
  <c r="J4672" i="2"/>
  <c r="I4672" i="2"/>
  <c r="H4672" i="2"/>
  <c r="G4672" i="2"/>
  <c r="F4672" i="2"/>
  <c r="E4672" i="2"/>
  <c r="D4672" i="2"/>
  <c r="C4672" i="2"/>
  <c r="B4672" i="2"/>
  <c r="V4671" i="2"/>
  <c r="U4671" i="2"/>
  <c r="T4671" i="2"/>
  <c r="S4671" i="2"/>
  <c r="R4671" i="2"/>
  <c r="Q4671" i="2"/>
  <c r="P4671" i="2"/>
  <c r="O4671" i="2"/>
  <c r="N4671" i="2"/>
  <c r="M4671" i="2"/>
  <c r="L4671" i="2"/>
  <c r="K4671" i="2"/>
  <c r="J4671" i="2"/>
  <c r="I4671" i="2"/>
  <c r="H4671" i="2"/>
  <c r="G4671" i="2"/>
  <c r="F4671" i="2"/>
  <c r="E4671" i="2"/>
  <c r="D4671" i="2"/>
  <c r="C4671" i="2"/>
  <c r="B4671" i="2"/>
  <c r="V4670" i="2"/>
  <c r="U4670" i="2"/>
  <c r="T4670" i="2"/>
  <c r="S4670" i="2"/>
  <c r="R4670" i="2"/>
  <c r="Q4670" i="2"/>
  <c r="P4670" i="2"/>
  <c r="O4670" i="2"/>
  <c r="N4670" i="2"/>
  <c r="M4670" i="2"/>
  <c r="L4670" i="2"/>
  <c r="K4670" i="2"/>
  <c r="J4670" i="2"/>
  <c r="I4670" i="2"/>
  <c r="H4670" i="2"/>
  <c r="G4670" i="2"/>
  <c r="F4670" i="2"/>
  <c r="E4670" i="2"/>
  <c r="D4670" i="2"/>
  <c r="C4670" i="2"/>
  <c r="B4670" i="2"/>
  <c r="V4669" i="2"/>
  <c r="U4669" i="2"/>
  <c r="T4669" i="2"/>
  <c r="S4669" i="2"/>
  <c r="R4669" i="2"/>
  <c r="Q4669" i="2"/>
  <c r="P4669" i="2"/>
  <c r="O4669" i="2"/>
  <c r="N4669" i="2"/>
  <c r="M4669" i="2"/>
  <c r="L4669" i="2"/>
  <c r="K4669" i="2"/>
  <c r="J4669" i="2"/>
  <c r="I4669" i="2"/>
  <c r="H4669" i="2"/>
  <c r="G4669" i="2"/>
  <c r="F4669" i="2"/>
  <c r="E4669" i="2"/>
  <c r="D4669" i="2"/>
  <c r="C4669" i="2"/>
  <c r="B4669" i="2"/>
  <c r="V4668" i="2"/>
  <c r="U4668" i="2"/>
  <c r="T4668" i="2"/>
  <c r="S4668" i="2"/>
  <c r="R4668" i="2"/>
  <c r="Q4668" i="2"/>
  <c r="P4668" i="2"/>
  <c r="O4668" i="2"/>
  <c r="N4668" i="2"/>
  <c r="M4668" i="2"/>
  <c r="L4668" i="2"/>
  <c r="K4668" i="2"/>
  <c r="J4668" i="2"/>
  <c r="I4668" i="2"/>
  <c r="H4668" i="2"/>
  <c r="G4668" i="2"/>
  <c r="F4668" i="2"/>
  <c r="E4668" i="2"/>
  <c r="D4668" i="2"/>
  <c r="C4668" i="2"/>
  <c r="B4668" i="2"/>
  <c r="V4667" i="2"/>
  <c r="U4667" i="2"/>
  <c r="T4667" i="2"/>
  <c r="S4667" i="2"/>
  <c r="R4667" i="2"/>
  <c r="Q4667" i="2"/>
  <c r="P4667" i="2"/>
  <c r="O4667" i="2"/>
  <c r="N4667" i="2"/>
  <c r="M4667" i="2"/>
  <c r="L4667" i="2"/>
  <c r="K4667" i="2"/>
  <c r="J4667" i="2"/>
  <c r="I4667" i="2"/>
  <c r="H4667" i="2"/>
  <c r="G4667" i="2"/>
  <c r="F4667" i="2"/>
  <c r="E4667" i="2"/>
  <c r="D4667" i="2"/>
  <c r="C4667" i="2"/>
  <c r="B4667" i="2"/>
  <c r="V4666" i="2"/>
  <c r="U4666" i="2"/>
  <c r="T4666" i="2"/>
  <c r="S4666" i="2"/>
  <c r="R4666" i="2"/>
  <c r="Q4666" i="2"/>
  <c r="P4666" i="2"/>
  <c r="O4666" i="2"/>
  <c r="N4666" i="2"/>
  <c r="M4666" i="2"/>
  <c r="L4666" i="2"/>
  <c r="K4666" i="2"/>
  <c r="J4666" i="2"/>
  <c r="I4666" i="2"/>
  <c r="H4666" i="2"/>
  <c r="G4666" i="2"/>
  <c r="F4666" i="2"/>
  <c r="E4666" i="2"/>
  <c r="D4666" i="2"/>
  <c r="C4666" i="2"/>
  <c r="B4666" i="2"/>
  <c r="V4665" i="2"/>
  <c r="U4665" i="2"/>
  <c r="T4665" i="2"/>
  <c r="S4665" i="2"/>
  <c r="R4665" i="2"/>
  <c r="Q4665" i="2"/>
  <c r="P4665" i="2"/>
  <c r="O4665" i="2"/>
  <c r="N4665" i="2"/>
  <c r="M4665" i="2"/>
  <c r="L4665" i="2"/>
  <c r="K4665" i="2"/>
  <c r="J4665" i="2"/>
  <c r="I4665" i="2"/>
  <c r="H4665" i="2"/>
  <c r="G4665" i="2"/>
  <c r="F4665" i="2"/>
  <c r="E4665" i="2"/>
  <c r="D4665" i="2"/>
  <c r="C4665" i="2"/>
  <c r="B4665" i="2"/>
  <c r="V4664" i="2"/>
  <c r="U4664" i="2"/>
  <c r="T4664" i="2"/>
  <c r="S4664" i="2"/>
  <c r="R4664" i="2"/>
  <c r="Q4664" i="2"/>
  <c r="P4664" i="2"/>
  <c r="O4664" i="2"/>
  <c r="N4664" i="2"/>
  <c r="M4664" i="2"/>
  <c r="L4664" i="2"/>
  <c r="K4664" i="2"/>
  <c r="J4664" i="2"/>
  <c r="I4664" i="2"/>
  <c r="H4664" i="2"/>
  <c r="G4664" i="2"/>
  <c r="F4664" i="2"/>
  <c r="E4664" i="2"/>
  <c r="D4664" i="2"/>
  <c r="C4664" i="2"/>
  <c r="B4664" i="2"/>
  <c r="V4663" i="2"/>
  <c r="U4663" i="2"/>
  <c r="T4663" i="2"/>
  <c r="S4663" i="2"/>
  <c r="R4663" i="2"/>
  <c r="Q4663" i="2"/>
  <c r="P4663" i="2"/>
  <c r="O4663" i="2"/>
  <c r="N4663" i="2"/>
  <c r="M4663" i="2"/>
  <c r="L4663" i="2"/>
  <c r="K4663" i="2"/>
  <c r="J4663" i="2"/>
  <c r="I4663" i="2"/>
  <c r="H4663" i="2"/>
  <c r="G4663" i="2"/>
  <c r="F4663" i="2"/>
  <c r="E4663" i="2"/>
  <c r="D4663" i="2"/>
  <c r="C4663" i="2"/>
  <c r="B4663" i="2"/>
  <c r="V4662" i="2"/>
  <c r="U4662" i="2"/>
  <c r="T4662" i="2"/>
  <c r="S4662" i="2"/>
  <c r="R4662" i="2"/>
  <c r="Q4662" i="2"/>
  <c r="P4662" i="2"/>
  <c r="O4662" i="2"/>
  <c r="N4662" i="2"/>
  <c r="M4662" i="2"/>
  <c r="L4662" i="2"/>
  <c r="K4662" i="2"/>
  <c r="J4662" i="2"/>
  <c r="I4662" i="2"/>
  <c r="H4662" i="2"/>
  <c r="G4662" i="2"/>
  <c r="F4662" i="2"/>
  <c r="E4662" i="2"/>
  <c r="D4662" i="2"/>
  <c r="C4662" i="2"/>
  <c r="B4662" i="2"/>
  <c r="V4661" i="2"/>
  <c r="U4661" i="2"/>
  <c r="T4661" i="2"/>
  <c r="S4661" i="2"/>
  <c r="R4661" i="2"/>
  <c r="Q4661" i="2"/>
  <c r="P4661" i="2"/>
  <c r="O4661" i="2"/>
  <c r="N4661" i="2"/>
  <c r="M4661" i="2"/>
  <c r="L4661" i="2"/>
  <c r="K4661" i="2"/>
  <c r="J4661" i="2"/>
  <c r="I4661" i="2"/>
  <c r="H4661" i="2"/>
  <c r="G4661" i="2"/>
  <c r="F4661" i="2"/>
  <c r="E4661" i="2"/>
  <c r="D4661" i="2"/>
  <c r="C4661" i="2"/>
  <c r="B4661" i="2"/>
  <c r="V4660" i="2"/>
  <c r="U4660" i="2"/>
  <c r="T4660" i="2"/>
  <c r="S4660" i="2"/>
  <c r="R4660" i="2"/>
  <c r="Q4660" i="2"/>
  <c r="P4660" i="2"/>
  <c r="O4660" i="2"/>
  <c r="N4660" i="2"/>
  <c r="M4660" i="2"/>
  <c r="L4660" i="2"/>
  <c r="K4660" i="2"/>
  <c r="J4660" i="2"/>
  <c r="I4660" i="2"/>
  <c r="H4660" i="2"/>
  <c r="G4660" i="2"/>
  <c r="F4660" i="2"/>
  <c r="E4660" i="2"/>
  <c r="D4660" i="2"/>
  <c r="C4660" i="2"/>
  <c r="B4660" i="2"/>
  <c r="V4659" i="2"/>
  <c r="U4659" i="2"/>
  <c r="T4659" i="2"/>
  <c r="S4659" i="2"/>
  <c r="R4659" i="2"/>
  <c r="Q4659" i="2"/>
  <c r="P4659" i="2"/>
  <c r="O4659" i="2"/>
  <c r="N4659" i="2"/>
  <c r="M4659" i="2"/>
  <c r="L4659" i="2"/>
  <c r="K4659" i="2"/>
  <c r="J4659" i="2"/>
  <c r="I4659" i="2"/>
  <c r="H4659" i="2"/>
  <c r="G4659" i="2"/>
  <c r="F4659" i="2"/>
  <c r="E4659" i="2"/>
  <c r="D4659" i="2"/>
  <c r="C4659" i="2"/>
  <c r="B4659" i="2"/>
  <c r="V4658" i="2"/>
  <c r="U4658" i="2"/>
  <c r="T4658" i="2"/>
  <c r="S4658" i="2"/>
  <c r="R4658" i="2"/>
  <c r="Q4658" i="2"/>
  <c r="P4658" i="2"/>
  <c r="O4658" i="2"/>
  <c r="N4658" i="2"/>
  <c r="M4658" i="2"/>
  <c r="L4658" i="2"/>
  <c r="K4658" i="2"/>
  <c r="J4658" i="2"/>
  <c r="I4658" i="2"/>
  <c r="H4658" i="2"/>
  <c r="G4658" i="2"/>
  <c r="F4658" i="2"/>
  <c r="E4658" i="2"/>
  <c r="D4658" i="2"/>
  <c r="C4658" i="2"/>
  <c r="B4658" i="2"/>
  <c r="V4657" i="2"/>
  <c r="U4657" i="2"/>
  <c r="T4657" i="2"/>
  <c r="S4657" i="2"/>
  <c r="R4657" i="2"/>
  <c r="Q4657" i="2"/>
  <c r="P4657" i="2"/>
  <c r="O4657" i="2"/>
  <c r="N4657" i="2"/>
  <c r="M4657" i="2"/>
  <c r="L4657" i="2"/>
  <c r="K4657" i="2"/>
  <c r="J4657" i="2"/>
  <c r="I4657" i="2"/>
  <c r="H4657" i="2"/>
  <c r="G4657" i="2"/>
  <c r="F4657" i="2"/>
  <c r="E4657" i="2"/>
  <c r="D4657" i="2"/>
  <c r="C4657" i="2"/>
  <c r="B4657" i="2"/>
  <c r="V4656" i="2"/>
  <c r="U4656" i="2"/>
  <c r="T4656" i="2"/>
  <c r="S4656" i="2"/>
  <c r="R4656" i="2"/>
  <c r="Q4656" i="2"/>
  <c r="P4656" i="2"/>
  <c r="O4656" i="2"/>
  <c r="N4656" i="2"/>
  <c r="M4656" i="2"/>
  <c r="L4656" i="2"/>
  <c r="K4656" i="2"/>
  <c r="J4656" i="2"/>
  <c r="I4656" i="2"/>
  <c r="H4656" i="2"/>
  <c r="G4656" i="2"/>
  <c r="F4656" i="2"/>
  <c r="E4656" i="2"/>
  <c r="D4656" i="2"/>
  <c r="C4656" i="2"/>
  <c r="B4656" i="2"/>
  <c r="V4655" i="2"/>
  <c r="U4655" i="2"/>
  <c r="T4655" i="2"/>
  <c r="S4655" i="2"/>
  <c r="R4655" i="2"/>
  <c r="Q4655" i="2"/>
  <c r="P4655" i="2"/>
  <c r="O4655" i="2"/>
  <c r="N4655" i="2"/>
  <c r="M4655" i="2"/>
  <c r="L4655" i="2"/>
  <c r="K4655" i="2"/>
  <c r="J4655" i="2"/>
  <c r="I4655" i="2"/>
  <c r="H4655" i="2"/>
  <c r="G4655" i="2"/>
  <c r="F4655" i="2"/>
  <c r="E4655" i="2"/>
  <c r="D4655" i="2"/>
  <c r="C4655" i="2"/>
  <c r="B4655" i="2"/>
  <c r="V4654" i="2"/>
  <c r="U4654" i="2"/>
  <c r="T4654" i="2"/>
  <c r="S4654" i="2"/>
  <c r="R4654" i="2"/>
  <c r="Q4654" i="2"/>
  <c r="P4654" i="2"/>
  <c r="O4654" i="2"/>
  <c r="N4654" i="2"/>
  <c r="M4654" i="2"/>
  <c r="L4654" i="2"/>
  <c r="K4654" i="2"/>
  <c r="J4654" i="2"/>
  <c r="I4654" i="2"/>
  <c r="H4654" i="2"/>
  <c r="G4654" i="2"/>
  <c r="F4654" i="2"/>
  <c r="E4654" i="2"/>
  <c r="D4654" i="2"/>
  <c r="C4654" i="2"/>
  <c r="B4654" i="2"/>
  <c r="V4653" i="2"/>
  <c r="U4653" i="2"/>
  <c r="T4653" i="2"/>
  <c r="S4653" i="2"/>
  <c r="R4653" i="2"/>
  <c r="Q4653" i="2"/>
  <c r="P4653" i="2"/>
  <c r="O4653" i="2"/>
  <c r="N4653" i="2"/>
  <c r="M4653" i="2"/>
  <c r="L4653" i="2"/>
  <c r="K4653" i="2"/>
  <c r="J4653" i="2"/>
  <c r="I4653" i="2"/>
  <c r="H4653" i="2"/>
  <c r="G4653" i="2"/>
  <c r="F4653" i="2"/>
  <c r="E4653" i="2"/>
  <c r="D4653" i="2"/>
  <c r="C4653" i="2"/>
  <c r="B4653" i="2"/>
  <c r="V4652" i="2"/>
  <c r="U4652" i="2"/>
  <c r="T4652" i="2"/>
  <c r="S4652" i="2"/>
  <c r="R4652" i="2"/>
  <c r="Q4652" i="2"/>
  <c r="P4652" i="2"/>
  <c r="O4652" i="2"/>
  <c r="N4652" i="2"/>
  <c r="M4652" i="2"/>
  <c r="L4652" i="2"/>
  <c r="K4652" i="2"/>
  <c r="J4652" i="2"/>
  <c r="I4652" i="2"/>
  <c r="H4652" i="2"/>
  <c r="G4652" i="2"/>
  <c r="F4652" i="2"/>
  <c r="E4652" i="2"/>
  <c r="D4652" i="2"/>
  <c r="C4652" i="2"/>
  <c r="B4652" i="2"/>
  <c r="V4651" i="2"/>
  <c r="U4651" i="2"/>
  <c r="T4651" i="2"/>
  <c r="S4651" i="2"/>
  <c r="R4651" i="2"/>
  <c r="Q4651" i="2"/>
  <c r="P4651" i="2"/>
  <c r="O4651" i="2"/>
  <c r="N4651" i="2"/>
  <c r="M4651" i="2"/>
  <c r="L4651" i="2"/>
  <c r="K4651" i="2"/>
  <c r="J4651" i="2"/>
  <c r="I4651" i="2"/>
  <c r="H4651" i="2"/>
  <c r="G4651" i="2"/>
  <c r="F4651" i="2"/>
  <c r="E4651" i="2"/>
  <c r="D4651" i="2"/>
  <c r="C4651" i="2"/>
  <c r="B4651" i="2"/>
  <c r="V4650" i="2"/>
  <c r="U4650" i="2"/>
  <c r="T4650" i="2"/>
  <c r="S4650" i="2"/>
  <c r="R4650" i="2"/>
  <c r="Q4650" i="2"/>
  <c r="P4650" i="2"/>
  <c r="O4650" i="2"/>
  <c r="N4650" i="2"/>
  <c r="M4650" i="2"/>
  <c r="L4650" i="2"/>
  <c r="K4650" i="2"/>
  <c r="J4650" i="2"/>
  <c r="I4650" i="2"/>
  <c r="H4650" i="2"/>
  <c r="G4650" i="2"/>
  <c r="F4650" i="2"/>
  <c r="E4650" i="2"/>
  <c r="D4650" i="2"/>
  <c r="C4650" i="2"/>
  <c r="B4650" i="2"/>
  <c r="V4649" i="2"/>
  <c r="U4649" i="2"/>
  <c r="T4649" i="2"/>
  <c r="S4649" i="2"/>
  <c r="R4649" i="2"/>
  <c r="Q4649" i="2"/>
  <c r="P4649" i="2"/>
  <c r="O4649" i="2"/>
  <c r="N4649" i="2"/>
  <c r="M4649" i="2"/>
  <c r="L4649" i="2"/>
  <c r="K4649" i="2"/>
  <c r="J4649" i="2"/>
  <c r="I4649" i="2"/>
  <c r="H4649" i="2"/>
  <c r="G4649" i="2"/>
  <c r="F4649" i="2"/>
  <c r="E4649" i="2"/>
  <c r="D4649" i="2"/>
  <c r="C4649" i="2"/>
  <c r="B4649" i="2"/>
  <c r="V4648" i="2"/>
  <c r="U4648" i="2"/>
  <c r="T4648" i="2"/>
  <c r="S4648" i="2"/>
  <c r="R4648" i="2"/>
  <c r="Q4648" i="2"/>
  <c r="P4648" i="2"/>
  <c r="O4648" i="2"/>
  <c r="N4648" i="2"/>
  <c r="M4648" i="2"/>
  <c r="L4648" i="2"/>
  <c r="K4648" i="2"/>
  <c r="J4648" i="2"/>
  <c r="I4648" i="2"/>
  <c r="H4648" i="2"/>
  <c r="G4648" i="2"/>
  <c r="F4648" i="2"/>
  <c r="E4648" i="2"/>
  <c r="D4648" i="2"/>
  <c r="C4648" i="2"/>
  <c r="B4648" i="2"/>
  <c r="V4647" i="2"/>
  <c r="U4647" i="2"/>
  <c r="T4647" i="2"/>
  <c r="S4647" i="2"/>
  <c r="R4647" i="2"/>
  <c r="Q4647" i="2"/>
  <c r="P4647" i="2"/>
  <c r="O4647" i="2"/>
  <c r="N4647" i="2"/>
  <c r="M4647" i="2"/>
  <c r="L4647" i="2"/>
  <c r="K4647" i="2"/>
  <c r="J4647" i="2"/>
  <c r="I4647" i="2"/>
  <c r="H4647" i="2"/>
  <c r="G4647" i="2"/>
  <c r="F4647" i="2"/>
  <c r="E4647" i="2"/>
  <c r="D4647" i="2"/>
  <c r="C4647" i="2"/>
  <c r="B4647" i="2"/>
  <c r="V4646" i="2"/>
  <c r="U4646" i="2"/>
  <c r="T4646" i="2"/>
  <c r="S4646" i="2"/>
  <c r="R4646" i="2"/>
  <c r="Q4646" i="2"/>
  <c r="P4646" i="2"/>
  <c r="O4646" i="2"/>
  <c r="N4646" i="2"/>
  <c r="M4646" i="2"/>
  <c r="L4646" i="2"/>
  <c r="K4646" i="2"/>
  <c r="J4646" i="2"/>
  <c r="I4646" i="2"/>
  <c r="H4646" i="2"/>
  <c r="G4646" i="2"/>
  <c r="F4646" i="2"/>
  <c r="E4646" i="2"/>
  <c r="D4646" i="2"/>
  <c r="C4646" i="2"/>
  <c r="B4646" i="2"/>
  <c r="V4645" i="2"/>
  <c r="U4645" i="2"/>
  <c r="T4645" i="2"/>
  <c r="S4645" i="2"/>
  <c r="R4645" i="2"/>
  <c r="Q4645" i="2"/>
  <c r="P4645" i="2"/>
  <c r="O4645" i="2"/>
  <c r="N4645" i="2"/>
  <c r="M4645" i="2"/>
  <c r="L4645" i="2"/>
  <c r="K4645" i="2"/>
  <c r="J4645" i="2"/>
  <c r="I4645" i="2"/>
  <c r="H4645" i="2"/>
  <c r="G4645" i="2"/>
  <c r="F4645" i="2"/>
  <c r="E4645" i="2"/>
  <c r="D4645" i="2"/>
  <c r="C4645" i="2"/>
  <c r="B4645" i="2"/>
  <c r="V4644" i="2"/>
  <c r="U4644" i="2"/>
  <c r="T4644" i="2"/>
  <c r="S4644" i="2"/>
  <c r="R4644" i="2"/>
  <c r="Q4644" i="2"/>
  <c r="P4644" i="2"/>
  <c r="O4644" i="2"/>
  <c r="N4644" i="2"/>
  <c r="M4644" i="2"/>
  <c r="L4644" i="2"/>
  <c r="K4644" i="2"/>
  <c r="J4644" i="2"/>
  <c r="I4644" i="2"/>
  <c r="H4644" i="2"/>
  <c r="G4644" i="2"/>
  <c r="F4644" i="2"/>
  <c r="E4644" i="2"/>
  <c r="D4644" i="2"/>
  <c r="C4644" i="2"/>
  <c r="B4644" i="2"/>
  <c r="V4643" i="2"/>
  <c r="U4643" i="2"/>
  <c r="T4643" i="2"/>
  <c r="S4643" i="2"/>
  <c r="R4643" i="2"/>
  <c r="Q4643" i="2"/>
  <c r="P4643" i="2"/>
  <c r="O4643" i="2"/>
  <c r="N4643" i="2"/>
  <c r="M4643" i="2"/>
  <c r="L4643" i="2"/>
  <c r="K4643" i="2"/>
  <c r="J4643" i="2"/>
  <c r="I4643" i="2"/>
  <c r="H4643" i="2"/>
  <c r="G4643" i="2"/>
  <c r="F4643" i="2"/>
  <c r="E4643" i="2"/>
  <c r="D4643" i="2"/>
  <c r="C4643" i="2"/>
  <c r="B4643" i="2"/>
  <c r="V4642" i="2"/>
  <c r="U4642" i="2"/>
  <c r="T4642" i="2"/>
  <c r="S4642" i="2"/>
  <c r="R4642" i="2"/>
  <c r="Q4642" i="2"/>
  <c r="P4642" i="2"/>
  <c r="O4642" i="2"/>
  <c r="N4642" i="2"/>
  <c r="M4642" i="2"/>
  <c r="L4642" i="2"/>
  <c r="K4642" i="2"/>
  <c r="J4642" i="2"/>
  <c r="I4642" i="2"/>
  <c r="H4642" i="2"/>
  <c r="G4642" i="2"/>
  <c r="F4642" i="2"/>
  <c r="E4642" i="2"/>
  <c r="D4642" i="2"/>
  <c r="C4642" i="2"/>
  <c r="B4642" i="2"/>
  <c r="V4641" i="2"/>
  <c r="U4641" i="2"/>
  <c r="T4641" i="2"/>
  <c r="S4641" i="2"/>
  <c r="R4641" i="2"/>
  <c r="Q4641" i="2"/>
  <c r="P4641" i="2"/>
  <c r="O4641" i="2"/>
  <c r="N4641" i="2"/>
  <c r="M4641" i="2"/>
  <c r="L4641" i="2"/>
  <c r="K4641" i="2"/>
  <c r="J4641" i="2"/>
  <c r="I4641" i="2"/>
  <c r="H4641" i="2"/>
  <c r="G4641" i="2"/>
  <c r="F4641" i="2"/>
  <c r="E4641" i="2"/>
  <c r="D4641" i="2"/>
  <c r="C4641" i="2"/>
  <c r="B4641" i="2"/>
  <c r="V4640" i="2"/>
  <c r="U4640" i="2"/>
  <c r="T4640" i="2"/>
  <c r="S4640" i="2"/>
  <c r="R4640" i="2"/>
  <c r="Q4640" i="2"/>
  <c r="P4640" i="2"/>
  <c r="O4640" i="2"/>
  <c r="N4640" i="2"/>
  <c r="M4640" i="2"/>
  <c r="L4640" i="2"/>
  <c r="K4640" i="2"/>
  <c r="J4640" i="2"/>
  <c r="I4640" i="2"/>
  <c r="H4640" i="2"/>
  <c r="G4640" i="2"/>
  <c r="F4640" i="2"/>
  <c r="E4640" i="2"/>
  <c r="D4640" i="2"/>
  <c r="C4640" i="2"/>
  <c r="B4640" i="2"/>
  <c r="V4639" i="2"/>
  <c r="U4639" i="2"/>
  <c r="T4639" i="2"/>
  <c r="S4639" i="2"/>
  <c r="R4639" i="2"/>
  <c r="Q4639" i="2"/>
  <c r="P4639" i="2"/>
  <c r="O4639" i="2"/>
  <c r="N4639" i="2"/>
  <c r="M4639" i="2"/>
  <c r="L4639" i="2"/>
  <c r="K4639" i="2"/>
  <c r="J4639" i="2"/>
  <c r="I4639" i="2"/>
  <c r="H4639" i="2"/>
  <c r="G4639" i="2"/>
  <c r="F4639" i="2"/>
  <c r="E4639" i="2"/>
  <c r="D4639" i="2"/>
  <c r="C4639" i="2"/>
  <c r="B4639" i="2"/>
  <c r="V4638" i="2"/>
  <c r="U4638" i="2"/>
  <c r="T4638" i="2"/>
  <c r="S4638" i="2"/>
  <c r="R4638" i="2"/>
  <c r="Q4638" i="2"/>
  <c r="P4638" i="2"/>
  <c r="O4638" i="2"/>
  <c r="N4638" i="2"/>
  <c r="M4638" i="2"/>
  <c r="L4638" i="2"/>
  <c r="K4638" i="2"/>
  <c r="J4638" i="2"/>
  <c r="I4638" i="2"/>
  <c r="H4638" i="2"/>
  <c r="G4638" i="2"/>
  <c r="F4638" i="2"/>
  <c r="E4638" i="2"/>
  <c r="D4638" i="2"/>
  <c r="C4638" i="2"/>
  <c r="B4638" i="2"/>
  <c r="V4637" i="2"/>
  <c r="U4637" i="2"/>
  <c r="T4637" i="2"/>
  <c r="S4637" i="2"/>
  <c r="R4637" i="2"/>
  <c r="Q4637" i="2"/>
  <c r="P4637" i="2"/>
  <c r="O4637" i="2"/>
  <c r="N4637" i="2"/>
  <c r="M4637" i="2"/>
  <c r="L4637" i="2"/>
  <c r="K4637" i="2"/>
  <c r="J4637" i="2"/>
  <c r="I4637" i="2"/>
  <c r="H4637" i="2"/>
  <c r="G4637" i="2"/>
  <c r="F4637" i="2"/>
  <c r="E4637" i="2"/>
  <c r="D4637" i="2"/>
  <c r="C4637" i="2"/>
  <c r="B4637" i="2"/>
  <c r="V4636" i="2"/>
  <c r="U4636" i="2"/>
  <c r="T4636" i="2"/>
  <c r="S4636" i="2"/>
  <c r="R4636" i="2"/>
  <c r="Q4636" i="2"/>
  <c r="P4636" i="2"/>
  <c r="O4636" i="2"/>
  <c r="N4636" i="2"/>
  <c r="M4636" i="2"/>
  <c r="L4636" i="2"/>
  <c r="K4636" i="2"/>
  <c r="J4636" i="2"/>
  <c r="I4636" i="2"/>
  <c r="H4636" i="2"/>
  <c r="G4636" i="2"/>
  <c r="F4636" i="2"/>
  <c r="E4636" i="2"/>
  <c r="D4636" i="2"/>
  <c r="C4636" i="2"/>
  <c r="B4636" i="2"/>
  <c r="V4635" i="2"/>
  <c r="U4635" i="2"/>
  <c r="T4635" i="2"/>
  <c r="S4635" i="2"/>
  <c r="R4635" i="2"/>
  <c r="Q4635" i="2"/>
  <c r="P4635" i="2"/>
  <c r="O4635" i="2"/>
  <c r="N4635" i="2"/>
  <c r="M4635" i="2"/>
  <c r="L4635" i="2"/>
  <c r="K4635" i="2"/>
  <c r="J4635" i="2"/>
  <c r="I4635" i="2"/>
  <c r="H4635" i="2"/>
  <c r="G4635" i="2"/>
  <c r="F4635" i="2"/>
  <c r="E4635" i="2"/>
  <c r="D4635" i="2"/>
  <c r="C4635" i="2"/>
  <c r="B4635" i="2"/>
  <c r="V4634" i="2"/>
  <c r="U4634" i="2"/>
  <c r="T4634" i="2"/>
  <c r="S4634" i="2"/>
  <c r="R4634" i="2"/>
  <c r="Q4634" i="2"/>
  <c r="P4634" i="2"/>
  <c r="O4634" i="2"/>
  <c r="N4634" i="2"/>
  <c r="M4634" i="2"/>
  <c r="L4634" i="2"/>
  <c r="K4634" i="2"/>
  <c r="J4634" i="2"/>
  <c r="I4634" i="2"/>
  <c r="H4634" i="2"/>
  <c r="G4634" i="2"/>
  <c r="F4634" i="2"/>
  <c r="E4634" i="2"/>
  <c r="D4634" i="2"/>
  <c r="C4634" i="2"/>
  <c r="B4634" i="2"/>
  <c r="V4633" i="2"/>
  <c r="U4633" i="2"/>
  <c r="T4633" i="2"/>
  <c r="S4633" i="2"/>
  <c r="R4633" i="2"/>
  <c r="Q4633" i="2"/>
  <c r="P4633" i="2"/>
  <c r="O4633" i="2"/>
  <c r="N4633" i="2"/>
  <c r="M4633" i="2"/>
  <c r="L4633" i="2"/>
  <c r="K4633" i="2"/>
  <c r="J4633" i="2"/>
  <c r="I4633" i="2"/>
  <c r="H4633" i="2"/>
  <c r="G4633" i="2"/>
  <c r="F4633" i="2"/>
  <c r="E4633" i="2"/>
  <c r="D4633" i="2"/>
  <c r="C4633" i="2"/>
  <c r="B4633" i="2"/>
  <c r="V4632" i="2"/>
  <c r="U4632" i="2"/>
  <c r="T4632" i="2"/>
  <c r="S4632" i="2"/>
  <c r="R4632" i="2"/>
  <c r="Q4632" i="2"/>
  <c r="P4632" i="2"/>
  <c r="O4632" i="2"/>
  <c r="N4632" i="2"/>
  <c r="M4632" i="2"/>
  <c r="L4632" i="2"/>
  <c r="K4632" i="2"/>
  <c r="J4632" i="2"/>
  <c r="I4632" i="2"/>
  <c r="H4632" i="2"/>
  <c r="G4632" i="2"/>
  <c r="F4632" i="2"/>
  <c r="E4632" i="2"/>
  <c r="D4632" i="2"/>
  <c r="C4632" i="2"/>
  <c r="B4632" i="2"/>
  <c r="V4631" i="2"/>
  <c r="U4631" i="2"/>
  <c r="T4631" i="2"/>
  <c r="S4631" i="2"/>
  <c r="R4631" i="2"/>
  <c r="Q4631" i="2"/>
  <c r="P4631" i="2"/>
  <c r="O4631" i="2"/>
  <c r="N4631" i="2"/>
  <c r="M4631" i="2"/>
  <c r="L4631" i="2"/>
  <c r="K4631" i="2"/>
  <c r="J4631" i="2"/>
  <c r="I4631" i="2"/>
  <c r="H4631" i="2"/>
  <c r="G4631" i="2"/>
  <c r="F4631" i="2"/>
  <c r="E4631" i="2"/>
  <c r="D4631" i="2"/>
  <c r="C4631" i="2"/>
  <c r="B4631" i="2"/>
  <c r="V4630" i="2"/>
  <c r="U4630" i="2"/>
  <c r="T4630" i="2"/>
  <c r="S4630" i="2"/>
  <c r="R4630" i="2"/>
  <c r="Q4630" i="2"/>
  <c r="P4630" i="2"/>
  <c r="O4630" i="2"/>
  <c r="N4630" i="2"/>
  <c r="M4630" i="2"/>
  <c r="L4630" i="2"/>
  <c r="K4630" i="2"/>
  <c r="J4630" i="2"/>
  <c r="I4630" i="2"/>
  <c r="H4630" i="2"/>
  <c r="G4630" i="2"/>
  <c r="F4630" i="2"/>
  <c r="E4630" i="2"/>
  <c r="D4630" i="2"/>
  <c r="C4630" i="2"/>
  <c r="B4630" i="2"/>
  <c r="V4629" i="2"/>
  <c r="U4629" i="2"/>
  <c r="T4629" i="2"/>
  <c r="S4629" i="2"/>
  <c r="R4629" i="2"/>
  <c r="Q4629" i="2"/>
  <c r="P4629" i="2"/>
  <c r="O4629" i="2"/>
  <c r="N4629" i="2"/>
  <c r="M4629" i="2"/>
  <c r="L4629" i="2"/>
  <c r="K4629" i="2"/>
  <c r="J4629" i="2"/>
  <c r="I4629" i="2"/>
  <c r="H4629" i="2"/>
  <c r="G4629" i="2"/>
  <c r="F4629" i="2"/>
  <c r="E4629" i="2"/>
  <c r="D4629" i="2"/>
  <c r="C4629" i="2"/>
  <c r="B4629" i="2"/>
  <c r="V4628" i="2"/>
  <c r="U4628" i="2"/>
  <c r="T4628" i="2"/>
  <c r="S4628" i="2"/>
  <c r="R4628" i="2"/>
  <c r="Q4628" i="2"/>
  <c r="P4628" i="2"/>
  <c r="O4628" i="2"/>
  <c r="N4628" i="2"/>
  <c r="M4628" i="2"/>
  <c r="L4628" i="2"/>
  <c r="K4628" i="2"/>
  <c r="J4628" i="2"/>
  <c r="I4628" i="2"/>
  <c r="H4628" i="2"/>
  <c r="G4628" i="2"/>
  <c r="F4628" i="2"/>
  <c r="E4628" i="2"/>
  <c r="D4628" i="2"/>
  <c r="C4628" i="2"/>
  <c r="B4628" i="2"/>
  <c r="V4627" i="2"/>
  <c r="U4627" i="2"/>
  <c r="T4627" i="2"/>
  <c r="S4627" i="2"/>
  <c r="R4627" i="2"/>
  <c r="Q4627" i="2"/>
  <c r="P4627" i="2"/>
  <c r="O4627" i="2"/>
  <c r="N4627" i="2"/>
  <c r="M4627" i="2"/>
  <c r="L4627" i="2"/>
  <c r="K4627" i="2"/>
  <c r="J4627" i="2"/>
  <c r="I4627" i="2"/>
  <c r="H4627" i="2"/>
  <c r="G4627" i="2"/>
  <c r="F4627" i="2"/>
  <c r="E4627" i="2"/>
  <c r="D4627" i="2"/>
  <c r="C4627" i="2"/>
  <c r="B4627" i="2"/>
  <c r="V4626" i="2"/>
  <c r="U4626" i="2"/>
  <c r="T4626" i="2"/>
  <c r="S4626" i="2"/>
  <c r="R4626" i="2"/>
  <c r="Q4626" i="2"/>
  <c r="P4626" i="2"/>
  <c r="O4626" i="2"/>
  <c r="N4626" i="2"/>
  <c r="M4626" i="2"/>
  <c r="L4626" i="2"/>
  <c r="K4626" i="2"/>
  <c r="J4626" i="2"/>
  <c r="I4626" i="2"/>
  <c r="H4626" i="2"/>
  <c r="G4626" i="2"/>
  <c r="F4626" i="2"/>
  <c r="E4626" i="2"/>
  <c r="D4626" i="2"/>
  <c r="C4626" i="2"/>
  <c r="B4626" i="2"/>
  <c r="V4625" i="2"/>
  <c r="U4625" i="2"/>
  <c r="T4625" i="2"/>
  <c r="S4625" i="2"/>
  <c r="R4625" i="2"/>
  <c r="Q4625" i="2"/>
  <c r="P4625" i="2"/>
  <c r="O4625" i="2"/>
  <c r="N4625" i="2"/>
  <c r="M4625" i="2"/>
  <c r="L4625" i="2"/>
  <c r="K4625" i="2"/>
  <c r="J4625" i="2"/>
  <c r="I4625" i="2"/>
  <c r="H4625" i="2"/>
  <c r="G4625" i="2"/>
  <c r="F4625" i="2"/>
  <c r="E4625" i="2"/>
  <c r="D4625" i="2"/>
  <c r="C4625" i="2"/>
  <c r="B4625" i="2"/>
  <c r="V4624" i="2"/>
  <c r="U4624" i="2"/>
  <c r="T4624" i="2"/>
  <c r="S4624" i="2"/>
  <c r="R4624" i="2"/>
  <c r="Q4624" i="2"/>
  <c r="P4624" i="2"/>
  <c r="O4624" i="2"/>
  <c r="N4624" i="2"/>
  <c r="M4624" i="2"/>
  <c r="L4624" i="2"/>
  <c r="K4624" i="2"/>
  <c r="J4624" i="2"/>
  <c r="I4624" i="2"/>
  <c r="H4624" i="2"/>
  <c r="G4624" i="2"/>
  <c r="F4624" i="2"/>
  <c r="E4624" i="2"/>
  <c r="D4624" i="2"/>
  <c r="C4624" i="2"/>
  <c r="B4624" i="2"/>
  <c r="V4623" i="2"/>
  <c r="U4623" i="2"/>
  <c r="T4623" i="2"/>
  <c r="S4623" i="2"/>
  <c r="R4623" i="2"/>
  <c r="Q4623" i="2"/>
  <c r="P4623" i="2"/>
  <c r="O4623" i="2"/>
  <c r="N4623" i="2"/>
  <c r="M4623" i="2"/>
  <c r="L4623" i="2"/>
  <c r="K4623" i="2"/>
  <c r="J4623" i="2"/>
  <c r="I4623" i="2"/>
  <c r="H4623" i="2"/>
  <c r="G4623" i="2"/>
  <c r="F4623" i="2"/>
  <c r="E4623" i="2"/>
  <c r="D4623" i="2"/>
  <c r="C4623" i="2"/>
  <c r="B4623" i="2"/>
  <c r="V4622" i="2"/>
  <c r="U4622" i="2"/>
  <c r="T4622" i="2"/>
  <c r="S4622" i="2"/>
  <c r="R4622" i="2"/>
  <c r="Q4622" i="2"/>
  <c r="P4622" i="2"/>
  <c r="O4622" i="2"/>
  <c r="N4622" i="2"/>
  <c r="M4622" i="2"/>
  <c r="L4622" i="2"/>
  <c r="K4622" i="2"/>
  <c r="J4622" i="2"/>
  <c r="I4622" i="2"/>
  <c r="H4622" i="2"/>
  <c r="G4622" i="2"/>
  <c r="F4622" i="2"/>
  <c r="E4622" i="2"/>
  <c r="D4622" i="2"/>
  <c r="C4622" i="2"/>
  <c r="B4622" i="2"/>
  <c r="V4621" i="2"/>
  <c r="U4621" i="2"/>
  <c r="T4621" i="2"/>
  <c r="S4621" i="2"/>
  <c r="R4621" i="2"/>
  <c r="Q4621" i="2"/>
  <c r="P4621" i="2"/>
  <c r="O4621" i="2"/>
  <c r="N4621" i="2"/>
  <c r="M4621" i="2"/>
  <c r="L4621" i="2"/>
  <c r="K4621" i="2"/>
  <c r="J4621" i="2"/>
  <c r="I4621" i="2"/>
  <c r="H4621" i="2"/>
  <c r="G4621" i="2"/>
  <c r="F4621" i="2"/>
  <c r="E4621" i="2"/>
  <c r="D4621" i="2"/>
  <c r="C4621" i="2"/>
  <c r="B4621" i="2"/>
  <c r="V4620" i="2"/>
  <c r="U4620" i="2"/>
  <c r="T4620" i="2"/>
  <c r="S4620" i="2"/>
  <c r="R4620" i="2"/>
  <c r="Q4620" i="2"/>
  <c r="P4620" i="2"/>
  <c r="O4620" i="2"/>
  <c r="N4620" i="2"/>
  <c r="M4620" i="2"/>
  <c r="L4620" i="2"/>
  <c r="K4620" i="2"/>
  <c r="J4620" i="2"/>
  <c r="I4620" i="2"/>
  <c r="H4620" i="2"/>
  <c r="G4620" i="2"/>
  <c r="F4620" i="2"/>
  <c r="E4620" i="2"/>
  <c r="D4620" i="2"/>
  <c r="C4620" i="2"/>
  <c r="B4620" i="2"/>
  <c r="V4619" i="2"/>
  <c r="U4619" i="2"/>
  <c r="T4619" i="2"/>
  <c r="S4619" i="2"/>
  <c r="R4619" i="2"/>
  <c r="Q4619" i="2"/>
  <c r="P4619" i="2"/>
  <c r="O4619" i="2"/>
  <c r="N4619" i="2"/>
  <c r="M4619" i="2"/>
  <c r="L4619" i="2"/>
  <c r="K4619" i="2"/>
  <c r="J4619" i="2"/>
  <c r="I4619" i="2"/>
  <c r="H4619" i="2"/>
  <c r="G4619" i="2"/>
  <c r="F4619" i="2"/>
  <c r="E4619" i="2"/>
  <c r="D4619" i="2"/>
  <c r="C4619" i="2"/>
  <c r="B4619" i="2"/>
  <c r="V4618" i="2"/>
  <c r="U4618" i="2"/>
  <c r="T4618" i="2"/>
  <c r="S4618" i="2"/>
  <c r="R4618" i="2"/>
  <c r="Q4618" i="2"/>
  <c r="P4618" i="2"/>
  <c r="O4618" i="2"/>
  <c r="N4618" i="2"/>
  <c r="M4618" i="2"/>
  <c r="L4618" i="2"/>
  <c r="K4618" i="2"/>
  <c r="J4618" i="2"/>
  <c r="I4618" i="2"/>
  <c r="H4618" i="2"/>
  <c r="G4618" i="2"/>
  <c r="F4618" i="2"/>
  <c r="E4618" i="2"/>
  <c r="D4618" i="2"/>
  <c r="C4618" i="2"/>
  <c r="B4618" i="2"/>
  <c r="V4617" i="2"/>
  <c r="U4617" i="2"/>
  <c r="T4617" i="2"/>
  <c r="S4617" i="2"/>
  <c r="R4617" i="2"/>
  <c r="Q4617" i="2"/>
  <c r="P4617" i="2"/>
  <c r="O4617" i="2"/>
  <c r="N4617" i="2"/>
  <c r="M4617" i="2"/>
  <c r="L4617" i="2"/>
  <c r="K4617" i="2"/>
  <c r="J4617" i="2"/>
  <c r="I4617" i="2"/>
  <c r="H4617" i="2"/>
  <c r="G4617" i="2"/>
  <c r="F4617" i="2"/>
  <c r="E4617" i="2"/>
  <c r="D4617" i="2"/>
  <c r="C4617" i="2"/>
  <c r="B4617" i="2"/>
  <c r="V4616" i="2"/>
  <c r="U4616" i="2"/>
  <c r="T4616" i="2"/>
  <c r="S4616" i="2"/>
  <c r="R4616" i="2"/>
  <c r="Q4616" i="2"/>
  <c r="P4616" i="2"/>
  <c r="O4616" i="2"/>
  <c r="N4616" i="2"/>
  <c r="M4616" i="2"/>
  <c r="L4616" i="2"/>
  <c r="K4616" i="2"/>
  <c r="J4616" i="2"/>
  <c r="I4616" i="2"/>
  <c r="H4616" i="2"/>
  <c r="G4616" i="2"/>
  <c r="F4616" i="2"/>
  <c r="E4616" i="2"/>
  <c r="D4616" i="2"/>
  <c r="C4616" i="2"/>
  <c r="B4616" i="2"/>
  <c r="V4615" i="2"/>
  <c r="U4615" i="2"/>
  <c r="T4615" i="2"/>
  <c r="S4615" i="2"/>
  <c r="R4615" i="2"/>
  <c r="Q4615" i="2"/>
  <c r="P4615" i="2"/>
  <c r="O4615" i="2"/>
  <c r="N4615" i="2"/>
  <c r="M4615" i="2"/>
  <c r="L4615" i="2"/>
  <c r="K4615" i="2"/>
  <c r="J4615" i="2"/>
  <c r="I4615" i="2"/>
  <c r="H4615" i="2"/>
  <c r="G4615" i="2"/>
  <c r="F4615" i="2"/>
  <c r="E4615" i="2"/>
  <c r="D4615" i="2"/>
  <c r="C4615" i="2"/>
  <c r="B4615" i="2"/>
  <c r="V4614" i="2"/>
  <c r="U4614" i="2"/>
  <c r="T4614" i="2"/>
  <c r="S4614" i="2"/>
  <c r="R4614" i="2"/>
  <c r="Q4614" i="2"/>
  <c r="P4614" i="2"/>
  <c r="O4614" i="2"/>
  <c r="N4614" i="2"/>
  <c r="M4614" i="2"/>
  <c r="L4614" i="2"/>
  <c r="K4614" i="2"/>
  <c r="J4614" i="2"/>
  <c r="I4614" i="2"/>
  <c r="H4614" i="2"/>
  <c r="G4614" i="2"/>
  <c r="F4614" i="2"/>
  <c r="E4614" i="2"/>
  <c r="D4614" i="2"/>
  <c r="C4614" i="2"/>
  <c r="B4614" i="2"/>
  <c r="V4613" i="2"/>
  <c r="U4613" i="2"/>
  <c r="T4613" i="2"/>
  <c r="S4613" i="2"/>
  <c r="R4613" i="2"/>
  <c r="Q4613" i="2"/>
  <c r="P4613" i="2"/>
  <c r="O4613" i="2"/>
  <c r="N4613" i="2"/>
  <c r="M4613" i="2"/>
  <c r="L4613" i="2"/>
  <c r="K4613" i="2"/>
  <c r="J4613" i="2"/>
  <c r="I4613" i="2"/>
  <c r="H4613" i="2"/>
  <c r="G4613" i="2"/>
  <c r="F4613" i="2"/>
  <c r="E4613" i="2"/>
  <c r="D4613" i="2"/>
  <c r="C4613" i="2"/>
  <c r="B4613" i="2"/>
  <c r="V4612" i="2"/>
  <c r="U4612" i="2"/>
  <c r="T4612" i="2"/>
  <c r="S4612" i="2"/>
  <c r="R4612" i="2"/>
  <c r="Q4612" i="2"/>
  <c r="P4612" i="2"/>
  <c r="O4612" i="2"/>
  <c r="N4612" i="2"/>
  <c r="M4612" i="2"/>
  <c r="L4612" i="2"/>
  <c r="K4612" i="2"/>
  <c r="J4612" i="2"/>
  <c r="I4612" i="2"/>
  <c r="H4612" i="2"/>
  <c r="G4612" i="2"/>
  <c r="F4612" i="2"/>
  <c r="E4612" i="2"/>
  <c r="D4612" i="2"/>
  <c r="C4612" i="2"/>
  <c r="B4612" i="2"/>
  <c r="V4611" i="2"/>
  <c r="U4611" i="2"/>
  <c r="T4611" i="2"/>
  <c r="S4611" i="2"/>
  <c r="R4611" i="2"/>
  <c r="Q4611" i="2"/>
  <c r="P4611" i="2"/>
  <c r="O4611" i="2"/>
  <c r="N4611" i="2"/>
  <c r="M4611" i="2"/>
  <c r="L4611" i="2"/>
  <c r="K4611" i="2"/>
  <c r="J4611" i="2"/>
  <c r="I4611" i="2"/>
  <c r="H4611" i="2"/>
  <c r="G4611" i="2"/>
  <c r="F4611" i="2"/>
  <c r="E4611" i="2"/>
  <c r="D4611" i="2"/>
  <c r="C4611" i="2"/>
  <c r="B4611" i="2"/>
  <c r="V4610" i="2"/>
  <c r="U4610" i="2"/>
  <c r="T4610" i="2"/>
  <c r="S4610" i="2"/>
  <c r="R4610" i="2"/>
  <c r="Q4610" i="2"/>
  <c r="P4610" i="2"/>
  <c r="O4610" i="2"/>
  <c r="N4610" i="2"/>
  <c r="M4610" i="2"/>
  <c r="L4610" i="2"/>
  <c r="K4610" i="2"/>
  <c r="J4610" i="2"/>
  <c r="I4610" i="2"/>
  <c r="H4610" i="2"/>
  <c r="G4610" i="2"/>
  <c r="F4610" i="2"/>
  <c r="E4610" i="2"/>
  <c r="D4610" i="2"/>
  <c r="C4610" i="2"/>
  <c r="B4610" i="2"/>
  <c r="V4609" i="2"/>
  <c r="U4609" i="2"/>
  <c r="T4609" i="2"/>
  <c r="S4609" i="2"/>
  <c r="R4609" i="2"/>
  <c r="Q4609" i="2"/>
  <c r="P4609" i="2"/>
  <c r="O4609" i="2"/>
  <c r="N4609" i="2"/>
  <c r="M4609" i="2"/>
  <c r="L4609" i="2"/>
  <c r="K4609" i="2"/>
  <c r="J4609" i="2"/>
  <c r="I4609" i="2"/>
  <c r="H4609" i="2"/>
  <c r="G4609" i="2"/>
  <c r="F4609" i="2"/>
  <c r="E4609" i="2"/>
  <c r="D4609" i="2"/>
  <c r="C4609" i="2"/>
  <c r="B4609" i="2"/>
  <c r="V4608" i="2"/>
  <c r="U4608" i="2"/>
  <c r="T4608" i="2"/>
  <c r="S4608" i="2"/>
  <c r="R4608" i="2"/>
  <c r="Q4608" i="2"/>
  <c r="P4608" i="2"/>
  <c r="O4608" i="2"/>
  <c r="N4608" i="2"/>
  <c r="M4608" i="2"/>
  <c r="L4608" i="2"/>
  <c r="K4608" i="2"/>
  <c r="J4608" i="2"/>
  <c r="I4608" i="2"/>
  <c r="H4608" i="2"/>
  <c r="G4608" i="2"/>
  <c r="F4608" i="2"/>
  <c r="E4608" i="2"/>
  <c r="D4608" i="2"/>
  <c r="C4608" i="2"/>
  <c r="B4608" i="2"/>
  <c r="V4607" i="2"/>
  <c r="U4607" i="2"/>
  <c r="T4607" i="2"/>
  <c r="S4607" i="2"/>
  <c r="R4607" i="2"/>
  <c r="Q4607" i="2"/>
  <c r="P4607" i="2"/>
  <c r="O4607" i="2"/>
  <c r="N4607" i="2"/>
  <c r="M4607" i="2"/>
  <c r="L4607" i="2"/>
  <c r="K4607" i="2"/>
  <c r="J4607" i="2"/>
  <c r="I4607" i="2"/>
  <c r="H4607" i="2"/>
  <c r="G4607" i="2"/>
  <c r="F4607" i="2"/>
  <c r="E4607" i="2"/>
  <c r="D4607" i="2"/>
  <c r="C4607" i="2"/>
  <c r="B4607" i="2"/>
  <c r="V4606" i="2"/>
  <c r="U4606" i="2"/>
  <c r="T4606" i="2"/>
  <c r="S4606" i="2"/>
  <c r="R4606" i="2"/>
  <c r="Q4606" i="2"/>
  <c r="P4606" i="2"/>
  <c r="O4606" i="2"/>
  <c r="N4606" i="2"/>
  <c r="M4606" i="2"/>
  <c r="L4606" i="2"/>
  <c r="K4606" i="2"/>
  <c r="J4606" i="2"/>
  <c r="I4606" i="2"/>
  <c r="H4606" i="2"/>
  <c r="G4606" i="2"/>
  <c r="F4606" i="2"/>
  <c r="E4606" i="2"/>
  <c r="D4606" i="2"/>
  <c r="C4606" i="2"/>
  <c r="B4606" i="2"/>
  <c r="V4605" i="2"/>
  <c r="U4605" i="2"/>
  <c r="T4605" i="2"/>
  <c r="S4605" i="2"/>
  <c r="R4605" i="2"/>
  <c r="Q4605" i="2"/>
  <c r="P4605" i="2"/>
  <c r="O4605" i="2"/>
  <c r="N4605" i="2"/>
  <c r="M4605" i="2"/>
  <c r="L4605" i="2"/>
  <c r="K4605" i="2"/>
  <c r="J4605" i="2"/>
  <c r="I4605" i="2"/>
  <c r="H4605" i="2"/>
  <c r="G4605" i="2"/>
  <c r="F4605" i="2"/>
  <c r="E4605" i="2"/>
  <c r="D4605" i="2"/>
  <c r="C4605" i="2"/>
  <c r="B4605" i="2"/>
  <c r="V4604" i="2"/>
  <c r="U4604" i="2"/>
  <c r="T4604" i="2"/>
  <c r="S4604" i="2"/>
  <c r="R4604" i="2"/>
  <c r="Q4604" i="2"/>
  <c r="P4604" i="2"/>
  <c r="O4604" i="2"/>
  <c r="N4604" i="2"/>
  <c r="M4604" i="2"/>
  <c r="L4604" i="2"/>
  <c r="K4604" i="2"/>
  <c r="J4604" i="2"/>
  <c r="I4604" i="2"/>
  <c r="H4604" i="2"/>
  <c r="G4604" i="2"/>
  <c r="F4604" i="2"/>
  <c r="E4604" i="2"/>
  <c r="D4604" i="2"/>
  <c r="C4604" i="2"/>
  <c r="B4604" i="2"/>
  <c r="V4603" i="2"/>
  <c r="U4603" i="2"/>
  <c r="T4603" i="2"/>
  <c r="S4603" i="2"/>
  <c r="R4603" i="2"/>
  <c r="Q4603" i="2"/>
  <c r="P4603" i="2"/>
  <c r="O4603" i="2"/>
  <c r="N4603" i="2"/>
  <c r="M4603" i="2"/>
  <c r="L4603" i="2"/>
  <c r="K4603" i="2"/>
  <c r="J4603" i="2"/>
  <c r="I4603" i="2"/>
  <c r="H4603" i="2"/>
  <c r="G4603" i="2"/>
  <c r="F4603" i="2"/>
  <c r="E4603" i="2"/>
  <c r="D4603" i="2"/>
  <c r="C4603" i="2"/>
  <c r="B4603" i="2"/>
  <c r="V4602" i="2"/>
  <c r="U4602" i="2"/>
  <c r="T4602" i="2"/>
  <c r="S4602" i="2"/>
  <c r="R4602" i="2"/>
  <c r="Q4602" i="2"/>
  <c r="P4602" i="2"/>
  <c r="O4602" i="2"/>
  <c r="N4602" i="2"/>
  <c r="M4602" i="2"/>
  <c r="L4602" i="2"/>
  <c r="K4602" i="2"/>
  <c r="J4602" i="2"/>
  <c r="I4602" i="2"/>
  <c r="H4602" i="2"/>
  <c r="G4602" i="2"/>
  <c r="F4602" i="2"/>
  <c r="E4602" i="2"/>
  <c r="D4602" i="2"/>
  <c r="C4602" i="2"/>
  <c r="B4602" i="2"/>
  <c r="V4601" i="2"/>
  <c r="U4601" i="2"/>
  <c r="T4601" i="2"/>
  <c r="S4601" i="2"/>
  <c r="R4601" i="2"/>
  <c r="Q4601" i="2"/>
  <c r="P4601" i="2"/>
  <c r="O4601" i="2"/>
  <c r="N4601" i="2"/>
  <c r="M4601" i="2"/>
  <c r="L4601" i="2"/>
  <c r="K4601" i="2"/>
  <c r="J4601" i="2"/>
  <c r="I4601" i="2"/>
  <c r="H4601" i="2"/>
  <c r="G4601" i="2"/>
  <c r="F4601" i="2"/>
  <c r="E4601" i="2"/>
  <c r="D4601" i="2"/>
  <c r="C4601" i="2"/>
  <c r="B4601" i="2"/>
  <c r="V4600" i="2"/>
  <c r="U4600" i="2"/>
  <c r="T4600" i="2"/>
  <c r="S4600" i="2"/>
  <c r="R4600" i="2"/>
  <c r="Q4600" i="2"/>
  <c r="P4600" i="2"/>
  <c r="O4600" i="2"/>
  <c r="N4600" i="2"/>
  <c r="M4600" i="2"/>
  <c r="L4600" i="2"/>
  <c r="K4600" i="2"/>
  <c r="J4600" i="2"/>
  <c r="I4600" i="2"/>
  <c r="H4600" i="2"/>
  <c r="G4600" i="2"/>
  <c r="F4600" i="2"/>
  <c r="E4600" i="2"/>
  <c r="D4600" i="2"/>
  <c r="C4600" i="2"/>
  <c r="B4600" i="2"/>
  <c r="V4599" i="2"/>
  <c r="U4599" i="2"/>
  <c r="T4599" i="2"/>
  <c r="S4599" i="2"/>
  <c r="R4599" i="2"/>
  <c r="Q4599" i="2"/>
  <c r="P4599" i="2"/>
  <c r="O4599" i="2"/>
  <c r="N4599" i="2"/>
  <c r="M4599" i="2"/>
  <c r="L4599" i="2"/>
  <c r="K4599" i="2"/>
  <c r="J4599" i="2"/>
  <c r="I4599" i="2"/>
  <c r="H4599" i="2"/>
  <c r="G4599" i="2"/>
  <c r="F4599" i="2"/>
  <c r="E4599" i="2"/>
  <c r="D4599" i="2"/>
  <c r="C4599" i="2"/>
  <c r="B4599" i="2"/>
  <c r="V4598" i="2"/>
  <c r="U4598" i="2"/>
  <c r="T4598" i="2"/>
  <c r="S4598" i="2"/>
  <c r="R4598" i="2"/>
  <c r="Q4598" i="2"/>
  <c r="P4598" i="2"/>
  <c r="O4598" i="2"/>
  <c r="N4598" i="2"/>
  <c r="M4598" i="2"/>
  <c r="L4598" i="2"/>
  <c r="K4598" i="2"/>
  <c r="J4598" i="2"/>
  <c r="I4598" i="2"/>
  <c r="H4598" i="2"/>
  <c r="G4598" i="2"/>
  <c r="F4598" i="2"/>
  <c r="E4598" i="2"/>
  <c r="D4598" i="2"/>
  <c r="C4598" i="2"/>
  <c r="B4598" i="2"/>
  <c r="V4597" i="2"/>
  <c r="U4597" i="2"/>
  <c r="T4597" i="2"/>
  <c r="S4597" i="2"/>
  <c r="R4597" i="2"/>
  <c r="Q4597" i="2"/>
  <c r="P4597" i="2"/>
  <c r="O4597" i="2"/>
  <c r="N4597" i="2"/>
  <c r="M4597" i="2"/>
  <c r="L4597" i="2"/>
  <c r="K4597" i="2"/>
  <c r="J4597" i="2"/>
  <c r="I4597" i="2"/>
  <c r="H4597" i="2"/>
  <c r="G4597" i="2"/>
  <c r="F4597" i="2"/>
  <c r="E4597" i="2"/>
  <c r="D4597" i="2"/>
  <c r="C4597" i="2"/>
  <c r="B4597" i="2"/>
  <c r="V4596" i="2"/>
  <c r="U4596" i="2"/>
  <c r="T4596" i="2"/>
  <c r="S4596" i="2"/>
  <c r="R4596" i="2"/>
  <c r="Q4596" i="2"/>
  <c r="P4596" i="2"/>
  <c r="O4596" i="2"/>
  <c r="N4596" i="2"/>
  <c r="M4596" i="2"/>
  <c r="L4596" i="2"/>
  <c r="K4596" i="2"/>
  <c r="J4596" i="2"/>
  <c r="I4596" i="2"/>
  <c r="H4596" i="2"/>
  <c r="G4596" i="2"/>
  <c r="F4596" i="2"/>
  <c r="E4596" i="2"/>
  <c r="D4596" i="2"/>
  <c r="C4596" i="2"/>
  <c r="B4596" i="2"/>
  <c r="V4595" i="2"/>
  <c r="U4595" i="2"/>
  <c r="T4595" i="2"/>
  <c r="S4595" i="2"/>
  <c r="R4595" i="2"/>
  <c r="Q4595" i="2"/>
  <c r="P4595" i="2"/>
  <c r="O4595" i="2"/>
  <c r="N4595" i="2"/>
  <c r="M4595" i="2"/>
  <c r="L4595" i="2"/>
  <c r="K4595" i="2"/>
  <c r="J4595" i="2"/>
  <c r="I4595" i="2"/>
  <c r="H4595" i="2"/>
  <c r="G4595" i="2"/>
  <c r="F4595" i="2"/>
  <c r="E4595" i="2"/>
  <c r="D4595" i="2"/>
  <c r="C4595" i="2"/>
  <c r="B4595" i="2"/>
  <c r="V4594" i="2"/>
  <c r="U4594" i="2"/>
  <c r="T4594" i="2"/>
  <c r="S4594" i="2"/>
  <c r="R4594" i="2"/>
  <c r="Q4594" i="2"/>
  <c r="P4594" i="2"/>
  <c r="O4594" i="2"/>
  <c r="N4594" i="2"/>
  <c r="M4594" i="2"/>
  <c r="L4594" i="2"/>
  <c r="K4594" i="2"/>
  <c r="J4594" i="2"/>
  <c r="I4594" i="2"/>
  <c r="H4594" i="2"/>
  <c r="G4594" i="2"/>
  <c r="F4594" i="2"/>
  <c r="E4594" i="2"/>
  <c r="D4594" i="2"/>
  <c r="C4594" i="2"/>
  <c r="B4594" i="2"/>
  <c r="V4593" i="2"/>
  <c r="U4593" i="2"/>
  <c r="T4593" i="2"/>
  <c r="S4593" i="2"/>
  <c r="R4593" i="2"/>
  <c r="Q4593" i="2"/>
  <c r="P4593" i="2"/>
  <c r="O4593" i="2"/>
  <c r="N4593" i="2"/>
  <c r="M4593" i="2"/>
  <c r="L4593" i="2"/>
  <c r="K4593" i="2"/>
  <c r="J4593" i="2"/>
  <c r="I4593" i="2"/>
  <c r="H4593" i="2"/>
  <c r="G4593" i="2"/>
  <c r="F4593" i="2"/>
  <c r="E4593" i="2"/>
  <c r="D4593" i="2"/>
  <c r="C4593" i="2"/>
  <c r="B4593" i="2"/>
  <c r="V4592" i="2"/>
  <c r="U4592" i="2"/>
  <c r="T4592" i="2"/>
  <c r="S4592" i="2"/>
  <c r="R4592" i="2"/>
  <c r="Q4592" i="2"/>
  <c r="P4592" i="2"/>
  <c r="O4592" i="2"/>
  <c r="N4592" i="2"/>
  <c r="M4592" i="2"/>
  <c r="L4592" i="2"/>
  <c r="K4592" i="2"/>
  <c r="J4592" i="2"/>
  <c r="I4592" i="2"/>
  <c r="H4592" i="2"/>
  <c r="G4592" i="2"/>
  <c r="F4592" i="2"/>
  <c r="E4592" i="2"/>
  <c r="D4592" i="2"/>
  <c r="C4592" i="2"/>
  <c r="B4592" i="2"/>
  <c r="V4591" i="2"/>
  <c r="U4591" i="2"/>
  <c r="T4591" i="2"/>
  <c r="S4591" i="2"/>
  <c r="R4591" i="2"/>
  <c r="Q4591" i="2"/>
  <c r="P4591" i="2"/>
  <c r="O4591" i="2"/>
  <c r="N4591" i="2"/>
  <c r="M4591" i="2"/>
  <c r="L4591" i="2"/>
  <c r="K4591" i="2"/>
  <c r="J4591" i="2"/>
  <c r="I4591" i="2"/>
  <c r="H4591" i="2"/>
  <c r="G4591" i="2"/>
  <c r="F4591" i="2"/>
  <c r="E4591" i="2"/>
  <c r="D4591" i="2"/>
  <c r="C4591" i="2"/>
  <c r="B4591" i="2"/>
  <c r="V4590" i="2"/>
  <c r="U4590" i="2"/>
  <c r="T4590" i="2"/>
  <c r="S4590" i="2"/>
  <c r="R4590" i="2"/>
  <c r="Q4590" i="2"/>
  <c r="P4590" i="2"/>
  <c r="O4590" i="2"/>
  <c r="N4590" i="2"/>
  <c r="M4590" i="2"/>
  <c r="L4590" i="2"/>
  <c r="K4590" i="2"/>
  <c r="J4590" i="2"/>
  <c r="I4590" i="2"/>
  <c r="H4590" i="2"/>
  <c r="G4590" i="2"/>
  <c r="F4590" i="2"/>
  <c r="E4590" i="2"/>
  <c r="D4590" i="2"/>
  <c r="C4590" i="2"/>
  <c r="B4590" i="2"/>
  <c r="V4589" i="2"/>
  <c r="U4589" i="2"/>
  <c r="T4589" i="2"/>
  <c r="S4589" i="2"/>
  <c r="R4589" i="2"/>
  <c r="Q4589" i="2"/>
  <c r="P4589" i="2"/>
  <c r="O4589" i="2"/>
  <c r="N4589" i="2"/>
  <c r="M4589" i="2"/>
  <c r="L4589" i="2"/>
  <c r="K4589" i="2"/>
  <c r="J4589" i="2"/>
  <c r="I4589" i="2"/>
  <c r="H4589" i="2"/>
  <c r="G4589" i="2"/>
  <c r="F4589" i="2"/>
  <c r="E4589" i="2"/>
  <c r="D4589" i="2"/>
  <c r="C4589" i="2"/>
  <c r="B4589" i="2"/>
  <c r="V4588" i="2"/>
  <c r="U4588" i="2"/>
  <c r="T4588" i="2"/>
  <c r="S4588" i="2"/>
  <c r="R4588" i="2"/>
  <c r="Q4588" i="2"/>
  <c r="P4588" i="2"/>
  <c r="O4588" i="2"/>
  <c r="N4588" i="2"/>
  <c r="M4588" i="2"/>
  <c r="L4588" i="2"/>
  <c r="K4588" i="2"/>
  <c r="J4588" i="2"/>
  <c r="I4588" i="2"/>
  <c r="H4588" i="2"/>
  <c r="G4588" i="2"/>
  <c r="F4588" i="2"/>
  <c r="E4588" i="2"/>
  <c r="D4588" i="2"/>
  <c r="C4588" i="2"/>
  <c r="B4588" i="2"/>
  <c r="V4587" i="2"/>
  <c r="U4587" i="2"/>
  <c r="T4587" i="2"/>
  <c r="S4587" i="2"/>
  <c r="R4587" i="2"/>
  <c r="Q4587" i="2"/>
  <c r="P4587" i="2"/>
  <c r="O4587" i="2"/>
  <c r="N4587" i="2"/>
  <c r="M4587" i="2"/>
  <c r="L4587" i="2"/>
  <c r="K4587" i="2"/>
  <c r="J4587" i="2"/>
  <c r="I4587" i="2"/>
  <c r="H4587" i="2"/>
  <c r="G4587" i="2"/>
  <c r="F4587" i="2"/>
  <c r="E4587" i="2"/>
  <c r="D4587" i="2"/>
  <c r="C4587" i="2"/>
  <c r="B4587" i="2"/>
  <c r="V4586" i="2"/>
  <c r="U4586" i="2"/>
  <c r="T4586" i="2"/>
  <c r="S4586" i="2"/>
  <c r="R4586" i="2"/>
  <c r="Q4586" i="2"/>
  <c r="P4586" i="2"/>
  <c r="O4586" i="2"/>
  <c r="N4586" i="2"/>
  <c r="M4586" i="2"/>
  <c r="L4586" i="2"/>
  <c r="K4586" i="2"/>
  <c r="J4586" i="2"/>
  <c r="I4586" i="2"/>
  <c r="H4586" i="2"/>
  <c r="G4586" i="2"/>
  <c r="F4586" i="2"/>
  <c r="E4586" i="2"/>
  <c r="D4586" i="2"/>
  <c r="C4586" i="2"/>
  <c r="B4586" i="2"/>
  <c r="V4585" i="2"/>
  <c r="U4585" i="2"/>
  <c r="T4585" i="2"/>
  <c r="S4585" i="2"/>
  <c r="R4585" i="2"/>
  <c r="Q4585" i="2"/>
  <c r="P4585" i="2"/>
  <c r="O4585" i="2"/>
  <c r="N4585" i="2"/>
  <c r="M4585" i="2"/>
  <c r="L4585" i="2"/>
  <c r="K4585" i="2"/>
  <c r="J4585" i="2"/>
  <c r="I4585" i="2"/>
  <c r="H4585" i="2"/>
  <c r="G4585" i="2"/>
  <c r="F4585" i="2"/>
  <c r="E4585" i="2"/>
  <c r="D4585" i="2"/>
  <c r="C4585" i="2"/>
  <c r="B4585" i="2"/>
  <c r="V4584" i="2"/>
  <c r="U4584" i="2"/>
  <c r="T4584" i="2"/>
  <c r="S4584" i="2"/>
  <c r="R4584" i="2"/>
  <c r="Q4584" i="2"/>
  <c r="P4584" i="2"/>
  <c r="O4584" i="2"/>
  <c r="N4584" i="2"/>
  <c r="M4584" i="2"/>
  <c r="L4584" i="2"/>
  <c r="K4584" i="2"/>
  <c r="J4584" i="2"/>
  <c r="I4584" i="2"/>
  <c r="H4584" i="2"/>
  <c r="G4584" i="2"/>
  <c r="F4584" i="2"/>
  <c r="E4584" i="2"/>
  <c r="D4584" i="2"/>
  <c r="C4584" i="2"/>
  <c r="B4584" i="2"/>
  <c r="V4583" i="2"/>
  <c r="U4583" i="2"/>
  <c r="T4583" i="2"/>
  <c r="S4583" i="2"/>
  <c r="R4583" i="2"/>
  <c r="Q4583" i="2"/>
  <c r="P4583" i="2"/>
  <c r="O4583" i="2"/>
  <c r="N4583" i="2"/>
  <c r="M4583" i="2"/>
  <c r="L4583" i="2"/>
  <c r="K4583" i="2"/>
  <c r="J4583" i="2"/>
  <c r="I4583" i="2"/>
  <c r="H4583" i="2"/>
  <c r="G4583" i="2"/>
  <c r="F4583" i="2"/>
  <c r="E4583" i="2"/>
  <c r="D4583" i="2"/>
  <c r="C4583" i="2"/>
  <c r="B4583" i="2"/>
  <c r="V4582" i="2"/>
  <c r="U4582" i="2"/>
  <c r="T4582" i="2"/>
  <c r="S4582" i="2"/>
  <c r="R4582" i="2"/>
  <c r="Q4582" i="2"/>
  <c r="P4582" i="2"/>
  <c r="O4582" i="2"/>
  <c r="N4582" i="2"/>
  <c r="M4582" i="2"/>
  <c r="L4582" i="2"/>
  <c r="K4582" i="2"/>
  <c r="J4582" i="2"/>
  <c r="I4582" i="2"/>
  <c r="H4582" i="2"/>
  <c r="G4582" i="2"/>
  <c r="F4582" i="2"/>
  <c r="E4582" i="2"/>
  <c r="D4582" i="2"/>
  <c r="C4582" i="2"/>
  <c r="B4582" i="2"/>
  <c r="V4581" i="2"/>
  <c r="U4581" i="2"/>
  <c r="T4581" i="2"/>
  <c r="S4581" i="2"/>
  <c r="R4581" i="2"/>
  <c r="Q4581" i="2"/>
  <c r="P4581" i="2"/>
  <c r="O4581" i="2"/>
  <c r="N4581" i="2"/>
  <c r="M4581" i="2"/>
  <c r="L4581" i="2"/>
  <c r="K4581" i="2"/>
  <c r="J4581" i="2"/>
  <c r="I4581" i="2"/>
  <c r="H4581" i="2"/>
  <c r="G4581" i="2"/>
  <c r="F4581" i="2"/>
  <c r="E4581" i="2"/>
  <c r="D4581" i="2"/>
  <c r="C4581" i="2"/>
  <c r="B4581" i="2"/>
  <c r="V4580" i="2"/>
  <c r="U4580" i="2"/>
  <c r="T4580" i="2"/>
  <c r="S4580" i="2"/>
  <c r="R4580" i="2"/>
  <c r="Q4580" i="2"/>
  <c r="P4580" i="2"/>
  <c r="O4580" i="2"/>
  <c r="N4580" i="2"/>
  <c r="M4580" i="2"/>
  <c r="L4580" i="2"/>
  <c r="K4580" i="2"/>
  <c r="J4580" i="2"/>
  <c r="I4580" i="2"/>
  <c r="H4580" i="2"/>
  <c r="G4580" i="2"/>
  <c r="F4580" i="2"/>
  <c r="E4580" i="2"/>
  <c r="D4580" i="2"/>
  <c r="C4580" i="2"/>
  <c r="B4580" i="2"/>
  <c r="V4579" i="2"/>
  <c r="U4579" i="2"/>
  <c r="T4579" i="2"/>
  <c r="S4579" i="2"/>
  <c r="R4579" i="2"/>
  <c r="Q4579" i="2"/>
  <c r="P4579" i="2"/>
  <c r="O4579" i="2"/>
  <c r="N4579" i="2"/>
  <c r="M4579" i="2"/>
  <c r="L4579" i="2"/>
  <c r="K4579" i="2"/>
  <c r="J4579" i="2"/>
  <c r="I4579" i="2"/>
  <c r="H4579" i="2"/>
  <c r="G4579" i="2"/>
  <c r="F4579" i="2"/>
  <c r="E4579" i="2"/>
  <c r="D4579" i="2"/>
  <c r="C4579" i="2"/>
  <c r="B4579" i="2"/>
  <c r="V4578" i="2"/>
  <c r="U4578" i="2"/>
  <c r="T4578" i="2"/>
  <c r="S4578" i="2"/>
  <c r="R4578" i="2"/>
  <c r="Q4578" i="2"/>
  <c r="P4578" i="2"/>
  <c r="O4578" i="2"/>
  <c r="N4578" i="2"/>
  <c r="M4578" i="2"/>
  <c r="L4578" i="2"/>
  <c r="K4578" i="2"/>
  <c r="J4578" i="2"/>
  <c r="I4578" i="2"/>
  <c r="H4578" i="2"/>
  <c r="G4578" i="2"/>
  <c r="F4578" i="2"/>
  <c r="E4578" i="2"/>
  <c r="D4578" i="2"/>
  <c r="C4578" i="2"/>
  <c r="B4578" i="2"/>
  <c r="V4577" i="2"/>
  <c r="U4577" i="2"/>
  <c r="T4577" i="2"/>
  <c r="S4577" i="2"/>
  <c r="R4577" i="2"/>
  <c r="Q4577" i="2"/>
  <c r="P4577" i="2"/>
  <c r="O4577" i="2"/>
  <c r="N4577" i="2"/>
  <c r="M4577" i="2"/>
  <c r="L4577" i="2"/>
  <c r="K4577" i="2"/>
  <c r="J4577" i="2"/>
  <c r="I4577" i="2"/>
  <c r="H4577" i="2"/>
  <c r="G4577" i="2"/>
  <c r="F4577" i="2"/>
  <c r="E4577" i="2"/>
  <c r="D4577" i="2"/>
  <c r="C4577" i="2"/>
  <c r="B4577" i="2"/>
  <c r="V4576" i="2"/>
  <c r="U4576" i="2"/>
  <c r="T4576" i="2"/>
  <c r="S4576" i="2"/>
  <c r="R4576" i="2"/>
  <c r="Q4576" i="2"/>
  <c r="P4576" i="2"/>
  <c r="O4576" i="2"/>
  <c r="N4576" i="2"/>
  <c r="M4576" i="2"/>
  <c r="L4576" i="2"/>
  <c r="K4576" i="2"/>
  <c r="J4576" i="2"/>
  <c r="I4576" i="2"/>
  <c r="H4576" i="2"/>
  <c r="G4576" i="2"/>
  <c r="F4576" i="2"/>
  <c r="E4576" i="2"/>
  <c r="D4576" i="2"/>
  <c r="C4576" i="2"/>
  <c r="B4576" i="2"/>
  <c r="V4575" i="2"/>
  <c r="U4575" i="2"/>
  <c r="T4575" i="2"/>
  <c r="S4575" i="2"/>
  <c r="R4575" i="2"/>
  <c r="Q4575" i="2"/>
  <c r="P4575" i="2"/>
  <c r="O4575" i="2"/>
  <c r="N4575" i="2"/>
  <c r="M4575" i="2"/>
  <c r="L4575" i="2"/>
  <c r="K4575" i="2"/>
  <c r="J4575" i="2"/>
  <c r="I4575" i="2"/>
  <c r="H4575" i="2"/>
  <c r="G4575" i="2"/>
  <c r="F4575" i="2"/>
  <c r="E4575" i="2"/>
  <c r="D4575" i="2"/>
  <c r="C4575" i="2"/>
  <c r="B4575" i="2"/>
  <c r="V4574" i="2"/>
  <c r="U4574" i="2"/>
  <c r="T4574" i="2"/>
  <c r="S4574" i="2"/>
  <c r="R4574" i="2"/>
  <c r="Q4574" i="2"/>
  <c r="P4574" i="2"/>
  <c r="O4574" i="2"/>
  <c r="N4574" i="2"/>
  <c r="M4574" i="2"/>
  <c r="L4574" i="2"/>
  <c r="K4574" i="2"/>
  <c r="J4574" i="2"/>
  <c r="I4574" i="2"/>
  <c r="H4574" i="2"/>
  <c r="G4574" i="2"/>
  <c r="F4574" i="2"/>
  <c r="E4574" i="2"/>
  <c r="D4574" i="2"/>
  <c r="C4574" i="2"/>
  <c r="B4574" i="2"/>
  <c r="V4573" i="2"/>
  <c r="U4573" i="2"/>
  <c r="T4573" i="2"/>
  <c r="S4573" i="2"/>
  <c r="R4573" i="2"/>
  <c r="Q4573" i="2"/>
  <c r="P4573" i="2"/>
  <c r="O4573" i="2"/>
  <c r="N4573" i="2"/>
  <c r="M4573" i="2"/>
  <c r="L4573" i="2"/>
  <c r="K4573" i="2"/>
  <c r="J4573" i="2"/>
  <c r="I4573" i="2"/>
  <c r="H4573" i="2"/>
  <c r="G4573" i="2"/>
  <c r="F4573" i="2"/>
  <c r="E4573" i="2"/>
  <c r="D4573" i="2"/>
  <c r="C4573" i="2"/>
  <c r="B4573" i="2"/>
  <c r="V4572" i="2"/>
  <c r="U4572" i="2"/>
  <c r="T4572" i="2"/>
  <c r="S4572" i="2"/>
  <c r="R4572" i="2"/>
  <c r="Q4572" i="2"/>
  <c r="P4572" i="2"/>
  <c r="O4572" i="2"/>
  <c r="N4572" i="2"/>
  <c r="M4572" i="2"/>
  <c r="L4572" i="2"/>
  <c r="K4572" i="2"/>
  <c r="J4572" i="2"/>
  <c r="I4572" i="2"/>
  <c r="H4572" i="2"/>
  <c r="G4572" i="2"/>
  <c r="F4572" i="2"/>
  <c r="E4572" i="2"/>
  <c r="D4572" i="2"/>
  <c r="C4572" i="2"/>
  <c r="B4572" i="2"/>
  <c r="V4571" i="2"/>
  <c r="U4571" i="2"/>
  <c r="T4571" i="2"/>
  <c r="S4571" i="2"/>
  <c r="R4571" i="2"/>
  <c r="Q4571" i="2"/>
  <c r="P4571" i="2"/>
  <c r="O4571" i="2"/>
  <c r="N4571" i="2"/>
  <c r="M4571" i="2"/>
  <c r="L4571" i="2"/>
  <c r="K4571" i="2"/>
  <c r="J4571" i="2"/>
  <c r="I4571" i="2"/>
  <c r="H4571" i="2"/>
  <c r="G4571" i="2"/>
  <c r="F4571" i="2"/>
  <c r="E4571" i="2"/>
  <c r="D4571" i="2"/>
  <c r="C4571" i="2"/>
  <c r="B4571" i="2"/>
  <c r="V4570" i="2"/>
  <c r="U4570" i="2"/>
  <c r="T4570" i="2"/>
  <c r="S4570" i="2"/>
  <c r="R4570" i="2"/>
  <c r="Q4570" i="2"/>
  <c r="P4570" i="2"/>
  <c r="O4570" i="2"/>
  <c r="N4570" i="2"/>
  <c r="M4570" i="2"/>
  <c r="L4570" i="2"/>
  <c r="K4570" i="2"/>
  <c r="J4570" i="2"/>
  <c r="I4570" i="2"/>
  <c r="H4570" i="2"/>
  <c r="G4570" i="2"/>
  <c r="F4570" i="2"/>
  <c r="E4570" i="2"/>
  <c r="D4570" i="2"/>
  <c r="C4570" i="2"/>
  <c r="B4570" i="2"/>
  <c r="V4569" i="2"/>
  <c r="U4569" i="2"/>
  <c r="T4569" i="2"/>
  <c r="S4569" i="2"/>
  <c r="R4569" i="2"/>
  <c r="Q4569" i="2"/>
  <c r="P4569" i="2"/>
  <c r="O4569" i="2"/>
  <c r="N4569" i="2"/>
  <c r="M4569" i="2"/>
  <c r="L4569" i="2"/>
  <c r="K4569" i="2"/>
  <c r="J4569" i="2"/>
  <c r="I4569" i="2"/>
  <c r="H4569" i="2"/>
  <c r="G4569" i="2"/>
  <c r="F4569" i="2"/>
  <c r="E4569" i="2"/>
  <c r="D4569" i="2"/>
  <c r="C4569" i="2"/>
  <c r="B4569" i="2"/>
  <c r="V4568" i="2"/>
  <c r="U4568" i="2"/>
  <c r="T4568" i="2"/>
  <c r="S4568" i="2"/>
  <c r="R4568" i="2"/>
  <c r="Q4568" i="2"/>
  <c r="P4568" i="2"/>
  <c r="O4568" i="2"/>
  <c r="N4568" i="2"/>
  <c r="M4568" i="2"/>
  <c r="L4568" i="2"/>
  <c r="K4568" i="2"/>
  <c r="J4568" i="2"/>
  <c r="I4568" i="2"/>
  <c r="H4568" i="2"/>
  <c r="G4568" i="2"/>
  <c r="F4568" i="2"/>
  <c r="E4568" i="2"/>
  <c r="D4568" i="2"/>
  <c r="C4568" i="2"/>
  <c r="B4568" i="2"/>
  <c r="V4567" i="2"/>
  <c r="U4567" i="2"/>
  <c r="T4567" i="2"/>
  <c r="S4567" i="2"/>
  <c r="R4567" i="2"/>
  <c r="Q4567" i="2"/>
  <c r="P4567" i="2"/>
  <c r="O4567" i="2"/>
  <c r="N4567" i="2"/>
  <c r="M4567" i="2"/>
  <c r="L4567" i="2"/>
  <c r="K4567" i="2"/>
  <c r="J4567" i="2"/>
  <c r="I4567" i="2"/>
  <c r="H4567" i="2"/>
  <c r="G4567" i="2"/>
  <c r="F4567" i="2"/>
  <c r="E4567" i="2"/>
  <c r="D4567" i="2"/>
  <c r="C4567" i="2"/>
  <c r="B4567" i="2"/>
  <c r="V4566" i="2"/>
  <c r="U4566" i="2"/>
  <c r="T4566" i="2"/>
  <c r="S4566" i="2"/>
  <c r="R4566" i="2"/>
  <c r="Q4566" i="2"/>
  <c r="P4566" i="2"/>
  <c r="O4566" i="2"/>
  <c r="N4566" i="2"/>
  <c r="M4566" i="2"/>
  <c r="L4566" i="2"/>
  <c r="K4566" i="2"/>
  <c r="J4566" i="2"/>
  <c r="I4566" i="2"/>
  <c r="H4566" i="2"/>
  <c r="G4566" i="2"/>
  <c r="F4566" i="2"/>
  <c r="E4566" i="2"/>
  <c r="D4566" i="2"/>
  <c r="C4566" i="2"/>
  <c r="B4566" i="2"/>
  <c r="V4565" i="2"/>
  <c r="U4565" i="2"/>
  <c r="T4565" i="2"/>
  <c r="S4565" i="2"/>
  <c r="R4565" i="2"/>
  <c r="Q4565" i="2"/>
  <c r="P4565" i="2"/>
  <c r="O4565" i="2"/>
  <c r="N4565" i="2"/>
  <c r="M4565" i="2"/>
  <c r="L4565" i="2"/>
  <c r="K4565" i="2"/>
  <c r="J4565" i="2"/>
  <c r="I4565" i="2"/>
  <c r="H4565" i="2"/>
  <c r="G4565" i="2"/>
  <c r="F4565" i="2"/>
  <c r="E4565" i="2"/>
  <c r="D4565" i="2"/>
  <c r="C4565" i="2"/>
  <c r="B4565" i="2"/>
  <c r="V4564" i="2"/>
  <c r="U4564" i="2"/>
  <c r="T4564" i="2"/>
  <c r="S4564" i="2"/>
  <c r="R4564" i="2"/>
  <c r="Q4564" i="2"/>
  <c r="P4564" i="2"/>
  <c r="O4564" i="2"/>
  <c r="N4564" i="2"/>
  <c r="M4564" i="2"/>
  <c r="L4564" i="2"/>
  <c r="K4564" i="2"/>
  <c r="J4564" i="2"/>
  <c r="I4564" i="2"/>
  <c r="H4564" i="2"/>
  <c r="G4564" i="2"/>
  <c r="F4564" i="2"/>
  <c r="E4564" i="2"/>
  <c r="D4564" i="2"/>
  <c r="C4564" i="2"/>
  <c r="B4564" i="2"/>
  <c r="V4563" i="2"/>
  <c r="U4563" i="2"/>
  <c r="T4563" i="2"/>
  <c r="S4563" i="2"/>
  <c r="R4563" i="2"/>
  <c r="Q4563" i="2"/>
  <c r="P4563" i="2"/>
  <c r="O4563" i="2"/>
  <c r="N4563" i="2"/>
  <c r="M4563" i="2"/>
  <c r="L4563" i="2"/>
  <c r="K4563" i="2"/>
  <c r="J4563" i="2"/>
  <c r="I4563" i="2"/>
  <c r="H4563" i="2"/>
  <c r="G4563" i="2"/>
  <c r="F4563" i="2"/>
  <c r="E4563" i="2"/>
  <c r="D4563" i="2"/>
  <c r="C4563" i="2"/>
  <c r="B4563" i="2"/>
  <c r="V4562" i="2"/>
  <c r="U4562" i="2"/>
  <c r="T4562" i="2"/>
  <c r="S4562" i="2"/>
  <c r="R4562" i="2"/>
  <c r="Q4562" i="2"/>
  <c r="P4562" i="2"/>
  <c r="O4562" i="2"/>
  <c r="N4562" i="2"/>
  <c r="M4562" i="2"/>
  <c r="L4562" i="2"/>
  <c r="K4562" i="2"/>
  <c r="J4562" i="2"/>
  <c r="I4562" i="2"/>
  <c r="H4562" i="2"/>
  <c r="G4562" i="2"/>
  <c r="F4562" i="2"/>
  <c r="E4562" i="2"/>
  <c r="D4562" i="2"/>
  <c r="C4562" i="2"/>
  <c r="B4562" i="2"/>
  <c r="V4561" i="2"/>
  <c r="U4561" i="2"/>
  <c r="T4561" i="2"/>
  <c r="S4561" i="2"/>
  <c r="R4561" i="2"/>
  <c r="Q4561" i="2"/>
  <c r="P4561" i="2"/>
  <c r="O4561" i="2"/>
  <c r="N4561" i="2"/>
  <c r="M4561" i="2"/>
  <c r="L4561" i="2"/>
  <c r="K4561" i="2"/>
  <c r="J4561" i="2"/>
  <c r="I4561" i="2"/>
  <c r="H4561" i="2"/>
  <c r="G4561" i="2"/>
  <c r="F4561" i="2"/>
  <c r="E4561" i="2"/>
  <c r="D4561" i="2"/>
  <c r="C4561" i="2"/>
  <c r="B4561" i="2"/>
  <c r="V4560" i="2"/>
  <c r="U4560" i="2"/>
  <c r="T4560" i="2"/>
  <c r="S4560" i="2"/>
  <c r="R4560" i="2"/>
  <c r="Q4560" i="2"/>
  <c r="P4560" i="2"/>
  <c r="O4560" i="2"/>
  <c r="N4560" i="2"/>
  <c r="M4560" i="2"/>
  <c r="L4560" i="2"/>
  <c r="K4560" i="2"/>
  <c r="J4560" i="2"/>
  <c r="I4560" i="2"/>
  <c r="H4560" i="2"/>
  <c r="G4560" i="2"/>
  <c r="F4560" i="2"/>
  <c r="E4560" i="2"/>
  <c r="D4560" i="2"/>
  <c r="C4560" i="2"/>
  <c r="B4560" i="2"/>
  <c r="V4559" i="2"/>
  <c r="U4559" i="2"/>
  <c r="T4559" i="2"/>
  <c r="S4559" i="2"/>
  <c r="R4559" i="2"/>
  <c r="Q4559" i="2"/>
  <c r="P4559" i="2"/>
  <c r="O4559" i="2"/>
  <c r="N4559" i="2"/>
  <c r="M4559" i="2"/>
  <c r="L4559" i="2"/>
  <c r="K4559" i="2"/>
  <c r="J4559" i="2"/>
  <c r="I4559" i="2"/>
  <c r="H4559" i="2"/>
  <c r="G4559" i="2"/>
  <c r="F4559" i="2"/>
  <c r="E4559" i="2"/>
  <c r="D4559" i="2"/>
  <c r="C4559" i="2"/>
  <c r="B4559" i="2"/>
  <c r="V4558" i="2"/>
  <c r="U4558" i="2"/>
  <c r="T4558" i="2"/>
  <c r="S4558" i="2"/>
  <c r="R4558" i="2"/>
  <c r="Q4558" i="2"/>
  <c r="P4558" i="2"/>
  <c r="O4558" i="2"/>
  <c r="N4558" i="2"/>
  <c r="M4558" i="2"/>
  <c r="L4558" i="2"/>
  <c r="K4558" i="2"/>
  <c r="J4558" i="2"/>
  <c r="I4558" i="2"/>
  <c r="H4558" i="2"/>
  <c r="G4558" i="2"/>
  <c r="F4558" i="2"/>
  <c r="E4558" i="2"/>
  <c r="D4558" i="2"/>
  <c r="C4558" i="2"/>
  <c r="B4558" i="2"/>
  <c r="V4557" i="2"/>
  <c r="U4557" i="2"/>
  <c r="T4557" i="2"/>
  <c r="S4557" i="2"/>
  <c r="R4557" i="2"/>
  <c r="Q4557" i="2"/>
  <c r="P4557" i="2"/>
  <c r="O4557" i="2"/>
  <c r="N4557" i="2"/>
  <c r="M4557" i="2"/>
  <c r="L4557" i="2"/>
  <c r="K4557" i="2"/>
  <c r="J4557" i="2"/>
  <c r="I4557" i="2"/>
  <c r="H4557" i="2"/>
  <c r="G4557" i="2"/>
  <c r="F4557" i="2"/>
  <c r="E4557" i="2"/>
  <c r="D4557" i="2"/>
  <c r="C4557" i="2"/>
  <c r="B4557" i="2"/>
  <c r="V4556" i="2"/>
  <c r="U4556" i="2"/>
  <c r="T4556" i="2"/>
  <c r="S4556" i="2"/>
  <c r="R4556" i="2"/>
  <c r="Q4556" i="2"/>
  <c r="P4556" i="2"/>
  <c r="O4556" i="2"/>
  <c r="N4556" i="2"/>
  <c r="M4556" i="2"/>
  <c r="L4556" i="2"/>
  <c r="K4556" i="2"/>
  <c r="J4556" i="2"/>
  <c r="I4556" i="2"/>
  <c r="H4556" i="2"/>
  <c r="G4556" i="2"/>
  <c r="F4556" i="2"/>
  <c r="E4556" i="2"/>
  <c r="D4556" i="2"/>
  <c r="C4556" i="2"/>
  <c r="B4556" i="2"/>
  <c r="V4555" i="2"/>
  <c r="U4555" i="2"/>
  <c r="T4555" i="2"/>
  <c r="S4555" i="2"/>
  <c r="R4555" i="2"/>
  <c r="Q4555" i="2"/>
  <c r="P4555" i="2"/>
  <c r="O4555" i="2"/>
  <c r="N4555" i="2"/>
  <c r="M4555" i="2"/>
  <c r="L4555" i="2"/>
  <c r="K4555" i="2"/>
  <c r="J4555" i="2"/>
  <c r="I4555" i="2"/>
  <c r="H4555" i="2"/>
  <c r="G4555" i="2"/>
  <c r="F4555" i="2"/>
  <c r="E4555" i="2"/>
  <c r="D4555" i="2"/>
  <c r="C4555" i="2"/>
  <c r="B4555" i="2"/>
  <c r="V4554" i="2"/>
  <c r="U4554" i="2"/>
  <c r="T4554" i="2"/>
  <c r="S4554" i="2"/>
  <c r="R4554" i="2"/>
  <c r="Q4554" i="2"/>
  <c r="P4554" i="2"/>
  <c r="O4554" i="2"/>
  <c r="N4554" i="2"/>
  <c r="M4554" i="2"/>
  <c r="L4554" i="2"/>
  <c r="K4554" i="2"/>
  <c r="J4554" i="2"/>
  <c r="I4554" i="2"/>
  <c r="H4554" i="2"/>
  <c r="G4554" i="2"/>
  <c r="F4554" i="2"/>
  <c r="E4554" i="2"/>
  <c r="D4554" i="2"/>
  <c r="C4554" i="2"/>
  <c r="B4554" i="2"/>
  <c r="V4553" i="2"/>
  <c r="U4553" i="2"/>
  <c r="T4553" i="2"/>
  <c r="S4553" i="2"/>
  <c r="R4553" i="2"/>
  <c r="Q4553" i="2"/>
  <c r="P4553" i="2"/>
  <c r="O4553" i="2"/>
  <c r="N4553" i="2"/>
  <c r="M4553" i="2"/>
  <c r="L4553" i="2"/>
  <c r="K4553" i="2"/>
  <c r="J4553" i="2"/>
  <c r="I4553" i="2"/>
  <c r="H4553" i="2"/>
  <c r="G4553" i="2"/>
  <c r="F4553" i="2"/>
  <c r="E4553" i="2"/>
  <c r="D4553" i="2"/>
  <c r="C4553" i="2"/>
  <c r="B4553" i="2"/>
  <c r="V4552" i="2"/>
  <c r="U4552" i="2"/>
  <c r="T4552" i="2"/>
  <c r="S4552" i="2"/>
  <c r="R4552" i="2"/>
  <c r="Q4552" i="2"/>
  <c r="P4552" i="2"/>
  <c r="O4552" i="2"/>
  <c r="N4552" i="2"/>
  <c r="M4552" i="2"/>
  <c r="L4552" i="2"/>
  <c r="K4552" i="2"/>
  <c r="J4552" i="2"/>
  <c r="I4552" i="2"/>
  <c r="H4552" i="2"/>
  <c r="G4552" i="2"/>
  <c r="F4552" i="2"/>
  <c r="E4552" i="2"/>
  <c r="D4552" i="2"/>
  <c r="C4552" i="2"/>
  <c r="B4552" i="2"/>
  <c r="V4551" i="2"/>
  <c r="U4551" i="2"/>
  <c r="T4551" i="2"/>
  <c r="S4551" i="2"/>
  <c r="R4551" i="2"/>
  <c r="Q4551" i="2"/>
  <c r="P4551" i="2"/>
  <c r="O4551" i="2"/>
  <c r="N4551" i="2"/>
  <c r="M4551" i="2"/>
  <c r="L4551" i="2"/>
  <c r="K4551" i="2"/>
  <c r="J4551" i="2"/>
  <c r="I4551" i="2"/>
  <c r="H4551" i="2"/>
  <c r="G4551" i="2"/>
  <c r="F4551" i="2"/>
  <c r="E4551" i="2"/>
  <c r="D4551" i="2"/>
  <c r="C4551" i="2"/>
  <c r="B4551" i="2"/>
  <c r="V4550" i="2"/>
  <c r="U4550" i="2"/>
  <c r="T4550" i="2"/>
  <c r="S4550" i="2"/>
  <c r="R4550" i="2"/>
  <c r="Q4550" i="2"/>
  <c r="P4550" i="2"/>
  <c r="O4550" i="2"/>
  <c r="N4550" i="2"/>
  <c r="M4550" i="2"/>
  <c r="L4550" i="2"/>
  <c r="K4550" i="2"/>
  <c r="J4550" i="2"/>
  <c r="I4550" i="2"/>
  <c r="H4550" i="2"/>
  <c r="G4550" i="2"/>
  <c r="F4550" i="2"/>
  <c r="E4550" i="2"/>
  <c r="D4550" i="2"/>
  <c r="C4550" i="2"/>
  <c r="B4550" i="2"/>
  <c r="V4549" i="2"/>
  <c r="U4549" i="2"/>
  <c r="T4549" i="2"/>
  <c r="S4549" i="2"/>
  <c r="R4549" i="2"/>
  <c r="Q4549" i="2"/>
  <c r="P4549" i="2"/>
  <c r="O4549" i="2"/>
  <c r="N4549" i="2"/>
  <c r="M4549" i="2"/>
  <c r="L4549" i="2"/>
  <c r="K4549" i="2"/>
  <c r="J4549" i="2"/>
  <c r="I4549" i="2"/>
  <c r="H4549" i="2"/>
  <c r="G4549" i="2"/>
  <c r="F4549" i="2"/>
  <c r="E4549" i="2"/>
  <c r="D4549" i="2"/>
  <c r="C4549" i="2"/>
  <c r="B4549" i="2"/>
  <c r="V4548" i="2"/>
  <c r="U4548" i="2"/>
  <c r="T4548" i="2"/>
  <c r="S4548" i="2"/>
  <c r="R4548" i="2"/>
  <c r="Q4548" i="2"/>
  <c r="P4548" i="2"/>
  <c r="O4548" i="2"/>
  <c r="N4548" i="2"/>
  <c r="M4548" i="2"/>
  <c r="L4548" i="2"/>
  <c r="K4548" i="2"/>
  <c r="J4548" i="2"/>
  <c r="I4548" i="2"/>
  <c r="H4548" i="2"/>
  <c r="G4548" i="2"/>
  <c r="F4548" i="2"/>
  <c r="E4548" i="2"/>
  <c r="D4548" i="2"/>
  <c r="C4548" i="2"/>
  <c r="B4548" i="2"/>
  <c r="V4547" i="2"/>
  <c r="U4547" i="2"/>
  <c r="T4547" i="2"/>
  <c r="S4547" i="2"/>
  <c r="R4547" i="2"/>
  <c r="Q4547" i="2"/>
  <c r="P4547" i="2"/>
  <c r="O4547" i="2"/>
  <c r="N4547" i="2"/>
  <c r="M4547" i="2"/>
  <c r="L4547" i="2"/>
  <c r="K4547" i="2"/>
  <c r="J4547" i="2"/>
  <c r="I4547" i="2"/>
  <c r="H4547" i="2"/>
  <c r="G4547" i="2"/>
  <c r="F4547" i="2"/>
  <c r="E4547" i="2"/>
  <c r="D4547" i="2"/>
  <c r="C4547" i="2"/>
  <c r="B4547" i="2"/>
  <c r="V4546" i="2"/>
  <c r="U4546" i="2"/>
  <c r="T4546" i="2"/>
  <c r="S4546" i="2"/>
  <c r="R4546" i="2"/>
  <c r="Q4546" i="2"/>
  <c r="P4546" i="2"/>
  <c r="O4546" i="2"/>
  <c r="N4546" i="2"/>
  <c r="M4546" i="2"/>
  <c r="L4546" i="2"/>
  <c r="K4546" i="2"/>
  <c r="J4546" i="2"/>
  <c r="I4546" i="2"/>
  <c r="H4546" i="2"/>
  <c r="G4546" i="2"/>
  <c r="F4546" i="2"/>
  <c r="E4546" i="2"/>
  <c r="D4546" i="2"/>
  <c r="C4546" i="2"/>
  <c r="B4546" i="2"/>
  <c r="V4545" i="2"/>
  <c r="U4545" i="2"/>
  <c r="T4545" i="2"/>
  <c r="S4545" i="2"/>
  <c r="R4545" i="2"/>
  <c r="Q4545" i="2"/>
  <c r="P4545" i="2"/>
  <c r="O4545" i="2"/>
  <c r="N4545" i="2"/>
  <c r="M4545" i="2"/>
  <c r="L4545" i="2"/>
  <c r="K4545" i="2"/>
  <c r="J4545" i="2"/>
  <c r="I4545" i="2"/>
  <c r="H4545" i="2"/>
  <c r="G4545" i="2"/>
  <c r="F4545" i="2"/>
  <c r="E4545" i="2"/>
  <c r="D4545" i="2"/>
  <c r="C4545" i="2"/>
  <c r="B4545" i="2"/>
  <c r="V4544" i="2"/>
  <c r="U4544" i="2"/>
  <c r="T4544" i="2"/>
  <c r="S4544" i="2"/>
  <c r="R4544" i="2"/>
  <c r="Q4544" i="2"/>
  <c r="P4544" i="2"/>
  <c r="O4544" i="2"/>
  <c r="N4544" i="2"/>
  <c r="M4544" i="2"/>
  <c r="L4544" i="2"/>
  <c r="K4544" i="2"/>
  <c r="J4544" i="2"/>
  <c r="I4544" i="2"/>
  <c r="H4544" i="2"/>
  <c r="G4544" i="2"/>
  <c r="F4544" i="2"/>
  <c r="E4544" i="2"/>
  <c r="D4544" i="2"/>
  <c r="C4544" i="2"/>
  <c r="B4544" i="2"/>
  <c r="V4543" i="2"/>
  <c r="U4543" i="2"/>
  <c r="T4543" i="2"/>
  <c r="S4543" i="2"/>
  <c r="R4543" i="2"/>
  <c r="Q4543" i="2"/>
  <c r="P4543" i="2"/>
  <c r="O4543" i="2"/>
  <c r="N4543" i="2"/>
  <c r="M4543" i="2"/>
  <c r="L4543" i="2"/>
  <c r="K4543" i="2"/>
  <c r="J4543" i="2"/>
  <c r="I4543" i="2"/>
  <c r="H4543" i="2"/>
  <c r="G4543" i="2"/>
  <c r="F4543" i="2"/>
  <c r="E4543" i="2"/>
  <c r="D4543" i="2"/>
  <c r="C4543" i="2"/>
  <c r="B4543" i="2"/>
  <c r="V4542" i="2"/>
  <c r="U4542" i="2"/>
  <c r="T4542" i="2"/>
  <c r="S4542" i="2"/>
  <c r="R4542" i="2"/>
  <c r="Q4542" i="2"/>
  <c r="P4542" i="2"/>
  <c r="O4542" i="2"/>
  <c r="N4542" i="2"/>
  <c r="M4542" i="2"/>
  <c r="L4542" i="2"/>
  <c r="K4542" i="2"/>
  <c r="J4542" i="2"/>
  <c r="I4542" i="2"/>
  <c r="H4542" i="2"/>
  <c r="G4542" i="2"/>
  <c r="F4542" i="2"/>
  <c r="E4542" i="2"/>
  <c r="D4542" i="2"/>
  <c r="C4542" i="2"/>
  <c r="B4542" i="2"/>
  <c r="V4541" i="2"/>
  <c r="U4541" i="2"/>
  <c r="T4541" i="2"/>
  <c r="S4541" i="2"/>
  <c r="R4541" i="2"/>
  <c r="Q4541" i="2"/>
  <c r="P4541" i="2"/>
  <c r="O4541" i="2"/>
  <c r="N4541" i="2"/>
  <c r="M4541" i="2"/>
  <c r="L4541" i="2"/>
  <c r="K4541" i="2"/>
  <c r="J4541" i="2"/>
  <c r="I4541" i="2"/>
  <c r="H4541" i="2"/>
  <c r="G4541" i="2"/>
  <c r="F4541" i="2"/>
  <c r="E4541" i="2"/>
  <c r="D4541" i="2"/>
  <c r="C4541" i="2"/>
  <c r="B4541" i="2"/>
  <c r="V4540" i="2"/>
  <c r="U4540" i="2"/>
  <c r="T4540" i="2"/>
  <c r="S4540" i="2"/>
  <c r="R4540" i="2"/>
  <c r="Q4540" i="2"/>
  <c r="P4540" i="2"/>
  <c r="O4540" i="2"/>
  <c r="N4540" i="2"/>
  <c r="M4540" i="2"/>
  <c r="L4540" i="2"/>
  <c r="K4540" i="2"/>
  <c r="J4540" i="2"/>
  <c r="I4540" i="2"/>
  <c r="H4540" i="2"/>
  <c r="G4540" i="2"/>
  <c r="F4540" i="2"/>
  <c r="E4540" i="2"/>
  <c r="D4540" i="2"/>
  <c r="C4540" i="2"/>
  <c r="B4540" i="2"/>
  <c r="V4539" i="2"/>
  <c r="U4539" i="2"/>
  <c r="T4539" i="2"/>
  <c r="S4539" i="2"/>
  <c r="R4539" i="2"/>
  <c r="Q4539" i="2"/>
  <c r="P4539" i="2"/>
  <c r="O4539" i="2"/>
  <c r="N4539" i="2"/>
  <c r="M4539" i="2"/>
  <c r="L4539" i="2"/>
  <c r="K4539" i="2"/>
  <c r="J4539" i="2"/>
  <c r="I4539" i="2"/>
  <c r="H4539" i="2"/>
  <c r="G4539" i="2"/>
  <c r="F4539" i="2"/>
  <c r="E4539" i="2"/>
  <c r="D4539" i="2"/>
  <c r="C4539" i="2"/>
  <c r="B4539" i="2"/>
  <c r="V4538" i="2"/>
  <c r="U4538" i="2"/>
  <c r="T4538" i="2"/>
  <c r="S4538" i="2"/>
  <c r="R4538" i="2"/>
  <c r="Q4538" i="2"/>
  <c r="P4538" i="2"/>
  <c r="O4538" i="2"/>
  <c r="N4538" i="2"/>
  <c r="M4538" i="2"/>
  <c r="L4538" i="2"/>
  <c r="K4538" i="2"/>
  <c r="J4538" i="2"/>
  <c r="I4538" i="2"/>
  <c r="H4538" i="2"/>
  <c r="G4538" i="2"/>
  <c r="F4538" i="2"/>
  <c r="E4538" i="2"/>
  <c r="D4538" i="2"/>
  <c r="C4538" i="2"/>
  <c r="B4538" i="2"/>
  <c r="V4537" i="2"/>
  <c r="U4537" i="2"/>
  <c r="T4537" i="2"/>
  <c r="S4537" i="2"/>
  <c r="R4537" i="2"/>
  <c r="Q4537" i="2"/>
  <c r="P4537" i="2"/>
  <c r="O4537" i="2"/>
  <c r="N4537" i="2"/>
  <c r="M4537" i="2"/>
  <c r="L4537" i="2"/>
  <c r="K4537" i="2"/>
  <c r="J4537" i="2"/>
  <c r="I4537" i="2"/>
  <c r="H4537" i="2"/>
  <c r="G4537" i="2"/>
  <c r="F4537" i="2"/>
  <c r="E4537" i="2"/>
  <c r="D4537" i="2"/>
  <c r="C4537" i="2"/>
  <c r="B4537" i="2"/>
  <c r="V4536" i="2"/>
  <c r="U4536" i="2"/>
  <c r="T4536" i="2"/>
  <c r="S4536" i="2"/>
  <c r="R4536" i="2"/>
  <c r="Q4536" i="2"/>
  <c r="P4536" i="2"/>
  <c r="O4536" i="2"/>
  <c r="N4536" i="2"/>
  <c r="M4536" i="2"/>
  <c r="L4536" i="2"/>
  <c r="K4536" i="2"/>
  <c r="J4536" i="2"/>
  <c r="I4536" i="2"/>
  <c r="H4536" i="2"/>
  <c r="G4536" i="2"/>
  <c r="F4536" i="2"/>
  <c r="E4536" i="2"/>
  <c r="D4536" i="2"/>
  <c r="C4536" i="2"/>
  <c r="B4536" i="2"/>
  <c r="V4535" i="2"/>
  <c r="U4535" i="2"/>
  <c r="T4535" i="2"/>
  <c r="S4535" i="2"/>
  <c r="R4535" i="2"/>
  <c r="Q4535" i="2"/>
  <c r="P4535" i="2"/>
  <c r="O4535" i="2"/>
  <c r="N4535" i="2"/>
  <c r="M4535" i="2"/>
  <c r="L4535" i="2"/>
  <c r="K4535" i="2"/>
  <c r="J4535" i="2"/>
  <c r="I4535" i="2"/>
  <c r="H4535" i="2"/>
  <c r="G4535" i="2"/>
  <c r="F4535" i="2"/>
  <c r="E4535" i="2"/>
  <c r="D4535" i="2"/>
  <c r="C4535" i="2"/>
  <c r="B4535" i="2"/>
  <c r="V4534" i="2"/>
  <c r="U4534" i="2"/>
  <c r="T4534" i="2"/>
  <c r="S4534" i="2"/>
  <c r="R4534" i="2"/>
  <c r="Q4534" i="2"/>
  <c r="P4534" i="2"/>
  <c r="O4534" i="2"/>
  <c r="N4534" i="2"/>
  <c r="M4534" i="2"/>
  <c r="L4534" i="2"/>
  <c r="K4534" i="2"/>
  <c r="J4534" i="2"/>
  <c r="I4534" i="2"/>
  <c r="H4534" i="2"/>
  <c r="G4534" i="2"/>
  <c r="F4534" i="2"/>
  <c r="E4534" i="2"/>
  <c r="D4534" i="2"/>
  <c r="C4534" i="2"/>
  <c r="B4534" i="2"/>
  <c r="V4533" i="2"/>
  <c r="U4533" i="2"/>
  <c r="T4533" i="2"/>
  <c r="S4533" i="2"/>
  <c r="R4533" i="2"/>
  <c r="Q4533" i="2"/>
  <c r="P4533" i="2"/>
  <c r="O4533" i="2"/>
  <c r="N4533" i="2"/>
  <c r="M4533" i="2"/>
  <c r="L4533" i="2"/>
  <c r="K4533" i="2"/>
  <c r="J4533" i="2"/>
  <c r="I4533" i="2"/>
  <c r="H4533" i="2"/>
  <c r="G4533" i="2"/>
  <c r="F4533" i="2"/>
  <c r="E4533" i="2"/>
  <c r="D4533" i="2"/>
  <c r="C4533" i="2"/>
  <c r="B4533" i="2"/>
  <c r="V4532" i="2"/>
  <c r="U4532" i="2"/>
  <c r="T4532" i="2"/>
  <c r="S4532" i="2"/>
  <c r="R4532" i="2"/>
  <c r="Q4532" i="2"/>
  <c r="P4532" i="2"/>
  <c r="O4532" i="2"/>
  <c r="N4532" i="2"/>
  <c r="M4532" i="2"/>
  <c r="L4532" i="2"/>
  <c r="K4532" i="2"/>
  <c r="J4532" i="2"/>
  <c r="I4532" i="2"/>
  <c r="H4532" i="2"/>
  <c r="G4532" i="2"/>
  <c r="F4532" i="2"/>
  <c r="E4532" i="2"/>
  <c r="D4532" i="2"/>
  <c r="C4532" i="2"/>
  <c r="B4532" i="2"/>
  <c r="V4531" i="2"/>
  <c r="U4531" i="2"/>
  <c r="T4531" i="2"/>
  <c r="S4531" i="2"/>
  <c r="R4531" i="2"/>
  <c r="Q4531" i="2"/>
  <c r="P4531" i="2"/>
  <c r="O4531" i="2"/>
  <c r="N4531" i="2"/>
  <c r="M4531" i="2"/>
  <c r="L4531" i="2"/>
  <c r="K4531" i="2"/>
  <c r="J4531" i="2"/>
  <c r="I4531" i="2"/>
  <c r="H4531" i="2"/>
  <c r="G4531" i="2"/>
  <c r="F4531" i="2"/>
  <c r="E4531" i="2"/>
  <c r="D4531" i="2"/>
  <c r="C4531" i="2"/>
  <c r="B4531" i="2"/>
  <c r="V4530" i="2"/>
  <c r="U4530" i="2"/>
  <c r="T4530" i="2"/>
  <c r="S4530" i="2"/>
  <c r="R4530" i="2"/>
  <c r="Q4530" i="2"/>
  <c r="P4530" i="2"/>
  <c r="O4530" i="2"/>
  <c r="N4530" i="2"/>
  <c r="M4530" i="2"/>
  <c r="L4530" i="2"/>
  <c r="K4530" i="2"/>
  <c r="J4530" i="2"/>
  <c r="I4530" i="2"/>
  <c r="H4530" i="2"/>
  <c r="G4530" i="2"/>
  <c r="F4530" i="2"/>
  <c r="E4530" i="2"/>
  <c r="D4530" i="2"/>
  <c r="C4530" i="2"/>
  <c r="B4530" i="2"/>
  <c r="V4529" i="2"/>
  <c r="U4529" i="2"/>
  <c r="T4529" i="2"/>
  <c r="S4529" i="2"/>
  <c r="R4529" i="2"/>
  <c r="Q4529" i="2"/>
  <c r="P4529" i="2"/>
  <c r="O4529" i="2"/>
  <c r="N4529" i="2"/>
  <c r="M4529" i="2"/>
  <c r="L4529" i="2"/>
  <c r="K4529" i="2"/>
  <c r="J4529" i="2"/>
  <c r="I4529" i="2"/>
  <c r="H4529" i="2"/>
  <c r="G4529" i="2"/>
  <c r="F4529" i="2"/>
  <c r="E4529" i="2"/>
  <c r="D4529" i="2"/>
  <c r="C4529" i="2"/>
  <c r="B4529" i="2"/>
  <c r="V4528" i="2"/>
  <c r="U4528" i="2"/>
  <c r="T4528" i="2"/>
  <c r="S4528" i="2"/>
  <c r="R4528" i="2"/>
  <c r="Q4528" i="2"/>
  <c r="P4528" i="2"/>
  <c r="O4528" i="2"/>
  <c r="N4528" i="2"/>
  <c r="M4528" i="2"/>
  <c r="L4528" i="2"/>
  <c r="K4528" i="2"/>
  <c r="J4528" i="2"/>
  <c r="I4528" i="2"/>
  <c r="H4528" i="2"/>
  <c r="G4528" i="2"/>
  <c r="F4528" i="2"/>
  <c r="E4528" i="2"/>
  <c r="D4528" i="2"/>
  <c r="C4528" i="2"/>
  <c r="B4528" i="2"/>
  <c r="V4527" i="2"/>
  <c r="U4527" i="2"/>
  <c r="T4527" i="2"/>
  <c r="S4527" i="2"/>
  <c r="R4527" i="2"/>
  <c r="Q4527" i="2"/>
  <c r="P4527" i="2"/>
  <c r="O4527" i="2"/>
  <c r="N4527" i="2"/>
  <c r="M4527" i="2"/>
  <c r="L4527" i="2"/>
  <c r="K4527" i="2"/>
  <c r="J4527" i="2"/>
  <c r="I4527" i="2"/>
  <c r="H4527" i="2"/>
  <c r="G4527" i="2"/>
  <c r="F4527" i="2"/>
  <c r="E4527" i="2"/>
  <c r="D4527" i="2"/>
  <c r="C4527" i="2"/>
  <c r="B4527" i="2"/>
  <c r="V4526" i="2"/>
  <c r="U4526" i="2"/>
  <c r="T4526" i="2"/>
  <c r="S4526" i="2"/>
  <c r="R4526" i="2"/>
  <c r="Q4526" i="2"/>
  <c r="P4526" i="2"/>
  <c r="O4526" i="2"/>
  <c r="N4526" i="2"/>
  <c r="M4526" i="2"/>
  <c r="L4526" i="2"/>
  <c r="K4526" i="2"/>
  <c r="J4526" i="2"/>
  <c r="I4526" i="2"/>
  <c r="H4526" i="2"/>
  <c r="G4526" i="2"/>
  <c r="F4526" i="2"/>
  <c r="E4526" i="2"/>
  <c r="D4526" i="2"/>
  <c r="C4526" i="2"/>
  <c r="B4526" i="2"/>
  <c r="V4525" i="2"/>
  <c r="U4525" i="2"/>
  <c r="T4525" i="2"/>
  <c r="S4525" i="2"/>
  <c r="R4525" i="2"/>
  <c r="Q4525" i="2"/>
  <c r="P4525" i="2"/>
  <c r="O4525" i="2"/>
  <c r="N4525" i="2"/>
  <c r="M4525" i="2"/>
  <c r="L4525" i="2"/>
  <c r="K4525" i="2"/>
  <c r="J4525" i="2"/>
  <c r="I4525" i="2"/>
  <c r="H4525" i="2"/>
  <c r="G4525" i="2"/>
  <c r="F4525" i="2"/>
  <c r="E4525" i="2"/>
  <c r="D4525" i="2"/>
  <c r="C4525" i="2"/>
  <c r="B4525" i="2"/>
  <c r="V4524" i="2"/>
  <c r="U4524" i="2"/>
  <c r="T4524" i="2"/>
  <c r="S4524" i="2"/>
  <c r="R4524" i="2"/>
  <c r="Q4524" i="2"/>
  <c r="P4524" i="2"/>
  <c r="O4524" i="2"/>
  <c r="N4524" i="2"/>
  <c r="M4524" i="2"/>
  <c r="L4524" i="2"/>
  <c r="K4524" i="2"/>
  <c r="J4524" i="2"/>
  <c r="I4524" i="2"/>
  <c r="H4524" i="2"/>
  <c r="G4524" i="2"/>
  <c r="F4524" i="2"/>
  <c r="E4524" i="2"/>
  <c r="D4524" i="2"/>
  <c r="C4524" i="2"/>
  <c r="B4524" i="2"/>
  <c r="V4523" i="2"/>
  <c r="U4523" i="2"/>
  <c r="T4523" i="2"/>
  <c r="S4523" i="2"/>
  <c r="R4523" i="2"/>
  <c r="Q4523" i="2"/>
  <c r="P4523" i="2"/>
  <c r="O4523" i="2"/>
  <c r="N4523" i="2"/>
  <c r="M4523" i="2"/>
  <c r="L4523" i="2"/>
  <c r="K4523" i="2"/>
  <c r="J4523" i="2"/>
  <c r="I4523" i="2"/>
  <c r="H4523" i="2"/>
  <c r="G4523" i="2"/>
  <c r="F4523" i="2"/>
  <c r="E4523" i="2"/>
  <c r="D4523" i="2"/>
  <c r="C4523" i="2"/>
  <c r="B4523" i="2"/>
  <c r="V4522" i="2"/>
  <c r="U4522" i="2"/>
  <c r="T4522" i="2"/>
  <c r="S4522" i="2"/>
  <c r="R4522" i="2"/>
  <c r="Q4522" i="2"/>
  <c r="P4522" i="2"/>
  <c r="O4522" i="2"/>
  <c r="N4522" i="2"/>
  <c r="M4522" i="2"/>
  <c r="L4522" i="2"/>
  <c r="K4522" i="2"/>
  <c r="J4522" i="2"/>
  <c r="I4522" i="2"/>
  <c r="H4522" i="2"/>
  <c r="G4522" i="2"/>
  <c r="F4522" i="2"/>
  <c r="E4522" i="2"/>
  <c r="D4522" i="2"/>
  <c r="C4522" i="2"/>
  <c r="B4522" i="2"/>
  <c r="V4521" i="2"/>
  <c r="U4521" i="2"/>
  <c r="T4521" i="2"/>
  <c r="S4521" i="2"/>
  <c r="R4521" i="2"/>
  <c r="Q4521" i="2"/>
  <c r="P4521" i="2"/>
  <c r="O4521" i="2"/>
  <c r="N4521" i="2"/>
  <c r="M4521" i="2"/>
  <c r="L4521" i="2"/>
  <c r="K4521" i="2"/>
  <c r="J4521" i="2"/>
  <c r="I4521" i="2"/>
  <c r="H4521" i="2"/>
  <c r="G4521" i="2"/>
  <c r="F4521" i="2"/>
  <c r="E4521" i="2"/>
  <c r="D4521" i="2"/>
  <c r="C4521" i="2"/>
  <c r="B4521" i="2"/>
  <c r="V4520" i="2"/>
  <c r="U4520" i="2"/>
  <c r="T4520" i="2"/>
  <c r="S4520" i="2"/>
  <c r="R4520" i="2"/>
  <c r="Q4520" i="2"/>
  <c r="P4520" i="2"/>
  <c r="O4520" i="2"/>
  <c r="N4520" i="2"/>
  <c r="M4520" i="2"/>
  <c r="L4520" i="2"/>
  <c r="K4520" i="2"/>
  <c r="J4520" i="2"/>
  <c r="I4520" i="2"/>
  <c r="H4520" i="2"/>
  <c r="G4520" i="2"/>
  <c r="F4520" i="2"/>
  <c r="E4520" i="2"/>
  <c r="D4520" i="2"/>
  <c r="C4520" i="2"/>
  <c r="B4520" i="2"/>
  <c r="V4519" i="2"/>
  <c r="U4519" i="2"/>
  <c r="T4519" i="2"/>
  <c r="S4519" i="2"/>
  <c r="R4519" i="2"/>
  <c r="Q4519" i="2"/>
  <c r="P4519" i="2"/>
  <c r="O4519" i="2"/>
  <c r="N4519" i="2"/>
  <c r="M4519" i="2"/>
  <c r="L4519" i="2"/>
  <c r="K4519" i="2"/>
  <c r="J4519" i="2"/>
  <c r="I4519" i="2"/>
  <c r="H4519" i="2"/>
  <c r="G4519" i="2"/>
  <c r="F4519" i="2"/>
  <c r="E4519" i="2"/>
  <c r="D4519" i="2"/>
  <c r="C4519" i="2"/>
  <c r="B4519" i="2"/>
  <c r="V4518" i="2"/>
  <c r="U4518" i="2"/>
  <c r="T4518" i="2"/>
  <c r="S4518" i="2"/>
  <c r="R4518" i="2"/>
  <c r="Q4518" i="2"/>
  <c r="P4518" i="2"/>
  <c r="O4518" i="2"/>
  <c r="N4518" i="2"/>
  <c r="M4518" i="2"/>
  <c r="L4518" i="2"/>
  <c r="K4518" i="2"/>
  <c r="J4518" i="2"/>
  <c r="I4518" i="2"/>
  <c r="H4518" i="2"/>
  <c r="G4518" i="2"/>
  <c r="F4518" i="2"/>
  <c r="E4518" i="2"/>
  <c r="D4518" i="2"/>
  <c r="C4518" i="2"/>
  <c r="B4518" i="2"/>
  <c r="V4517" i="2"/>
  <c r="U4517" i="2"/>
  <c r="T4517" i="2"/>
  <c r="S4517" i="2"/>
  <c r="R4517" i="2"/>
  <c r="Q4517" i="2"/>
  <c r="P4517" i="2"/>
  <c r="O4517" i="2"/>
  <c r="N4517" i="2"/>
  <c r="M4517" i="2"/>
  <c r="L4517" i="2"/>
  <c r="K4517" i="2"/>
  <c r="J4517" i="2"/>
  <c r="I4517" i="2"/>
  <c r="H4517" i="2"/>
  <c r="G4517" i="2"/>
  <c r="F4517" i="2"/>
  <c r="E4517" i="2"/>
  <c r="D4517" i="2"/>
  <c r="C4517" i="2"/>
  <c r="B4517" i="2"/>
  <c r="V4516" i="2"/>
  <c r="U4516" i="2"/>
  <c r="T4516" i="2"/>
  <c r="S4516" i="2"/>
  <c r="R4516" i="2"/>
  <c r="Q4516" i="2"/>
  <c r="P4516" i="2"/>
  <c r="O4516" i="2"/>
  <c r="N4516" i="2"/>
  <c r="M4516" i="2"/>
  <c r="L4516" i="2"/>
  <c r="K4516" i="2"/>
  <c r="J4516" i="2"/>
  <c r="I4516" i="2"/>
  <c r="H4516" i="2"/>
  <c r="G4516" i="2"/>
  <c r="F4516" i="2"/>
  <c r="E4516" i="2"/>
  <c r="D4516" i="2"/>
  <c r="C4516" i="2"/>
  <c r="B4516" i="2"/>
  <c r="V4515" i="2"/>
  <c r="U4515" i="2"/>
  <c r="T4515" i="2"/>
  <c r="S4515" i="2"/>
  <c r="R4515" i="2"/>
  <c r="Q4515" i="2"/>
  <c r="P4515" i="2"/>
  <c r="O4515" i="2"/>
  <c r="N4515" i="2"/>
  <c r="M4515" i="2"/>
  <c r="L4515" i="2"/>
  <c r="K4515" i="2"/>
  <c r="J4515" i="2"/>
  <c r="I4515" i="2"/>
  <c r="H4515" i="2"/>
  <c r="G4515" i="2"/>
  <c r="F4515" i="2"/>
  <c r="E4515" i="2"/>
  <c r="D4515" i="2"/>
  <c r="C4515" i="2"/>
  <c r="B4515" i="2"/>
  <c r="V4514" i="2"/>
  <c r="U4514" i="2"/>
  <c r="T4514" i="2"/>
  <c r="S4514" i="2"/>
  <c r="R4514" i="2"/>
  <c r="Q4514" i="2"/>
  <c r="P4514" i="2"/>
  <c r="O4514" i="2"/>
  <c r="N4514" i="2"/>
  <c r="M4514" i="2"/>
  <c r="L4514" i="2"/>
  <c r="K4514" i="2"/>
  <c r="J4514" i="2"/>
  <c r="I4514" i="2"/>
  <c r="H4514" i="2"/>
  <c r="G4514" i="2"/>
  <c r="F4514" i="2"/>
  <c r="E4514" i="2"/>
  <c r="D4514" i="2"/>
  <c r="C4514" i="2"/>
  <c r="B4514" i="2"/>
  <c r="V4513" i="2"/>
  <c r="U4513" i="2"/>
  <c r="T4513" i="2"/>
  <c r="S4513" i="2"/>
  <c r="R4513" i="2"/>
  <c r="Q4513" i="2"/>
  <c r="P4513" i="2"/>
  <c r="O4513" i="2"/>
  <c r="N4513" i="2"/>
  <c r="M4513" i="2"/>
  <c r="L4513" i="2"/>
  <c r="K4513" i="2"/>
  <c r="J4513" i="2"/>
  <c r="I4513" i="2"/>
  <c r="H4513" i="2"/>
  <c r="G4513" i="2"/>
  <c r="F4513" i="2"/>
  <c r="E4513" i="2"/>
  <c r="D4513" i="2"/>
  <c r="C4513" i="2"/>
  <c r="B4513" i="2"/>
  <c r="V4512" i="2"/>
  <c r="U4512" i="2"/>
  <c r="T4512" i="2"/>
  <c r="S4512" i="2"/>
  <c r="R4512" i="2"/>
  <c r="Q4512" i="2"/>
  <c r="P4512" i="2"/>
  <c r="O4512" i="2"/>
  <c r="N4512" i="2"/>
  <c r="M4512" i="2"/>
  <c r="L4512" i="2"/>
  <c r="K4512" i="2"/>
  <c r="J4512" i="2"/>
  <c r="I4512" i="2"/>
  <c r="H4512" i="2"/>
  <c r="G4512" i="2"/>
  <c r="F4512" i="2"/>
  <c r="E4512" i="2"/>
  <c r="D4512" i="2"/>
  <c r="C4512" i="2"/>
  <c r="B4512" i="2"/>
  <c r="V4511" i="2"/>
  <c r="U4511" i="2"/>
  <c r="T4511" i="2"/>
  <c r="S4511" i="2"/>
  <c r="R4511" i="2"/>
  <c r="Q4511" i="2"/>
  <c r="P4511" i="2"/>
  <c r="O4511" i="2"/>
  <c r="N4511" i="2"/>
  <c r="M4511" i="2"/>
  <c r="L4511" i="2"/>
  <c r="K4511" i="2"/>
  <c r="J4511" i="2"/>
  <c r="I4511" i="2"/>
  <c r="H4511" i="2"/>
  <c r="G4511" i="2"/>
  <c r="F4511" i="2"/>
  <c r="E4511" i="2"/>
  <c r="D4511" i="2"/>
  <c r="C4511" i="2"/>
  <c r="B4511" i="2"/>
  <c r="V4510" i="2"/>
  <c r="U4510" i="2"/>
  <c r="T4510" i="2"/>
  <c r="S4510" i="2"/>
  <c r="R4510" i="2"/>
  <c r="Q4510" i="2"/>
  <c r="P4510" i="2"/>
  <c r="O4510" i="2"/>
  <c r="N4510" i="2"/>
  <c r="M4510" i="2"/>
  <c r="L4510" i="2"/>
  <c r="K4510" i="2"/>
  <c r="J4510" i="2"/>
  <c r="I4510" i="2"/>
  <c r="H4510" i="2"/>
  <c r="G4510" i="2"/>
  <c r="F4510" i="2"/>
  <c r="E4510" i="2"/>
  <c r="D4510" i="2"/>
  <c r="C4510" i="2"/>
  <c r="B4510" i="2"/>
  <c r="V4509" i="2"/>
  <c r="U4509" i="2"/>
  <c r="T4509" i="2"/>
  <c r="S4509" i="2"/>
  <c r="R4509" i="2"/>
  <c r="Q4509" i="2"/>
  <c r="P4509" i="2"/>
  <c r="O4509" i="2"/>
  <c r="N4509" i="2"/>
  <c r="M4509" i="2"/>
  <c r="L4509" i="2"/>
  <c r="K4509" i="2"/>
  <c r="J4509" i="2"/>
  <c r="I4509" i="2"/>
  <c r="H4509" i="2"/>
  <c r="G4509" i="2"/>
  <c r="F4509" i="2"/>
  <c r="E4509" i="2"/>
  <c r="D4509" i="2"/>
  <c r="C4509" i="2"/>
  <c r="B4509" i="2"/>
  <c r="V4508" i="2"/>
  <c r="U4508" i="2"/>
  <c r="T4508" i="2"/>
  <c r="S4508" i="2"/>
  <c r="R4508" i="2"/>
  <c r="Q4508" i="2"/>
  <c r="P4508" i="2"/>
  <c r="O4508" i="2"/>
  <c r="N4508" i="2"/>
  <c r="M4508" i="2"/>
  <c r="L4508" i="2"/>
  <c r="K4508" i="2"/>
  <c r="J4508" i="2"/>
  <c r="I4508" i="2"/>
  <c r="H4508" i="2"/>
  <c r="G4508" i="2"/>
  <c r="F4508" i="2"/>
  <c r="E4508" i="2"/>
  <c r="D4508" i="2"/>
  <c r="C4508" i="2"/>
  <c r="B4508" i="2"/>
  <c r="V4507" i="2"/>
  <c r="U4507" i="2"/>
  <c r="T4507" i="2"/>
  <c r="S4507" i="2"/>
  <c r="R4507" i="2"/>
  <c r="Q4507" i="2"/>
  <c r="P4507" i="2"/>
  <c r="O4507" i="2"/>
  <c r="N4507" i="2"/>
  <c r="M4507" i="2"/>
  <c r="L4507" i="2"/>
  <c r="K4507" i="2"/>
  <c r="J4507" i="2"/>
  <c r="I4507" i="2"/>
  <c r="H4507" i="2"/>
  <c r="G4507" i="2"/>
  <c r="F4507" i="2"/>
  <c r="E4507" i="2"/>
  <c r="D4507" i="2"/>
  <c r="C4507" i="2"/>
  <c r="B4507" i="2"/>
  <c r="V4506" i="2"/>
  <c r="U4506" i="2"/>
  <c r="T4506" i="2"/>
  <c r="S4506" i="2"/>
  <c r="R4506" i="2"/>
  <c r="Q4506" i="2"/>
  <c r="P4506" i="2"/>
  <c r="O4506" i="2"/>
  <c r="N4506" i="2"/>
  <c r="M4506" i="2"/>
  <c r="L4506" i="2"/>
  <c r="K4506" i="2"/>
  <c r="J4506" i="2"/>
  <c r="I4506" i="2"/>
  <c r="H4506" i="2"/>
  <c r="G4506" i="2"/>
  <c r="F4506" i="2"/>
  <c r="E4506" i="2"/>
  <c r="D4506" i="2"/>
  <c r="C4506" i="2"/>
  <c r="B4506" i="2"/>
  <c r="V4505" i="2"/>
  <c r="U4505" i="2"/>
  <c r="T4505" i="2"/>
  <c r="S4505" i="2"/>
  <c r="R4505" i="2"/>
  <c r="Q4505" i="2"/>
  <c r="P4505" i="2"/>
  <c r="O4505" i="2"/>
  <c r="N4505" i="2"/>
  <c r="M4505" i="2"/>
  <c r="L4505" i="2"/>
  <c r="K4505" i="2"/>
  <c r="J4505" i="2"/>
  <c r="I4505" i="2"/>
  <c r="H4505" i="2"/>
  <c r="G4505" i="2"/>
  <c r="F4505" i="2"/>
  <c r="E4505" i="2"/>
  <c r="D4505" i="2"/>
  <c r="C4505" i="2"/>
  <c r="B4505" i="2"/>
  <c r="V4504" i="2"/>
  <c r="U4504" i="2"/>
  <c r="T4504" i="2"/>
  <c r="S4504" i="2"/>
  <c r="R4504" i="2"/>
  <c r="Q4504" i="2"/>
  <c r="P4504" i="2"/>
  <c r="O4504" i="2"/>
  <c r="N4504" i="2"/>
  <c r="M4504" i="2"/>
  <c r="L4504" i="2"/>
  <c r="K4504" i="2"/>
  <c r="J4504" i="2"/>
  <c r="I4504" i="2"/>
  <c r="H4504" i="2"/>
  <c r="G4504" i="2"/>
  <c r="F4504" i="2"/>
  <c r="E4504" i="2"/>
  <c r="D4504" i="2"/>
  <c r="C4504" i="2"/>
  <c r="B4504" i="2"/>
  <c r="V4503" i="2"/>
  <c r="U4503" i="2"/>
  <c r="T4503" i="2"/>
  <c r="S4503" i="2"/>
  <c r="R4503" i="2"/>
  <c r="Q4503" i="2"/>
  <c r="P4503" i="2"/>
  <c r="O4503" i="2"/>
  <c r="N4503" i="2"/>
  <c r="M4503" i="2"/>
  <c r="L4503" i="2"/>
  <c r="K4503" i="2"/>
  <c r="J4503" i="2"/>
  <c r="I4503" i="2"/>
  <c r="H4503" i="2"/>
  <c r="G4503" i="2"/>
  <c r="F4503" i="2"/>
  <c r="E4503" i="2"/>
  <c r="D4503" i="2"/>
  <c r="C4503" i="2"/>
  <c r="B4503" i="2"/>
  <c r="V4502" i="2"/>
  <c r="U4502" i="2"/>
  <c r="T4502" i="2"/>
  <c r="S4502" i="2"/>
  <c r="R4502" i="2"/>
  <c r="Q4502" i="2"/>
  <c r="P4502" i="2"/>
  <c r="O4502" i="2"/>
  <c r="N4502" i="2"/>
  <c r="M4502" i="2"/>
  <c r="L4502" i="2"/>
  <c r="K4502" i="2"/>
  <c r="J4502" i="2"/>
  <c r="I4502" i="2"/>
  <c r="H4502" i="2"/>
  <c r="G4502" i="2"/>
  <c r="F4502" i="2"/>
  <c r="E4502" i="2"/>
  <c r="D4502" i="2"/>
  <c r="C4502" i="2"/>
  <c r="B4502" i="2"/>
  <c r="V4501" i="2"/>
  <c r="U4501" i="2"/>
  <c r="T4501" i="2"/>
  <c r="S4501" i="2"/>
  <c r="R4501" i="2"/>
  <c r="Q4501" i="2"/>
  <c r="P4501" i="2"/>
  <c r="O4501" i="2"/>
  <c r="N4501" i="2"/>
  <c r="M4501" i="2"/>
  <c r="L4501" i="2"/>
  <c r="K4501" i="2"/>
  <c r="J4501" i="2"/>
  <c r="I4501" i="2"/>
  <c r="H4501" i="2"/>
  <c r="G4501" i="2"/>
  <c r="F4501" i="2"/>
  <c r="E4501" i="2"/>
  <c r="D4501" i="2"/>
  <c r="C4501" i="2"/>
  <c r="B4501" i="2"/>
  <c r="V4500" i="2"/>
  <c r="U4500" i="2"/>
  <c r="T4500" i="2"/>
  <c r="S4500" i="2"/>
  <c r="R4500" i="2"/>
  <c r="Q4500" i="2"/>
  <c r="P4500" i="2"/>
  <c r="O4500" i="2"/>
  <c r="N4500" i="2"/>
  <c r="M4500" i="2"/>
  <c r="L4500" i="2"/>
  <c r="K4500" i="2"/>
  <c r="J4500" i="2"/>
  <c r="I4500" i="2"/>
  <c r="H4500" i="2"/>
  <c r="G4500" i="2"/>
  <c r="F4500" i="2"/>
  <c r="E4500" i="2"/>
  <c r="D4500" i="2"/>
  <c r="C4500" i="2"/>
  <c r="B4500" i="2"/>
  <c r="V4499" i="2"/>
  <c r="U4499" i="2"/>
  <c r="T4499" i="2"/>
  <c r="S4499" i="2"/>
  <c r="R4499" i="2"/>
  <c r="Q4499" i="2"/>
  <c r="P4499" i="2"/>
  <c r="O4499" i="2"/>
  <c r="N4499" i="2"/>
  <c r="M4499" i="2"/>
  <c r="L4499" i="2"/>
  <c r="K4499" i="2"/>
  <c r="J4499" i="2"/>
  <c r="I4499" i="2"/>
  <c r="H4499" i="2"/>
  <c r="G4499" i="2"/>
  <c r="F4499" i="2"/>
  <c r="E4499" i="2"/>
  <c r="D4499" i="2"/>
  <c r="C4499" i="2"/>
  <c r="B4499" i="2"/>
  <c r="V4498" i="2"/>
  <c r="U4498" i="2"/>
  <c r="T4498" i="2"/>
  <c r="S4498" i="2"/>
  <c r="R4498" i="2"/>
  <c r="Q4498" i="2"/>
  <c r="P4498" i="2"/>
  <c r="O4498" i="2"/>
  <c r="N4498" i="2"/>
  <c r="M4498" i="2"/>
  <c r="L4498" i="2"/>
  <c r="K4498" i="2"/>
  <c r="J4498" i="2"/>
  <c r="I4498" i="2"/>
  <c r="H4498" i="2"/>
  <c r="G4498" i="2"/>
  <c r="F4498" i="2"/>
  <c r="E4498" i="2"/>
  <c r="D4498" i="2"/>
  <c r="C4498" i="2"/>
  <c r="B4498" i="2"/>
  <c r="V4497" i="2"/>
  <c r="U4497" i="2"/>
  <c r="T4497" i="2"/>
  <c r="S4497" i="2"/>
  <c r="R4497" i="2"/>
  <c r="Q4497" i="2"/>
  <c r="P4497" i="2"/>
  <c r="O4497" i="2"/>
  <c r="N4497" i="2"/>
  <c r="M4497" i="2"/>
  <c r="L4497" i="2"/>
  <c r="K4497" i="2"/>
  <c r="J4497" i="2"/>
  <c r="I4497" i="2"/>
  <c r="H4497" i="2"/>
  <c r="G4497" i="2"/>
  <c r="F4497" i="2"/>
  <c r="E4497" i="2"/>
  <c r="D4497" i="2"/>
  <c r="C4497" i="2"/>
  <c r="B4497" i="2"/>
  <c r="V4496" i="2"/>
  <c r="U4496" i="2"/>
  <c r="T4496" i="2"/>
  <c r="S4496" i="2"/>
  <c r="R4496" i="2"/>
  <c r="Q4496" i="2"/>
  <c r="P4496" i="2"/>
  <c r="O4496" i="2"/>
  <c r="N4496" i="2"/>
  <c r="M4496" i="2"/>
  <c r="L4496" i="2"/>
  <c r="K4496" i="2"/>
  <c r="J4496" i="2"/>
  <c r="I4496" i="2"/>
  <c r="H4496" i="2"/>
  <c r="G4496" i="2"/>
  <c r="F4496" i="2"/>
  <c r="E4496" i="2"/>
  <c r="D4496" i="2"/>
  <c r="C4496" i="2"/>
  <c r="B4496" i="2"/>
  <c r="V4495" i="2"/>
  <c r="U4495" i="2"/>
  <c r="T4495" i="2"/>
  <c r="S4495" i="2"/>
  <c r="R4495" i="2"/>
  <c r="Q4495" i="2"/>
  <c r="P4495" i="2"/>
  <c r="O4495" i="2"/>
  <c r="N4495" i="2"/>
  <c r="M4495" i="2"/>
  <c r="L4495" i="2"/>
  <c r="K4495" i="2"/>
  <c r="J4495" i="2"/>
  <c r="I4495" i="2"/>
  <c r="H4495" i="2"/>
  <c r="G4495" i="2"/>
  <c r="F4495" i="2"/>
  <c r="E4495" i="2"/>
  <c r="D4495" i="2"/>
  <c r="C4495" i="2"/>
  <c r="B4495" i="2"/>
  <c r="V4494" i="2"/>
  <c r="U4494" i="2"/>
  <c r="T4494" i="2"/>
  <c r="S4494" i="2"/>
  <c r="R4494" i="2"/>
  <c r="Q4494" i="2"/>
  <c r="P4494" i="2"/>
  <c r="O4494" i="2"/>
  <c r="N4494" i="2"/>
  <c r="M4494" i="2"/>
  <c r="L4494" i="2"/>
  <c r="K4494" i="2"/>
  <c r="J4494" i="2"/>
  <c r="I4494" i="2"/>
  <c r="H4494" i="2"/>
  <c r="G4494" i="2"/>
  <c r="F4494" i="2"/>
  <c r="E4494" i="2"/>
  <c r="D4494" i="2"/>
  <c r="C4494" i="2"/>
  <c r="B4494" i="2"/>
  <c r="V4493" i="2"/>
  <c r="U4493" i="2"/>
  <c r="T4493" i="2"/>
  <c r="S4493" i="2"/>
  <c r="R4493" i="2"/>
  <c r="Q4493" i="2"/>
  <c r="P4493" i="2"/>
  <c r="O4493" i="2"/>
  <c r="N4493" i="2"/>
  <c r="M4493" i="2"/>
  <c r="L4493" i="2"/>
  <c r="K4493" i="2"/>
  <c r="J4493" i="2"/>
  <c r="I4493" i="2"/>
  <c r="H4493" i="2"/>
  <c r="G4493" i="2"/>
  <c r="F4493" i="2"/>
  <c r="E4493" i="2"/>
  <c r="D4493" i="2"/>
  <c r="C4493" i="2"/>
  <c r="B4493" i="2"/>
  <c r="V4492" i="2"/>
  <c r="U4492" i="2"/>
  <c r="T4492" i="2"/>
  <c r="S4492" i="2"/>
  <c r="R4492" i="2"/>
  <c r="Q4492" i="2"/>
  <c r="P4492" i="2"/>
  <c r="O4492" i="2"/>
  <c r="N4492" i="2"/>
  <c r="M4492" i="2"/>
  <c r="L4492" i="2"/>
  <c r="K4492" i="2"/>
  <c r="J4492" i="2"/>
  <c r="I4492" i="2"/>
  <c r="H4492" i="2"/>
  <c r="G4492" i="2"/>
  <c r="F4492" i="2"/>
  <c r="E4492" i="2"/>
  <c r="D4492" i="2"/>
  <c r="C4492" i="2"/>
  <c r="B4492" i="2"/>
  <c r="V4491" i="2"/>
  <c r="U4491" i="2"/>
  <c r="T4491" i="2"/>
  <c r="S4491" i="2"/>
  <c r="R4491" i="2"/>
  <c r="Q4491" i="2"/>
  <c r="P4491" i="2"/>
  <c r="O4491" i="2"/>
  <c r="N4491" i="2"/>
  <c r="M4491" i="2"/>
  <c r="L4491" i="2"/>
  <c r="K4491" i="2"/>
  <c r="J4491" i="2"/>
  <c r="I4491" i="2"/>
  <c r="H4491" i="2"/>
  <c r="G4491" i="2"/>
  <c r="F4491" i="2"/>
  <c r="E4491" i="2"/>
  <c r="D4491" i="2"/>
  <c r="C4491" i="2"/>
  <c r="B4491" i="2"/>
  <c r="V4490" i="2"/>
  <c r="U4490" i="2"/>
  <c r="T4490" i="2"/>
  <c r="S4490" i="2"/>
  <c r="R4490" i="2"/>
  <c r="Q4490" i="2"/>
  <c r="P4490" i="2"/>
  <c r="O4490" i="2"/>
  <c r="N4490" i="2"/>
  <c r="M4490" i="2"/>
  <c r="L4490" i="2"/>
  <c r="K4490" i="2"/>
  <c r="J4490" i="2"/>
  <c r="I4490" i="2"/>
  <c r="H4490" i="2"/>
  <c r="G4490" i="2"/>
  <c r="F4490" i="2"/>
  <c r="E4490" i="2"/>
  <c r="D4490" i="2"/>
  <c r="C4490" i="2"/>
  <c r="B4490" i="2"/>
  <c r="V4489" i="2"/>
  <c r="U4489" i="2"/>
  <c r="T4489" i="2"/>
  <c r="S4489" i="2"/>
  <c r="R4489" i="2"/>
  <c r="Q4489" i="2"/>
  <c r="P4489" i="2"/>
  <c r="O4489" i="2"/>
  <c r="N4489" i="2"/>
  <c r="M4489" i="2"/>
  <c r="L4489" i="2"/>
  <c r="K4489" i="2"/>
  <c r="J4489" i="2"/>
  <c r="I4489" i="2"/>
  <c r="H4489" i="2"/>
  <c r="G4489" i="2"/>
  <c r="F4489" i="2"/>
  <c r="E4489" i="2"/>
  <c r="D4489" i="2"/>
  <c r="C4489" i="2"/>
  <c r="B4489" i="2"/>
  <c r="V4488" i="2"/>
  <c r="U4488" i="2"/>
  <c r="T4488" i="2"/>
  <c r="S4488" i="2"/>
  <c r="R4488" i="2"/>
  <c r="Q4488" i="2"/>
  <c r="P4488" i="2"/>
  <c r="O4488" i="2"/>
  <c r="N4488" i="2"/>
  <c r="M4488" i="2"/>
  <c r="L4488" i="2"/>
  <c r="K4488" i="2"/>
  <c r="J4488" i="2"/>
  <c r="I4488" i="2"/>
  <c r="H4488" i="2"/>
  <c r="G4488" i="2"/>
  <c r="F4488" i="2"/>
  <c r="E4488" i="2"/>
  <c r="D4488" i="2"/>
  <c r="C4488" i="2"/>
  <c r="B4488" i="2"/>
  <c r="V4487" i="2"/>
  <c r="U4487" i="2"/>
  <c r="T4487" i="2"/>
  <c r="S4487" i="2"/>
  <c r="R4487" i="2"/>
  <c r="Q4487" i="2"/>
  <c r="P4487" i="2"/>
  <c r="O4487" i="2"/>
  <c r="N4487" i="2"/>
  <c r="M4487" i="2"/>
  <c r="L4487" i="2"/>
  <c r="K4487" i="2"/>
  <c r="J4487" i="2"/>
  <c r="I4487" i="2"/>
  <c r="H4487" i="2"/>
  <c r="G4487" i="2"/>
  <c r="F4487" i="2"/>
  <c r="E4487" i="2"/>
  <c r="D4487" i="2"/>
  <c r="C4487" i="2"/>
  <c r="B4487" i="2"/>
  <c r="V4486" i="2"/>
  <c r="U4486" i="2"/>
  <c r="T4486" i="2"/>
  <c r="S4486" i="2"/>
  <c r="R4486" i="2"/>
  <c r="Q4486" i="2"/>
  <c r="P4486" i="2"/>
  <c r="O4486" i="2"/>
  <c r="N4486" i="2"/>
  <c r="M4486" i="2"/>
  <c r="L4486" i="2"/>
  <c r="K4486" i="2"/>
  <c r="J4486" i="2"/>
  <c r="I4486" i="2"/>
  <c r="H4486" i="2"/>
  <c r="G4486" i="2"/>
  <c r="F4486" i="2"/>
  <c r="E4486" i="2"/>
  <c r="D4486" i="2"/>
  <c r="C4486" i="2"/>
  <c r="B4486" i="2"/>
  <c r="V4485" i="2"/>
  <c r="U4485" i="2"/>
  <c r="T4485" i="2"/>
  <c r="S4485" i="2"/>
  <c r="R4485" i="2"/>
  <c r="Q4485" i="2"/>
  <c r="P4485" i="2"/>
  <c r="O4485" i="2"/>
  <c r="N4485" i="2"/>
  <c r="M4485" i="2"/>
  <c r="L4485" i="2"/>
  <c r="K4485" i="2"/>
  <c r="J4485" i="2"/>
  <c r="I4485" i="2"/>
  <c r="H4485" i="2"/>
  <c r="G4485" i="2"/>
  <c r="F4485" i="2"/>
  <c r="E4485" i="2"/>
  <c r="D4485" i="2"/>
  <c r="C4485" i="2"/>
  <c r="B4485" i="2"/>
  <c r="V4484" i="2"/>
  <c r="U4484" i="2"/>
  <c r="T4484" i="2"/>
  <c r="S4484" i="2"/>
  <c r="R4484" i="2"/>
  <c r="Q4484" i="2"/>
  <c r="P4484" i="2"/>
  <c r="O4484" i="2"/>
  <c r="N4484" i="2"/>
  <c r="M4484" i="2"/>
  <c r="L4484" i="2"/>
  <c r="K4484" i="2"/>
  <c r="J4484" i="2"/>
  <c r="I4484" i="2"/>
  <c r="H4484" i="2"/>
  <c r="G4484" i="2"/>
  <c r="F4484" i="2"/>
  <c r="E4484" i="2"/>
  <c r="D4484" i="2"/>
  <c r="C4484" i="2"/>
  <c r="B4484" i="2"/>
  <c r="V4483" i="2"/>
  <c r="U4483" i="2"/>
  <c r="T4483" i="2"/>
  <c r="S4483" i="2"/>
  <c r="R4483" i="2"/>
  <c r="Q4483" i="2"/>
  <c r="P4483" i="2"/>
  <c r="O4483" i="2"/>
  <c r="N4483" i="2"/>
  <c r="M4483" i="2"/>
  <c r="L4483" i="2"/>
  <c r="K4483" i="2"/>
  <c r="J4483" i="2"/>
  <c r="I4483" i="2"/>
  <c r="H4483" i="2"/>
  <c r="G4483" i="2"/>
  <c r="F4483" i="2"/>
  <c r="E4483" i="2"/>
  <c r="D4483" i="2"/>
  <c r="C4483" i="2"/>
  <c r="B4483" i="2"/>
  <c r="V4482" i="2"/>
  <c r="U4482" i="2"/>
  <c r="T4482" i="2"/>
  <c r="S4482" i="2"/>
  <c r="R4482" i="2"/>
  <c r="Q4482" i="2"/>
  <c r="P4482" i="2"/>
  <c r="O4482" i="2"/>
  <c r="N4482" i="2"/>
  <c r="M4482" i="2"/>
  <c r="L4482" i="2"/>
  <c r="K4482" i="2"/>
  <c r="J4482" i="2"/>
  <c r="I4482" i="2"/>
  <c r="H4482" i="2"/>
  <c r="G4482" i="2"/>
  <c r="F4482" i="2"/>
  <c r="E4482" i="2"/>
  <c r="D4482" i="2"/>
  <c r="C4482" i="2"/>
  <c r="B4482" i="2"/>
  <c r="V4481" i="2"/>
  <c r="U4481" i="2"/>
  <c r="T4481" i="2"/>
  <c r="S4481" i="2"/>
  <c r="R4481" i="2"/>
  <c r="Q4481" i="2"/>
  <c r="P4481" i="2"/>
  <c r="O4481" i="2"/>
  <c r="N4481" i="2"/>
  <c r="M4481" i="2"/>
  <c r="L4481" i="2"/>
  <c r="K4481" i="2"/>
  <c r="J4481" i="2"/>
  <c r="I4481" i="2"/>
  <c r="H4481" i="2"/>
  <c r="G4481" i="2"/>
  <c r="F4481" i="2"/>
  <c r="E4481" i="2"/>
  <c r="D4481" i="2"/>
  <c r="C4481" i="2"/>
  <c r="B4481" i="2"/>
  <c r="V4480" i="2"/>
  <c r="U4480" i="2"/>
  <c r="T4480" i="2"/>
  <c r="S4480" i="2"/>
  <c r="R4480" i="2"/>
  <c r="Q4480" i="2"/>
  <c r="P4480" i="2"/>
  <c r="O4480" i="2"/>
  <c r="N4480" i="2"/>
  <c r="M4480" i="2"/>
  <c r="L4480" i="2"/>
  <c r="K4480" i="2"/>
  <c r="J4480" i="2"/>
  <c r="I4480" i="2"/>
  <c r="H4480" i="2"/>
  <c r="G4480" i="2"/>
  <c r="F4480" i="2"/>
  <c r="E4480" i="2"/>
  <c r="D4480" i="2"/>
  <c r="C4480" i="2"/>
  <c r="B4480" i="2"/>
  <c r="V4479" i="2"/>
  <c r="U4479" i="2"/>
  <c r="T4479" i="2"/>
  <c r="S4479" i="2"/>
  <c r="R4479" i="2"/>
  <c r="Q4479" i="2"/>
  <c r="P4479" i="2"/>
  <c r="O4479" i="2"/>
  <c r="N4479" i="2"/>
  <c r="M4479" i="2"/>
  <c r="L4479" i="2"/>
  <c r="K4479" i="2"/>
  <c r="J4479" i="2"/>
  <c r="I4479" i="2"/>
  <c r="H4479" i="2"/>
  <c r="G4479" i="2"/>
  <c r="F4479" i="2"/>
  <c r="E4479" i="2"/>
  <c r="D4479" i="2"/>
  <c r="C4479" i="2"/>
  <c r="B4479" i="2"/>
  <c r="V4478" i="2"/>
  <c r="U4478" i="2"/>
  <c r="T4478" i="2"/>
  <c r="S4478" i="2"/>
  <c r="R4478" i="2"/>
  <c r="Q4478" i="2"/>
  <c r="P4478" i="2"/>
  <c r="O4478" i="2"/>
  <c r="N4478" i="2"/>
  <c r="M4478" i="2"/>
  <c r="L4478" i="2"/>
  <c r="K4478" i="2"/>
  <c r="J4478" i="2"/>
  <c r="I4478" i="2"/>
  <c r="H4478" i="2"/>
  <c r="G4478" i="2"/>
  <c r="F4478" i="2"/>
  <c r="E4478" i="2"/>
  <c r="D4478" i="2"/>
  <c r="C4478" i="2"/>
  <c r="B4478" i="2"/>
  <c r="V4477" i="2"/>
  <c r="U4477" i="2"/>
  <c r="T4477" i="2"/>
  <c r="S4477" i="2"/>
  <c r="R4477" i="2"/>
  <c r="Q4477" i="2"/>
  <c r="P4477" i="2"/>
  <c r="O4477" i="2"/>
  <c r="N4477" i="2"/>
  <c r="M4477" i="2"/>
  <c r="L4477" i="2"/>
  <c r="K4477" i="2"/>
  <c r="J4477" i="2"/>
  <c r="I4477" i="2"/>
  <c r="H4477" i="2"/>
  <c r="G4477" i="2"/>
  <c r="F4477" i="2"/>
  <c r="E4477" i="2"/>
  <c r="D4477" i="2"/>
  <c r="C4477" i="2"/>
  <c r="B4477" i="2"/>
  <c r="V4476" i="2"/>
  <c r="U4476" i="2"/>
  <c r="T4476" i="2"/>
  <c r="S4476" i="2"/>
  <c r="R4476" i="2"/>
  <c r="Q4476" i="2"/>
  <c r="P4476" i="2"/>
  <c r="O4476" i="2"/>
  <c r="N4476" i="2"/>
  <c r="M4476" i="2"/>
  <c r="L4476" i="2"/>
  <c r="K4476" i="2"/>
  <c r="J4476" i="2"/>
  <c r="I4476" i="2"/>
  <c r="H4476" i="2"/>
  <c r="G4476" i="2"/>
  <c r="F4476" i="2"/>
  <c r="E4476" i="2"/>
  <c r="D4476" i="2"/>
  <c r="C4476" i="2"/>
  <c r="B4476" i="2"/>
  <c r="V4475" i="2"/>
  <c r="U4475" i="2"/>
  <c r="T4475" i="2"/>
  <c r="S4475" i="2"/>
  <c r="R4475" i="2"/>
  <c r="Q4475" i="2"/>
  <c r="P4475" i="2"/>
  <c r="O4475" i="2"/>
  <c r="N4475" i="2"/>
  <c r="M4475" i="2"/>
  <c r="L4475" i="2"/>
  <c r="K4475" i="2"/>
  <c r="J4475" i="2"/>
  <c r="I4475" i="2"/>
  <c r="H4475" i="2"/>
  <c r="G4475" i="2"/>
  <c r="F4475" i="2"/>
  <c r="E4475" i="2"/>
  <c r="D4475" i="2"/>
  <c r="C4475" i="2"/>
  <c r="B4475" i="2"/>
  <c r="V4474" i="2"/>
  <c r="U4474" i="2"/>
  <c r="T4474" i="2"/>
  <c r="S4474" i="2"/>
  <c r="R4474" i="2"/>
  <c r="Q4474" i="2"/>
  <c r="P4474" i="2"/>
  <c r="O4474" i="2"/>
  <c r="N4474" i="2"/>
  <c r="M4474" i="2"/>
  <c r="L4474" i="2"/>
  <c r="K4474" i="2"/>
  <c r="J4474" i="2"/>
  <c r="I4474" i="2"/>
  <c r="H4474" i="2"/>
  <c r="G4474" i="2"/>
  <c r="F4474" i="2"/>
  <c r="E4474" i="2"/>
  <c r="D4474" i="2"/>
  <c r="C4474" i="2"/>
  <c r="B4474" i="2"/>
  <c r="V4473" i="2"/>
  <c r="U4473" i="2"/>
  <c r="T4473" i="2"/>
  <c r="S4473" i="2"/>
  <c r="R4473" i="2"/>
  <c r="Q4473" i="2"/>
  <c r="P4473" i="2"/>
  <c r="O4473" i="2"/>
  <c r="N4473" i="2"/>
  <c r="M4473" i="2"/>
  <c r="L4473" i="2"/>
  <c r="K4473" i="2"/>
  <c r="J4473" i="2"/>
  <c r="I4473" i="2"/>
  <c r="H4473" i="2"/>
  <c r="G4473" i="2"/>
  <c r="F4473" i="2"/>
  <c r="E4473" i="2"/>
  <c r="D4473" i="2"/>
  <c r="C4473" i="2"/>
  <c r="B4473" i="2"/>
  <c r="V4472" i="2"/>
  <c r="U4472" i="2"/>
  <c r="T4472" i="2"/>
  <c r="S4472" i="2"/>
  <c r="R4472" i="2"/>
  <c r="Q4472" i="2"/>
  <c r="P4472" i="2"/>
  <c r="O4472" i="2"/>
  <c r="N4472" i="2"/>
  <c r="M4472" i="2"/>
  <c r="L4472" i="2"/>
  <c r="K4472" i="2"/>
  <c r="J4472" i="2"/>
  <c r="I4472" i="2"/>
  <c r="H4472" i="2"/>
  <c r="G4472" i="2"/>
  <c r="F4472" i="2"/>
  <c r="E4472" i="2"/>
  <c r="D4472" i="2"/>
  <c r="C4472" i="2"/>
  <c r="B4472" i="2"/>
  <c r="V4471" i="2"/>
  <c r="U4471" i="2"/>
  <c r="T4471" i="2"/>
  <c r="S4471" i="2"/>
  <c r="R4471" i="2"/>
  <c r="Q4471" i="2"/>
  <c r="P4471" i="2"/>
  <c r="O4471" i="2"/>
  <c r="N4471" i="2"/>
  <c r="M4471" i="2"/>
  <c r="L4471" i="2"/>
  <c r="K4471" i="2"/>
  <c r="J4471" i="2"/>
  <c r="I4471" i="2"/>
  <c r="H4471" i="2"/>
  <c r="G4471" i="2"/>
  <c r="F4471" i="2"/>
  <c r="E4471" i="2"/>
  <c r="D4471" i="2"/>
  <c r="C4471" i="2"/>
  <c r="B4471" i="2"/>
  <c r="V4470" i="2"/>
  <c r="U4470" i="2"/>
  <c r="T4470" i="2"/>
  <c r="S4470" i="2"/>
  <c r="R4470" i="2"/>
  <c r="Q4470" i="2"/>
  <c r="P4470" i="2"/>
  <c r="O4470" i="2"/>
  <c r="N4470" i="2"/>
  <c r="M4470" i="2"/>
  <c r="L4470" i="2"/>
  <c r="K4470" i="2"/>
  <c r="J4470" i="2"/>
  <c r="I4470" i="2"/>
  <c r="H4470" i="2"/>
  <c r="G4470" i="2"/>
  <c r="F4470" i="2"/>
  <c r="E4470" i="2"/>
  <c r="D4470" i="2"/>
  <c r="C4470" i="2"/>
  <c r="B4470" i="2"/>
  <c r="V4469" i="2"/>
  <c r="U4469" i="2"/>
  <c r="T4469" i="2"/>
  <c r="S4469" i="2"/>
  <c r="R4469" i="2"/>
  <c r="Q4469" i="2"/>
  <c r="P4469" i="2"/>
  <c r="O4469" i="2"/>
  <c r="N4469" i="2"/>
  <c r="M4469" i="2"/>
  <c r="L4469" i="2"/>
  <c r="K4469" i="2"/>
  <c r="J4469" i="2"/>
  <c r="I4469" i="2"/>
  <c r="H4469" i="2"/>
  <c r="G4469" i="2"/>
  <c r="F4469" i="2"/>
  <c r="E4469" i="2"/>
  <c r="D4469" i="2"/>
  <c r="C4469" i="2"/>
  <c r="B4469" i="2"/>
  <c r="V4468" i="2"/>
  <c r="U4468" i="2"/>
  <c r="T4468" i="2"/>
  <c r="S4468" i="2"/>
  <c r="R4468" i="2"/>
  <c r="Q4468" i="2"/>
  <c r="P4468" i="2"/>
  <c r="O4468" i="2"/>
  <c r="N4468" i="2"/>
  <c r="M4468" i="2"/>
  <c r="L4468" i="2"/>
  <c r="K4468" i="2"/>
  <c r="J4468" i="2"/>
  <c r="I4468" i="2"/>
  <c r="H4468" i="2"/>
  <c r="G4468" i="2"/>
  <c r="F4468" i="2"/>
  <c r="E4468" i="2"/>
  <c r="D4468" i="2"/>
  <c r="C4468" i="2"/>
  <c r="B4468" i="2"/>
  <c r="V4467" i="2"/>
  <c r="U4467" i="2"/>
  <c r="T4467" i="2"/>
  <c r="S4467" i="2"/>
  <c r="R4467" i="2"/>
  <c r="Q4467" i="2"/>
  <c r="P4467" i="2"/>
  <c r="O4467" i="2"/>
  <c r="N4467" i="2"/>
  <c r="M4467" i="2"/>
  <c r="L4467" i="2"/>
  <c r="K4467" i="2"/>
  <c r="J4467" i="2"/>
  <c r="I4467" i="2"/>
  <c r="H4467" i="2"/>
  <c r="G4467" i="2"/>
  <c r="F4467" i="2"/>
  <c r="E4467" i="2"/>
  <c r="D4467" i="2"/>
  <c r="C4467" i="2"/>
  <c r="B4467" i="2"/>
  <c r="V4466" i="2"/>
  <c r="U4466" i="2"/>
  <c r="T4466" i="2"/>
  <c r="S4466" i="2"/>
  <c r="R4466" i="2"/>
  <c r="Q4466" i="2"/>
  <c r="P4466" i="2"/>
  <c r="O4466" i="2"/>
  <c r="N4466" i="2"/>
  <c r="M4466" i="2"/>
  <c r="L4466" i="2"/>
  <c r="K4466" i="2"/>
  <c r="J4466" i="2"/>
  <c r="I4466" i="2"/>
  <c r="H4466" i="2"/>
  <c r="G4466" i="2"/>
  <c r="F4466" i="2"/>
  <c r="E4466" i="2"/>
  <c r="D4466" i="2"/>
  <c r="C4466" i="2"/>
  <c r="B4466" i="2"/>
  <c r="V4465" i="2"/>
  <c r="U4465" i="2"/>
  <c r="T4465" i="2"/>
  <c r="S4465" i="2"/>
  <c r="R4465" i="2"/>
  <c r="Q4465" i="2"/>
  <c r="P4465" i="2"/>
  <c r="O4465" i="2"/>
  <c r="N4465" i="2"/>
  <c r="M4465" i="2"/>
  <c r="L4465" i="2"/>
  <c r="K4465" i="2"/>
  <c r="J4465" i="2"/>
  <c r="I4465" i="2"/>
  <c r="H4465" i="2"/>
  <c r="G4465" i="2"/>
  <c r="F4465" i="2"/>
  <c r="E4465" i="2"/>
  <c r="D4465" i="2"/>
  <c r="C4465" i="2"/>
  <c r="B4465" i="2"/>
  <c r="V4464" i="2"/>
  <c r="U4464" i="2"/>
  <c r="T4464" i="2"/>
  <c r="S4464" i="2"/>
  <c r="R4464" i="2"/>
  <c r="Q4464" i="2"/>
  <c r="P4464" i="2"/>
  <c r="O4464" i="2"/>
  <c r="N4464" i="2"/>
  <c r="M4464" i="2"/>
  <c r="L4464" i="2"/>
  <c r="K4464" i="2"/>
  <c r="J4464" i="2"/>
  <c r="I4464" i="2"/>
  <c r="H4464" i="2"/>
  <c r="G4464" i="2"/>
  <c r="F4464" i="2"/>
  <c r="E4464" i="2"/>
  <c r="D4464" i="2"/>
  <c r="C4464" i="2"/>
  <c r="B4464" i="2"/>
  <c r="V4463" i="2"/>
  <c r="U4463" i="2"/>
  <c r="T4463" i="2"/>
  <c r="S4463" i="2"/>
  <c r="R4463" i="2"/>
  <c r="Q4463" i="2"/>
  <c r="P4463" i="2"/>
  <c r="O4463" i="2"/>
  <c r="N4463" i="2"/>
  <c r="M4463" i="2"/>
  <c r="L4463" i="2"/>
  <c r="K4463" i="2"/>
  <c r="J4463" i="2"/>
  <c r="I4463" i="2"/>
  <c r="H4463" i="2"/>
  <c r="G4463" i="2"/>
  <c r="F4463" i="2"/>
  <c r="E4463" i="2"/>
  <c r="D4463" i="2"/>
  <c r="C4463" i="2"/>
  <c r="B4463" i="2"/>
  <c r="V4462" i="2"/>
  <c r="U4462" i="2"/>
  <c r="T4462" i="2"/>
  <c r="S4462" i="2"/>
  <c r="R4462" i="2"/>
  <c r="Q4462" i="2"/>
  <c r="P4462" i="2"/>
  <c r="O4462" i="2"/>
  <c r="N4462" i="2"/>
  <c r="M4462" i="2"/>
  <c r="L4462" i="2"/>
  <c r="K4462" i="2"/>
  <c r="J4462" i="2"/>
  <c r="I4462" i="2"/>
  <c r="H4462" i="2"/>
  <c r="G4462" i="2"/>
  <c r="F4462" i="2"/>
  <c r="E4462" i="2"/>
  <c r="D4462" i="2"/>
  <c r="C4462" i="2"/>
  <c r="B4462" i="2"/>
  <c r="V4461" i="2"/>
  <c r="U4461" i="2"/>
  <c r="T4461" i="2"/>
  <c r="S4461" i="2"/>
  <c r="R4461" i="2"/>
  <c r="Q4461" i="2"/>
  <c r="P4461" i="2"/>
  <c r="O4461" i="2"/>
  <c r="N4461" i="2"/>
  <c r="M4461" i="2"/>
  <c r="L4461" i="2"/>
  <c r="K4461" i="2"/>
  <c r="J4461" i="2"/>
  <c r="I4461" i="2"/>
  <c r="H4461" i="2"/>
  <c r="G4461" i="2"/>
  <c r="F4461" i="2"/>
  <c r="E4461" i="2"/>
  <c r="D4461" i="2"/>
  <c r="C4461" i="2"/>
  <c r="B4461" i="2"/>
  <c r="V4460" i="2"/>
  <c r="U4460" i="2"/>
  <c r="T4460" i="2"/>
  <c r="S4460" i="2"/>
  <c r="R4460" i="2"/>
  <c r="Q4460" i="2"/>
  <c r="P4460" i="2"/>
  <c r="O4460" i="2"/>
  <c r="N4460" i="2"/>
  <c r="M4460" i="2"/>
  <c r="L4460" i="2"/>
  <c r="K4460" i="2"/>
  <c r="J4460" i="2"/>
  <c r="I4460" i="2"/>
  <c r="H4460" i="2"/>
  <c r="G4460" i="2"/>
  <c r="F4460" i="2"/>
  <c r="E4460" i="2"/>
  <c r="D4460" i="2"/>
  <c r="C4460" i="2"/>
  <c r="B4460" i="2"/>
  <c r="V4459" i="2"/>
  <c r="U4459" i="2"/>
  <c r="T4459" i="2"/>
  <c r="S4459" i="2"/>
  <c r="R4459" i="2"/>
  <c r="Q4459" i="2"/>
  <c r="P4459" i="2"/>
  <c r="O4459" i="2"/>
  <c r="N4459" i="2"/>
  <c r="M4459" i="2"/>
  <c r="L4459" i="2"/>
  <c r="K4459" i="2"/>
  <c r="J4459" i="2"/>
  <c r="I4459" i="2"/>
  <c r="H4459" i="2"/>
  <c r="G4459" i="2"/>
  <c r="F4459" i="2"/>
  <c r="E4459" i="2"/>
  <c r="D4459" i="2"/>
  <c r="C4459" i="2"/>
  <c r="B4459" i="2"/>
  <c r="V4458" i="2"/>
  <c r="U4458" i="2"/>
  <c r="T4458" i="2"/>
  <c r="S4458" i="2"/>
  <c r="R4458" i="2"/>
  <c r="Q4458" i="2"/>
  <c r="P4458" i="2"/>
  <c r="O4458" i="2"/>
  <c r="N4458" i="2"/>
  <c r="M4458" i="2"/>
  <c r="L4458" i="2"/>
  <c r="K4458" i="2"/>
  <c r="J4458" i="2"/>
  <c r="I4458" i="2"/>
  <c r="H4458" i="2"/>
  <c r="G4458" i="2"/>
  <c r="F4458" i="2"/>
  <c r="E4458" i="2"/>
  <c r="D4458" i="2"/>
  <c r="C4458" i="2"/>
  <c r="B4458" i="2"/>
  <c r="V4457" i="2"/>
  <c r="U4457" i="2"/>
  <c r="T4457" i="2"/>
  <c r="S4457" i="2"/>
  <c r="R4457" i="2"/>
  <c r="Q4457" i="2"/>
  <c r="P4457" i="2"/>
  <c r="O4457" i="2"/>
  <c r="N4457" i="2"/>
  <c r="M4457" i="2"/>
  <c r="L4457" i="2"/>
  <c r="K4457" i="2"/>
  <c r="J4457" i="2"/>
  <c r="I4457" i="2"/>
  <c r="H4457" i="2"/>
  <c r="G4457" i="2"/>
  <c r="F4457" i="2"/>
  <c r="E4457" i="2"/>
  <c r="D4457" i="2"/>
  <c r="C4457" i="2"/>
  <c r="B4457" i="2"/>
  <c r="V4456" i="2"/>
  <c r="U4456" i="2"/>
  <c r="T4456" i="2"/>
  <c r="S4456" i="2"/>
  <c r="R4456" i="2"/>
  <c r="Q4456" i="2"/>
  <c r="P4456" i="2"/>
  <c r="O4456" i="2"/>
  <c r="N4456" i="2"/>
  <c r="M4456" i="2"/>
  <c r="L4456" i="2"/>
  <c r="K4456" i="2"/>
  <c r="J4456" i="2"/>
  <c r="I4456" i="2"/>
  <c r="H4456" i="2"/>
  <c r="G4456" i="2"/>
  <c r="F4456" i="2"/>
  <c r="E4456" i="2"/>
  <c r="D4456" i="2"/>
  <c r="C4456" i="2"/>
  <c r="B4456" i="2"/>
  <c r="V4455" i="2"/>
  <c r="U4455" i="2"/>
  <c r="T4455" i="2"/>
  <c r="S4455" i="2"/>
  <c r="R4455" i="2"/>
  <c r="Q4455" i="2"/>
  <c r="P4455" i="2"/>
  <c r="O4455" i="2"/>
  <c r="N4455" i="2"/>
  <c r="M4455" i="2"/>
  <c r="L4455" i="2"/>
  <c r="K4455" i="2"/>
  <c r="J4455" i="2"/>
  <c r="I4455" i="2"/>
  <c r="H4455" i="2"/>
  <c r="G4455" i="2"/>
  <c r="F4455" i="2"/>
  <c r="E4455" i="2"/>
  <c r="D4455" i="2"/>
  <c r="C4455" i="2"/>
  <c r="B4455" i="2"/>
  <c r="V4454" i="2"/>
  <c r="U4454" i="2"/>
  <c r="T4454" i="2"/>
  <c r="S4454" i="2"/>
  <c r="R4454" i="2"/>
  <c r="Q4454" i="2"/>
  <c r="P4454" i="2"/>
  <c r="O4454" i="2"/>
  <c r="N4454" i="2"/>
  <c r="M4454" i="2"/>
  <c r="L4454" i="2"/>
  <c r="K4454" i="2"/>
  <c r="J4454" i="2"/>
  <c r="I4454" i="2"/>
  <c r="H4454" i="2"/>
  <c r="G4454" i="2"/>
  <c r="F4454" i="2"/>
  <c r="E4454" i="2"/>
  <c r="D4454" i="2"/>
  <c r="C4454" i="2"/>
  <c r="B4454" i="2"/>
  <c r="V4453" i="2"/>
  <c r="U4453" i="2"/>
  <c r="T4453" i="2"/>
  <c r="S4453" i="2"/>
  <c r="R4453" i="2"/>
  <c r="Q4453" i="2"/>
  <c r="P4453" i="2"/>
  <c r="O4453" i="2"/>
  <c r="N4453" i="2"/>
  <c r="M4453" i="2"/>
  <c r="L4453" i="2"/>
  <c r="K4453" i="2"/>
  <c r="J4453" i="2"/>
  <c r="I4453" i="2"/>
  <c r="H4453" i="2"/>
  <c r="G4453" i="2"/>
  <c r="F4453" i="2"/>
  <c r="E4453" i="2"/>
  <c r="D4453" i="2"/>
  <c r="C4453" i="2"/>
  <c r="B4453" i="2"/>
  <c r="V4452" i="2"/>
  <c r="U4452" i="2"/>
  <c r="T4452" i="2"/>
  <c r="S4452" i="2"/>
  <c r="R4452" i="2"/>
  <c r="Q4452" i="2"/>
  <c r="P4452" i="2"/>
  <c r="O4452" i="2"/>
  <c r="N4452" i="2"/>
  <c r="M4452" i="2"/>
  <c r="L4452" i="2"/>
  <c r="K4452" i="2"/>
  <c r="J4452" i="2"/>
  <c r="I4452" i="2"/>
  <c r="H4452" i="2"/>
  <c r="G4452" i="2"/>
  <c r="F4452" i="2"/>
  <c r="E4452" i="2"/>
  <c r="D4452" i="2"/>
  <c r="C4452" i="2"/>
  <c r="B4452" i="2"/>
  <c r="V4451" i="2"/>
  <c r="U4451" i="2"/>
  <c r="T4451" i="2"/>
  <c r="S4451" i="2"/>
  <c r="R4451" i="2"/>
  <c r="Q4451" i="2"/>
  <c r="P4451" i="2"/>
  <c r="O4451" i="2"/>
  <c r="N4451" i="2"/>
  <c r="M4451" i="2"/>
  <c r="L4451" i="2"/>
  <c r="K4451" i="2"/>
  <c r="J4451" i="2"/>
  <c r="I4451" i="2"/>
  <c r="H4451" i="2"/>
  <c r="G4451" i="2"/>
  <c r="F4451" i="2"/>
  <c r="E4451" i="2"/>
  <c r="D4451" i="2"/>
  <c r="C4451" i="2"/>
  <c r="B4451" i="2"/>
  <c r="V4450" i="2"/>
  <c r="U4450" i="2"/>
  <c r="T4450" i="2"/>
  <c r="S4450" i="2"/>
  <c r="R4450" i="2"/>
  <c r="Q4450" i="2"/>
  <c r="P4450" i="2"/>
  <c r="O4450" i="2"/>
  <c r="N4450" i="2"/>
  <c r="M4450" i="2"/>
  <c r="L4450" i="2"/>
  <c r="K4450" i="2"/>
  <c r="J4450" i="2"/>
  <c r="I4450" i="2"/>
  <c r="H4450" i="2"/>
  <c r="G4450" i="2"/>
  <c r="F4450" i="2"/>
  <c r="E4450" i="2"/>
  <c r="D4450" i="2"/>
  <c r="C4450" i="2"/>
  <c r="B4450" i="2"/>
  <c r="V4449" i="2"/>
  <c r="U4449" i="2"/>
  <c r="T4449" i="2"/>
  <c r="S4449" i="2"/>
  <c r="R4449" i="2"/>
  <c r="Q4449" i="2"/>
  <c r="P4449" i="2"/>
  <c r="O4449" i="2"/>
  <c r="N4449" i="2"/>
  <c r="M4449" i="2"/>
  <c r="L4449" i="2"/>
  <c r="K4449" i="2"/>
  <c r="J4449" i="2"/>
  <c r="I4449" i="2"/>
  <c r="H4449" i="2"/>
  <c r="G4449" i="2"/>
  <c r="F4449" i="2"/>
  <c r="E4449" i="2"/>
  <c r="D4449" i="2"/>
  <c r="C4449" i="2"/>
  <c r="B4449" i="2"/>
  <c r="V4448" i="2"/>
  <c r="U4448" i="2"/>
  <c r="T4448" i="2"/>
  <c r="S4448" i="2"/>
  <c r="R4448" i="2"/>
  <c r="Q4448" i="2"/>
  <c r="P4448" i="2"/>
  <c r="O4448" i="2"/>
  <c r="N4448" i="2"/>
  <c r="M4448" i="2"/>
  <c r="L4448" i="2"/>
  <c r="K4448" i="2"/>
  <c r="J4448" i="2"/>
  <c r="I4448" i="2"/>
  <c r="H4448" i="2"/>
  <c r="G4448" i="2"/>
  <c r="F4448" i="2"/>
  <c r="E4448" i="2"/>
  <c r="D4448" i="2"/>
  <c r="C4448" i="2"/>
  <c r="B4448" i="2"/>
  <c r="V4447" i="2"/>
  <c r="U4447" i="2"/>
  <c r="T4447" i="2"/>
  <c r="S4447" i="2"/>
  <c r="R4447" i="2"/>
  <c r="Q4447" i="2"/>
  <c r="P4447" i="2"/>
  <c r="O4447" i="2"/>
  <c r="N4447" i="2"/>
  <c r="M4447" i="2"/>
  <c r="L4447" i="2"/>
  <c r="K4447" i="2"/>
  <c r="J4447" i="2"/>
  <c r="I4447" i="2"/>
  <c r="H4447" i="2"/>
  <c r="G4447" i="2"/>
  <c r="F4447" i="2"/>
  <c r="E4447" i="2"/>
  <c r="D4447" i="2"/>
  <c r="C4447" i="2"/>
  <c r="B4447" i="2"/>
  <c r="V4446" i="2"/>
  <c r="U4446" i="2"/>
  <c r="T4446" i="2"/>
  <c r="S4446" i="2"/>
  <c r="R4446" i="2"/>
  <c r="Q4446" i="2"/>
  <c r="P4446" i="2"/>
  <c r="O4446" i="2"/>
  <c r="N4446" i="2"/>
  <c r="M4446" i="2"/>
  <c r="L4446" i="2"/>
  <c r="K4446" i="2"/>
  <c r="J4446" i="2"/>
  <c r="I4446" i="2"/>
  <c r="H4446" i="2"/>
  <c r="G4446" i="2"/>
  <c r="F4446" i="2"/>
  <c r="E4446" i="2"/>
  <c r="D4446" i="2"/>
  <c r="C4446" i="2"/>
  <c r="B4446" i="2"/>
  <c r="V4445" i="2"/>
  <c r="U4445" i="2"/>
  <c r="T4445" i="2"/>
  <c r="S4445" i="2"/>
  <c r="R4445" i="2"/>
  <c r="Q4445" i="2"/>
  <c r="P4445" i="2"/>
  <c r="O4445" i="2"/>
  <c r="N4445" i="2"/>
  <c r="M4445" i="2"/>
  <c r="L4445" i="2"/>
  <c r="K4445" i="2"/>
  <c r="J4445" i="2"/>
  <c r="I4445" i="2"/>
  <c r="H4445" i="2"/>
  <c r="G4445" i="2"/>
  <c r="F4445" i="2"/>
  <c r="E4445" i="2"/>
  <c r="D4445" i="2"/>
  <c r="C4445" i="2"/>
  <c r="B4445" i="2"/>
  <c r="V4444" i="2"/>
  <c r="U4444" i="2"/>
  <c r="T4444" i="2"/>
  <c r="S4444" i="2"/>
  <c r="R4444" i="2"/>
  <c r="Q4444" i="2"/>
  <c r="P4444" i="2"/>
  <c r="O4444" i="2"/>
  <c r="N4444" i="2"/>
  <c r="M4444" i="2"/>
  <c r="L4444" i="2"/>
  <c r="K4444" i="2"/>
  <c r="J4444" i="2"/>
  <c r="I4444" i="2"/>
  <c r="H4444" i="2"/>
  <c r="G4444" i="2"/>
  <c r="F4444" i="2"/>
  <c r="E4444" i="2"/>
  <c r="D4444" i="2"/>
  <c r="C4444" i="2"/>
  <c r="B4444" i="2"/>
  <c r="V4443" i="2"/>
  <c r="U4443" i="2"/>
  <c r="T4443" i="2"/>
  <c r="S4443" i="2"/>
  <c r="R4443" i="2"/>
  <c r="Q4443" i="2"/>
  <c r="P4443" i="2"/>
  <c r="O4443" i="2"/>
  <c r="N4443" i="2"/>
  <c r="M4443" i="2"/>
  <c r="L4443" i="2"/>
  <c r="K4443" i="2"/>
  <c r="J4443" i="2"/>
  <c r="I4443" i="2"/>
  <c r="H4443" i="2"/>
  <c r="G4443" i="2"/>
  <c r="F4443" i="2"/>
  <c r="E4443" i="2"/>
  <c r="D4443" i="2"/>
  <c r="C4443" i="2"/>
  <c r="B4443" i="2"/>
  <c r="V4442" i="2"/>
  <c r="U4442" i="2"/>
  <c r="T4442" i="2"/>
  <c r="S4442" i="2"/>
  <c r="R4442" i="2"/>
  <c r="Q4442" i="2"/>
  <c r="P4442" i="2"/>
  <c r="O4442" i="2"/>
  <c r="N4442" i="2"/>
  <c r="M4442" i="2"/>
  <c r="L4442" i="2"/>
  <c r="K4442" i="2"/>
  <c r="J4442" i="2"/>
  <c r="I4442" i="2"/>
  <c r="H4442" i="2"/>
  <c r="G4442" i="2"/>
  <c r="F4442" i="2"/>
  <c r="E4442" i="2"/>
  <c r="D4442" i="2"/>
  <c r="C4442" i="2"/>
  <c r="B4442" i="2"/>
  <c r="V4441" i="2"/>
  <c r="U4441" i="2"/>
  <c r="T4441" i="2"/>
  <c r="S4441" i="2"/>
  <c r="R4441" i="2"/>
  <c r="Q4441" i="2"/>
  <c r="P4441" i="2"/>
  <c r="O4441" i="2"/>
  <c r="N4441" i="2"/>
  <c r="M4441" i="2"/>
  <c r="L4441" i="2"/>
  <c r="K4441" i="2"/>
  <c r="J4441" i="2"/>
  <c r="I4441" i="2"/>
  <c r="H4441" i="2"/>
  <c r="G4441" i="2"/>
  <c r="F4441" i="2"/>
  <c r="E4441" i="2"/>
  <c r="D4441" i="2"/>
  <c r="C4441" i="2"/>
  <c r="B4441" i="2"/>
  <c r="V4440" i="2"/>
  <c r="U4440" i="2"/>
  <c r="T4440" i="2"/>
  <c r="S4440" i="2"/>
  <c r="R4440" i="2"/>
  <c r="Q4440" i="2"/>
  <c r="P4440" i="2"/>
  <c r="O4440" i="2"/>
  <c r="N4440" i="2"/>
  <c r="M4440" i="2"/>
  <c r="L4440" i="2"/>
  <c r="K4440" i="2"/>
  <c r="J4440" i="2"/>
  <c r="I4440" i="2"/>
  <c r="H4440" i="2"/>
  <c r="G4440" i="2"/>
  <c r="F4440" i="2"/>
  <c r="E4440" i="2"/>
  <c r="D4440" i="2"/>
  <c r="C4440" i="2"/>
  <c r="B4440" i="2"/>
  <c r="V4439" i="2"/>
  <c r="U4439" i="2"/>
  <c r="T4439" i="2"/>
  <c r="S4439" i="2"/>
  <c r="R4439" i="2"/>
  <c r="Q4439" i="2"/>
  <c r="P4439" i="2"/>
  <c r="O4439" i="2"/>
  <c r="N4439" i="2"/>
  <c r="M4439" i="2"/>
  <c r="L4439" i="2"/>
  <c r="K4439" i="2"/>
  <c r="J4439" i="2"/>
  <c r="I4439" i="2"/>
  <c r="H4439" i="2"/>
  <c r="G4439" i="2"/>
  <c r="F4439" i="2"/>
  <c r="E4439" i="2"/>
  <c r="D4439" i="2"/>
  <c r="C4439" i="2"/>
  <c r="B4439" i="2"/>
  <c r="V4438" i="2"/>
  <c r="U4438" i="2"/>
  <c r="T4438" i="2"/>
  <c r="S4438" i="2"/>
  <c r="R4438" i="2"/>
  <c r="Q4438" i="2"/>
  <c r="P4438" i="2"/>
  <c r="O4438" i="2"/>
  <c r="N4438" i="2"/>
  <c r="M4438" i="2"/>
  <c r="L4438" i="2"/>
  <c r="K4438" i="2"/>
  <c r="J4438" i="2"/>
  <c r="I4438" i="2"/>
  <c r="H4438" i="2"/>
  <c r="G4438" i="2"/>
  <c r="F4438" i="2"/>
  <c r="E4438" i="2"/>
  <c r="D4438" i="2"/>
  <c r="C4438" i="2"/>
  <c r="B4438" i="2"/>
  <c r="V4437" i="2"/>
  <c r="U4437" i="2"/>
  <c r="T4437" i="2"/>
  <c r="S4437" i="2"/>
  <c r="R4437" i="2"/>
  <c r="Q4437" i="2"/>
  <c r="P4437" i="2"/>
  <c r="O4437" i="2"/>
  <c r="N4437" i="2"/>
  <c r="M4437" i="2"/>
  <c r="L4437" i="2"/>
  <c r="K4437" i="2"/>
  <c r="J4437" i="2"/>
  <c r="I4437" i="2"/>
  <c r="H4437" i="2"/>
  <c r="G4437" i="2"/>
  <c r="F4437" i="2"/>
  <c r="E4437" i="2"/>
  <c r="D4437" i="2"/>
  <c r="C4437" i="2"/>
  <c r="B4437" i="2"/>
  <c r="V4436" i="2"/>
  <c r="U4436" i="2"/>
  <c r="T4436" i="2"/>
  <c r="S4436" i="2"/>
  <c r="R4436" i="2"/>
  <c r="Q4436" i="2"/>
  <c r="P4436" i="2"/>
  <c r="O4436" i="2"/>
  <c r="N4436" i="2"/>
  <c r="M4436" i="2"/>
  <c r="L4436" i="2"/>
  <c r="K4436" i="2"/>
  <c r="J4436" i="2"/>
  <c r="I4436" i="2"/>
  <c r="H4436" i="2"/>
  <c r="G4436" i="2"/>
  <c r="F4436" i="2"/>
  <c r="E4436" i="2"/>
  <c r="D4436" i="2"/>
  <c r="C4436" i="2"/>
  <c r="B4436" i="2"/>
  <c r="V4435" i="2"/>
  <c r="U4435" i="2"/>
  <c r="T4435" i="2"/>
  <c r="S4435" i="2"/>
  <c r="R4435" i="2"/>
  <c r="Q4435" i="2"/>
  <c r="P4435" i="2"/>
  <c r="O4435" i="2"/>
  <c r="N4435" i="2"/>
  <c r="M4435" i="2"/>
  <c r="L4435" i="2"/>
  <c r="K4435" i="2"/>
  <c r="J4435" i="2"/>
  <c r="I4435" i="2"/>
  <c r="H4435" i="2"/>
  <c r="G4435" i="2"/>
  <c r="F4435" i="2"/>
  <c r="E4435" i="2"/>
  <c r="D4435" i="2"/>
  <c r="C4435" i="2"/>
  <c r="B4435" i="2"/>
  <c r="V4434" i="2"/>
  <c r="U4434" i="2"/>
  <c r="T4434" i="2"/>
  <c r="S4434" i="2"/>
  <c r="R4434" i="2"/>
  <c r="Q4434" i="2"/>
  <c r="P4434" i="2"/>
  <c r="O4434" i="2"/>
  <c r="N4434" i="2"/>
  <c r="M4434" i="2"/>
  <c r="L4434" i="2"/>
  <c r="K4434" i="2"/>
  <c r="J4434" i="2"/>
  <c r="I4434" i="2"/>
  <c r="H4434" i="2"/>
  <c r="G4434" i="2"/>
  <c r="F4434" i="2"/>
  <c r="E4434" i="2"/>
  <c r="D4434" i="2"/>
  <c r="C4434" i="2"/>
  <c r="B4434" i="2"/>
  <c r="V4433" i="2"/>
  <c r="U4433" i="2"/>
  <c r="T4433" i="2"/>
  <c r="S4433" i="2"/>
  <c r="R4433" i="2"/>
  <c r="Q4433" i="2"/>
  <c r="P4433" i="2"/>
  <c r="O4433" i="2"/>
  <c r="N4433" i="2"/>
  <c r="M4433" i="2"/>
  <c r="L4433" i="2"/>
  <c r="K4433" i="2"/>
  <c r="J4433" i="2"/>
  <c r="I4433" i="2"/>
  <c r="H4433" i="2"/>
  <c r="G4433" i="2"/>
  <c r="F4433" i="2"/>
  <c r="E4433" i="2"/>
  <c r="D4433" i="2"/>
  <c r="C4433" i="2"/>
  <c r="B4433" i="2"/>
  <c r="V4432" i="2"/>
  <c r="U4432" i="2"/>
  <c r="T4432" i="2"/>
  <c r="S4432" i="2"/>
  <c r="R4432" i="2"/>
  <c r="Q4432" i="2"/>
  <c r="P4432" i="2"/>
  <c r="O4432" i="2"/>
  <c r="N4432" i="2"/>
  <c r="M4432" i="2"/>
  <c r="L4432" i="2"/>
  <c r="K4432" i="2"/>
  <c r="J4432" i="2"/>
  <c r="I4432" i="2"/>
  <c r="H4432" i="2"/>
  <c r="G4432" i="2"/>
  <c r="F4432" i="2"/>
  <c r="E4432" i="2"/>
  <c r="D4432" i="2"/>
  <c r="C4432" i="2"/>
  <c r="B4432" i="2"/>
  <c r="V4431" i="2"/>
  <c r="U4431" i="2"/>
  <c r="T4431" i="2"/>
  <c r="S4431" i="2"/>
  <c r="R4431" i="2"/>
  <c r="Q4431" i="2"/>
  <c r="P4431" i="2"/>
  <c r="O4431" i="2"/>
  <c r="N4431" i="2"/>
  <c r="M4431" i="2"/>
  <c r="L4431" i="2"/>
  <c r="K4431" i="2"/>
  <c r="J4431" i="2"/>
  <c r="I4431" i="2"/>
  <c r="H4431" i="2"/>
  <c r="G4431" i="2"/>
  <c r="F4431" i="2"/>
  <c r="E4431" i="2"/>
  <c r="D4431" i="2"/>
  <c r="C4431" i="2"/>
  <c r="B4431" i="2"/>
  <c r="V4430" i="2"/>
  <c r="U4430" i="2"/>
  <c r="T4430" i="2"/>
  <c r="S4430" i="2"/>
  <c r="R4430" i="2"/>
  <c r="Q4430" i="2"/>
  <c r="P4430" i="2"/>
  <c r="O4430" i="2"/>
  <c r="N4430" i="2"/>
  <c r="M4430" i="2"/>
  <c r="L4430" i="2"/>
  <c r="K4430" i="2"/>
  <c r="J4430" i="2"/>
  <c r="I4430" i="2"/>
  <c r="H4430" i="2"/>
  <c r="G4430" i="2"/>
  <c r="F4430" i="2"/>
  <c r="E4430" i="2"/>
  <c r="D4430" i="2"/>
  <c r="C4430" i="2"/>
  <c r="B4430" i="2"/>
  <c r="V4429" i="2"/>
  <c r="U4429" i="2"/>
  <c r="T4429" i="2"/>
  <c r="S4429" i="2"/>
  <c r="R4429" i="2"/>
  <c r="Q4429" i="2"/>
  <c r="P4429" i="2"/>
  <c r="O4429" i="2"/>
  <c r="N4429" i="2"/>
  <c r="M4429" i="2"/>
  <c r="L4429" i="2"/>
  <c r="K4429" i="2"/>
  <c r="J4429" i="2"/>
  <c r="I4429" i="2"/>
  <c r="H4429" i="2"/>
  <c r="G4429" i="2"/>
  <c r="F4429" i="2"/>
  <c r="E4429" i="2"/>
  <c r="D4429" i="2"/>
  <c r="C4429" i="2"/>
  <c r="B4429" i="2"/>
  <c r="V4428" i="2"/>
  <c r="U4428" i="2"/>
  <c r="T4428" i="2"/>
  <c r="S4428" i="2"/>
  <c r="R4428" i="2"/>
  <c r="Q4428" i="2"/>
  <c r="P4428" i="2"/>
  <c r="O4428" i="2"/>
  <c r="N4428" i="2"/>
  <c r="M4428" i="2"/>
  <c r="L4428" i="2"/>
  <c r="K4428" i="2"/>
  <c r="J4428" i="2"/>
  <c r="I4428" i="2"/>
  <c r="H4428" i="2"/>
  <c r="G4428" i="2"/>
  <c r="F4428" i="2"/>
  <c r="E4428" i="2"/>
  <c r="D4428" i="2"/>
  <c r="C4428" i="2"/>
  <c r="B4428" i="2"/>
  <c r="V4427" i="2"/>
  <c r="U4427" i="2"/>
  <c r="T4427" i="2"/>
  <c r="S4427" i="2"/>
  <c r="R4427" i="2"/>
  <c r="Q4427" i="2"/>
  <c r="P4427" i="2"/>
  <c r="O4427" i="2"/>
  <c r="N4427" i="2"/>
  <c r="M4427" i="2"/>
  <c r="L4427" i="2"/>
  <c r="K4427" i="2"/>
  <c r="J4427" i="2"/>
  <c r="I4427" i="2"/>
  <c r="H4427" i="2"/>
  <c r="G4427" i="2"/>
  <c r="F4427" i="2"/>
  <c r="E4427" i="2"/>
  <c r="D4427" i="2"/>
  <c r="C4427" i="2"/>
  <c r="B4427" i="2"/>
  <c r="V4426" i="2"/>
  <c r="U4426" i="2"/>
  <c r="T4426" i="2"/>
  <c r="S4426" i="2"/>
  <c r="R4426" i="2"/>
  <c r="Q4426" i="2"/>
  <c r="P4426" i="2"/>
  <c r="O4426" i="2"/>
  <c r="N4426" i="2"/>
  <c r="M4426" i="2"/>
  <c r="L4426" i="2"/>
  <c r="K4426" i="2"/>
  <c r="J4426" i="2"/>
  <c r="I4426" i="2"/>
  <c r="H4426" i="2"/>
  <c r="G4426" i="2"/>
  <c r="F4426" i="2"/>
  <c r="E4426" i="2"/>
  <c r="D4426" i="2"/>
  <c r="C4426" i="2"/>
  <c r="B4426" i="2"/>
  <c r="V4425" i="2"/>
  <c r="U4425" i="2"/>
  <c r="T4425" i="2"/>
  <c r="S4425" i="2"/>
  <c r="R4425" i="2"/>
  <c r="Q4425" i="2"/>
  <c r="P4425" i="2"/>
  <c r="O4425" i="2"/>
  <c r="N4425" i="2"/>
  <c r="M4425" i="2"/>
  <c r="L4425" i="2"/>
  <c r="K4425" i="2"/>
  <c r="J4425" i="2"/>
  <c r="I4425" i="2"/>
  <c r="H4425" i="2"/>
  <c r="G4425" i="2"/>
  <c r="F4425" i="2"/>
  <c r="E4425" i="2"/>
  <c r="D4425" i="2"/>
  <c r="C4425" i="2"/>
  <c r="B4425" i="2"/>
  <c r="V4424" i="2"/>
  <c r="U4424" i="2"/>
  <c r="T4424" i="2"/>
  <c r="S4424" i="2"/>
  <c r="R4424" i="2"/>
  <c r="Q4424" i="2"/>
  <c r="P4424" i="2"/>
  <c r="O4424" i="2"/>
  <c r="N4424" i="2"/>
  <c r="M4424" i="2"/>
  <c r="L4424" i="2"/>
  <c r="K4424" i="2"/>
  <c r="J4424" i="2"/>
  <c r="I4424" i="2"/>
  <c r="H4424" i="2"/>
  <c r="G4424" i="2"/>
  <c r="F4424" i="2"/>
  <c r="E4424" i="2"/>
  <c r="D4424" i="2"/>
  <c r="C4424" i="2"/>
  <c r="B4424" i="2"/>
  <c r="V4423" i="2"/>
  <c r="U4423" i="2"/>
  <c r="T4423" i="2"/>
  <c r="S4423" i="2"/>
  <c r="R4423" i="2"/>
  <c r="Q4423" i="2"/>
  <c r="P4423" i="2"/>
  <c r="O4423" i="2"/>
  <c r="N4423" i="2"/>
  <c r="M4423" i="2"/>
  <c r="L4423" i="2"/>
  <c r="K4423" i="2"/>
  <c r="J4423" i="2"/>
  <c r="I4423" i="2"/>
  <c r="H4423" i="2"/>
  <c r="G4423" i="2"/>
  <c r="F4423" i="2"/>
  <c r="E4423" i="2"/>
  <c r="D4423" i="2"/>
  <c r="C4423" i="2"/>
  <c r="B4423" i="2"/>
  <c r="V4422" i="2"/>
  <c r="U4422" i="2"/>
  <c r="T4422" i="2"/>
  <c r="S4422" i="2"/>
  <c r="R4422" i="2"/>
  <c r="Q4422" i="2"/>
  <c r="P4422" i="2"/>
  <c r="O4422" i="2"/>
  <c r="N4422" i="2"/>
  <c r="M4422" i="2"/>
  <c r="L4422" i="2"/>
  <c r="K4422" i="2"/>
  <c r="J4422" i="2"/>
  <c r="I4422" i="2"/>
  <c r="H4422" i="2"/>
  <c r="G4422" i="2"/>
  <c r="F4422" i="2"/>
  <c r="E4422" i="2"/>
  <c r="D4422" i="2"/>
  <c r="C4422" i="2"/>
  <c r="B4422" i="2"/>
  <c r="V4421" i="2"/>
  <c r="U4421" i="2"/>
  <c r="T4421" i="2"/>
  <c r="S4421" i="2"/>
  <c r="R4421" i="2"/>
  <c r="Q4421" i="2"/>
  <c r="P4421" i="2"/>
  <c r="O4421" i="2"/>
  <c r="N4421" i="2"/>
  <c r="M4421" i="2"/>
  <c r="L4421" i="2"/>
  <c r="K4421" i="2"/>
  <c r="J4421" i="2"/>
  <c r="I4421" i="2"/>
  <c r="H4421" i="2"/>
  <c r="G4421" i="2"/>
  <c r="F4421" i="2"/>
  <c r="E4421" i="2"/>
  <c r="D4421" i="2"/>
  <c r="C4421" i="2"/>
  <c r="B4421" i="2"/>
  <c r="V4420" i="2"/>
  <c r="U4420" i="2"/>
  <c r="T4420" i="2"/>
  <c r="S4420" i="2"/>
  <c r="R4420" i="2"/>
  <c r="Q4420" i="2"/>
  <c r="P4420" i="2"/>
  <c r="O4420" i="2"/>
  <c r="N4420" i="2"/>
  <c r="M4420" i="2"/>
  <c r="L4420" i="2"/>
  <c r="K4420" i="2"/>
  <c r="J4420" i="2"/>
  <c r="I4420" i="2"/>
  <c r="H4420" i="2"/>
  <c r="G4420" i="2"/>
  <c r="F4420" i="2"/>
  <c r="E4420" i="2"/>
  <c r="D4420" i="2"/>
  <c r="C4420" i="2"/>
  <c r="B4420" i="2"/>
  <c r="V4419" i="2"/>
  <c r="U4419" i="2"/>
  <c r="T4419" i="2"/>
  <c r="S4419" i="2"/>
  <c r="R4419" i="2"/>
  <c r="Q4419" i="2"/>
  <c r="P4419" i="2"/>
  <c r="O4419" i="2"/>
  <c r="N4419" i="2"/>
  <c r="M4419" i="2"/>
  <c r="L4419" i="2"/>
  <c r="K4419" i="2"/>
  <c r="J4419" i="2"/>
  <c r="I4419" i="2"/>
  <c r="H4419" i="2"/>
  <c r="G4419" i="2"/>
  <c r="F4419" i="2"/>
  <c r="E4419" i="2"/>
  <c r="D4419" i="2"/>
  <c r="C4419" i="2"/>
  <c r="B4419" i="2"/>
  <c r="V4418" i="2"/>
  <c r="U4418" i="2"/>
  <c r="T4418" i="2"/>
  <c r="S4418" i="2"/>
  <c r="R4418" i="2"/>
  <c r="Q4418" i="2"/>
  <c r="P4418" i="2"/>
  <c r="O4418" i="2"/>
  <c r="N4418" i="2"/>
  <c r="M4418" i="2"/>
  <c r="L4418" i="2"/>
  <c r="K4418" i="2"/>
  <c r="J4418" i="2"/>
  <c r="I4418" i="2"/>
  <c r="H4418" i="2"/>
  <c r="G4418" i="2"/>
  <c r="F4418" i="2"/>
  <c r="E4418" i="2"/>
  <c r="D4418" i="2"/>
  <c r="C4418" i="2"/>
  <c r="B4418" i="2"/>
  <c r="V4417" i="2"/>
  <c r="U4417" i="2"/>
  <c r="T4417" i="2"/>
  <c r="S4417" i="2"/>
  <c r="R4417" i="2"/>
  <c r="Q4417" i="2"/>
  <c r="P4417" i="2"/>
  <c r="O4417" i="2"/>
  <c r="N4417" i="2"/>
  <c r="M4417" i="2"/>
  <c r="L4417" i="2"/>
  <c r="K4417" i="2"/>
  <c r="J4417" i="2"/>
  <c r="I4417" i="2"/>
  <c r="H4417" i="2"/>
  <c r="G4417" i="2"/>
  <c r="F4417" i="2"/>
  <c r="E4417" i="2"/>
  <c r="D4417" i="2"/>
  <c r="C4417" i="2"/>
  <c r="B4417" i="2"/>
  <c r="V4416" i="2"/>
  <c r="U4416" i="2"/>
  <c r="T4416" i="2"/>
  <c r="S4416" i="2"/>
  <c r="R4416" i="2"/>
  <c r="Q4416" i="2"/>
  <c r="P4416" i="2"/>
  <c r="O4416" i="2"/>
  <c r="N4416" i="2"/>
  <c r="M4416" i="2"/>
  <c r="L4416" i="2"/>
  <c r="K4416" i="2"/>
  <c r="J4416" i="2"/>
  <c r="I4416" i="2"/>
  <c r="H4416" i="2"/>
  <c r="G4416" i="2"/>
  <c r="F4416" i="2"/>
  <c r="E4416" i="2"/>
  <c r="D4416" i="2"/>
  <c r="C4416" i="2"/>
  <c r="B4416" i="2"/>
  <c r="V4415" i="2"/>
  <c r="U4415" i="2"/>
  <c r="T4415" i="2"/>
  <c r="S4415" i="2"/>
  <c r="R4415" i="2"/>
  <c r="Q4415" i="2"/>
  <c r="P4415" i="2"/>
  <c r="O4415" i="2"/>
  <c r="N4415" i="2"/>
  <c r="M4415" i="2"/>
  <c r="L4415" i="2"/>
  <c r="K4415" i="2"/>
  <c r="J4415" i="2"/>
  <c r="I4415" i="2"/>
  <c r="H4415" i="2"/>
  <c r="G4415" i="2"/>
  <c r="F4415" i="2"/>
  <c r="E4415" i="2"/>
  <c r="D4415" i="2"/>
  <c r="C4415" i="2"/>
  <c r="B4415" i="2"/>
  <c r="V4414" i="2"/>
  <c r="U4414" i="2"/>
  <c r="T4414" i="2"/>
  <c r="S4414" i="2"/>
  <c r="R4414" i="2"/>
  <c r="Q4414" i="2"/>
  <c r="P4414" i="2"/>
  <c r="O4414" i="2"/>
  <c r="N4414" i="2"/>
  <c r="M4414" i="2"/>
  <c r="L4414" i="2"/>
  <c r="K4414" i="2"/>
  <c r="J4414" i="2"/>
  <c r="I4414" i="2"/>
  <c r="H4414" i="2"/>
  <c r="G4414" i="2"/>
  <c r="F4414" i="2"/>
  <c r="E4414" i="2"/>
  <c r="D4414" i="2"/>
  <c r="C4414" i="2"/>
  <c r="B4414" i="2"/>
  <c r="V4413" i="2"/>
  <c r="U4413" i="2"/>
  <c r="T4413" i="2"/>
  <c r="S4413" i="2"/>
  <c r="R4413" i="2"/>
  <c r="Q4413" i="2"/>
  <c r="P4413" i="2"/>
  <c r="O4413" i="2"/>
  <c r="N4413" i="2"/>
  <c r="M4413" i="2"/>
  <c r="L4413" i="2"/>
  <c r="K4413" i="2"/>
  <c r="J4413" i="2"/>
  <c r="I4413" i="2"/>
  <c r="H4413" i="2"/>
  <c r="G4413" i="2"/>
  <c r="F4413" i="2"/>
  <c r="E4413" i="2"/>
  <c r="D4413" i="2"/>
  <c r="C4413" i="2"/>
  <c r="B4413" i="2"/>
  <c r="V4412" i="2"/>
  <c r="U4412" i="2"/>
  <c r="T4412" i="2"/>
  <c r="S4412" i="2"/>
  <c r="R4412" i="2"/>
  <c r="Q4412" i="2"/>
  <c r="P4412" i="2"/>
  <c r="O4412" i="2"/>
  <c r="N4412" i="2"/>
  <c r="M4412" i="2"/>
  <c r="L4412" i="2"/>
  <c r="K4412" i="2"/>
  <c r="J4412" i="2"/>
  <c r="I4412" i="2"/>
  <c r="H4412" i="2"/>
  <c r="G4412" i="2"/>
  <c r="F4412" i="2"/>
  <c r="E4412" i="2"/>
  <c r="D4412" i="2"/>
  <c r="C4412" i="2"/>
  <c r="B4412" i="2"/>
  <c r="V4411" i="2"/>
  <c r="U4411" i="2"/>
  <c r="T4411" i="2"/>
  <c r="S4411" i="2"/>
  <c r="R4411" i="2"/>
  <c r="Q4411" i="2"/>
  <c r="P4411" i="2"/>
  <c r="O4411" i="2"/>
  <c r="N4411" i="2"/>
  <c r="M4411" i="2"/>
  <c r="L4411" i="2"/>
  <c r="K4411" i="2"/>
  <c r="J4411" i="2"/>
  <c r="I4411" i="2"/>
  <c r="H4411" i="2"/>
  <c r="G4411" i="2"/>
  <c r="F4411" i="2"/>
  <c r="E4411" i="2"/>
  <c r="D4411" i="2"/>
  <c r="C4411" i="2"/>
  <c r="B4411" i="2"/>
  <c r="V4410" i="2"/>
  <c r="U4410" i="2"/>
  <c r="T4410" i="2"/>
  <c r="S4410" i="2"/>
  <c r="R4410" i="2"/>
  <c r="Q4410" i="2"/>
  <c r="P4410" i="2"/>
  <c r="O4410" i="2"/>
  <c r="N4410" i="2"/>
  <c r="M4410" i="2"/>
  <c r="L4410" i="2"/>
  <c r="K4410" i="2"/>
  <c r="J4410" i="2"/>
  <c r="I4410" i="2"/>
  <c r="H4410" i="2"/>
  <c r="G4410" i="2"/>
  <c r="F4410" i="2"/>
  <c r="E4410" i="2"/>
  <c r="D4410" i="2"/>
  <c r="C4410" i="2"/>
  <c r="B4410" i="2"/>
  <c r="V4409" i="2"/>
  <c r="U4409" i="2"/>
  <c r="T4409" i="2"/>
  <c r="S4409" i="2"/>
  <c r="R4409" i="2"/>
  <c r="Q4409" i="2"/>
  <c r="P4409" i="2"/>
  <c r="O4409" i="2"/>
  <c r="N4409" i="2"/>
  <c r="M4409" i="2"/>
  <c r="L4409" i="2"/>
  <c r="K4409" i="2"/>
  <c r="J4409" i="2"/>
  <c r="I4409" i="2"/>
  <c r="H4409" i="2"/>
  <c r="G4409" i="2"/>
  <c r="F4409" i="2"/>
  <c r="E4409" i="2"/>
  <c r="D4409" i="2"/>
  <c r="C4409" i="2"/>
  <c r="B4409" i="2"/>
  <c r="V4408" i="2"/>
  <c r="U4408" i="2"/>
  <c r="T4408" i="2"/>
  <c r="S4408" i="2"/>
  <c r="R4408" i="2"/>
  <c r="Q4408" i="2"/>
  <c r="P4408" i="2"/>
  <c r="O4408" i="2"/>
  <c r="N4408" i="2"/>
  <c r="M4408" i="2"/>
  <c r="L4408" i="2"/>
  <c r="K4408" i="2"/>
  <c r="J4408" i="2"/>
  <c r="I4408" i="2"/>
  <c r="H4408" i="2"/>
  <c r="G4408" i="2"/>
  <c r="F4408" i="2"/>
  <c r="E4408" i="2"/>
  <c r="D4408" i="2"/>
  <c r="C4408" i="2"/>
  <c r="B4408" i="2"/>
  <c r="V4407" i="2"/>
  <c r="U4407" i="2"/>
  <c r="T4407" i="2"/>
  <c r="S4407" i="2"/>
  <c r="R4407" i="2"/>
  <c r="Q4407" i="2"/>
  <c r="P4407" i="2"/>
  <c r="O4407" i="2"/>
  <c r="N4407" i="2"/>
  <c r="M4407" i="2"/>
  <c r="L4407" i="2"/>
  <c r="K4407" i="2"/>
  <c r="J4407" i="2"/>
  <c r="I4407" i="2"/>
  <c r="H4407" i="2"/>
  <c r="G4407" i="2"/>
  <c r="F4407" i="2"/>
  <c r="E4407" i="2"/>
  <c r="D4407" i="2"/>
  <c r="C4407" i="2"/>
  <c r="B4407" i="2"/>
  <c r="V4406" i="2"/>
  <c r="U4406" i="2"/>
  <c r="T4406" i="2"/>
  <c r="S4406" i="2"/>
  <c r="R4406" i="2"/>
  <c r="Q4406" i="2"/>
  <c r="P4406" i="2"/>
  <c r="O4406" i="2"/>
  <c r="N4406" i="2"/>
  <c r="M4406" i="2"/>
  <c r="L4406" i="2"/>
  <c r="K4406" i="2"/>
  <c r="J4406" i="2"/>
  <c r="I4406" i="2"/>
  <c r="H4406" i="2"/>
  <c r="G4406" i="2"/>
  <c r="F4406" i="2"/>
  <c r="E4406" i="2"/>
  <c r="D4406" i="2"/>
  <c r="C4406" i="2"/>
  <c r="B4406" i="2"/>
  <c r="V4405" i="2"/>
  <c r="U4405" i="2"/>
  <c r="T4405" i="2"/>
  <c r="S4405" i="2"/>
  <c r="R4405" i="2"/>
  <c r="Q4405" i="2"/>
  <c r="P4405" i="2"/>
  <c r="O4405" i="2"/>
  <c r="N4405" i="2"/>
  <c r="M4405" i="2"/>
  <c r="L4405" i="2"/>
  <c r="K4405" i="2"/>
  <c r="J4405" i="2"/>
  <c r="I4405" i="2"/>
  <c r="H4405" i="2"/>
  <c r="G4405" i="2"/>
  <c r="F4405" i="2"/>
  <c r="E4405" i="2"/>
  <c r="D4405" i="2"/>
  <c r="C4405" i="2"/>
  <c r="B4405" i="2"/>
  <c r="V4404" i="2"/>
  <c r="U4404" i="2"/>
  <c r="T4404" i="2"/>
  <c r="S4404" i="2"/>
  <c r="R4404" i="2"/>
  <c r="Q4404" i="2"/>
  <c r="P4404" i="2"/>
  <c r="O4404" i="2"/>
  <c r="N4404" i="2"/>
  <c r="M4404" i="2"/>
  <c r="L4404" i="2"/>
  <c r="K4404" i="2"/>
  <c r="J4404" i="2"/>
  <c r="I4404" i="2"/>
  <c r="H4404" i="2"/>
  <c r="G4404" i="2"/>
  <c r="F4404" i="2"/>
  <c r="E4404" i="2"/>
  <c r="D4404" i="2"/>
  <c r="C4404" i="2"/>
  <c r="B4404" i="2"/>
  <c r="V4403" i="2"/>
  <c r="U4403" i="2"/>
  <c r="T4403" i="2"/>
  <c r="S4403" i="2"/>
  <c r="R4403" i="2"/>
  <c r="Q4403" i="2"/>
  <c r="P4403" i="2"/>
  <c r="O4403" i="2"/>
  <c r="N4403" i="2"/>
  <c r="M4403" i="2"/>
  <c r="L4403" i="2"/>
  <c r="K4403" i="2"/>
  <c r="J4403" i="2"/>
  <c r="I4403" i="2"/>
  <c r="H4403" i="2"/>
  <c r="G4403" i="2"/>
  <c r="F4403" i="2"/>
  <c r="E4403" i="2"/>
  <c r="D4403" i="2"/>
  <c r="C4403" i="2"/>
  <c r="B4403" i="2"/>
  <c r="V4402" i="2"/>
  <c r="U4402" i="2"/>
  <c r="T4402" i="2"/>
  <c r="S4402" i="2"/>
  <c r="R4402" i="2"/>
  <c r="Q4402" i="2"/>
  <c r="P4402" i="2"/>
  <c r="O4402" i="2"/>
  <c r="N4402" i="2"/>
  <c r="M4402" i="2"/>
  <c r="L4402" i="2"/>
  <c r="K4402" i="2"/>
  <c r="J4402" i="2"/>
  <c r="I4402" i="2"/>
  <c r="H4402" i="2"/>
  <c r="G4402" i="2"/>
  <c r="F4402" i="2"/>
  <c r="E4402" i="2"/>
  <c r="D4402" i="2"/>
  <c r="C4402" i="2"/>
  <c r="B4402" i="2"/>
  <c r="V4401" i="2"/>
  <c r="U4401" i="2"/>
  <c r="T4401" i="2"/>
  <c r="S4401" i="2"/>
  <c r="R4401" i="2"/>
  <c r="Q4401" i="2"/>
  <c r="P4401" i="2"/>
  <c r="O4401" i="2"/>
  <c r="N4401" i="2"/>
  <c r="M4401" i="2"/>
  <c r="L4401" i="2"/>
  <c r="K4401" i="2"/>
  <c r="J4401" i="2"/>
  <c r="I4401" i="2"/>
  <c r="H4401" i="2"/>
  <c r="G4401" i="2"/>
  <c r="F4401" i="2"/>
  <c r="E4401" i="2"/>
  <c r="D4401" i="2"/>
  <c r="C4401" i="2"/>
  <c r="B4401" i="2"/>
  <c r="V4400" i="2"/>
  <c r="U4400" i="2"/>
  <c r="T4400" i="2"/>
  <c r="S4400" i="2"/>
  <c r="R4400" i="2"/>
  <c r="Q4400" i="2"/>
  <c r="P4400" i="2"/>
  <c r="O4400" i="2"/>
  <c r="N4400" i="2"/>
  <c r="M4400" i="2"/>
  <c r="L4400" i="2"/>
  <c r="K4400" i="2"/>
  <c r="J4400" i="2"/>
  <c r="I4400" i="2"/>
  <c r="H4400" i="2"/>
  <c r="G4400" i="2"/>
  <c r="F4400" i="2"/>
  <c r="E4400" i="2"/>
  <c r="D4400" i="2"/>
  <c r="C4400" i="2"/>
  <c r="B4400" i="2"/>
  <c r="V4399" i="2"/>
  <c r="U4399" i="2"/>
  <c r="T4399" i="2"/>
  <c r="S4399" i="2"/>
  <c r="R4399" i="2"/>
  <c r="Q4399" i="2"/>
  <c r="P4399" i="2"/>
  <c r="O4399" i="2"/>
  <c r="N4399" i="2"/>
  <c r="M4399" i="2"/>
  <c r="L4399" i="2"/>
  <c r="K4399" i="2"/>
  <c r="J4399" i="2"/>
  <c r="I4399" i="2"/>
  <c r="H4399" i="2"/>
  <c r="G4399" i="2"/>
  <c r="F4399" i="2"/>
  <c r="E4399" i="2"/>
  <c r="D4399" i="2"/>
  <c r="C4399" i="2"/>
  <c r="B4399" i="2"/>
  <c r="V4398" i="2"/>
  <c r="U4398" i="2"/>
  <c r="T4398" i="2"/>
  <c r="S4398" i="2"/>
  <c r="R4398" i="2"/>
  <c r="Q4398" i="2"/>
  <c r="P4398" i="2"/>
  <c r="O4398" i="2"/>
  <c r="N4398" i="2"/>
  <c r="M4398" i="2"/>
  <c r="L4398" i="2"/>
  <c r="K4398" i="2"/>
  <c r="J4398" i="2"/>
  <c r="I4398" i="2"/>
  <c r="H4398" i="2"/>
  <c r="G4398" i="2"/>
  <c r="F4398" i="2"/>
  <c r="E4398" i="2"/>
  <c r="D4398" i="2"/>
  <c r="C4398" i="2"/>
  <c r="B4398" i="2"/>
  <c r="V4397" i="2"/>
  <c r="U4397" i="2"/>
  <c r="T4397" i="2"/>
  <c r="S4397" i="2"/>
  <c r="R4397" i="2"/>
  <c r="Q4397" i="2"/>
  <c r="P4397" i="2"/>
  <c r="O4397" i="2"/>
  <c r="N4397" i="2"/>
  <c r="M4397" i="2"/>
  <c r="L4397" i="2"/>
  <c r="K4397" i="2"/>
  <c r="J4397" i="2"/>
  <c r="I4397" i="2"/>
  <c r="H4397" i="2"/>
  <c r="G4397" i="2"/>
  <c r="F4397" i="2"/>
  <c r="E4397" i="2"/>
  <c r="D4397" i="2"/>
  <c r="C4397" i="2"/>
  <c r="B4397" i="2"/>
  <c r="V4396" i="2"/>
  <c r="U4396" i="2"/>
  <c r="T4396" i="2"/>
  <c r="S4396" i="2"/>
  <c r="R4396" i="2"/>
  <c r="Q4396" i="2"/>
  <c r="P4396" i="2"/>
  <c r="O4396" i="2"/>
  <c r="N4396" i="2"/>
  <c r="M4396" i="2"/>
  <c r="L4396" i="2"/>
  <c r="K4396" i="2"/>
  <c r="J4396" i="2"/>
  <c r="I4396" i="2"/>
  <c r="H4396" i="2"/>
  <c r="G4396" i="2"/>
  <c r="F4396" i="2"/>
  <c r="E4396" i="2"/>
  <c r="D4396" i="2"/>
  <c r="C4396" i="2"/>
  <c r="B4396" i="2"/>
  <c r="V4395" i="2"/>
  <c r="U4395" i="2"/>
  <c r="T4395" i="2"/>
  <c r="S4395" i="2"/>
  <c r="R4395" i="2"/>
  <c r="Q4395" i="2"/>
  <c r="P4395" i="2"/>
  <c r="O4395" i="2"/>
  <c r="N4395" i="2"/>
  <c r="M4395" i="2"/>
  <c r="L4395" i="2"/>
  <c r="K4395" i="2"/>
  <c r="J4395" i="2"/>
  <c r="I4395" i="2"/>
  <c r="H4395" i="2"/>
  <c r="G4395" i="2"/>
  <c r="F4395" i="2"/>
  <c r="E4395" i="2"/>
  <c r="D4395" i="2"/>
  <c r="C4395" i="2"/>
  <c r="B4395" i="2"/>
  <c r="V4394" i="2"/>
  <c r="U4394" i="2"/>
  <c r="T4394" i="2"/>
  <c r="S4394" i="2"/>
  <c r="R4394" i="2"/>
  <c r="Q4394" i="2"/>
  <c r="P4394" i="2"/>
  <c r="O4394" i="2"/>
  <c r="N4394" i="2"/>
  <c r="M4394" i="2"/>
  <c r="L4394" i="2"/>
  <c r="K4394" i="2"/>
  <c r="J4394" i="2"/>
  <c r="I4394" i="2"/>
  <c r="H4394" i="2"/>
  <c r="G4394" i="2"/>
  <c r="F4394" i="2"/>
  <c r="E4394" i="2"/>
  <c r="D4394" i="2"/>
  <c r="C4394" i="2"/>
  <c r="B4394" i="2"/>
  <c r="V4393" i="2"/>
  <c r="U4393" i="2"/>
  <c r="T4393" i="2"/>
  <c r="S4393" i="2"/>
  <c r="R4393" i="2"/>
  <c r="Q4393" i="2"/>
  <c r="P4393" i="2"/>
  <c r="O4393" i="2"/>
  <c r="N4393" i="2"/>
  <c r="M4393" i="2"/>
  <c r="L4393" i="2"/>
  <c r="K4393" i="2"/>
  <c r="J4393" i="2"/>
  <c r="I4393" i="2"/>
  <c r="H4393" i="2"/>
  <c r="G4393" i="2"/>
  <c r="F4393" i="2"/>
  <c r="E4393" i="2"/>
  <c r="D4393" i="2"/>
  <c r="C4393" i="2"/>
  <c r="B4393" i="2"/>
  <c r="V4392" i="2"/>
  <c r="U4392" i="2"/>
  <c r="T4392" i="2"/>
  <c r="S4392" i="2"/>
  <c r="R4392" i="2"/>
  <c r="Q4392" i="2"/>
  <c r="P4392" i="2"/>
  <c r="O4392" i="2"/>
  <c r="N4392" i="2"/>
  <c r="M4392" i="2"/>
  <c r="L4392" i="2"/>
  <c r="K4392" i="2"/>
  <c r="J4392" i="2"/>
  <c r="I4392" i="2"/>
  <c r="H4392" i="2"/>
  <c r="G4392" i="2"/>
  <c r="F4392" i="2"/>
  <c r="E4392" i="2"/>
  <c r="D4392" i="2"/>
  <c r="C4392" i="2"/>
  <c r="B4392" i="2"/>
  <c r="V4391" i="2"/>
  <c r="U4391" i="2"/>
  <c r="T4391" i="2"/>
  <c r="S4391" i="2"/>
  <c r="R4391" i="2"/>
  <c r="Q4391" i="2"/>
  <c r="P4391" i="2"/>
  <c r="O4391" i="2"/>
  <c r="N4391" i="2"/>
  <c r="M4391" i="2"/>
  <c r="L4391" i="2"/>
  <c r="K4391" i="2"/>
  <c r="J4391" i="2"/>
  <c r="I4391" i="2"/>
  <c r="H4391" i="2"/>
  <c r="G4391" i="2"/>
  <c r="F4391" i="2"/>
  <c r="E4391" i="2"/>
  <c r="D4391" i="2"/>
  <c r="C4391" i="2"/>
  <c r="B4391" i="2"/>
  <c r="V4390" i="2"/>
  <c r="U4390" i="2"/>
  <c r="T4390" i="2"/>
  <c r="S4390" i="2"/>
  <c r="R4390" i="2"/>
  <c r="Q4390" i="2"/>
  <c r="P4390" i="2"/>
  <c r="O4390" i="2"/>
  <c r="N4390" i="2"/>
  <c r="M4390" i="2"/>
  <c r="L4390" i="2"/>
  <c r="K4390" i="2"/>
  <c r="J4390" i="2"/>
  <c r="I4390" i="2"/>
  <c r="H4390" i="2"/>
  <c r="G4390" i="2"/>
  <c r="F4390" i="2"/>
  <c r="E4390" i="2"/>
  <c r="D4390" i="2"/>
  <c r="C4390" i="2"/>
  <c r="B4390" i="2"/>
  <c r="V4389" i="2"/>
  <c r="U4389" i="2"/>
  <c r="T4389" i="2"/>
  <c r="S4389" i="2"/>
  <c r="R4389" i="2"/>
  <c r="Q4389" i="2"/>
  <c r="P4389" i="2"/>
  <c r="O4389" i="2"/>
  <c r="N4389" i="2"/>
  <c r="M4389" i="2"/>
  <c r="L4389" i="2"/>
  <c r="K4389" i="2"/>
  <c r="J4389" i="2"/>
  <c r="I4389" i="2"/>
  <c r="H4389" i="2"/>
  <c r="G4389" i="2"/>
  <c r="F4389" i="2"/>
  <c r="E4389" i="2"/>
  <c r="D4389" i="2"/>
  <c r="C4389" i="2"/>
  <c r="B4389" i="2"/>
  <c r="V4388" i="2"/>
  <c r="U4388" i="2"/>
  <c r="T4388" i="2"/>
  <c r="S4388" i="2"/>
  <c r="R4388" i="2"/>
  <c r="Q4388" i="2"/>
  <c r="P4388" i="2"/>
  <c r="O4388" i="2"/>
  <c r="N4388" i="2"/>
  <c r="M4388" i="2"/>
  <c r="L4388" i="2"/>
  <c r="K4388" i="2"/>
  <c r="J4388" i="2"/>
  <c r="I4388" i="2"/>
  <c r="H4388" i="2"/>
  <c r="G4388" i="2"/>
  <c r="F4388" i="2"/>
  <c r="E4388" i="2"/>
  <c r="D4388" i="2"/>
  <c r="C4388" i="2"/>
  <c r="B4388" i="2"/>
  <c r="V4387" i="2"/>
  <c r="U4387" i="2"/>
  <c r="T4387" i="2"/>
  <c r="S4387" i="2"/>
  <c r="R4387" i="2"/>
  <c r="Q4387" i="2"/>
  <c r="P4387" i="2"/>
  <c r="O4387" i="2"/>
  <c r="N4387" i="2"/>
  <c r="M4387" i="2"/>
  <c r="L4387" i="2"/>
  <c r="K4387" i="2"/>
  <c r="J4387" i="2"/>
  <c r="I4387" i="2"/>
  <c r="H4387" i="2"/>
  <c r="G4387" i="2"/>
  <c r="F4387" i="2"/>
  <c r="E4387" i="2"/>
  <c r="D4387" i="2"/>
  <c r="C4387" i="2"/>
  <c r="B4387" i="2"/>
  <c r="V4386" i="2"/>
  <c r="U4386" i="2"/>
  <c r="T4386" i="2"/>
  <c r="S4386" i="2"/>
  <c r="R4386" i="2"/>
  <c r="Q4386" i="2"/>
  <c r="P4386" i="2"/>
  <c r="O4386" i="2"/>
  <c r="N4386" i="2"/>
  <c r="M4386" i="2"/>
  <c r="L4386" i="2"/>
  <c r="K4386" i="2"/>
  <c r="J4386" i="2"/>
  <c r="I4386" i="2"/>
  <c r="H4386" i="2"/>
  <c r="G4386" i="2"/>
  <c r="F4386" i="2"/>
  <c r="E4386" i="2"/>
  <c r="D4386" i="2"/>
  <c r="C4386" i="2"/>
  <c r="B4386" i="2"/>
  <c r="V4385" i="2"/>
  <c r="U4385" i="2"/>
  <c r="T4385" i="2"/>
  <c r="S4385" i="2"/>
  <c r="R4385" i="2"/>
  <c r="Q4385" i="2"/>
  <c r="P4385" i="2"/>
  <c r="O4385" i="2"/>
  <c r="N4385" i="2"/>
  <c r="M4385" i="2"/>
  <c r="L4385" i="2"/>
  <c r="K4385" i="2"/>
  <c r="J4385" i="2"/>
  <c r="I4385" i="2"/>
  <c r="H4385" i="2"/>
  <c r="G4385" i="2"/>
  <c r="F4385" i="2"/>
  <c r="E4385" i="2"/>
  <c r="D4385" i="2"/>
  <c r="C4385" i="2"/>
  <c r="B4385" i="2"/>
  <c r="V4384" i="2"/>
  <c r="U4384" i="2"/>
  <c r="T4384" i="2"/>
  <c r="S4384" i="2"/>
  <c r="R4384" i="2"/>
  <c r="Q4384" i="2"/>
  <c r="P4384" i="2"/>
  <c r="O4384" i="2"/>
  <c r="N4384" i="2"/>
  <c r="M4384" i="2"/>
  <c r="L4384" i="2"/>
  <c r="K4384" i="2"/>
  <c r="J4384" i="2"/>
  <c r="I4384" i="2"/>
  <c r="H4384" i="2"/>
  <c r="G4384" i="2"/>
  <c r="F4384" i="2"/>
  <c r="E4384" i="2"/>
  <c r="D4384" i="2"/>
  <c r="C4384" i="2"/>
  <c r="B4384" i="2"/>
  <c r="V4383" i="2"/>
  <c r="U4383" i="2"/>
  <c r="T4383" i="2"/>
  <c r="S4383" i="2"/>
  <c r="R4383" i="2"/>
  <c r="Q4383" i="2"/>
  <c r="P4383" i="2"/>
  <c r="O4383" i="2"/>
  <c r="N4383" i="2"/>
  <c r="M4383" i="2"/>
  <c r="L4383" i="2"/>
  <c r="K4383" i="2"/>
  <c r="J4383" i="2"/>
  <c r="I4383" i="2"/>
  <c r="H4383" i="2"/>
  <c r="G4383" i="2"/>
  <c r="F4383" i="2"/>
  <c r="E4383" i="2"/>
  <c r="D4383" i="2"/>
  <c r="C4383" i="2"/>
  <c r="B4383" i="2"/>
  <c r="V4382" i="2"/>
  <c r="U4382" i="2"/>
  <c r="T4382" i="2"/>
  <c r="S4382" i="2"/>
  <c r="R4382" i="2"/>
  <c r="Q4382" i="2"/>
  <c r="P4382" i="2"/>
  <c r="O4382" i="2"/>
  <c r="N4382" i="2"/>
  <c r="M4382" i="2"/>
  <c r="L4382" i="2"/>
  <c r="K4382" i="2"/>
  <c r="J4382" i="2"/>
  <c r="I4382" i="2"/>
  <c r="H4382" i="2"/>
  <c r="G4382" i="2"/>
  <c r="F4382" i="2"/>
  <c r="E4382" i="2"/>
  <c r="D4382" i="2"/>
  <c r="C4382" i="2"/>
  <c r="B4382" i="2"/>
  <c r="V4381" i="2"/>
  <c r="U4381" i="2"/>
  <c r="T4381" i="2"/>
  <c r="S4381" i="2"/>
  <c r="R4381" i="2"/>
  <c r="Q4381" i="2"/>
  <c r="P4381" i="2"/>
  <c r="O4381" i="2"/>
  <c r="N4381" i="2"/>
  <c r="M4381" i="2"/>
  <c r="L4381" i="2"/>
  <c r="K4381" i="2"/>
  <c r="J4381" i="2"/>
  <c r="I4381" i="2"/>
  <c r="H4381" i="2"/>
  <c r="G4381" i="2"/>
  <c r="F4381" i="2"/>
  <c r="E4381" i="2"/>
  <c r="D4381" i="2"/>
  <c r="C4381" i="2"/>
  <c r="B4381" i="2"/>
  <c r="V4380" i="2"/>
  <c r="U4380" i="2"/>
  <c r="T4380" i="2"/>
  <c r="S4380" i="2"/>
  <c r="R4380" i="2"/>
  <c r="Q4380" i="2"/>
  <c r="P4380" i="2"/>
  <c r="O4380" i="2"/>
  <c r="N4380" i="2"/>
  <c r="M4380" i="2"/>
  <c r="L4380" i="2"/>
  <c r="K4380" i="2"/>
  <c r="J4380" i="2"/>
  <c r="I4380" i="2"/>
  <c r="H4380" i="2"/>
  <c r="G4380" i="2"/>
  <c r="F4380" i="2"/>
  <c r="E4380" i="2"/>
  <c r="D4380" i="2"/>
  <c r="C4380" i="2"/>
  <c r="B4380" i="2"/>
  <c r="V4379" i="2"/>
  <c r="U4379" i="2"/>
  <c r="T4379" i="2"/>
  <c r="S4379" i="2"/>
  <c r="R4379" i="2"/>
  <c r="Q4379" i="2"/>
  <c r="P4379" i="2"/>
  <c r="O4379" i="2"/>
  <c r="N4379" i="2"/>
  <c r="M4379" i="2"/>
  <c r="L4379" i="2"/>
  <c r="K4379" i="2"/>
  <c r="J4379" i="2"/>
  <c r="I4379" i="2"/>
  <c r="H4379" i="2"/>
  <c r="G4379" i="2"/>
  <c r="F4379" i="2"/>
  <c r="E4379" i="2"/>
  <c r="D4379" i="2"/>
  <c r="C4379" i="2"/>
  <c r="B4379" i="2"/>
  <c r="V4378" i="2"/>
  <c r="U4378" i="2"/>
  <c r="T4378" i="2"/>
  <c r="S4378" i="2"/>
  <c r="R4378" i="2"/>
  <c r="Q4378" i="2"/>
  <c r="P4378" i="2"/>
  <c r="O4378" i="2"/>
  <c r="N4378" i="2"/>
  <c r="M4378" i="2"/>
  <c r="L4378" i="2"/>
  <c r="K4378" i="2"/>
  <c r="J4378" i="2"/>
  <c r="I4378" i="2"/>
  <c r="H4378" i="2"/>
  <c r="G4378" i="2"/>
  <c r="F4378" i="2"/>
  <c r="E4378" i="2"/>
  <c r="D4378" i="2"/>
  <c r="C4378" i="2"/>
  <c r="B4378" i="2"/>
  <c r="V4377" i="2"/>
  <c r="U4377" i="2"/>
  <c r="T4377" i="2"/>
  <c r="S4377" i="2"/>
  <c r="R4377" i="2"/>
  <c r="Q4377" i="2"/>
  <c r="P4377" i="2"/>
  <c r="O4377" i="2"/>
  <c r="N4377" i="2"/>
  <c r="M4377" i="2"/>
  <c r="L4377" i="2"/>
  <c r="K4377" i="2"/>
  <c r="J4377" i="2"/>
  <c r="I4377" i="2"/>
  <c r="H4377" i="2"/>
  <c r="G4377" i="2"/>
  <c r="F4377" i="2"/>
  <c r="E4377" i="2"/>
  <c r="D4377" i="2"/>
  <c r="C4377" i="2"/>
  <c r="B4377" i="2"/>
  <c r="V4376" i="2"/>
  <c r="U4376" i="2"/>
  <c r="T4376" i="2"/>
  <c r="S4376" i="2"/>
  <c r="R4376" i="2"/>
  <c r="Q4376" i="2"/>
  <c r="P4376" i="2"/>
  <c r="O4376" i="2"/>
  <c r="N4376" i="2"/>
  <c r="M4376" i="2"/>
  <c r="L4376" i="2"/>
  <c r="K4376" i="2"/>
  <c r="J4376" i="2"/>
  <c r="I4376" i="2"/>
  <c r="H4376" i="2"/>
  <c r="G4376" i="2"/>
  <c r="F4376" i="2"/>
  <c r="E4376" i="2"/>
  <c r="D4376" i="2"/>
  <c r="C4376" i="2"/>
  <c r="B4376" i="2"/>
  <c r="V4375" i="2"/>
  <c r="U4375" i="2"/>
  <c r="T4375" i="2"/>
  <c r="S4375" i="2"/>
  <c r="R4375" i="2"/>
  <c r="Q4375" i="2"/>
  <c r="P4375" i="2"/>
  <c r="O4375" i="2"/>
  <c r="N4375" i="2"/>
  <c r="M4375" i="2"/>
  <c r="L4375" i="2"/>
  <c r="K4375" i="2"/>
  <c r="J4375" i="2"/>
  <c r="I4375" i="2"/>
  <c r="H4375" i="2"/>
  <c r="G4375" i="2"/>
  <c r="F4375" i="2"/>
  <c r="E4375" i="2"/>
  <c r="D4375" i="2"/>
  <c r="C4375" i="2"/>
  <c r="B4375" i="2"/>
  <c r="V4374" i="2"/>
  <c r="U4374" i="2"/>
  <c r="T4374" i="2"/>
  <c r="S4374" i="2"/>
  <c r="R4374" i="2"/>
  <c r="Q4374" i="2"/>
  <c r="P4374" i="2"/>
  <c r="O4374" i="2"/>
  <c r="N4374" i="2"/>
  <c r="M4374" i="2"/>
  <c r="L4374" i="2"/>
  <c r="K4374" i="2"/>
  <c r="J4374" i="2"/>
  <c r="I4374" i="2"/>
  <c r="H4374" i="2"/>
  <c r="G4374" i="2"/>
  <c r="F4374" i="2"/>
  <c r="E4374" i="2"/>
  <c r="D4374" i="2"/>
  <c r="C4374" i="2"/>
  <c r="B4374" i="2"/>
  <c r="V4373" i="2"/>
  <c r="U4373" i="2"/>
  <c r="T4373" i="2"/>
  <c r="S4373" i="2"/>
  <c r="R4373" i="2"/>
  <c r="Q4373" i="2"/>
  <c r="P4373" i="2"/>
  <c r="O4373" i="2"/>
  <c r="N4373" i="2"/>
  <c r="M4373" i="2"/>
  <c r="L4373" i="2"/>
  <c r="K4373" i="2"/>
  <c r="J4373" i="2"/>
  <c r="I4373" i="2"/>
  <c r="H4373" i="2"/>
  <c r="G4373" i="2"/>
  <c r="F4373" i="2"/>
  <c r="E4373" i="2"/>
  <c r="D4373" i="2"/>
  <c r="C4373" i="2"/>
  <c r="B4373" i="2"/>
  <c r="V4372" i="2"/>
  <c r="U4372" i="2"/>
  <c r="T4372" i="2"/>
  <c r="S4372" i="2"/>
  <c r="R4372" i="2"/>
  <c r="Q4372" i="2"/>
  <c r="P4372" i="2"/>
  <c r="O4372" i="2"/>
  <c r="N4372" i="2"/>
  <c r="M4372" i="2"/>
  <c r="L4372" i="2"/>
  <c r="K4372" i="2"/>
  <c r="J4372" i="2"/>
  <c r="I4372" i="2"/>
  <c r="H4372" i="2"/>
  <c r="G4372" i="2"/>
  <c r="F4372" i="2"/>
  <c r="E4372" i="2"/>
  <c r="D4372" i="2"/>
  <c r="C4372" i="2"/>
  <c r="B4372" i="2"/>
  <c r="V4371" i="2"/>
  <c r="U4371" i="2"/>
  <c r="T4371" i="2"/>
  <c r="S4371" i="2"/>
  <c r="R4371" i="2"/>
  <c r="Q4371" i="2"/>
  <c r="P4371" i="2"/>
  <c r="O4371" i="2"/>
  <c r="N4371" i="2"/>
  <c r="M4371" i="2"/>
  <c r="L4371" i="2"/>
  <c r="K4371" i="2"/>
  <c r="J4371" i="2"/>
  <c r="I4371" i="2"/>
  <c r="H4371" i="2"/>
  <c r="G4371" i="2"/>
  <c r="F4371" i="2"/>
  <c r="E4371" i="2"/>
  <c r="D4371" i="2"/>
  <c r="C4371" i="2"/>
  <c r="B4371" i="2"/>
  <c r="V4370" i="2"/>
  <c r="U4370" i="2"/>
  <c r="T4370" i="2"/>
  <c r="S4370" i="2"/>
  <c r="R4370" i="2"/>
  <c r="Q4370" i="2"/>
  <c r="P4370" i="2"/>
  <c r="O4370" i="2"/>
  <c r="N4370" i="2"/>
  <c r="M4370" i="2"/>
  <c r="L4370" i="2"/>
  <c r="K4370" i="2"/>
  <c r="J4370" i="2"/>
  <c r="I4370" i="2"/>
  <c r="H4370" i="2"/>
  <c r="G4370" i="2"/>
  <c r="F4370" i="2"/>
  <c r="E4370" i="2"/>
  <c r="D4370" i="2"/>
  <c r="C4370" i="2"/>
  <c r="B4370" i="2"/>
  <c r="V4369" i="2"/>
  <c r="U4369" i="2"/>
  <c r="T4369" i="2"/>
  <c r="S4369" i="2"/>
  <c r="R4369" i="2"/>
  <c r="Q4369" i="2"/>
  <c r="P4369" i="2"/>
  <c r="O4369" i="2"/>
  <c r="N4369" i="2"/>
  <c r="M4369" i="2"/>
  <c r="L4369" i="2"/>
  <c r="K4369" i="2"/>
  <c r="J4369" i="2"/>
  <c r="I4369" i="2"/>
  <c r="H4369" i="2"/>
  <c r="G4369" i="2"/>
  <c r="F4369" i="2"/>
  <c r="E4369" i="2"/>
  <c r="D4369" i="2"/>
  <c r="C4369" i="2"/>
  <c r="B4369" i="2"/>
  <c r="V4368" i="2"/>
  <c r="U4368" i="2"/>
  <c r="T4368" i="2"/>
  <c r="S4368" i="2"/>
  <c r="R4368" i="2"/>
  <c r="Q4368" i="2"/>
  <c r="P4368" i="2"/>
  <c r="O4368" i="2"/>
  <c r="N4368" i="2"/>
  <c r="M4368" i="2"/>
  <c r="L4368" i="2"/>
  <c r="K4368" i="2"/>
  <c r="J4368" i="2"/>
  <c r="I4368" i="2"/>
  <c r="H4368" i="2"/>
  <c r="G4368" i="2"/>
  <c r="F4368" i="2"/>
  <c r="E4368" i="2"/>
  <c r="D4368" i="2"/>
  <c r="C4368" i="2"/>
  <c r="B4368" i="2"/>
  <c r="V4367" i="2"/>
  <c r="U4367" i="2"/>
  <c r="T4367" i="2"/>
  <c r="S4367" i="2"/>
  <c r="R4367" i="2"/>
  <c r="Q4367" i="2"/>
  <c r="P4367" i="2"/>
  <c r="O4367" i="2"/>
  <c r="N4367" i="2"/>
  <c r="M4367" i="2"/>
  <c r="L4367" i="2"/>
  <c r="K4367" i="2"/>
  <c r="J4367" i="2"/>
  <c r="I4367" i="2"/>
  <c r="H4367" i="2"/>
  <c r="G4367" i="2"/>
  <c r="F4367" i="2"/>
  <c r="E4367" i="2"/>
  <c r="D4367" i="2"/>
  <c r="C4367" i="2"/>
  <c r="B4367" i="2"/>
  <c r="V4366" i="2"/>
  <c r="U4366" i="2"/>
  <c r="T4366" i="2"/>
  <c r="S4366" i="2"/>
  <c r="R4366" i="2"/>
  <c r="Q4366" i="2"/>
  <c r="P4366" i="2"/>
  <c r="O4366" i="2"/>
  <c r="N4366" i="2"/>
  <c r="M4366" i="2"/>
  <c r="L4366" i="2"/>
  <c r="K4366" i="2"/>
  <c r="J4366" i="2"/>
  <c r="I4366" i="2"/>
  <c r="H4366" i="2"/>
  <c r="G4366" i="2"/>
  <c r="F4366" i="2"/>
  <c r="E4366" i="2"/>
  <c r="D4366" i="2"/>
  <c r="C4366" i="2"/>
  <c r="B4366" i="2"/>
  <c r="V4365" i="2"/>
  <c r="U4365" i="2"/>
  <c r="T4365" i="2"/>
  <c r="S4365" i="2"/>
  <c r="R4365" i="2"/>
  <c r="Q4365" i="2"/>
  <c r="P4365" i="2"/>
  <c r="O4365" i="2"/>
  <c r="N4365" i="2"/>
  <c r="M4365" i="2"/>
  <c r="L4365" i="2"/>
  <c r="K4365" i="2"/>
  <c r="J4365" i="2"/>
  <c r="I4365" i="2"/>
  <c r="H4365" i="2"/>
  <c r="G4365" i="2"/>
  <c r="F4365" i="2"/>
  <c r="E4365" i="2"/>
  <c r="D4365" i="2"/>
  <c r="C4365" i="2"/>
  <c r="B4365" i="2"/>
  <c r="V4364" i="2"/>
  <c r="U4364" i="2"/>
  <c r="T4364" i="2"/>
  <c r="S4364" i="2"/>
  <c r="R4364" i="2"/>
  <c r="Q4364" i="2"/>
  <c r="P4364" i="2"/>
  <c r="O4364" i="2"/>
  <c r="N4364" i="2"/>
  <c r="M4364" i="2"/>
  <c r="L4364" i="2"/>
  <c r="K4364" i="2"/>
  <c r="J4364" i="2"/>
  <c r="I4364" i="2"/>
  <c r="H4364" i="2"/>
  <c r="G4364" i="2"/>
  <c r="F4364" i="2"/>
  <c r="E4364" i="2"/>
  <c r="D4364" i="2"/>
  <c r="C4364" i="2"/>
  <c r="B4364" i="2"/>
  <c r="V4363" i="2"/>
  <c r="U4363" i="2"/>
  <c r="T4363" i="2"/>
  <c r="S4363" i="2"/>
  <c r="R4363" i="2"/>
  <c r="Q4363" i="2"/>
  <c r="P4363" i="2"/>
  <c r="O4363" i="2"/>
  <c r="N4363" i="2"/>
  <c r="M4363" i="2"/>
  <c r="L4363" i="2"/>
  <c r="K4363" i="2"/>
  <c r="J4363" i="2"/>
  <c r="I4363" i="2"/>
  <c r="H4363" i="2"/>
  <c r="G4363" i="2"/>
  <c r="F4363" i="2"/>
  <c r="E4363" i="2"/>
  <c r="D4363" i="2"/>
  <c r="C4363" i="2"/>
  <c r="B4363" i="2"/>
  <c r="V4362" i="2"/>
  <c r="U4362" i="2"/>
  <c r="T4362" i="2"/>
  <c r="S4362" i="2"/>
  <c r="R4362" i="2"/>
  <c r="Q4362" i="2"/>
  <c r="P4362" i="2"/>
  <c r="O4362" i="2"/>
  <c r="N4362" i="2"/>
  <c r="M4362" i="2"/>
  <c r="L4362" i="2"/>
  <c r="K4362" i="2"/>
  <c r="J4362" i="2"/>
  <c r="I4362" i="2"/>
  <c r="H4362" i="2"/>
  <c r="G4362" i="2"/>
  <c r="F4362" i="2"/>
  <c r="E4362" i="2"/>
  <c r="D4362" i="2"/>
  <c r="C4362" i="2"/>
  <c r="B4362" i="2"/>
  <c r="V4361" i="2"/>
  <c r="U4361" i="2"/>
  <c r="T4361" i="2"/>
  <c r="S4361" i="2"/>
  <c r="R4361" i="2"/>
  <c r="Q4361" i="2"/>
  <c r="P4361" i="2"/>
  <c r="O4361" i="2"/>
  <c r="N4361" i="2"/>
  <c r="M4361" i="2"/>
  <c r="L4361" i="2"/>
  <c r="K4361" i="2"/>
  <c r="J4361" i="2"/>
  <c r="I4361" i="2"/>
  <c r="H4361" i="2"/>
  <c r="G4361" i="2"/>
  <c r="F4361" i="2"/>
  <c r="E4361" i="2"/>
  <c r="D4361" i="2"/>
  <c r="C4361" i="2"/>
  <c r="B4361" i="2"/>
  <c r="V4360" i="2"/>
  <c r="U4360" i="2"/>
  <c r="T4360" i="2"/>
  <c r="S4360" i="2"/>
  <c r="R4360" i="2"/>
  <c r="Q4360" i="2"/>
  <c r="P4360" i="2"/>
  <c r="O4360" i="2"/>
  <c r="N4360" i="2"/>
  <c r="M4360" i="2"/>
  <c r="L4360" i="2"/>
  <c r="K4360" i="2"/>
  <c r="J4360" i="2"/>
  <c r="I4360" i="2"/>
  <c r="H4360" i="2"/>
  <c r="G4360" i="2"/>
  <c r="F4360" i="2"/>
  <c r="E4360" i="2"/>
  <c r="D4360" i="2"/>
  <c r="C4360" i="2"/>
  <c r="B4360" i="2"/>
  <c r="V4359" i="2"/>
  <c r="U4359" i="2"/>
  <c r="T4359" i="2"/>
  <c r="S4359" i="2"/>
  <c r="R4359" i="2"/>
  <c r="Q4359" i="2"/>
  <c r="P4359" i="2"/>
  <c r="O4359" i="2"/>
  <c r="N4359" i="2"/>
  <c r="M4359" i="2"/>
  <c r="L4359" i="2"/>
  <c r="K4359" i="2"/>
  <c r="J4359" i="2"/>
  <c r="I4359" i="2"/>
  <c r="H4359" i="2"/>
  <c r="G4359" i="2"/>
  <c r="F4359" i="2"/>
  <c r="E4359" i="2"/>
  <c r="D4359" i="2"/>
  <c r="C4359" i="2"/>
  <c r="B4359" i="2"/>
  <c r="V4358" i="2"/>
  <c r="U4358" i="2"/>
  <c r="T4358" i="2"/>
  <c r="S4358" i="2"/>
  <c r="R4358" i="2"/>
  <c r="Q4358" i="2"/>
  <c r="P4358" i="2"/>
  <c r="O4358" i="2"/>
  <c r="N4358" i="2"/>
  <c r="M4358" i="2"/>
  <c r="L4358" i="2"/>
  <c r="K4358" i="2"/>
  <c r="J4358" i="2"/>
  <c r="I4358" i="2"/>
  <c r="H4358" i="2"/>
  <c r="G4358" i="2"/>
  <c r="F4358" i="2"/>
  <c r="E4358" i="2"/>
  <c r="D4358" i="2"/>
  <c r="C4358" i="2"/>
  <c r="B4358" i="2"/>
  <c r="V4357" i="2"/>
  <c r="U4357" i="2"/>
  <c r="T4357" i="2"/>
  <c r="S4357" i="2"/>
  <c r="R4357" i="2"/>
  <c r="Q4357" i="2"/>
  <c r="P4357" i="2"/>
  <c r="O4357" i="2"/>
  <c r="N4357" i="2"/>
  <c r="M4357" i="2"/>
  <c r="L4357" i="2"/>
  <c r="K4357" i="2"/>
  <c r="J4357" i="2"/>
  <c r="I4357" i="2"/>
  <c r="H4357" i="2"/>
  <c r="G4357" i="2"/>
  <c r="F4357" i="2"/>
  <c r="E4357" i="2"/>
  <c r="D4357" i="2"/>
  <c r="C4357" i="2"/>
  <c r="B4357" i="2"/>
  <c r="V4356" i="2"/>
  <c r="U4356" i="2"/>
  <c r="T4356" i="2"/>
  <c r="S4356" i="2"/>
  <c r="R4356" i="2"/>
  <c r="Q4356" i="2"/>
  <c r="P4356" i="2"/>
  <c r="O4356" i="2"/>
  <c r="N4356" i="2"/>
  <c r="M4356" i="2"/>
  <c r="L4356" i="2"/>
  <c r="K4356" i="2"/>
  <c r="J4356" i="2"/>
  <c r="I4356" i="2"/>
  <c r="H4356" i="2"/>
  <c r="G4356" i="2"/>
  <c r="F4356" i="2"/>
  <c r="E4356" i="2"/>
  <c r="D4356" i="2"/>
  <c r="C4356" i="2"/>
  <c r="B4356" i="2"/>
  <c r="V4355" i="2"/>
  <c r="U4355" i="2"/>
  <c r="T4355" i="2"/>
  <c r="S4355" i="2"/>
  <c r="R4355" i="2"/>
  <c r="Q4355" i="2"/>
  <c r="P4355" i="2"/>
  <c r="O4355" i="2"/>
  <c r="N4355" i="2"/>
  <c r="M4355" i="2"/>
  <c r="L4355" i="2"/>
  <c r="K4355" i="2"/>
  <c r="J4355" i="2"/>
  <c r="I4355" i="2"/>
  <c r="H4355" i="2"/>
  <c r="G4355" i="2"/>
  <c r="F4355" i="2"/>
  <c r="E4355" i="2"/>
  <c r="D4355" i="2"/>
  <c r="C4355" i="2"/>
  <c r="B4355" i="2"/>
  <c r="V4354" i="2"/>
  <c r="U4354" i="2"/>
  <c r="T4354" i="2"/>
  <c r="S4354" i="2"/>
  <c r="R4354" i="2"/>
  <c r="Q4354" i="2"/>
  <c r="P4354" i="2"/>
  <c r="O4354" i="2"/>
  <c r="N4354" i="2"/>
  <c r="M4354" i="2"/>
  <c r="L4354" i="2"/>
  <c r="K4354" i="2"/>
  <c r="J4354" i="2"/>
  <c r="I4354" i="2"/>
  <c r="H4354" i="2"/>
  <c r="G4354" i="2"/>
  <c r="F4354" i="2"/>
  <c r="E4354" i="2"/>
  <c r="D4354" i="2"/>
  <c r="C4354" i="2"/>
  <c r="B4354" i="2"/>
  <c r="V4353" i="2"/>
  <c r="U4353" i="2"/>
  <c r="T4353" i="2"/>
  <c r="S4353" i="2"/>
  <c r="R4353" i="2"/>
  <c r="Q4353" i="2"/>
  <c r="P4353" i="2"/>
  <c r="O4353" i="2"/>
  <c r="N4353" i="2"/>
  <c r="M4353" i="2"/>
  <c r="L4353" i="2"/>
  <c r="K4353" i="2"/>
  <c r="J4353" i="2"/>
  <c r="I4353" i="2"/>
  <c r="H4353" i="2"/>
  <c r="G4353" i="2"/>
  <c r="F4353" i="2"/>
  <c r="E4353" i="2"/>
  <c r="D4353" i="2"/>
  <c r="C4353" i="2"/>
  <c r="B4353" i="2"/>
  <c r="V4352" i="2"/>
  <c r="U4352" i="2"/>
  <c r="T4352" i="2"/>
  <c r="S4352" i="2"/>
  <c r="R4352" i="2"/>
  <c r="Q4352" i="2"/>
  <c r="P4352" i="2"/>
  <c r="O4352" i="2"/>
  <c r="N4352" i="2"/>
  <c r="M4352" i="2"/>
  <c r="L4352" i="2"/>
  <c r="K4352" i="2"/>
  <c r="J4352" i="2"/>
  <c r="I4352" i="2"/>
  <c r="H4352" i="2"/>
  <c r="G4352" i="2"/>
  <c r="F4352" i="2"/>
  <c r="E4352" i="2"/>
  <c r="D4352" i="2"/>
  <c r="C4352" i="2"/>
  <c r="B4352" i="2"/>
  <c r="V4351" i="2"/>
  <c r="U4351" i="2"/>
  <c r="T4351" i="2"/>
  <c r="S4351" i="2"/>
  <c r="R4351" i="2"/>
  <c r="Q4351" i="2"/>
  <c r="P4351" i="2"/>
  <c r="O4351" i="2"/>
  <c r="N4351" i="2"/>
  <c r="M4351" i="2"/>
  <c r="L4351" i="2"/>
  <c r="K4351" i="2"/>
  <c r="J4351" i="2"/>
  <c r="I4351" i="2"/>
  <c r="H4351" i="2"/>
  <c r="G4351" i="2"/>
  <c r="F4351" i="2"/>
  <c r="E4351" i="2"/>
  <c r="D4351" i="2"/>
  <c r="C4351" i="2"/>
  <c r="B4351" i="2"/>
  <c r="V4350" i="2"/>
  <c r="U4350" i="2"/>
  <c r="T4350" i="2"/>
  <c r="S4350" i="2"/>
  <c r="R4350" i="2"/>
  <c r="Q4350" i="2"/>
  <c r="P4350" i="2"/>
  <c r="O4350" i="2"/>
  <c r="N4350" i="2"/>
  <c r="M4350" i="2"/>
  <c r="L4350" i="2"/>
  <c r="K4350" i="2"/>
  <c r="J4350" i="2"/>
  <c r="I4350" i="2"/>
  <c r="H4350" i="2"/>
  <c r="G4350" i="2"/>
  <c r="F4350" i="2"/>
  <c r="E4350" i="2"/>
  <c r="D4350" i="2"/>
  <c r="C4350" i="2"/>
  <c r="B4350" i="2"/>
  <c r="V4349" i="2"/>
  <c r="U4349" i="2"/>
  <c r="T4349" i="2"/>
  <c r="S4349" i="2"/>
  <c r="R4349" i="2"/>
  <c r="Q4349" i="2"/>
  <c r="P4349" i="2"/>
  <c r="O4349" i="2"/>
  <c r="N4349" i="2"/>
  <c r="M4349" i="2"/>
  <c r="L4349" i="2"/>
  <c r="K4349" i="2"/>
  <c r="J4349" i="2"/>
  <c r="I4349" i="2"/>
  <c r="H4349" i="2"/>
  <c r="G4349" i="2"/>
  <c r="F4349" i="2"/>
  <c r="E4349" i="2"/>
  <c r="D4349" i="2"/>
  <c r="C4349" i="2"/>
  <c r="B4349" i="2"/>
  <c r="V4348" i="2"/>
  <c r="U4348" i="2"/>
  <c r="T4348" i="2"/>
  <c r="S4348" i="2"/>
  <c r="R4348" i="2"/>
  <c r="Q4348" i="2"/>
  <c r="P4348" i="2"/>
  <c r="O4348" i="2"/>
  <c r="N4348" i="2"/>
  <c r="M4348" i="2"/>
  <c r="L4348" i="2"/>
  <c r="K4348" i="2"/>
  <c r="J4348" i="2"/>
  <c r="I4348" i="2"/>
  <c r="H4348" i="2"/>
  <c r="G4348" i="2"/>
  <c r="F4348" i="2"/>
  <c r="E4348" i="2"/>
  <c r="D4348" i="2"/>
  <c r="C4348" i="2"/>
  <c r="B4348" i="2"/>
  <c r="V4347" i="2"/>
  <c r="U4347" i="2"/>
  <c r="T4347" i="2"/>
  <c r="S4347" i="2"/>
  <c r="R4347" i="2"/>
  <c r="Q4347" i="2"/>
  <c r="P4347" i="2"/>
  <c r="O4347" i="2"/>
  <c r="N4347" i="2"/>
  <c r="M4347" i="2"/>
  <c r="L4347" i="2"/>
  <c r="K4347" i="2"/>
  <c r="J4347" i="2"/>
  <c r="I4347" i="2"/>
  <c r="H4347" i="2"/>
  <c r="G4347" i="2"/>
  <c r="F4347" i="2"/>
  <c r="E4347" i="2"/>
  <c r="D4347" i="2"/>
  <c r="C4347" i="2"/>
  <c r="B4347" i="2"/>
  <c r="V4346" i="2"/>
  <c r="U4346" i="2"/>
  <c r="T4346" i="2"/>
  <c r="S4346" i="2"/>
  <c r="R4346" i="2"/>
  <c r="Q4346" i="2"/>
  <c r="P4346" i="2"/>
  <c r="O4346" i="2"/>
  <c r="N4346" i="2"/>
  <c r="M4346" i="2"/>
  <c r="L4346" i="2"/>
  <c r="K4346" i="2"/>
  <c r="J4346" i="2"/>
  <c r="I4346" i="2"/>
  <c r="H4346" i="2"/>
  <c r="G4346" i="2"/>
  <c r="F4346" i="2"/>
  <c r="E4346" i="2"/>
  <c r="D4346" i="2"/>
  <c r="C4346" i="2"/>
  <c r="B4346" i="2"/>
  <c r="V4345" i="2"/>
  <c r="U4345" i="2"/>
  <c r="T4345" i="2"/>
  <c r="S4345" i="2"/>
  <c r="R4345" i="2"/>
  <c r="Q4345" i="2"/>
  <c r="P4345" i="2"/>
  <c r="O4345" i="2"/>
  <c r="N4345" i="2"/>
  <c r="M4345" i="2"/>
  <c r="L4345" i="2"/>
  <c r="K4345" i="2"/>
  <c r="J4345" i="2"/>
  <c r="I4345" i="2"/>
  <c r="H4345" i="2"/>
  <c r="G4345" i="2"/>
  <c r="F4345" i="2"/>
  <c r="E4345" i="2"/>
  <c r="D4345" i="2"/>
  <c r="C4345" i="2"/>
  <c r="B4345" i="2"/>
  <c r="V4344" i="2"/>
  <c r="U4344" i="2"/>
  <c r="T4344" i="2"/>
  <c r="S4344" i="2"/>
  <c r="R4344" i="2"/>
  <c r="Q4344" i="2"/>
  <c r="P4344" i="2"/>
  <c r="O4344" i="2"/>
  <c r="N4344" i="2"/>
  <c r="M4344" i="2"/>
  <c r="L4344" i="2"/>
  <c r="K4344" i="2"/>
  <c r="J4344" i="2"/>
  <c r="I4344" i="2"/>
  <c r="H4344" i="2"/>
  <c r="G4344" i="2"/>
  <c r="F4344" i="2"/>
  <c r="E4344" i="2"/>
  <c r="D4344" i="2"/>
  <c r="C4344" i="2"/>
  <c r="B4344" i="2"/>
  <c r="V4343" i="2"/>
  <c r="U4343" i="2"/>
  <c r="T4343" i="2"/>
  <c r="S4343" i="2"/>
  <c r="R4343" i="2"/>
  <c r="Q4343" i="2"/>
  <c r="P4343" i="2"/>
  <c r="O4343" i="2"/>
  <c r="N4343" i="2"/>
  <c r="M4343" i="2"/>
  <c r="L4343" i="2"/>
  <c r="K4343" i="2"/>
  <c r="J4343" i="2"/>
  <c r="I4343" i="2"/>
  <c r="H4343" i="2"/>
  <c r="G4343" i="2"/>
  <c r="F4343" i="2"/>
  <c r="E4343" i="2"/>
  <c r="D4343" i="2"/>
  <c r="C4343" i="2"/>
  <c r="B4343" i="2"/>
  <c r="V4342" i="2"/>
  <c r="U4342" i="2"/>
  <c r="T4342" i="2"/>
  <c r="S4342" i="2"/>
  <c r="R4342" i="2"/>
  <c r="Q4342" i="2"/>
  <c r="P4342" i="2"/>
  <c r="O4342" i="2"/>
  <c r="N4342" i="2"/>
  <c r="M4342" i="2"/>
  <c r="L4342" i="2"/>
  <c r="K4342" i="2"/>
  <c r="J4342" i="2"/>
  <c r="I4342" i="2"/>
  <c r="H4342" i="2"/>
  <c r="G4342" i="2"/>
  <c r="F4342" i="2"/>
  <c r="E4342" i="2"/>
  <c r="D4342" i="2"/>
  <c r="C4342" i="2"/>
  <c r="B4342" i="2"/>
  <c r="V4341" i="2"/>
  <c r="U4341" i="2"/>
  <c r="T4341" i="2"/>
  <c r="S4341" i="2"/>
  <c r="R4341" i="2"/>
  <c r="Q4341" i="2"/>
  <c r="P4341" i="2"/>
  <c r="O4341" i="2"/>
  <c r="N4341" i="2"/>
  <c r="M4341" i="2"/>
  <c r="L4341" i="2"/>
  <c r="K4341" i="2"/>
  <c r="J4341" i="2"/>
  <c r="I4341" i="2"/>
  <c r="H4341" i="2"/>
  <c r="G4341" i="2"/>
  <c r="F4341" i="2"/>
  <c r="E4341" i="2"/>
  <c r="D4341" i="2"/>
  <c r="C4341" i="2"/>
  <c r="B4341" i="2"/>
  <c r="V4340" i="2"/>
  <c r="U4340" i="2"/>
  <c r="T4340" i="2"/>
  <c r="S4340" i="2"/>
  <c r="R4340" i="2"/>
  <c r="Q4340" i="2"/>
  <c r="P4340" i="2"/>
  <c r="O4340" i="2"/>
  <c r="N4340" i="2"/>
  <c r="M4340" i="2"/>
  <c r="L4340" i="2"/>
  <c r="K4340" i="2"/>
  <c r="J4340" i="2"/>
  <c r="I4340" i="2"/>
  <c r="H4340" i="2"/>
  <c r="G4340" i="2"/>
  <c r="F4340" i="2"/>
  <c r="E4340" i="2"/>
  <c r="D4340" i="2"/>
  <c r="C4340" i="2"/>
  <c r="B4340" i="2"/>
  <c r="V4339" i="2"/>
  <c r="U4339" i="2"/>
  <c r="T4339" i="2"/>
  <c r="S4339" i="2"/>
  <c r="R4339" i="2"/>
  <c r="Q4339" i="2"/>
  <c r="P4339" i="2"/>
  <c r="O4339" i="2"/>
  <c r="N4339" i="2"/>
  <c r="M4339" i="2"/>
  <c r="L4339" i="2"/>
  <c r="K4339" i="2"/>
  <c r="J4339" i="2"/>
  <c r="I4339" i="2"/>
  <c r="H4339" i="2"/>
  <c r="G4339" i="2"/>
  <c r="F4339" i="2"/>
  <c r="E4339" i="2"/>
  <c r="D4339" i="2"/>
  <c r="C4339" i="2"/>
  <c r="B4339" i="2"/>
  <c r="V4338" i="2"/>
  <c r="U4338" i="2"/>
  <c r="T4338" i="2"/>
  <c r="S4338" i="2"/>
  <c r="R4338" i="2"/>
  <c r="Q4338" i="2"/>
  <c r="P4338" i="2"/>
  <c r="O4338" i="2"/>
  <c r="N4338" i="2"/>
  <c r="M4338" i="2"/>
  <c r="L4338" i="2"/>
  <c r="K4338" i="2"/>
  <c r="J4338" i="2"/>
  <c r="I4338" i="2"/>
  <c r="H4338" i="2"/>
  <c r="G4338" i="2"/>
  <c r="F4338" i="2"/>
  <c r="E4338" i="2"/>
  <c r="D4338" i="2"/>
  <c r="C4338" i="2"/>
  <c r="B4338" i="2"/>
  <c r="V4337" i="2"/>
  <c r="U4337" i="2"/>
  <c r="T4337" i="2"/>
  <c r="S4337" i="2"/>
  <c r="R4337" i="2"/>
  <c r="Q4337" i="2"/>
  <c r="P4337" i="2"/>
  <c r="O4337" i="2"/>
  <c r="N4337" i="2"/>
  <c r="M4337" i="2"/>
  <c r="L4337" i="2"/>
  <c r="K4337" i="2"/>
  <c r="J4337" i="2"/>
  <c r="I4337" i="2"/>
  <c r="H4337" i="2"/>
  <c r="G4337" i="2"/>
  <c r="F4337" i="2"/>
  <c r="E4337" i="2"/>
  <c r="D4337" i="2"/>
  <c r="C4337" i="2"/>
  <c r="B4337" i="2"/>
  <c r="V4336" i="2"/>
  <c r="U4336" i="2"/>
  <c r="T4336" i="2"/>
  <c r="S4336" i="2"/>
  <c r="R4336" i="2"/>
  <c r="Q4336" i="2"/>
  <c r="P4336" i="2"/>
  <c r="O4336" i="2"/>
  <c r="N4336" i="2"/>
  <c r="M4336" i="2"/>
  <c r="L4336" i="2"/>
  <c r="K4336" i="2"/>
  <c r="J4336" i="2"/>
  <c r="I4336" i="2"/>
  <c r="H4336" i="2"/>
  <c r="G4336" i="2"/>
  <c r="F4336" i="2"/>
  <c r="E4336" i="2"/>
  <c r="D4336" i="2"/>
  <c r="C4336" i="2"/>
  <c r="B4336" i="2"/>
  <c r="V4335" i="2"/>
  <c r="U4335" i="2"/>
  <c r="T4335" i="2"/>
  <c r="S4335" i="2"/>
  <c r="R4335" i="2"/>
  <c r="Q4335" i="2"/>
  <c r="P4335" i="2"/>
  <c r="O4335" i="2"/>
  <c r="N4335" i="2"/>
  <c r="M4335" i="2"/>
  <c r="L4335" i="2"/>
  <c r="K4335" i="2"/>
  <c r="J4335" i="2"/>
  <c r="I4335" i="2"/>
  <c r="H4335" i="2"/>
  <c r="G4335" i="2"/>
  <c r="F4335" i="2"/>
  <c r="E4335" i="2"/>
  <c r="D4335" i="2"/>
  <c r="C4335" i="2"/>
  <c r="B4335" i="2"/>
  <c r="V4334" i="2"/>
  <c r="U4334" i="2"/>
  <c r="T4334" i="2"/>
  <c r="S4334" i="2"/>
  <c r="R4334" i="2"/>
  <c r="Q4334" i="2"/>
  <c r="P4334" i="2"/>
  <c r="O4334" i="2"/>
  <c r="N4334" i="2"/>
  <c r="M4334" i="2"/>
  <c r="L4334" i="2"/>
  <c r="K4334" i="2"/>
  <c r="J4334" i="2"/>
  <c r="I4334" i="2"/>
  <c r="H4334" i="2"/>
  <c r="G4334" i="2"/>
  <c r="F4334" i="2"/>
  <c r="E4334" i="2"/>
  <c r="D4334" i="2"/>
  <c r="C4334" i="2"/>
  <c r="B4334" i="2"/>
  <c r="V4333" i="2"/>
  <c r="U4333" i="2"/>
  <c r="T4333" i="2"/>
  <c r="S4333" i="2"/>
  <c r="R4333" i="2"/>
  <c r="Q4333" i="2"/>
  <c r="P4333" i="2"/>
  <c r="O4333" i="2"/>
  <c r="N4333" i="2"/>
  <c r="M4333" i="2"/>
  <c r="L4333" i="2"/>
  <c r="K4333" i="2"/>
  <c r="J4333" i="2"/>
  <c r="I4333" i="2"/>
  <c r="H4333" i="2"/>
  <c r="G4333" i="2"/>
  <c r="F4333" i="2"/>
  <c r="E4333" i="2"/>
  <c r="D4333" i="2"/>
  <c r="C4333" i="2"/>
  <c r="B4333" i="2"/>
  <c r="V4332" i="2"/>
  <c r="U4332" i="2"/>
  <c r="T4332" i="2"/>
  <c r="S4332" i="2"/>
  <c r="R4332" i="2"/>
  <c r="Q4332" i="2"/>
  <c r="P4332" i="2"/>
  <c r="O4332" i="2"/>
  <c r="N4332" i="2"/>
  <c r="M4332" i="2"/>
  <c r="L4332" i="2"/>
  <c r="K4332" i="2"/>
  <c r="J4332" i="2"/>
  <c r="I4332" i="2"/>
  <c r="H4332" i="2"/>
  <c r="G4332" i="2"/>
  <c r="F4332" i="2"/>
  <c r="E4332" i="2"/>
  <c r="D4332" i="2"/>
  <c r="C4332" i="2"/>
  <c r="B4332" i="2"/>
  <c r="V4331" i="2"/>
  <c r="U4331" i="2"/>
  <c r="T4331" i="2"/>
  <c r="S4331" i="2"/>
  <c r="R4331" i="2"/>
  <c r="Q4331" i="2"/>
  <c r="P4331" i="2"/>
  <c r="O4331" i="2"/>
  <c r="N4331" i="2"/>
  <c r="M4331" i="2"/>
  <c r="L4331" i="2"/>
  <c r="K4331" i="2"/>
  <c r="J4331" i="2"/>
  <c r="I4331" i="2"/>
  <c r="H4331" i="2"/>
  <c r="G4331" i="2"/>
  <c r="F4331" i="2"/>
  <c r="E4331" i="2"/>
  <c r="D4331" i="2"/>
  <c r="C4331" i="2"/>
  <c r="B4331" i="2"/>
  <c r="V4330" i="2"/>
  <c r="U4330" i="2"/>
  <c r="T4330" i="2"/>
  <c r="S4330" i="2"/>
  <c r="R4330" i="2"/>
  <c r="Q4330" i="2"/>
  <c r="P4330" i="2"/>
  <c r="O4330" i="2"/>
  <c r="N4330" i="2"/>
  <c r="M4330" i="2"/>
  <c r="L4330" i="2"/>
  <c r="K4330" i="2"/>
  <c r="J4330" i="2"/>
  <c r="I4330" i="2"/>
  <c r="H4330" i="2"/>
  <c r="G4330" i="2"/>
  <c r="F4330" i="2"/>
  <c r="E4330" i="2"/>
  <c r="D4330" i="2"/>
  <c r="C4330" i="2"/>
  <c r="B4330" i="2"/>
  <c r="V4329" i="2"/>
  <c r="U4329" i="2"/>
  <c r="T4329" i="2"/>
  <c r="S4329" i="2"/>
  <c r="R4329" i="2"/>
  <c r="Q4329" i="2"/>
  <c r="P4329" i="2"/>
  <c r="O4329" i="2"/>
  <c r="N4329" i="2"/>
  <c r="M4329" i="2"/>
  <c r="L4329" i="2"/>
  <c r="K4329" i="2"/>
  <c r="J4329" i="2"/>
  <c r="I4329" i="2"/>
  <c r="H4329" i="2"/>
  <c r="G4329" i="2"/>
  <c r="F4329" i="2"/>
  <c r="E4329" i="2"/>
  <c r="D4329" i="2"/>
  <c r="C4329" i="2"/>
  <c r="B4329" i="2"/>
  <c r="V4328" i="2"/>
  <c r="U4328" i="2"/>
  <c r="T4328" i="2"/>
  <c r="S4328" i="2"/>
  <c r="R4328" i="2"/>
  <c r="Q4328" i="2"/>
  <c r="P4328" i="2"/>
  <c r="O4328" i="2"/>
  <c r="N4328" i="2"/>
  <c r="M4328" i="2"/>
  <c r="L4328" i="2"/>
  <c r="K4328" i="2"/>
  <c r="J4328" i="2"/>
  <c r="I4328" i="2"/>
  <c r="H4328" i="2"/>
  <c r="G4328" i="2"/>
  <c r="F4328" i="2"/>
  <c r="E4328" i="2"/>
  <c r="D4328" i="2"/>
  <c r="C4328" i="2"/>
  <c r="B4328" i="2"/>
  <c r="V4327" i="2"/>
  <c r="U4327" i="2"/>
  <c r="T4327" i="2"/>
  <c r="S4327" i="2"/>
  <c r="R4327" i="2"/>
  <c r="Q4327" i="2"/>
  <c r="P4327" i="2"/>
  <c r="O4327" i="2"/>
  <c r="N4327" i="2"/>
  <c r="M4327" i="2"/>
  <c r="L4327" i="2"/>
  <c r="K4327" i="2"/>
  <c r="J4327" i="2"/>
  <c r="I4327" i="2"/>
  <c r="H4327" i="2"/>
  <c r="G4327" i="2"/>
  <c r="F4327" i="2"/>
  <c r="E4327" i="2"/>
  <c r="D4327" i="2"/>
  <c r="C4327" i="2"/>
  <c r="B4327" i="2"/>
  <c r="V4326" i="2"/>
  <c r="U4326" i="2"/>
  <c r="T4326" i="2"/>
  <c r="S4326" i="2"/>
  <c r="R4326" i="2"/>
  <c r="Q4326" i="2"/>
  <c r="P4326" i="2"/>
  <c r="O4326" i="2"/>
  <c r="N4326" i="2"/>
  <c r="M4326" i="2"/>
  <c r="L4326" i="2"/>
  <c r="K4326" i="2"/>
  <c r="J4326" i="2"/>
  <c r="I4326" i="2"/>
  <c r="H4326" i="2"/>
  <c r="G4326" i="2"/>
  <c r="F4326" i="2"/>
  <c r="E4326" i="2"/>
  <c r="D4326" i="2"/>
  <c r="C4326" i="2"/>
  <c r="B4326" i="2"/>
  <c r="V4325" i="2"/>
  <c r="U4325" i="2"/>
  <c r="T4325" i="2"/>
  <c r="S4325" i="2"/>
  <c r="R4325" i="2"/>
  <c r="Q4325" i="2"/>
  <c r="P4325" i="2"/>
  <c r="O4325" i="2"/>
  <c r="N4325" i="2"/>
  <c r="M4325" i="2"/>
  <c r="L4325" i="2"/>
  <c r="K4325" i="2"/>
  <c r="J4325" i="2"/>
  <c r="I4325" i="2"/>
  <c r="H4325" i="2"/>
  <c r="G4325" i="2"/>
  <c r="F4325" i="2"/>
  <c r="E4325" i="2"/>
  <c r="D4325" i="2"/>
  <c r="C4325" i="2"/>
  <c r="B4325" i="2"/>
  <c r="V4324" i="2"/>
  <c r="U4324" i="2"/>
  <c r="T4324" i="2"/>
  <c r="S4324" i="2"/>
  <c r="R4324" i="2"/>
  <c r="Q4324" i="2"/>
  <c r="P4324" i="2"/>
  <c r="O4324" i="2"/>
  <c r="N4324" i="2"/>
  <c r="M4324" i="2"/>
  <c r="L4324" i="2"/>
  <c r="K4324" i="2"/>
  <c r="J4324" i="2"/>
  <c r="I4324" i="2"/>
  <c r="H4324" i="2"/>
  <c r="G4324" i="2"/>
  <c r="F4324" i="2"/>
  <c r="E4324" i="2"/>
  <c r="D4324" i="2"/>
  <c r="C4324" i="2"/>
  <c r="B4324" i="2"/>
  <c r="V4323" i="2"/>
  <c r="U4323" i="2"/>
  <c r="T4323" i="2"/>
  <c r="S4323" i="2"/>
  <c r="R4323" i="2"/>
  <c r="Q4323" i="2"/>
  <c r="P4323" i="2"/>
  <c r="O4323" i="2"/>
  <c r="N4323" i="2"/>
  <c r="M4323" i="2"/>
  <c r="L4323" i="2"/>
  <c r="K4323" i="2"/>
  <c r="J4323" i="2"/>
  <c r="I4323" i="2"/>
  <c r="H4323" i="2"/>
  <c r="G4323" i="2"/>
  <c r="F4323" i="2"/>
  <c r="E4323" i="2"/>
  <c r="D4323" i="2"/>
  <c r="C4323" i="2"/>
  <c r="B4323" i="2"/>
  <c r="V4322" i="2"/>
  <c r="U4322" i="2"/>
  <c r="T4322" i="2"/>
  <c r="S4322" i="2"/>
  <c r="R4322" i="2"/>
  <c r="Q4322" i="2"/>
  <c r="P4322" i="2"/>
  <c r="O4322" i="2"/>
  <c r="N4322" i="2"/>
  <c r="M4322" i="2"/>
  <c r="L4322" i="2"/>
  <c r="K4322" i="2"/>
  <c r="J4322" i="2"/>
  <c r="I4322" i="2"/>
  <c r="H4322" i="2"/>
  <c r="G4322" i="2"/>
  <c r="F4322" i="2"/>
  <c r="E4322" i="2"/>
  <c r="D4322" i="2"/>
  <c r="C4322" i="2"/>
  <c r="B4322" i="2"/>
  <c r="V4321" i="2"/>
  <c r="U4321" i="2"/>
  <c r="T4321" i="2"/>
  <c r="S4321" i="2"/>
  <c r="R4321" i="2"/>
  <c r="Q4321" i="2"/>
  <c r="P4321" i="2"/>
  <c r="O4321" i="2"/>
  <c r="N4321" i="2"/>
  <c r="M4321" i="2"/>
  <c r="L4321" i="2"/>
  <c r="K4321" i="2"/>
  <c r="J4321" i="2"/>
  <c r="I4321" i="2"/>
  <c r="H4321" i="2"/>
  <c r="G4321" i="2"/>
  <c r="F4321" i="2"/>
  <c r="E4321" i="2"/>
  <c r="D4321" i="2"/>
  <c r="C4321" i="2"/>
  <c r="B4321" i="2"/>
  <c r="V4320" i="2"/>
  <c r="U4320" i="2"/>
  <c r="T4320" i="2"/>
  <c r="S4320" i="2"/>
  <c r="R4320" i="2"/>
  <c r="Q4320" i="2"/>
  <c r="P4320" i="2"/>
  <c r="O4320" i="2"/>
  <c r="N4320" i="2"/>
  <c r="M4320" i="2"/>
  <c r="L4320" i="2"/>
  <c r="K4320" i="2"/>
  <c r="J4320" i="2"/>
  <c r="I4320" i="2"/>
  <c r="H4320" i="2"/>
  <c r="G4320" i="2"/>
  <c r="F4320" i="2"/>
  <c r="E4320" i="2"/>
  <c r="D4320" i="2"/>
  <c r="C4320" i="2"/>
  <c r="B4320" i="2"/>
  <c r="V4319" i="2"/>
  <c r="U4319" i="2"/>
  <c r="T4319" i="2"/>
  <c r="S4319" i="2"/>
  <c r="R4319" i="2"/>
  <c r="Q4319" i="2"/>
  <c r="P4319" i="2"/>
  <c r="O4319" i="2"/>
  <c r="N4319" i="2"/>
  <c r="M4319" i="2"/>
  <c r="L4319" i="2"/>
  <c r="K4319" i="2"/>
  <c r="J4319" i="2"/>
  <c r="I4319" i="2"/>
  <c r="H4319" i="2"/>
  <c r="G4319" i="2"/>
  <c r="F4319" i="2"/>
  <c r="E4319" i="2"/>
  <c r="D4319" i="2"/>
  <c r="C4319" i="2"/>
  <c r="B4319" i="2"/>
  <c r="V4318" i="2"/>
  <c r="U4318" i="2"/>
  <c r="T4318" i="2"/>
  <c r="S4318" i="2"/>
  <c r="R4318" i="2"/>
  <c r="Q4318" i="2"/>
  <c r="P4318" i="2"/>
  <c r="O4318" i="2"/>
  <c r="N4318" i="2"/>
  <c r="M4318" i="2"/>
  <c r="L4318" i="2"/>
  <c r="K4318" i="2"/>
  <c r="J4318" i="2"/>
  <c r="I4318" i="2"/>
  <c r="H4318" i="2"/>
  <c r="G4318" i="2"/>
  <c r="F4318" i="2"/>
  <c r="E4318" i="2"/>
  <c r="D4318" i="2"/>
  <c r="C4318" i="2"/>
  <c r="B4318" i="2"/>
  <c r="V4317" i="2"/>
  <c r="U4317" i="2"/>
  <c r="T4317" i="2"/>
  <c r="S4317" i="2"/>
  <c r="R4317" i="2"/>
  <c r="Q4317" i="2"/>
  <c r="P4317" i="2"/>
  <c r="O4317" i="2"/>
  <c r="N4317" i="2"/>
  <c r="M4317" i="2"/>
  <c r="L4317" i="2"/>
  <c r="K4317" i="2"/>
  <c r="J4317" i="2"/>
  <c r="I4317" i="2"/>
  <c r="H4317" i="2"/>
  <c r="G4317" i="2"/>
  <c r="F4317" i="2"/>
  <c r="E4317" i="2"/>
  <c r="D4317" i="2"/>
  <c r="C4317" i="2"/>
  <c r="B4317" i="2"/>
  <c r="V4316" i="2"/>
  <c r="U4316" i="2"/>
  <c r="T4316" i="2"/>
  <c r="S4316" i="2"/>
  <c r="R4316" i="2"/>
  <c r="Q4316" i="2"/>
  <c r="P4316" i="2"/>
  <c r="O4316" i="2"/>
  <c r="N4316" i="2"/>
  <c r="M4316" i="2"/>
  <c r="L4316" i="2"/>
  <c r="K4316" i="2"/>
  <c r="J4316" i="2"/>
  <c r="I4316" i="2"/>
  <c r="H4316" i="2"/>
  <c r="G4316" i="2"/>
  <c r="F4316" i="2"/>
  <c r="E4316" i="2"/>
  <c r="D4316" i="2"/>
  <c r="C4316" i="2"/>
  <c r="B4316" i="2"/>
  <c r="V4315" i="2"/>
  <c r="U4315" i="2"/>
  <c r="T4315" i="2"/>
  <c r="S4315" i="2"/>
  <c r="R4315" i="2"/>
  <c r="Q4315" i="2"/>
  <c r="P4315" i="2"/>
  <c r="O4315" i="2"/>
  <c r="N4315" i="2"/>
  <c r="M4315" i="2"/>
  <c r="L4315" i="2"/>
  <c r="K4315" i="2"/>
  <c r="J4315" i="2"/>
  <c r="I4315" i="2"/>
  <c r="H4315" i="2"/>
  <c r="G4315" i="2"/>
  <c r="F4315" i="2"/>
  <c r="E4315" i="2"/>
  <c r="D4315" i="2"/>
  <c r="C4315" i="2"/>
  <c r="B4315" i="2"/>
  <c r="V4314" i="2"/>
  <c r="U4314" i="2"/>
  <c r="T4314" i="2"/>
  <c r="S4314" i="2"/>
  <c r="R4314" i="2"/>
  <c r="Q4314" i="2"/>
  <c r="P4314" i="2"/>
  <c r="O4314" i="2"/>
  <c r="N4314" i="2"/>
  <c r="M4314" i="2"/>
  <c r="L4314" i="2"/>
  <c r="K4314" i="2"/>
  <c r="J4314" i="2"/>
  <c r="I4314" i="2"/>
  <c r="H4314" i="2"/>
  <c r="G4314" i="2"/>
  <c r="F4314" i="2"/>
  <c r="E4314" i="2"/>
  <c r="D4314" i="2"/>
  <c r="C4314" i="2"/>
  <c r="B4314" i="2"/>
  <c r="V4313" i="2"/>
  <c r="U4313" i="2"/>
  <c r="T4313" i="2"/>
  <c r="S4313" i="2"/>
  <c r="R4313" i="2"/>
  <c r="Q4313" i="2"/>
  <c r="P4313" i="2"/>
  <c r="O4313" i="2"/>
  <c r="N4313" i="2"/>
  <c r="M4313" i="2"/>
  <c r="L4313" i="2"/>
  <c r="K4313" i="2"/>
  <c r="J4313" i="2"/>
  <c r="I4313" i="2"/>
  <c r="H4313" i="2"/>
  <c r="G4313" i="2"/>
  <c r="F4313" i="2"/>
  <c r="E4313" i="2"/>
  <c r="D4313" i="2"/>
  <c r="C4313" i="2"/>
  <c r="B4313" i="2"/>
  <c r="V4312" i="2"/>
  <c r="U4312" i="2"/>
  <c r="T4312" i="2"/>
  <c r="S4312" i="2"/>
  <c r="R4312" i="2"/>
  <c r="Q4312" i="2"/>
  <c r="P4312" i="2"/>
  <c r="O4312" i="2"/>
  <c r="N4312" i="2"/>
  <c r="M4312" i="2"/>
  <c r="L4312" i="2"/>
  <c r="K4312" i="2"/>
  <c r="J4312" i="2"/>
  <c r="I4312" i="2"/>
  <c r="H4312" i="2"/>
  <c r="G4312" i="2"/>
  <c r="F4312" i="2"/>
  <c r="E4312" i="2"/>
  <c r="D4312" i="2"/>
  <c r="C4312" i="2"/>
  <c r="B4312" i="2"/>
  <c r="V4311" i="2"/>
  <c r="U4311" i="2"/>
  <c r="T4311" i="2"/>
  <c r="S4311" i="2"/>
  <c r="R4311" i="2"/>
  <c r="Q4311" i="2"/>
  <c r="P4311" i="2"/>
  <c r="O4311" i="2"/>
  <c r="N4311" i="2"/>
  <c r="M4311" i="2"/>
  <c r="L4311" i="2"/>
  <c r="K4311" i="2"/>
  <c r="J4311" i="2"/>
  <c r="I4311" i="2"/>
  <c r="H4311" i="2"/>
  <c r="G4311" i="2"/>
  <c r="F4311" i="2"/>
  <c r="E4311" i="2"/>
  <c r="D4311" i="2"/>
  <c r="C4311" i="2"/>
  <c r="B4311" i="2"/>
  <c r="V4310" i="2"/>
  <c r="U4310" i="2"/>
  <c r="T4310" i="2"/>
  <c r="S4310" i="2"/>
  <c r="R4310" i="2"/>
  <c r="Q4310" i="2"/>
  <c r="P4310" i="2"/>
  <c r="O4310" i="2"/>
  <c r="N4310" i="2"/>
  <c r="M4310" i="2"/>
  <c r="L4310" i="2"/>
  <c r="K4310" i="2"/>
  <c r="J4310" i="2"/>
  <c r="I4310" i="2"/>
  <c r="H4310" i="2"/>
  <c r="G4310" i="2"/>
  <c r="F4310" i="2"/>
  <c r="E4310" i="2"/>
  <c r="D4310" i="2"/>
  <c r="C4310" i="2"/>
  <c r="B4310" i="2"/>
  <c r="V4309" i="2"/>
  <c r="U4309" i="2"/>
  <c r="T4309" i="2"/>
  <c r="S4309" i="2"/>
  <c r="R4309" i="2"/>
  <c r="Q4309" i="2"/>
  <c r="P4309" i="2"/>
  <c r="O4309" i="2"/>
  <c r="N4309" i="2"/>
  <c r="M4309" i="2"/>
  <c r="L4309" i="2"/>
  <c r="K4309" i="2"/>
  <c r="J4309" i="2"/>
  <c r="I4309" i="2"/>
  <c r="H4309" i="2"/>
  <c r="G4309" i="2"/>
  <c r="F4309" i="2"/>
  <c r="E4309" i="2"/>
  <c r="D4309" i="2"/>
  <c r="C4309" i="2"/>
  <c r="B4309" i="2"/>
  <c r="V4308" i="2"/>
  <c r="U4308" i="2"/>
  <c r="T4308" i="2"/>
  <c r="S4308" i="2"/>
  <c r="R4308" i="2"/>
  <c r="Q4308" i="2"/>
  <c r="P4308" i="2"/>
  <c r="O4308" i="2"/>
  <c r="N4308" i="2"/>
  <c r="M4308" i="2"/>
  <c r="L4308" i="2"/>
  <c r="K4308" i="2"/>
  <c r="J4308" i="2"/>
  <c r="I4308" i="2"/>
  <c r="H4308" i="2"/>
  <c r="G4308" i="2"/>
  <c r="F4308" i="2"/>
  <c r="E4308" i="2"/>
  <c r="D4308" i="2"/>
  <c r="C4308" i="2"/>
  <c r="B4308" i="2"/>
  <c r="V4307" i="2"/>
  <c r="U4307" i="2"/>
  <c r="T4307" i="2"/>
  <c r="S4307" i="2"/>
  <c r="R4307" i="2"/>
  <c r="Q4307" i="2"/>
  <c r="P4307" i="2"/>
  <c r="O4307" i="2"/>
  <c r="N4307" i="2"/>
  <c r="M4307" i="2"/>
  <c r="L4307" i="2"/>
  <c r="K4307" i="2"/>
  <c r="J4307" i="2"/>
  <c r="I4307" i="2"/>
  <c r="H4307" i="2"/>
  <c r="G4307" i="2"/>
  <c r="F4307" i="2"/>
  <c r="E4307" i="2"/>
  <c r="D4307" i="2"/>
  <c r="C4307" i="2"/>
  <c r="B4307" i="2"/>
  <c r="V4306" i="2"/>
  <c r="U4306" i="2"/>
  <c r="T4306" i="2"/>
  <c r="S4306" i="2"/>
  <c r="R4306" i="2"/>
  <c r="Q4306" i="2"/>
  <c r="P4306" i="2"/>
  <c r="O4306" i="2"/>
  <c r="N4306" i="2"/>
  <c r="M4306" i="2"/>
  <c r="L4306" i="2"/>
  <c r="K4306" i="2"/>
  <c r="J4306" i="2"/>
  <c r="I4306" i="2"/>
  <c r="H4306" i="2"/>
  <c r="G4306" i="2"/>
  <c r="F4306" i="2"/>
  <c r="E4306" i="2"/>
  <c r="D4306" i="2"/>
  <c r="C4306" i="2"/>
  <c r="B4306" i="2"/>
  <c r="V4305" i="2"/>
  <c r="U4305" i="2"/>
  <c r="T4305" i="2"/>
  <c r="S4305" i="2"/>
  <c r="R4305" i="2"/>
  <c r="Q4305" i="2"/>
  <c r="P4305" i="2"/>
  <c r="O4305" i="2"/>
  <c r="N4305" i="2"/>
  <c r="M4305" i="2"/>
  <c r="L4305" i="2"/>
  <c r="K4305" i="2"/>
  <c r="J4305" i="2"/>
  <c r="I4305" i="2"/>
  <c r="H4305" i="2"/>
  <c r="G4305" i="2"/>
  <c r="F4305" i="2"/>
  <c r="E4305" i="2"/>
  <c r="D4305" i="2"/>
  <c r="C4305" i="2"/>
  <c r="B4305" i="2"/>
  <c r="V4304" i="2"/>
  <c r="U4304" i="2"/>
  <c r="T4304" i="2"/>
  <c r="S4304" i="2"/>
  <c r="R4304" i="2"/>
  <c r="Q4304" i="2"/>
  <c r="P4304" i="2"/>
  <c r="O4304" i="2"/>
  <c r="N4304" i="2"/>
  <c r="M4304" i="2"/>
  <c r="L4304" i="2"/>
  <c r="K4304" i="2"/>
  <c r="J4304" i="2"/>
  <c r="I4304" i="2"/>
  <c r="H4304" i="2"/>
  <c r="G4304" i="2"/>
  <c r="F4304" i="2"/>
  <c r="E4304" i="2"/>
  <c r="D4304" i="2"/>
  <c r="C4304" i="2"/>
  <c r="B4304" i="2"/>
  <c r="V4303" i="2"/>
  <c r="U4303" i="2"/>
  <c r="T4303" i="2"/>
  <c r="S4303" i="2"/>
  <c r="R4303" i="2"/>
  <c r="Q4303" i="2"/>
  <c r="P4303" i="2"/>
  <c r="O4303" i="2"/>
  <c r="N4303" i="2"/>
  <c r="M4303" i="2"/>
  <c r="L4303" i="2"/>
  <c r="K4303" i="2"/>
  <c r="J4303" i="2"/>
  <c r="I4303" i="2"/>
  <c r="H4303" i="2"/>
  <c r="G4303" i="2"/>
  <c r="F4303" i="2"/>
  <c r="E4303" i="2"/>
  <c r="D4303" i="2"/>
  <c r="C4303" i="2"/>
  <c r="B4303" i="2"/>
  <c r="V4302" i="2"/>
  <c r="U4302" i="2"/>
  <c r="T4302" i="2"/>
  <c r="S4302" i="2"/>
  <c r="R4302" i="2"/>
  <c r="Q4302" i="2"/>
  <c r="P4302" i="2"/>
  <c r="O4302" i="2"/>
  <c r="N4302" i="2"/>
  <c r="M4302" i="2"/>
  <c r="L4302" i="2"/>
  <c r="K4302" i="2"/>
  <c r="J4302" i="2"/>
  <c r="I4302" i="2"/>
  <c r="H4302" i="2"/>
  <c r="G4302" i="2"/>
  <c r="F4302" i="2"/>
  <c r="E4302" i="2"/>
  <c r="D4302" i="2"/>
  <c r="C4302" i="2"/>
  <c r="B4302" i="2"/>
  <c r="V4301" i="2"/>
  <c r="U4301" i="2"/>
  <c r="T4301" i="2"/>
  <c r="S4301" i="2"/>
  <c r="R4301" i="2"/>
  <c r="Q4301" i="2"/>
  <c r="P4301" i="2"/>
  <c r="O4301" i="2"/>
  <c r="N4301" i="2"/>
  <c r="M4301" i="2"/>
  <c r="L4301" i="2"/>
  <c r="K4301" i="2"/>
  <c r="J4301" i="2"/>
  <c r="I4301" i="2"/>
  <c r="H4301" i="2"/>
  <c r="G4301" i="2"/>
  <c r="F4301" i="2"/>
  <c r="E4301" i="2"/>
  <c r="D4301" i="2"/>
  <c r="C4301" i="2"/>
  <c r="B4301" i="2"/>
  <c r="V4300" i="2"/>
  <c r="U4300" i="2"/>
  <c r="T4300" i="2"/>
  <c r="S4300" i="2"/>
  <c r="R4300" i="2"/>
  <c r="Q4300" i="2"/>
  <c r="P4300" i="2"/>
  <c r="O4300" i="2"/>
  <c r="N4300" i="2"/>
  <c r="M4300" i="2"/>
  <c r="L4300" i="2"/>
  <c r="K4300" i="2"/>
  <c r="J4300" i="2"/>
  <c r="I4300" i="2"/>
  <c r="H4300" i="2"/>
  <c r="G4300" i="2"/>
  <c r="F4300" i="2"/>
  <c r="E4300" i="2"/>
  <c r="D4300" i="2"/>
  <c r="C4300" i="2"/>
  <c r="B4300" i="2"/>
  <c r="V4299" i="2"/>
  <c r="U4299" i="2"/>
  <c r="T4299" i="2"/>
  <c r="S4299" i="2"/>
  <c r="R4299" i="2"/>
  <c r="Q4299" i="2"/>
  <c r="P4299" i="2"/>
  <c r="O4299" i="2"/>
  <c r="N4299" i="2"/>
  <c r="M4299" i="2"/>
  <c r="L4299" i="2"/>
  <c r="K4299" i="2"/>
  <c r="J4299" i="2"/>
  <c r="I4299" i="2"/>
  <c r="H4299" i="2"/>
  <c r="G4299" i="2"/>
  <c r="F4299" i="2"/>
  <c r="E4299" i="2"/>
  <c r="D4299" i="2"/>
  <c r="C4299" i="2"/>
  <c r="B4299" i="2"/>
  <c r="V4298" i="2"/>
  <c r="U4298" i="2"/>
  <c r="T4298" i="2"/>
  <c r="S4298" i="2"/>
  <c r="R4298" i="2"/>
  <c r="Q4298" i="2"/>
  <c r="P4298" i="2"/>
  <c r="O4298" i="2"/>
  <c r="N4298" i="2"/>
  <c r="M4298" i="2"/>
  <c r="L4298" i="2"/>
  <c r="K4298" i="2"/>
  <c r="J4298" i="2"/>
  <c r="I4298" i="2"/>
  <c r="H4298" i="2"/>
  <c r="G4298" i="2"/>
  <c r="F4298" i="2"/>
  <c r="E4298" i="2"/>
  <c r="D4298" i="2"/>
  <c r="C4298" i="2"/>
  <c r="B4298" i="2"/>
  <c r="V4297" i="2"/>
  <c r="U4297" i="2"/>
  <c r="T4297" i="2"/>
  <c r="S4297" i="2"/>
  <c r="R4297" i="2"/>
  <c r="Q4297" i="2"/>
  <c r="P4297" i="2"/>
  <c r="O4297" i="2"/>
  <c r="N4297" i="2"/>
  <c r="M4297" i="2"/>
  <c r="L4297" i="2"/>
  <c r="K4297" i="2"/>
  <c r="J4297" i="2"/>
  <c r="I4297" i="2"/>
  <c r="H4297" i="2"/>
  <c r="G4297" i="2"/>
  <c r="F4297" i="2"/>
  <c r="E4297" i="2"/>
  <c r="D4297" i="2"/>
  <c r="C4297" i="2"/>
  <c r="B4297" i="2"/>
  <c r="V4296" i="2"/>
  <c r="U4296" i="2"/>
  <c r="T4296" i="2"/>
  <c r="S4296" i="2"/>
  <c r="R4296" i="2"/>
  <c r="Q4296" i="2"/>
  <c r="P4296" i="2"/>
  <c r="O4296" i="2"/>
  <c r="N4296" i="2"/>
  <c r="M4296" i="2"/>
  <c r="L4296" i="2"/>
  <c r="K4296" i="2"/>
  <c r="J4296" i="2"/>
  <c r="I4296" i="2"/>
  <c r="H4296" i="2"/>
  <c r="G4296" i="2"/>
  <c r="F4296" i="2"/>
  <c r="E4296" i="2"/>
  <c r="D4296" i="2"/>
  <c r="C4296" i="2"/>
  <c r="B4296" i="2"/>
  <c r="V4295" i="2"/>
  <c r="U4295" i="2"/>
  <c r="T4295" i="2"/>
  <c r="S4295" i="2"/>
  <c r="R4295" i="2"/>
  <c r="Q4295" i="2"/>
  <c r="P4295" i="2"/>
  <c r="O4295" i="2"/>
  <c r="N4295" i="2"/>
  <c r="M4295" i="2"/>
  <c r="L4295" i="2"/>
  <c r="K4295" i="2"/>
  <c r="J4295" i="2"/>
  <c r="I4295" i="2"/>
  <c r="H4295" i="2"/>
  <c r="G4295" i="2"/>
  <c r="F4295" i="2"/>
  <c r="E4295" i="2"/>
  <c r="D4295" i="2"/>
  <c r="C4295" i="2"/>
  <c r="B4295" i="2"/>
  <c r="V4294" i="2"/>
  <c r="U4294" i="2"/>
  <c r="T4294" i="2"/>
  <c r="S4294" i="2"/>
  <c r="R4294" i="2"/>
  <c r="Q4294" i="2"/>
  <c r="P4294" i="2"/>
  <c r="O4294" i="2"/>
  <c r="N4294" i="2"/>
  <c r="M4294" i="2"/>
  <c r="L4294" i="2"/>
  <c r="K4294" i="2"/>
  <c r="J4294" i="2"/>
  <c r="I4294" i="2"/>
  <c r="H4294" i="2"/>
  <c r="G4294" i="2"/>
  <c r="F4294" i="2"/>
  <c r="E4294" i="2"/>
  <c r="D4294" i="2"/>
  <c r="C4294" i="2"/>
  <c r="B4294" i="2"/>
  <c r="V4293" i="2"/>
  <c r="U4293" i="2"/>
  <c r="T4293" i="2"/>
  <c r="S4293" i="2"/>
  <c r="R4293" i="2"/>
  <c r="Q4293" i="2"/>
  <c r="P4293" i="2"/>
  <c r="O4293" i="2"/>
  <c r="N4293" i="2"/>
  <c r="M4293" i="2"/>
  <c r="L4293" i="2"/>
  <c r="K4293" i="2"/>
  <c r="J4293" i="2"/>
  <c r="I4293" i="2"/>
  <c r="H4293" i="2"/>
  <c r="G4293" i="2"/>
  <c r="F4293" i="2"/>
  <c r="E4293" i="2"/>
  <c r="D4293" i="2"/>
  <c r="C4293" i="2"/>
  <c r="B4293" i="2"/>
  <c r="V4292" i="2"/>
  <c r="U4292" i="2"/>
  <c r="T4292" i="2"/>
  <c r="S4292" i="2"/>
  <c r="R4292" i="2"/>
  <c r="Q4292" i="2"/>
  <c r="P4292" i="2"/>
  <c r="O4292" i="2"/>
  <c r="N4292" i="2"/>
  <c r="M4292" i="2"/>
  <c r="L4292" i="2"/>
  <c r="K4292" i="2"/>
  <c r="J4292" i="2"/>
  <c r="I4292" i="2"/>
  <c r="H4292" i="2"/>
  <c r="G4292" i="2"/>
  <c r="F4292" i="2"/>
  <c r="E4292" i="2"/>
  <c r="D4292" i="2"/>
  <c r="C4292" i="2"/>
  <c r="B4292" i="2"/>
  <c r="V4291" i="2"/>
  <c r="U4291" i="2"/>
  <c r="T4291" i="2"/>
  <c r="S4291" i="2"/>
  <c r="R4291" i="2"/>
  <c r="Q4291" i="2"/>
  <c r="P4291" i="2"/>
  <c r="O4291" i="2"/>
  <c r="N4291" i="2"/>
  <c r="M4291" i="2"/>
  <c r="L4291" i="2"/>
  <c r="K4291" i="2"/>
  <c r="J4291" i="2"/>
  <c r="I4291" i="2"/>
  <c r="H4291" i="2"/>
  <c r="G4291" i="2"/>
  <c r="F4291" i="2"/>
  <c r="E4291" i="2"/>
  <c r="D4291" i="2"/>
  <c r="C4291" i="2"/>
  <c r="B4291" i="2"/>
  <c r="V4290" i="2"/>
  <c r="U4290" i="2"/>
  <c r="T4290" i="2"/>
  <c r="S4290" i="2"/>
  <c r="R4290" i="2"/>
  <c r="Q4290" i="2"/>
  <c r="P4290" i="2"/>
  <c r="O4290" i="2"/>
  <c r="N4290" i="2"/>
  <c r="M4290" i="2"/>
  <c r="L4290" i="2"/>
  <c r="K4290" i="2"/>
  <c r="J4290" i="2"/>
  <c r="I4290" i="2"/>
  <c r="H4290" i="2"/>
  <c r="G4290" i="2"/>
  <c r="F4290" i="2"/>
  <c r="E4290" i="2"/>
  <c r="D4290" i="2"/>
  <c r="C4290" i="2"/>
  <c r="B4290" i="2"/>
  <c r="V4289" i="2"/>
  <c r="U4289" i="2"/>
  <c r="T4289" i="2"/>
  <c r="S4289" i="2"/>
  <c r="R4289" i="2"/>
  <c r="Q4289" i="2"/>
  <c r="P4289" i="2"/>
  <c r="O4289" i="2"/>
  <c r="N4289" i="2"/>
  <c r="M4289" i="2"/>
  <c r="L4289" i="2"/>
  <c r="K4289" i="2"/>
  <c r="J4289" i="2"/>
  <c r="I4289" i="2"/>
  <c r="H4289" i="2"/>
  <c r="G4289" i="2"/>
  <c r="F4289" i="2"/>
  <c r="E4289" i="2"/>
  <c r="D4289" i="2"/>
  <c r="C4289" i="2"/>
  <c r="B4289" i="2"/>
  <c r="V4288" i="2"/>
  <c r="U4288" i="2"/>
  <c r="T4288" i="2"/>
  <c r="S4288" i="2"/>
  <c r="R4288" i="2"/>
  <c r="Q4288" i="2"/>
  <c r="P4288" i="2"/>
  <c r="O4288" i="2"/>
  <c r="N4288" i="2"/>
  <c r="M4288" i="2"/>
  <c r="L4288" i="2"/>
  <c r="K4288" i="2"/>
  <c r="J4288" i="2"/>
  <c r="I4288" i="2"/>
  <c r="H4288" i="2"/>
  <c r="G4288" i="2"/>
  <c r="F4288" i="2"/>
  <c r="E4288" i="2"/>
  <c r="D4288" i="2"/>
  <c r="C4288" i="2"/>
  <c r="B4288" i="2"/>
  <c r="V4287" i="2"/>
  <c r="U4287" i="2"/>
  <c r="T4287" i="2"/>
  <c r="S4287" i="2"/>
  <c r="R4287" i="2"/>
  <c r="Q4287" i="2"/>
  <c r="P4287" i="2"/>
  <c r="O4287" i="2"/>
  <c r="N4287" i="2"/>
  <c r="M4287" i="2"/>
  <c r="L4287" i="2"/>
  <c r="K4287" i="2"/>
  <c r="J4287" i="2"/>
  <c r="I4287" i="2"/>
  <c r="H4287" i="2"/>
  <c r="G4287" i="2"/>
  <c r="F4287" i="2"/>
  <c r="E4287" i="2"/>
  <c r="D4287" i="2"/>
  <c r="C4287" i="2"/>
  <c r="B4287" i="2"/>
  <c r="V4286" i="2"/>
  <c r="U4286" i="2"/>
  <c r="T4286" i="2"/>
  <c r="S4286" i="2"/>
  <c r="R4286" i="2"/>
  <c r="Q4286" i="2"/>
  <c r="P4286" i="2"/>
  <c r="O4286" i="2"/>
  <c r="N4286" i="2"/>
  <c r="M4286" i="2"/>
  <c r="L4286" i="2"/>
  <c r="K4286" i="2"/>
  <c r="J4286" i="2"/>
  <c r="I4286" i="2"/>
  <c r="H4286" i="2"/>
  <c r="G4286" i="2"/>
  <c r="F4286" i="2"/>
  <c r="E4286" i="2"/>
  <c r="D4286" i="2"/>
  <c r="C4286" i="2"/>
  <c r="B4286" i="2"/>
  <c r="V4285" i="2"/>
  <c r="U4285" i="2"/>
  <c r="T4285" i="2"/>
  <c r="S4285" i="2"/>
  <c r="R4285" i="2"/>
  <c r="Q4285" i="2"/>
  <c r="P4285" i="2"/>
  <c r="O4285" i="2"/>
  <c r="N4285" i="2"/>
  <c r="M4285" i="2"/>
  <c r="L4285" i="2"/>
  <c r="K4285" i="2"/>
  <c r="J4285" i="2"/>
  <c r="I4285" i="2"/>
  <c r="H4285" i="2"/>
  <c r="G4285" i="2"/>
  <c r="F4285" i="2"/>
  <c r="E4285" i="2"/>
  <c r="D4285" i="2"/>
  <c r="C4285" i="2"/>
  <c r="B4285" i="2"/>
  <c r="V4284" i="2"/>
  <c r="U4284" i="2"/>
  <c r="T4284" i="2"/>
  <c r="S4284" i="2"/>
  <c r="R4284" i="2"/>
  <c r="Q4284" i="2"/>
  <c r="P4284" i="2"/>
  <c r="O4284" i="2"/>
  <c r="N4284" i="2"/>
  <c r="M4284" i="2"/>
  <c r="L4284" i="2"/>
  <c r="K4284" i="2"/>
  <c r="J4284" i="2"/>
  <c r="I4284" i="2"/>
  <c r="H4284" i="2"/>
  <c r="G4284" i="2"/>
  <c r="F4284" i="2"/>
  <c r="E4284" i="2"/>
  <c r="D4284" i="2"/>
  <c r="C4284" i="2"/>
  <c r="B4284" i="2"/>
  <c r="V4283" i="2"/>
  <c r="U4283" i="2"/>
  <c r="T4283" i="2"/>
  <c r="S4283" i="2"/>
  <c r="R4283" i="2"/>
  <c r="Q4283" i="2"/>
  <c r="P4283" i="2"/>
  <c r="O4283" i="2"/>
  <c r="N4283" i="2"/>
  <c r="M4283" i="2"/>
  <c r="L4283" i="2"/>
  <c r="K4283" i="2"/>
  <c r="J4283" i="2"/>
  <c r="I4283" i="2"/>
  <c r="H4283" i="2"/>
  <c r="G4283" i="2"/>
  <c r="F4283" i="2"/>
  <c r="E4283" i="2"/>
  <c r="D4283" i="2"/>
  <c r="C4283" i="2"/>
  <c r="B4283" i="2"/>
  <c r="V4282" i="2"/>
  <c r="U4282" i="2"/>
  <c r="T4282" i="2"/>
  <c r="S4282" i="2"/>
  <c r="R4282" i="2"/>
  <c r="Q4282" i="2"/>
  <c r="P4282" i="2"/>
  <c r="O4282" i="2"/>
  <c r="N4282" i="2"/>
  <c r="M4282" i="2"/>
  <c r="L4282" i="2"/>
  <c r="K4282" i="2"/>
  <c r="J4282" i="2"/>
  <c r="I4282" i="2"/>
  <c r="H4282" i="2"/>
  <c r="G4282" i="2"/>
  <c r="F4282" i="2"/>
  <c r="E4282" i="2"/>
  <c r="D4282" i="2"/>
  <c r="C4282" i="2"/>
  <c r="B4282" i="2"/>
  <c r="V4281" i="2"/>
  <c r="U4281" i="2"/>
  <c r="T4281" i="2"/>
  <c r="S4281" i="2"/>
  <c r="R4281" i="2"/>
  <c r="Q4281" i="2"/>
  <c r="P4281" i="2"/>
  <c r="O4281" i="2"/>
  <c r="N4281" i="2"/>
  <c r="M4281" i="2"/>
  <c r="L4281" i="2"/>
  <c r="K4281" i="2"/>
  <c r="J4281" i="2"/>
  <c r="I4281" i="2"/>
  <c r="H4281" i="2"/>
  <c r="G4281" i="2"/>
  <c r="F4281" i="2"/>
  <c r="E4281" i="2"/>
  <c r="D4281" i="2"/>
  <c r="C4281" i="2"/>
  <c r="B4281" i="2"/>
  <c r="V4280" i="2"/>
  <c r="U4280" i="2"/>
  <c r="T4280" i="2"/>
  <c r="S4280" i="2"/>
  <c r="R4280" i="2"/>
  <c r="Q4280" i="2"/>
  <c r="P4280" i="2"/>
  <c r="O4280" i="2"/>
  <c r="N4280" i="2"/>
  <c r="M4280" i="2"/>
  <c r="L4280" i="2"/>
  <c r="K4280" i="2"/>
  <c r="J4280" i="2"/>
  <c r="I4280" i="2"/>
  <c r="H4280" i="2"/>
  <c r="G4280" i="2"/>
  <c r="F4280" i="2"/>
  <c r="E4280" i="2"/>
  <c r="D4280" i="2"/>
  <c r="C4280" i="2"/>
  <c r="B4280" i="2"/>
  <c r="V4279" i="2"/>
  <c r="U4279" i="2"/>
  <c r="T4279" i="2"/>
  <c r="S4279" i="2"/>
  <c r="R4279" i="2"/>
  <c r="Q4279" i="2"/>
  <c r="P4279" i="2"/>
  <c r="O4279" i="2"/>
  <c r="N4279" i="2"/>
  <c r="M4279" i="2"/>
  <c r="L4279" i="2"/>
  <c r="K4279" i="2"/>
  <c r="J4279" i="2"/>
  <c r="I4279" i="2"/>
  <c r="H4279" i="2"/>
  <c r="G4279" i="2"/>
  <c r="F4279" i="2"/>
  <c r="E4279" i="2"/>
  <c r="D4279" i="2"/>
  <c r="C4279" i="2"/>
  <c r="B4279" i="2"/>
  <c r="V4278" i="2"/>
  <c r="U4278" i="2"/>
  <c r="T4278" i="2"/>
  <c r="S4278" i="2"/>
  <c r="R4278" i="2"/>
  <c r="Q4278" i="2"/>
  <c r="P4278" i="2"/>
  <c r="O4278" i="2"/>
  <c r="N4278" i="2"/>
  <c r="M4278" i="2"/>
  <c r="L4278" i="2"/>
  <c r="K4278" i="2"/>
  <c r="J4278" i="2"/>
  <c r="I4278" i="2"/>
  <c r="H4278" i="2"/>
  <c r="G4278" i="2"/>
  <c r="F4278" i="2"/>
  <c r="E4278" i="2"/>
  <c r="D4278" i="2"/>
  <c r="C4278" i="2"/>
  <c r="B4278" i="2"/>
  <c r="V4277" i="2"/>
  <c r="U4277" i="2"/>
  <c r="T4277" i="2"/>
  <c r="S4277" i="2"/>
  <c r="R4277" i="2"/>
  <c r="Q4277" i="2"/>
  <c r="P4277" i="2"/>
  <c r="O4277" i="2"/>
  <c r="N4277" i="2"/>
  <c r="M4277" i="2"/>
  <c r="L4277" i="2"/>
  <c r="K4277" i="2"/>
  <c r="J4277" i="2"/>
  <c r="I4277" i="2"/>
  <c r="H4277" i="2"/>
  <c r="G4277" i="2"/>
  <c r="F4277" i="2"/>
  <c r="E4277" i="2"/>
  <c r="D4277" i="2"/>
  <c r="C4277" i="2"/>
  <c r="B4277" i="2"/>
  <c r="V4276" i="2"/>
  <c r="U4276" i="2"/>
  <c r="T4276" i="2"/>
  <c r="S4276" i="2"/>
  <c r="R4276" i="2"/>
  <c r="Q4276" i="2"/>
  <c r="P4276" i="2"/>
  <c r="O4276" i="2"/>
  <c r="N4276" i="2"/>
  <c r="M4276" i="2"/>
  <c r="L4276" i="2"/>
  <c r="K4276" i="2"/>
  <c r="J4276" i="2"/>
  <c r="I4276" i="2"/>
  <c r="H4276" i="2"/>
  <c r="G4276" i="2"/>
  <c r="F4276" i="2"/>
  <c r="E4276" i="2"/>
  <c r="D4276" i="2"/>
  <c r="C4276" i="2"/>
  <c r="B4276" i="2"/>
  <c r="V4275" i="2"/>
  <c r="U4275" i="2"/>
  <c r="T4275" i="2"/>
  <c r="S4275" i="2"/>
  <c r="R4275" i="2"/>
  <c r="Q4275" i="2"/>
  <c r="P4275" i="2"/>
  <c r="O4275" i="2"/>
  <c r="N4275" i="2"/>
  <c r="M4275" i="2"/>
  <c r="L4275" i="2"/>
  <c r="K4275" i="2"/>
  <c r="J4275" i="2"/>
  <c r="I4275" i="2"/>
  <c r="H4275" i="2"/>
  <c r="G4275" i="2"/>
  <c r="F4275" i="2"/>
  <c r="E4275" i="2"/>
  <c r="D4275" i="2"/>
  <c r="C4275" i="2"/>
  <c r="B4275" i="2"/>
  <c r="V4274" i="2"/>
  <c r="U4274" i="2"/>
  <c r="T4274" i="2"/>
  <c r="S4274" i="2"/>
  <c r="R4274" i="2"/>
  <c r="Q4274" i="2"/>
  <c r="P4274" i="2"/>
  <c r="O4274" i="2"/>
  <c r="N4274" i="2"/>
  <c r="M4274" i="2"/>
  <c r="L4274" i="2"/>
  <c r="K4274" i="2"/>
  <c r="J4274" i="2"/>
  <c r="I4274" i="2"/>
  <c r="H4274" i="2"/>
  <c r="G4274" i="2"/>
  <c r="F4274" i="2"/>
  <c r="E4274" i="2"/>
  <c r="D4274" i="2"/>
  <c r="C4274" i="2"/>
  <c r="B4274" i="2"/>
  <c r="V4273" i="2"/>
  <c r="U4273" i="2"/>
  <c r="T4273" i="2"/>
  <c r="S4273" i="2"/>
  <c r="R4273" i="2"/>
  <c r="Q4273" i="2"/>
  <c r="P4273" i="2"/>
  <c r="O4273" i="2"/>
  <c r="N4273" i="2"/>
  <c r="M4273" i="2"/>
  <c r="L4273" i="2"/>
  <c r="K4273" i="2"/>
  <c r="J4273" i="2"/>
  <c r="I4273" i="2"/>
  <c r="H4273" i="2"/>
  <c r="G4273" i="2"/>
  <c r="F4273" i="2"/>
  <c r="E4273" i="2"/>
  <c r="D4273" i="2"/>
  <c r="C4273" i="2"/>
  <c r="B4273" i="2"/>
  <c r="V4272" i="2"/>
  <c r="U4272" i="2"/>
  <c r="T4272" i="2"/>
  <c r="S4272" i="2"/>
  <c r="R4272" i="2"/>
  <c r="Q4272" i="2"/>
  <c r="P4272" i="2"/>
  <c r="O4272" i="2"/>
  <c r="N4272" i="2"/>
  <c r="M4272" i="2"/>
  <c r="L4272" i="2"/>
  <c r="K4272" i="2"/>
  <c r="J4272" i="2"/>
  <c r="I4272" i="2"/>
  <c r="H4272" i="2"/>
  <c r="G4272" i="2"/>
  <c r="F4272" i="2"/>
  <c r="E4272" i="2"/>
  <c r="D4272" i="2"/>
  <c r="C4272" i="2"/>
  <c r="B4272" i="2"/>
  <c r="V4271" i="2"/>
  <c r="U4271" i="2"/>
  <c r="T4271" i="2"/>
  <c r="S4271" i="2"/>
  <c r="R4271" i="2"/>
  <c r="Q4271" i="2"/>
  <c r="P4271" i="2"/>
  <c r="O4271" i="2"/>
  <c r="N4271" i="2"/>
  <c r="M4271" i="2"/>
  <c r="L4271" i="2"/>
  <c r="K4271" i="2"/>
  <c r="J4271" i="2"/>
  <c r="I4271" i="2"/>
  <c r="H4271" i="2"/>
  <c r="G4271" i="2"/>
  <c r="F4271" i="2"/>
  <c r="E4271" i="2"/>
  <c r="D4271" i="2"/>
  <c r="C4271" i="2"/>
  <c r="B4271" i="2"/>
  <c r="V4270" i="2"/>
  <c r="U4270" i="2"/>
  <c r="T4270" i="2"/>
  <c r="S4270" i="2"/>
  <c r="R4270" i="2"/>
  <c r="Q4270" i="2"/>
  <c r="P4270" i="2"/>
  <c r="O4270" i="2"/>
  <c r="N4270" i="2"/>
  <c r="M4270" i="2"/>
  <c r="L4270" i="2"/>
  <c r="K4270" i="2"/>
  <c r="J4270" i="2"/>
  <c r="I4270" i="2"/>
  <c r="H4270" i="2"/>
  <c r="G4270" i="2"/>
  <c r="F4270" i="2"/>
  <c r="E4270" i="2"/>
  <c r="D4270" i="2"/>
  <c r="C4270" i="2"/>
  <c r="B4270" i="2"/>
  <c r="V4269" i="2"/>
  <c r="U4269" i="2"/>
  <c r="T4269" i="2"/>
  <c r="S4269" i="2"/>
  <c r="R4269" i="2"/>
  <c r="Q4269" i="2"/>
  <c r="P4269" i="2"/>
  <c r="O4269" i="2"/>
  <c r="N4269" i="2"/>
  <c r="M4269" i="2"/>
  <c r="L4269" i="2"/>
  <c r="K4269" i="2"/>
  <c r="J4269" i="2"/>
  <c r="I4269" i="2"/>
  <c r="H4269" i="2"/>
  <c r="G4269" i="2"/>
  <c r="F4269" i="2"/>
  <c r="E4269" i="2"/>
  <c r="D4269" i="2"/>
  <c r="C4269" i="2"/>
  <c r="B4269" i="2"/>
  <c r="V4268" i="2"/>
  <c r="U4268" i="2"/>
  <c r="T4268" i="2"/>
  <c r="S4268" i="2"/>
  <c r="R4268" i="2"/>
  <c r="Q4268" i="2"/>
  <c r="P4268" i="2"/>
  <c r="O4268" i="2"/>
  <c r="N4268" i="2"/>
  <c r="M4268" i="2"/>
  <c r="L4268" i="2"/>
  <c r="K4268" i="2"/>
  <c r="J4268" i="2"/>
  <c r="I4268" i="2"/>
  <c r="H4268" i="2"/>
  <c r="G4268" i="2"/>
  <c r="F4268" i="2"/>
  <c r="E4268" i="2"/>
  <c r="D4268" i="2"/>
  <c r="C4268" i="2"/>
  <c r="B4268" i="2"/>
  <c r="V4267" i="2"/>
  <c r="U4267" i="2"/>
  <c r="T4267" i="2"/>
  <c r="S4267" i="2"/>
  <c r="R4267" i="2"/>
  <c r="Q4267" i="2"/>
  <c r="P4267" i="2"/>
  <c r="O4267" i="2"/>
  <c r="N4267" i="2"/>
  <c r="M4267" i="2"/>
  <c r="L4267" i="2"/>
  <c r="K4267" i="2"/>
  <c r="J4267" i="2"/>
  <c r="I4267" i="2"/>
  <c r="H4267" i="2"/>
  <c r="G4267" i="2"/>
  <c r="F4267" i="2"/>
  <c r="E4267" i="2"/>
  <c r="D4267" i="2"/>
  <c r="C4267" i="2"/>
  <c r="B4267" i="2"/>
  <c r="V4266" i="2"/>
  <c r="U4266" i="2"/>
  <c r="T4266" i="2"/>
  <c r="S4266" i="2"/>
  <c r="R4266" i="2"/>
  <c r="Q4266" i="2"/>
  <c r="P4266" i="2"/>
  <c r="O4266" i="2"/>
  <c r="N4266" i="2"/>
  <c r="M4266" i="2"/>
  <c r="L4266" i="2"/>
  <c r="K4266" i="2"/>
  <c r="J4266" i="2"/>
  <c r="I4266" i="2"/>
  <c r="H4266" i="2"/>
  <c r="G4266" i="2"/>
  <c r="F4266" i="2"/>
  <c r="E4266" i="2"/>
  <c r="D4266" i="2"/>
  <c r="C4266" i="2"/>
  <c r="B4266" i="2"/>
  <c r="V4265" i="2"/>
  <c r="U4265" i="2"/>
  <c r="T4265" i="2"/>
  <c r="S4265" i="2"/>
  <c r="R4265" i="2"/>
  <c r="Q4265" i="2"/>
  <c r="P4265" i="2"/>
  <c r="O4265" i="2"/>
  <c r="N4265" i="2"/>
  <c r="M4265" i="2"/>
  <c r="L4265" i="2"/>
  <c r="K4265" i="2"/>
  <c r="J4265" i="2"/>
  <c r="I4265" i="2"/>
  <c r="H4265" i="2"/>
  <c r="G4265" i="2"/>
  <c r="F4265" i="2"/>
  <c r="E4265" i="2"/>
  <c r="D4265" i="2"/>
  <c r="C4265" i="2"/>
  <c r="B4265" i="2"/>
  <c r="V4264" i="2"/>
  <c r="U4264" i="2"/>
  <c r="T4264" i="2"/>
  <c r="S4264" i="2"/>
  <c r="R4264" i="2"/>
  <c r="Q4264" i="2"/>
  <c r="P4264" i="2"/>
  <c r="O4264" i="2"/>
  <c r="N4264" i="2"/>
  <c r="M4264" i="2"/>
  <c r="L4264" i="2"/>
  <c r="K4264" i="2"/>
  <c r="J4264" i="2"/>
  <c r="I4264" i="2"/>
  <c r="H4264" i="2"/>
  <c r="G4264" i="2"/>
  <c r="F4264" i="2"/>
  <c r="E4264" i="2"/>
  <c r="D4264" i="2"/>
  <c r="C4264" i="2"/>
  <c r="B4264" i="2"/>
  <c r="V4263" i="2"/>
  <c r="U4263" i="2"/>
  <c r="T4263" i="2"/>
  <c r="S4263" i="2"/>
  <c r="R4263" i="2"/>
  <c r="Q4263" i="2"/>
  <c r="P4263" i="2"/>
  <c r="O4263" i="2"/>
  <c r="N4263" i="2"/>
  <c r="M4263" i="2"/>
  <c r="L4263" i="2"/>
  <c r="K4263" i="2"/>
  <c r="J4263" i="2"/>
  <c r="I4263" i="2"/>
  <c r="H4263" i="2"/>
  <c r="G4263" i="2"/>
  <c r="F4263" i="2"/>
  <c r="E4263" i="2"/>
  <c r="D4263" i="2"/>
  <c r="C4263" i="2"/>
  <c r="B4263" i="2"/>
  <c r="V4262" i="2"/>
  <c r="U4262" i="2"/>
  <c r="T4262" i="2"/>
  <c r="S4262" i="2"/>
  <c r="R4262" i="2"/>
  <c r="Q4262" i="2"/>
  <c r="P4262" i="2"/>
  <c r="O4262" i="2"/>
  <c r="N4262" i="2"/>
  <c r="M4262" i="2"/>
  <c r="L4262" i="2"/>
  <c r="K4262" i="2"/>
  <c r="J4262" i="2"/>
  <c r="I4262" i="2"/>
  <c r="H4262" i="2"/>
  <c r="G4262" i="2"/>
  <c r="F4262" i="2"/>
  <c r="E4262" i="2"/>
  <c r="D4262" i="2"/>
  <c r="C4262" i="2"/>
  <c r="B4262" i="2"/>
  <c r="V4261" i="2"/>
  <c r="U4261" i="2"/>
  <c r="T4261" i="2"/>
  <c r="S4261" i="2"/>
  <c r="R4261" i="2"/>
  <c r="Q4261" i="2"/>
  <c r="P4261" i="2"/>
  <c r="O4261" i="2"/>
  <c r="N4261" i="2"/>
  <c r="M4261" i="2"/>
  <c r="L4261" i="2"/>
  <c r="K4261" i="2"/>
  <c r="J4261" i="2"/>
  <c r="I4261" i="2"/>
  <c r="H4261" i="2"/>
  <c r="G4261" i="2"/>
  <c r="F4261" i="2"/>
  <c r="E4261" i="2"/>
  <c r="D4261" i="2"/>
  <c r="C4261" i="2"/>
  <c r="B4261" i="2"/>
  <c r="V4260" i="2"/>
  <c r="U4260" i="2"/>
  <c r="T4260" i="2"/>
  <c r="S4260" i="2"/>
  <c r="R4260" i="2"/>
  <c r="Q4260" i="2"/>
  <c r="P4260" i="2"/>
  <c r="O4260" i="2"/>
  <c r="N4260" i="2"/>
  <c r="M4260" i="2"/>
  <c r="L4260" i="2"/>
  <c r="K4260" i="2"/>
  <c r="J4260" i="2"/>
  <c r="I4260" i="2"/>
  <c r="H4260" i="2"/>
  <c r="G4260" i="2"/>
  <c r="F4260" i="2"/>
  <c r="E4260" i="2"/>
  <c r="D4260" i="2"/>
  <c r="C4260" i="2"/>
  <c r="B4260" i="2"/>
  <c r="V4259" i="2"/>
  <c r="U4259" i="2"/>
  <c r="T4259" i="2"/>
  <c r="S4259" i="2"/>
  <c r="R4259" i="2"/>
  <c r="Q4259" i="2"/>
  <c r="P4259" i="2"/>
  <c r="O4259" i="2"/>
  <c r="N4259" i="2"/>
  <c r="M4259" i="2"/>
  <c r="L4259" i="2"/>
  <c r="K4259" i="2"/>
  <c r="J4259" i="2"/>
  <c r="I4259" i="2"/>
  <c r="H4259" i="2"/>
  <c r="G4259" i="2"/>
  <c r="F4259" i="2"/>
  <c r="E4259" i="2"/>
  <c r="D4259" i="2"/>
  <c r="C4259" i="2"/>
  <c r="B4259" i="2"/>
  <c r="V4258" i="2"/>
  <c r="U4258" i="2"/>
  <c r="T4258" i="2"/>
  <c r="S4258" i="2"/>
  <c r="R4258" i="2"/>
  <c r="Q4258" i="2"/>
  <c r="P4258" i="2"/>
  <c r="O4258" i="2"/>
  <c r="N4258" i="2"/>
  <c r="M4258" i="2"/>
  <c r="L4258" i="2"/>
  <c r="K4258" i="2"/>
  <c r="J4258" i="2"/>
  <c r="I4258" i="2"/>
  <c r="H4258" i="2"/>
  <c r="G4258" i="2"/>
  <c r="F4258" i="2"/>
  <c r="E4258" i="2"/>
  <c r="D4258" i="2"/>
  <c r="C4258" i="2"/>
  <c r="B4258" i="2"/>
  <c r="V4257" i="2"/>
  <c r="U4257" i="2"/>
  <c r="T4257" i="2"/>
  <c r="S4257" i="2"/>
  <c r="R4257" i="2"/>
  <c r="Q4257" i="2"/>
  <c r="P4257" i="2"/>
  <c r="O4257" i="2"/>
  <c r="N4257" i="2"/>
  <c r="M4257" i="2"/>
  <c r="L4257" i="2"/>
  <c r="K4257" i="2"/>
  <c r="J4257" i="2"/>
  <c r="I4257" i="2"/>
  <c r="H4257" i="2"/>
  <c r="G4257" i="2"/>
  <c r="F4257" i="2"/>
  <c r="E4257" i="2"/>
  <c r="D4257" i="2"/>
  <c r="C4257" i="2"/>
  <c r="B4257" i="2"/>
  <c r="V4256" i="2"/>
  <c r="U4256" i="2"/>
  <c r="T4256" i="2"/>
  <c r="S4256" i="2"/>
  <c r="R4256" i="2"/>
  <c r="Q4256" i="2"/>
  <c r="P4256" i="2"/>
  <c r="O4256" i="2"/>
  <c r="N4256" i="2"/>
  <c r="M4256" i="2"/>
  <c r="L4256" i="2"/>
  <c r="K4256" i="2"/>
  <c r="J4256" i="2"/>
  <c r="I4256" i="2"/>
  <c r="H4256" i="2"/>
  <c r="G4256" i="2"/>
  <c r="F4256" i="2"/>
  <c r="E4256" i="2"/>
  <c r="D4256" i="2"/>
  <c r="C4256" i="2"/>
  <c r="B4256" i="2"/>
  <c r="V4255" i="2"/>
  <c r="U4255" i="2"/>
  <c r="T4255" i="2"/>
  <c r="S4255" i="2"/>
  <c r="R4255" i="2"/>
  <c r="Q4255" i="2"/>
  <c r="P4255" i="2"/>
  <c r="O4255" i="2"/>
  <c r="N4255" i="2"/>
  <c r="M4255" i="2"/>
  <c r="L4255" i="2"/>
  <c r="K4255" i="2"/>
  <c r="J4255" i="2"/>
  <c r="I4255" i="2"/>
  <c r="H4255" i="2"/>
  <c r="G4255" i="2"/>
  <c r="F4255" i="2"/>
  <c r="E4255" i="2"/>
  <c r="D4255" i="2"/>
  <c r="C4255" i="2"/>
  <c r="B4255" i="2"/>
  <c r="V4254" i="2"/>
  <c r="U4254" i="2"/>
  <c r="T4254" i="2"/>
  <c r="S4254" i="2"/>
  <c r="R4254" i="2"/>
  <c r="Q4254" i="2"/>
  <c r="P4254" i="2"/>
  <c r="O4254" i="2"/>
  <c r="N4254" i="2"/>
  <c r="M4254" i="2"/>
  <c r="L4254" i="2"/>
  <c r="K4254" i="2"/>
  <c r="J4254" i="2"/>
  <c r="I4254" i="2"/>
  <c r="H4254" i="2"/>
  <c r="G4254" i="2"/>
  <c r="F4254" i="2"/>
  <c r="E4254" i="2"/>
  <c r="D4254" i="2"/>
  <c r="C4254" i="2"/>
  <c r="B4254" i="2"/>
  <c r="V4253" i="2"/>
  <c r="U4253" i="2"/>
  <c r="T4253" i="2"/>
  <c r="S4253" i="2"/>
  <c r="R4253" i="2"/>
  <c r="Q4253" i="2"/>
  <c r="P4253" i="2"/>
  <c r="O4253" i="2"/>
  <c r="N4253" i="2"/>
  <c r="M4253" i="2"/>
  <c r="L4253" i="2"/>
  <c r="K4253" i="2"/>
  <c r="J4253" i="2"/>
  <c r="I4253" i="2"/>
  <c r="H4253" i="2"/>
  <c r="G4253" i="2"/>
  <c r="F4253" i="2"/>
  <c r="E4253" i="2"/>
  <c r="D4253" i="2"/>
  <c r="C4253" i="2"/>
  <c r="B4253" i="2"/>
  <c r="V4252" i="2"/>
  <c r="U4252" i="2"/>
  <c r="T4252" i="2"/>
  <c r="S4252" i="2"/>
  <c r="R4252" i="2"/>
  <c r="Q4252" i="2"/>
  <c r="P4252" i="2"/>
  <c r="O4252" i="2"/>
  <c r="N4252" i="2"/>
  <c r="M4252" i="2"/>
  <c r="L4252" i="2"/>
  <c r="K4252" i="2"/>
  <c r="J4252" i="2"/>
  <c r="I4252" i="2"/>
  <c r="H4252" i="2"/>
  <c r="G4252" i="2"/>
  <c r="F4252" i="2"/>
  <c r="E4252" i="2"/>
  <c r="D4252" i="2"/>
  <c r="C4252" i="2"/>
  <c r="B4252" i="2"/>
  <c r="V4251" i="2"/>
  <c r="U4251" i="2"/>
  <c r="T4251" i="2"/>
  <c r="S4251" i="2"/>
  <c r="R4251" i="2"/>
  <c r="Q4251" i="2"/>
  <c r="P4251" i="2"/>
  <c r="O4251" i="2"/>
  <c r="N4251" i="2"/>
  <c r="M4251" i="2"/>
  <c r="L4251" i="2"/>
  <c r="K4251" i="2"/>
  <c r="J4251" i="2"/>
  <c r="I4251" i="2"/>
  <c r="H4251" i="2"/>
  <c r="G4251" i="2"/>
  <c r="F4251" i="2"/>
  <c r="E4251" i="2"/>
  <c r="D4251" i="2"/>
  <c r="C4251" i="2"/>
  <c r="B4251" i="2"/>
  <c r="V4250" i="2"/>
  <c r="U4250" i="2"/>
  <c r="T4250" i="2"/>
  <c r="S4250" i="2"/>
  <c r="R4250" i="2"/>
  <c r="Q4250" i="2"/>
  <c r="P4250" i="2"/>
  <c r="O4250" i="2"/>
  <c r="N4250" i="2"/>
  <c r="M4250" i="2"/>
  <c r="L4250" i="2"/>
  <c r="K4250" i="2"/>
  <c r="J4250" i="2"/>
  <c r="I4250" i="2"/>
  <c r="H4250" i="2"/>
  <c r="G4250" i="2"/>
  <c r="F4250" i="2"/>
  <c r="E4250" i="2"/>
  <c r="D4250" i="2"/>
  <c r="C4250" i="2"/>
  <c r="B4250" i="2"/>
  <c r="V4249" i="2"/>
  <c r="U4249" i="2"/>
  <c r="T4249" i="2"/>
  <c r="S4249" i="2"/>
  <c r="R4249" i="2"/>
  <c r="Q4249" i="2"/>
  <c r="P4249" i="2"/>
  <c r="O4249" i="2"/>
  <c r="N4249" i="2"/>
  <c r="M4249" i="2"/>
  <c r="L4249" i="2"/>
  <c r="K4249" i="2"/>
  <c r="J4249" i="2"/>
  <c r="I4249" i="2"/>
  <c r="H4249" i="2"/>
  <c r="G4249" i="2"/>
  <c r="F4249" i="2"/>
  <c r="E4249" i="2"/>
  <c r="D4249" i="2"/>
  <c r="C4249" i="2"/>
  <c r="B4249" i="2"/>
  <c r="V4248" i="2"/>
  <c r="U4248" i="2"/>
  <c r="T4248" i="2"/>
  <c r="S4248" i="2"/>
  <c r="R4248" i="2"/>
  <c r="Q4248" i="2"/>
  <c r="P4248" i="2"/>
  <c r="O4248" i="2"/>
  <c r="N4248" i="2"/>
  <c r="M4248" i="2"/>
  <c r="L4248" i="2"/>
  <c r="K4248" i="2"/>
  <c r="J4248" i="2"/>
  <c r="I4248" i="2"/>
  <c r="H4248" i="2"/>
  <c r="G4248" i="2"/>
  <c r="F4248" i="2"/>
  <c r="E4248" i="2"/>
  <c r="D4248" i="2"/>
  <c r="C4248" i="2"/>
  <c r="B4248" i="2"/>
  <c r="V4247" i="2"/>
  <c r="U4247" i="2"/>
  <c r="T4247" i="2"/>
  <c r="S4247" i="2"/>
  <c r="R4247" i="2"/>
  <c r="Q4247" i="2"/>
  <c r="P4247" i="2"/>
  <c r="O4247" i="2"/>
  <c r="N4247" i="2"/>
  <c r="M4247" i="2"/>
  <c r="L4247" i="2"/>
  <c r="K4247" i="2"/>
  <c r="J4247" i="2"/>
  <c r="I4247" i="2"/>
  <c r="H4247" i="2"/>
  <c r="G4247" i="2"/>
  <c r="F4247" i="2"/>
  <c r="E4247" i="2"/>
  <c r="D4247" i="2"/>
  <c r="C4247" i="2"/>
  <c r="B4247" i="2"/>
  <c r="V4246" i="2"/>
  <c r="U4246" i="2"/>
  <c r="T4246" i="2"/>
  <c r="S4246" i="2"/>
  <c r="R4246" i="2"/>
  <c r="Q4246" i="2"/>
  <c r="P4246" i="2"/>
  <c r="O4246" i="2"/>
  <c r="N4246" i="2"/>
  <c r="M4246" i="2"/>
  <c r="L4246" i="2"/>
  <c r="K4246" i="2"/>
  <c r="J4246" i="2"/>
  <c r="I4246" i="2"/>
  <c r="H4246" i="2"/>
  <c r="G4246" i="2"/>
  <c r="F4246" i="2"/>
  <c r="E4246" i="2"/>
  <c r="D4246" i="2"/>
  <c r="C4246" i="2"/>
  <c r="B4246" i="2"/>
  <c r="V4245" i="2"/>
  <c r="U4245" i="2"/>
  <c r="T4245" i="2"/>
  <c r="S4245" i="2"/>
  <c r="R4245" i="2"/>
  <c r="Q4245" i="2"/>
  <c r="P4245" i="2"/>
  <c r="O4245" i="2"/>
  <c r="N4245" i="2"/>
  <c r="M4245" i="2"/>
  <c r="L4245" i="2"/>
  <c r="K4245" i="2"/>
  <c r="J4245" i="2"/>
  <c r="I4245" i="2"/>
  <c r="H4245" i="2"/>
  <c r="G4245" i="2"/>
  <c r="F4245" i="2"/>
  <c r="E4245" i="2"/>
  <c r="D4245" i="2"/>
  <c r="C4245" i="2"/>
  <c r="B4245" i="2"/>
  <c r="V4244" i="2"/>
  <c r="U4244" i="2"/>
  <c r="T4244" i="2"/>
  <c r="S4244" i="2"/>
  <c r="R4244" i="2"/>
  <c r="Q4244" i="2"/>
  <c r="P4244" i="2"/>
  <c r="O4244" i="2"/>
  <c r="N4244" i="2"/>
  <c r="M4244" i="2"/>
  <c r="L4244" i="2"/>
  <c r="K4244" i="2"/>
  <c r="J4244" i="2"/>
  <c r="I4244" i="2"/>
  <c r="H4244" i="2"/>
  <c r="G4244" i="2"/>
  <c r="F4244" i="2"/>
  <c r="E4244" i="2"/>
  <c r="D4244" i="2"/>
  <c r="C4244" i="2"/>
  <c r="B4244" i="2"/>
  <c r="V4243" i="2"/>
  <c r="U4243" i="2"/>
  <c r="T4243" i="2"/>
  <c r="S4243" i="2"/>
  <c r="R4243" i="2"/>
  <c r="Q4243" i="2"/>
  <c r="P4243" i="2"/>
  <c r="O4243" i="2"/>
  <c r="N4243" i="2"/>
  <c r="M4243" i="2"/>
  <c r="L4243" i="2"/>
  <c r="K4243" i="2"/>
  <c r="J4243" i="2"/>
  <c r="I4243" i="2"/>
  <c r="H4243" i="2"/>
  <c r="G4243" i="2"/>
  <c r="F4243" i="2"/>
  <c r="E4243" i="2"/>
  <c r="D4243" i="2"/>
  <c r="C4243" i="2"/>
  <c r="B4243" i="2"/>
  <c r="V4242" i="2"/>
  <c r="U4242" i="2"/>
  <c r="T4242" i="2"/>
  <c r="S4242" i="2"/>
  <c r="R4242" i="2"/>
  <c r="Q4242" i="2"/>
  <c r="P4242" i="2"/>
  <c r="O4242" i="2"/>
  <c r="N4242" i="2"/>
  <c r="M4242" i="2"/>
  <c r="L4242" i="2"/>
  <c r="K4242" i="2"/>
  <c r="J4242" i="2"/>
  <c r="I4242" i="2"/>
  <c r="H4242" i="2"/>
  <c r="G4242" i="2"/>
  <c r="F4242" i="2"/>
  <c r="E4242" i="2"/>
  <c r="D4242" i="2"/>
  <c r="C4242" i="2"/>
  <c r="B4242" i="2"/>
  <c r="V4241" i="2"/>
  <c r="U4241" i="2"/>
  <c r="T4241" i="2"/>
  <c r="S4241" i="2"/>
  <c r="R4241" i="2"/>
  <c r="Q4241" i="2"/>
  <c r="P4241" i="2"/>
  <c r="O4241" i="2"/>
  <c r="N4241" i="2"/>
  <c r="M4241" i="2"/>
  <c r="L4241" i="2"/>
  <c r="K4241" i="2"/>
  <c r="J4241" i="2"/>
  <c r="I4241" i="2"/>
  <c r="H4241" i="2"/>
  <c r="G4241" i="2"/>
  <c r="F4241" i="2"/>
  <c r="E4241" i="2"/>
  <c r="D4241" i="2"/>
  <c r="C4241" i="2"/>
  <c r="B4241" i="2"/>
  <c r="V4240" i="2"/>
  <c r="U4240" i="2"/>
  <c r="T4240" i="2"/>
  <c r="S4240" i="2"/>
  <c r="R4240" i="2"/>
  <c r="Q4240" i="2"/>
  <c r="P4240" i="2"/>
  <c r="O4240" i="2"/>
  <c r="N4240" i="2"/>
  <c r="M4240" i="2"/>
  <c r="L4240" i="2"/>
  <c r="K4240" i="2"/>
  <c r="J4240" i="2"/>
  <c r="I4240" i="2"/>
  <c r="H4240" i="2"/>
  <c r="G4240" i="2"/>
  <c r="F4240" i="2"/>
  <c r="E4240" i="2"/>
  <c r="D4240" i="2"/>
  <c r="C4240" i="2"/>
  <c r="B4240" i="2"/>
  <c r="V4239" i="2"/>
  <c r="U4239" i="2"/>
  <c r="T4239" i="2"/>
  <c r="S4239" i="2"/>
  <c r="R4239" i="2"/>
  <c r="Q4239" i="2"/>
  <c r="P4239" i="2"/>
  <c r="O4239" i="2"/>
  <c r="N4239" i="2"/>
  <c r="M4239" i="2"/>
  <c r="L4239" i="2"/>
  <c r="K4239" i="2"/>
  <c r="J4239" i="2"/>
  <c r="I4239" i="2"/>
  <c r="H4239" i="2"/>
  <c r="G4239" i="2"/>
  <c r="F4239" i="2"/>
  <c r="E4239" i="2"/>
  <c r="D4239" i="2"/>
  <c r="C4239" i="2"/>
  <c r="B4239" i="2"/>
  <c r="V4238" i="2"/>
  <c r="U4238" i="2"/>
  <c r="T4238" i="2"/>
  <c r="S4238" i="2"/>
  <c r="R4238" i="2"/>
  <c r="Q4238" i="2"/>
  <c r="P4238" i="2"/>
  <c r="O4238" i="2"/>
  <c r="N4238" i="2"/>
  <c r="M4238" i="2"/>
  <c r="L4238" i="2"/>
  <c r="K4238" i="2"/>
  <c r="J4238" i="2"/>
  <c r="I4238" i="2"/>
  <c r="H4238" i="2"/>
  <c r="G4238" i="2"/>
  <c r="F4238" i="2"/>
  <c r="E4238" i="2"/>
  <c r="D4238" i="2"/>
  <c r="C4238" i="2"/>
  <c r="B4238" i="2"/>
  <c r="V4237" i="2"/>
  <c r="U4237" i="2"/>
  <c r="T4237" i="2"/>
  <c r="S4237" i="2"/>
  <c r="R4237" i="2"/>
  <c r="Q4237" i="2"/>
  <c r="P4237" i="2"/>
  <c r="O4237" i="2"/>
  <c r="N4237" i="2"/>
  <c r="M4237" i="2"/>
  <c r="L4237" i="2"/>
  <c r="K4237" i="2"/>
  <c r="J4237" i="2"/>
  <c r="I4237" i="2"/>
  <c r="H4237" i="2"/>
  <c r="G4237" i="2"/>
  <c r="F4237" i="2"/>
  <c r="E4237" i="2"/>
  <c r="D4237" i="2"/>
  <c r="C4237" i="2"/>
  <c r="B4237" i="2"/>
  <c r="V4236" i="2"/>
  <c r="U4236" i="2"/>
  <c r="T4236" i="2"/>
  <c r="S4236" i="2"/>
  <c r="R4236" i="2"/>
  <c r="Q4236" i="2"/>
  <c r="P4236" i="2"/>
  <c r="O4236" i="2"/>
  <c r="N4236" i="2"/>
  <c r="M4236" i="2"/>
  <c r="L4236" i="2"/>
  <c r="K4236" i="2"/>
  <c r="J4236" i="2"/>
  <c r="I4236" i="2"/>
  <c r="H4236" i="2"/>
  <c r="G4236" i="2"/>
  <c r="F4236" i="2"/>
  <c r="E4236" i="2"/>
  <c r="D4236" i="2"/>
  <c r="C4236" i="2"/>
  <c r="B4236" i="2"/>
  <c r="V4235" i="2"/>
  <c r="U4235" i="2"/>
  <c r="T4235" i="2"/>
  <c r="S4235" i="2"/>
  <c r="R4235" i="2"/>
  <c r="Q4235" i="2"/>
  <c r="P4235" i="2"/>
  <c r="O4235" i="2"/>
  <c r="N4235" i="2"/>
  <c r="M4235" i="2"/>
  <c r="L4235" i="2"/>
  <c r="K4235" i="2"/>
  <c r="J4235" i="2"/>
  <c r="I4235" i="2"/>
  <c r="H4235" i="2"/>
  <c r="G4235" i="2"/>
  <c r="F4235" i="2"/>
  <c r="E4235" i="2"/>
  <c r="D4235" i="2"/>
  <c r="C4235" i="2"/>
  <c r="B4235" i="2"/>
  <c r="V4234" i="2"/>
  <c r="U4234" i="2"/>
  <c r="T4234" i="2"/>
  <c r="S4234" i="2"/>
  <c r="R4234" i="2"/>
  <c r="Q4234" i="2"/>
  <c r="P4234" i="2"/>
  <c r="O4234" i="2"/>
  <c r="N4234" i="2"/>
  <c r="M4234" i="2"/>
  <c r="L4234" i="2"/>
  <c r="K4234" i="2"/>
  <c r="J4234" i="2"/>
  <c r="I4234" i="2"/>
  <c r="H4234" i="2"/>
  <c r="G4234" i="2"/>
  <c r="F4234" i="2"/>
  <c r="E4234" i="2"/>
  <c r="D4234" i="2"/>
  <c r="C4234" i="2"/>
  <c r="B4234" i="2"/>
  <c r="V4233" i="2"/>
  <c r="U4233" i="2"/>
  <c r="T4233" i="2"/>
  <c r="S4233" i="2"/>
  <c r="R4233" i="2"/>
  <c r="Q4233" i="2"/>
  <c r="P4233" i="2"/>
  <c r="O4233" i="2"/>
  <c r="N4233" i="2"/>
  <c r="M4233" i="2"/>
  <c r="L4233" i="2"/>
  <c r="K4233" i="2"/>
  <c r="J4233" i="2"/>
  <c r="I4233" i="2"/>
  <c r="H4233" i="2"/>
  <c r="G4233" i="2"/>
  <c r="F4233" i="2"/>
  <c r="E4233" i="2"/>
  <c r="D4233" i="2"/>
  <c r="C4233" i="2"/>
  <c r="B4233" i="2"/>
  <c r="V4232" i="2"/>
  <c r="U4232" i="2"/>
  <c r="T4232" i="2"/>
  <c r="S4232" i="2"/>
  <c r="R4232" i="2"/>
  <c r="Q4232" i="2"/>
  <c r="P4232" i="2"/>
  <c r="O4232" i="2"/>
  <c r="N4232" i="2"/>
  <c r="M4232" i="2"/>
  <c r="L4232" i="2"/>
  <c r="K4232" i="2"/>
  <c r="J4232" i="2"/>
  <c r="I4232" i="2"/>
  <c r="H4232" i="2"/>
  <c r="G4232" i="2"/>
  <c r="F4232" i="2"/>
  <c r="E4232" i="2"/>
  <c r="D4232" i="2"/>
  <c r="C4232" i="2"/>
  <c r="B4232" i="2"/>
  <c r="V4231" i="2"/>
  <c r="U4231" i="2"/>
  <c r="T4231" i="2"/>
  <c r="S4231" i="2"/>
  <c r="R4231" i="2"/>
  <c r="Q4231" i="2"/>
  <c r="P4231" i="2"/>
  <c r="O4231" i="2"/>
  <c r="N4231" i="2"/>
  <c r="M4231" i="2"/>
  <c r="L4231" i="2"/>
  <c r="K4231" i="2"/>
  <c r="J4231" i="2"/>
  <c r="I4231" i="2"/>
  <c r="H4231" i="2"/>
  <c r="G4231" i="2"/>
  <c r="F4231" i="2"/>
  <c r="E4231" i="2"/>
  <c r="D4231" i="2"/>
  <c r="C4231" i="2"/>
  <c r="B4231" i="2"/>
  <c r="V4230" i="2"/>
  <c r="U4230" i="2"/>
  <c r="T4230" i="2"/>
  <c r="S4230" i="2"/>
  <c r="R4230" i="2"/>
  <c r="Q4230" i="2"/>
  <c r="P4230" i="2"/>
  <c r="O4230" i="2"/>
  <c r="N4230" i="2"/>
  <c r="M4230" i="2"/>
  <c r="L4230" i="2"/>
  <c r="K4230" i="2"/>
  <c r="J4230" i="2"/>
  <c r="I4230" i="2"/>
  <c r="H4230" i="2"/>
  <c r="G4230" i="2"/>
  <c r="F4230" i="2"/>
  <c r="E4230" i="2"/>
  <c r="D4230" i="2"/>
  <c r="C4230" i="2"/>
  <c r="B4230" i="2"/>
  <c r="V4229" i="2"/>
  <c r="U4229" i="2"/>
  <c r="T4229" i="2"/>
  <c r="S4229" i="2"/>
  <c r="R4229" i="2"/>
  <c r="Q4229" i="2"/>
  <c r="P4229" i="2"/>
  <c r="O4229" i="2"/>
  <c r="N4229" i="2"/>
  <c r="M4229" i="2"/>
  <c r="L4229" i="2"/>
  <c r="K4229" i="2"/>
  <c r="J4229" i="2"/>
  <c r="I4229" i="2"/>
  <c r="H4229" i="2"/>
  <c r="G4229" i="2"/>
  <c r="F4229" i="2"/>
  <c r="E4229" i="2"/>
  <c r="D4229" i="2"/>
  <c r="C4229" i="2"/>
  <c r="B4229" i="2"/>
  <c r="V4228" i="2"/>
  <c r="U4228" i="2"/>
  <c r="T4228" i="2"/>
  <c r="S4228" i="2"/>
  <c r="R4228" i="2"/>
  <c r="Q4228" i="2"/>
  <c r="P4228" i="2"/>
  <c r="O4228" i="2"/>
  <c r="N4228" i="2"/>
  <c r="M4228" i="2"/>
  <c r="L4228" i="2"/>
  <c r="K4228" i="2"/>
  <c r="J4228" i="2"/>
  <c r="I4228" i="2"/>
  <c r="H4228" i="2"/>
  <c r="G4228" i="2"/>
  <c r="F4228" i="2"/>
  <c r="E4228" i="2"/>
  <c r="D4228" i="2"/>
  <c r="C4228" i="2"/>
  <c r="B4228" i="2"/>
  <c r="V4227" i="2"/>
  <c r="U4227" i="2"/>
  <c r="T4227" i="2"/>
  <c r="S4227" i="2"/>
  <c r="R4227" i="2"/>
  <c r="Q4227" i="2"/>
  <c r="P4227" i="2"/>
  <c r="O4227" i="2"/>
  <c r="N4227" i="2"/>
  <c r="M4227" i="2"/>
  <c r="L4227" i="2"/>
  <c r="K4227" i="2"/>
  <c r="J4227" i="2"/>
  <c r="I4227" i="2"/>
  <c r="H4227" i="2"/>
  <c r="G4227" i="2"/>
  <c r="F4227" i="2"/>
  <c r="E4227" i="2"/>
  <c r="D4227" i="2"/>
  <c r="C4227" i="2"/>
  <c r="B4227" i="2"/>
  <c r="V4226" i="2"/>
  <c r="U4226" i="2"/>
  <c r="T4226" i="2"/>
  <c r="S4226" i="2"/>
  <c r="R4226" i="2"/>
  <c r="Q4226" i="2"/>
  <c r="P4226" i="2"/>
  <c r="O4226" i="2"/>
  <c r="N4226" i="2"/>
  <c r="M4226" i="2"/>
  <c r="L4226" i="2"/>
  <c r="K4226" i="2"/>
  <c r="J4226" i="2"/>
  <c r="I4226" i="2"/>
  <c r="H4226" i="2"/>
  <c r="G4226" i="2"/>
  <c r="F4226" i="2"/>
  <c r="E4226" i="2"/>
  <c r="D4226" i="2"/>
  <c r="C4226" i="2"/>
  <c r="B4226" i="2"/>
  <c r="V4225" i="2"/>
  <c r="U4225" i="2"/>
  <c r="T4225" i="2"/>
  <c r="S4225" i="2"/>
  <c r="R4225" i="2"/>
  <c r="Q4225" i="2"/>
  <c r="P4225" i="2"/>
  <c r="O4225" i="2"/>
  <c r="N4225" i="2"/>
  <c r="M4225" i="2"/>
  <c r="L4225" i="2"/>
  <c r="K4225" i="2"/>
  <c r="J4225" i="2"/>
  <c r="I4225" i="2"/>
  <c r="H4225" i="2"/>
  <c r="G4225" i="2"/>
  <c r="F4225" i="2"/>
  <c r="E4225" i="2"/>
  <c r="D4225" i="2"/>
  <c r="C4225" i="2"/>
  <c r="B4225" i="2"/>
  <c r="V4224" i="2"/>
  <c r="U4224" i="2"/>
  <c r="T4224" i="2"/>
  <c r="S4224" i="2"/>
  <c r="R4224" i="2"/>
  <c r="Q4224" i="2"/>
  <c r="P4224" i="2"/>
  <c r="O4224" i="2"/>
  <c r="N4224" i="2"/>
  <c r="M4224" i="2"/>
  <c r="L4224" i="2"/>
  <c r="K4224" i="2"/>
  <c r="J4224" i="2"/>
  <c r="I4224" i="2"/>
  <c r="H4224" i="2"/>
  <c r="G4224" i="2"/>
  <c r="F4224" i="2"/>
  <c r="E4224" i="2"/>
  <c r="D4224" i="2"/>
  <c r="C4224" i="2"/>
  <c r="B4224" i="2"/>
  <c r="V4223" i="2"/>
  <c r="U4223" i="2"/>
  <c r="T4223" i="2"/>
  <c r="S4223" i="2"/>
  <c r="R4223" i="2"/>
  <c r="Q4223" i="2"/>
  <c r="P4223" i="2"/>
  <c r="O4223" i="2"/>
  <c r="N4223" i="2"/>
  <c r="M4223" i="2"/>
  <c r="L4223" i="2"/>
  <c r="K4223" i="2"/>
  <c r="J4223" i="2"/>
  <c r="I4223" i="2"/>
  <c r="H4223" i="2"/>
  <c r="G4223" i="2"/>
  <c r="F4223" i="2"/>
  <c r="E4223" i="2"/>
  <c r="D4223" i="2"/>
  <c r="C4223" i="2"/>
  <c r="B4223" i="2"/>
  <c r="V4222" i="2"/>
  <c r="U4222" i="2"/>
  <c r="T4222" i="2"/>
  <c r="S4222" i="2"/>
  <c r="R4222" i="2"/>
  <c r="Q4222" i="2"/>
  <c r="P4222" i="2"/>
  <c r="O4222" i="2"/>
  <c r="N4222" i="2"/>
  <c r="M4222" i="2"/>
  <c r="L4222" i="2"/>
  <c r="K4222" i="2"/>
  <c r="J4222" i="2"/>
  <c r="I4222" i="2"/>
  <c r="H4222" i="2"/>
  <c r="G4222" i="2"/>
  <c r="F4222" i="2"/>
  <c r="E4222" i="2"/>
  <c r="D4222" i="2"/>
  <c r="C4222" i="2"/>
  <c r="B4222" i="2"/>
  <c r="V4221" i="2"/>
  <c r="U4221" i="2"/>
  <c r="T4221" i="2"/>
  <c r="S4221" i="2"/>
  <c r="R4221" i="2"/>
  <c r="Q4221" i="2"/>
  <c r="P4221" i="2"/>
  <c r="O4221" i="2"/>
  <c r="N4221" i="2"/>
  <c r="M4221" i="2"/>
  <c r="L4221" i="2"/>
  <c r="K4221" i="2"/>
  <c r="J4221" i="2"/>
  <c r="I4221" i="2"/>
  <c r="H4221" i="2"/>
  <c r="G4221" i="2"/>
  <c r="F4221" i="2"/>
  <c r="E4221" i="2"/>
  <c r="D4221" i="2"/>
  <c r="C4221" i="2"/>
  <c r="B4221" i="2"/>
  <c r="V4220" i="2"/>
  <c r="U4220" i="2"/>
  <c r="T4220" i="2"/>
  <c r="S4220" i="2"/>
  <c r="R4220" i="2"/>
  <c r="Q4220" i="2"/>
  <c r="P4220" i="2"/>
  <c r="O4220" i="2"/>
  <c r="N4220" i="2"/>
  <c r="M4220" i="2"/>
  <c r="L4220" i="2"/>
  <c r="K4220" i="2"/>
  <c r="J4220" i="2"/>
  <c r="I4220" i="2"/>
  <c r="H4220" i="2"/>
  <c r="G4220" i="2"/>
  <c r="F4220" i="2"/>
  <c r="E4220" i="2"/>
  <c r="D4220" i="2"/>
  <c r="C4220" i="2"/>
  <c r="B4220" i="2"/>
  <c r="V4219" i="2"/>
  <c r="U4219" i="2"/>
  <c r="T4219" i="2"/>
  <c r="S4219" i="2"/>
  <c r="R4219" i="2"/>
  <c r="Q4219" i="2"/>
  <c r="P4219" i="2"/>
  <c r="O4219" i="2"/>
  <c r="N4219" i="2"/>
  <c r="M4219" i="2"/>
  <c r="L4219" i="2"/>
  <c r="K4219" i="2"/>
  <c r="J4219" i="2"/>
  <c r="I4219" i="2"/>
  <c r="H4219" i="2"/>
  <c r="G4219" i="2"/>
  <c r="F4219" i="2"/>
  <c r="E4219" i="2"/>
  <c r="D4219" i="2"/>
  <c r="C4219" i="2"/>
  <c r="B4219" i="2"/>
  <c r="V4218" i="2"/>
  <c r="U4218" i="2"/>
  <c r="T4218" i="2"/>
  <c r="S4218" i="2"/>
  <c r="R4218" i="2"/>
  <c r="Q4218" i="2"/>
  <c r="P4218" i="2"/>
  <c r="O4218" i="2"/>
  <c r="N4218" i="2"/>
  <c r="M4218" i="2"/>
  <c r="L4218" i="2"/>
  <c r="K4218" i="2"/>
  <c r="J4218" i="2"/>
  <c r="I4218" i="2"/>
  <c r="H4218" i="2"/>
  <c r="G4218" i="2"/>
  <c r="F4218" i="2"/>
  <c r="E4218" i="2"/>
  <c r="D4218" i="2"/>
  <c r="C4218" i="2"/>
  <c r="B4218" i="2"/>
  <c r="V4217" i="2"/>
  <c r="U4217" i="2"/>
  <c r="T4217" i="2"/>
  <c r="S4217" i="2"/>
  <c r="R4217" i="2"/>
  <c r="Q4217" i="2"/>
  <c r="P4217" i="2"/>
  <c r="O4217" i="2"/>
  <c r="N4217" i="2"/>
  <c r="M4217" i="2"/>
  <c r="L4217" i="2"/>
  <c r="K4217" i="2"/>
  <c r="J4217" i="2"/>
  <c r="I4217" i="2"/>
  <c r="H4217" i="2"/>
  <c r="G4217" i="2"/>
  <c r="F4217" i="2"/>
  <c r="E4217" i="2"/>
  <c r="D4217" i="2"/>
  <c r="C4217" i="2"/>
  <c r="B4217" i="2"/>
  <c r="V4216" i="2"/>
  <c r="U4216" i="2"/>
  <c r="T4216" i="2"/>
  <c r="S4216" i="2"/>
  <c r="R4216" i="2"/>
  <c r="Q4216" i="2"/>
  <c r="P4216" i="2"/>
  <c r="O4216" i="2"/>
  <c r="N4216" i="2"/>
  <c r="M4216" i="2"/>
  <c r="L4216" i="2"/>
  <c r="K4216" i="2"/>
  <c r="J4216" i="2"/>
  <c r="I4216" i="2"/>
  <c r="H4216" i="2"/>
  <c r="G4216" i="2"/>
  <c r="F4216" i="2"/>
  <c r="E4216" i="2"/>
  <c r="D4216" i="2"/>
  <c r="C4216" i="2"/>
  <c r="B4216" i="2"/>
  <c r="V4215" i="2"/>
  <c r="U4215" i="2"/>
  <c r="T4215" i="2"/>
  <c r="S4215" i="2"/>
  <c r="R4215" i="2"/>
  <c r="Q4215" i="2"/>
  <c r="P4215" i="2"/>
  <c r="O4215" i="2"/>
  <c r="N4215" i="2"/>
  <c r="M4215" i="2"/>
  <c r="L4215" i="2"/>
  <c r="K4215" i="2"/>
  <c r="J4215" i="2"/>
  <c r="I4215" i="2"/>
  <c r="H4215" i="2"/>
  <c r="G4215" i="2"/>
  <c r="F4215" i="2"/>
  <c r="E4215" i="2"/>
  <c r="D4215" i="2"/>
  <c r="C4215" i="2"/>
  <c r="B4215" i="2"/>
  <c r="V4214" i="2"/>
  <c r="U4214" i="2"/>
  <c r="T4214" i="2"/>
  <c r="S4214" i="2"/>
  <c r="R4214" i="2"/>
  <c r="Q4214" i="2"/>
  <c r="P4214" i="2"/>
  <c r="O4214" i="2"/>
  <c r="N4214" i="2"/>
  <c r="M4214" i="2"/>
  <c r="L4214" i="2"/>
  <c r="K4214" i="2"/>
  <c r="J4214" i="2"/>
  <c r="I4214" i="2"/>
  <c r="H4214" i="2"/>
  <c r="G4214" i="2"/>
  <c r="F4214" i="2"/>
  <c r="E4214" i="2"/>
  <c r="D4214" i="2"/>
  <c r="C4214" i="2"/>
  <c r="B4214" i="2"/>
  <c r="V4213" i="2"/>
  <c r="U4213" i="2"/>
  <c r="T4213" i="2"/>
  <c r="S4213" i="2"/>
  <c r="R4213" i="2"/>
  <c r="Q4213" i="2"/>
  <c r="P4213" i="2"/>
  <c r="O4213" i="2"/>
  <c r="N4213" i="2"/>
  <c r="M4213" i="2"/>
  <c r="L4213" i="2"/>
  <c r="K4213" i="2"/>
  <c r="J4213" i="2"/>
  <c r="I4213" i="2"/>
  <c r="H4213" i="2"/>
  <c r="G4213" i="2"/>
  <c r="F4213" i="2"/>
  <c r="E4213" i="2"/>
  <c r="D4213" i="2"/>
  <c r="C4213" i="2"/>
  <c r="B4213" i="2"/>
  <c r="V4212" i="2"/>
  <c r="U4212" i="2"/>
  <c r="T4212" i="2"/>
  <c r="S4212" i="2"/>
  <c r="R4212" i="2"/>
  <c r="Q4212" i="2"/>
  <c r="P4212" i="2"/>
  <c r="O4212" i="2"/>
  <c r="N4212" i="2"/>
  <c r="M4212" i="2"/>
  <c r="L4212" i="2"/>
  <c r="K4212" i="2"/>
  <c r="J4212" i="2"/>
  <c r="I4212" i="2"/>
  <c r="H4212" i="2"/>
  <c r="G4212" i="2"/>
  <c r="F4212" i="2"/>
  <c r="E4212" i="2"/>
  <c r="D4212" i="2"/>
  <c r="C4212" i="2"/>
  <c r="B4212" i="2"/>
  <c r="V4211" i="2"/>
  <c r="U4211" i="2"/>
  <c r="T4211" i="2"/>
  <c r="S4211" i="2"/>
  <c r="R4211" i="2"/>
  <c r="Q4211" i="2"/>
  <c r="P4211" i="2"/>
  <c r="O4211" i="2"/>
  <c r="N4211" i="2"/>
  <c r="M4211" i="2"/>
  <c r="L4211" i="2"/>
  <c r="K4211" i="2"/>
  <c r="J4211" i="2"/>
  <c r="I4211" i="2"/>
  <c r="H4211" i="2"/>
  <c r="G4211" i="2"/>
  <c r="F4211" i="2"/>
  <c r="E4211" i="2"/>
  <c r="D4211" i="2"/>
  <c r="C4211" i="2"/>
  <c r="B4211" i="2"/>
  <c r="V4210" i="2"/>
  <c r="U4210" i="2"/>
  <c r="T4210" i="2"/>
  <c r="S4210" i="2"/>
  <c r="R4210" i="2"/>
  <c r="Q4210" i="2"/>
  <c r="P4210" i="2"/>
  <c r="O4210" i="2"/>
  <c r="N4210" i="2"/>
  <c r="M4210" i="2"/>
  <c r="L4210" i="2"/>
  <c r="K4210" i="2"/>
  <c r="J4210" i="2"/>
  <c r="I4210" i="2"/>
  <c r="H4210" i="2"/>
  <c r="G4210" i="2"/>
  <c r="F4210" i="2"/>
  <c r="E4210" i="2"/>
  <c r="D4210" i="2"/>
  <c r="C4210" i="2"/>
  <c r="B4210" i="2"/>
  <c r="V4209" i="2"/>
  <c r="U4209" i="2"/>
  <c r="T4209" i="2"/>
  <c r="S4209" i="2"/>
  <c r="R4209" i="2"/>
  <c r="Q4209" i="2"/>
  <c r="P4209" i="2"/>
  <c r="O4209" i="2"/>
  <c r="N4209" i="2"/>
  <c r="M4209" i="2"/>
  <c r="L4209" i="2"/>
  <c r="K4209" i="2"/>
  <c r="J4209" i="2"/>
  <c r="I4209" i="2"/>
  <c r="H4209" i="2"/>
  <c r="G4209" i="2"/>
  <c r="F4209" i="2"/>
  <c r="E4209" i="2"/>
  <c r="D4209" i="2"/>
  <c r="C4209" i="2"/>
  <c r="B4209" i="2"/>
  <c r="V4208" i="2"/>
  <c r="U4208" i="2"/>
  <c r="T4208" i="2"/>
  <c r="S4208" i="2"/>
  <c r="R4208" i="2"/>
  <c r="Q4208" i="2"/>
  <c r="P4208" i="2"/>
  <c r="O4208" i="2"/>
  <c r="N4208" i="2"/>
  <c r="M4208" i="2"/>
  <c r="L4208" i="2"/>
  <c r="K4208" i="2"/>
  <c r="J4208" i="2"/>
  <c r="I4208" i="2"/>
  <c r="H4208" i="2"/>
  <c r="G4208" i="2"/>
  <c r="F4208" i="2"/>
  <c r="E4208" i="2"/>
  <c r="D4208" i="2"/>
  <c r="C4208" i="2"/>
  <c r="B4208" i="2"/>
  <c r="V4207" i="2"/>
  <c r="U4207" i="2"/>
  <c r="T4207" i="2"/>
  <c r="S4207" i="2"/>
  <c r="R4207" i="2"/>
  <c r="Q4207" i="2"/>
  <c r="P4207" i="2"/>
  <c r="O4207" i="2"/>
  <c r="N4207" i="2"/>
  <c r="M4207" i="2"/>
  <c r="L4207" i="2"/>
  <c r="K4207" i="2"/>
  <c r="J4207" i="2"/>
  <c r="I4207" i="2"/>
  <c r="H4207" i="2"/>
  <c r="G4207" i="2"/>
  <c r="F4207" i="2"/>
  <c r="E4207" i="2"/>
  <c r="D4207" i="2"/>
  <c r="C4207" i="2"/>
  <c r="B4207" i="2"/>
  <c r="V4206" i="2"/>
  <c r="U4206" i="2"/>
  <c r="T4206" i="2"/>
  <c r="S4206" i="2"/>
  <c r="R4206" i="2"/>
  <c r="Q4206" i="2"/>
  <c r="P4206" i="2"/>
  <c r="O4206" i="2"/>
  <c r="N4206" i="2"/>
  <c r="M4206" i="2"/>
  <c r="L4206" i="2"/>
  <c r="K4206" i="2"/>
  <c r="J4206" i="2"/>
  <c r="I4206" i="2"/>
  <c r="H4206" i="2"/>
  <c r="G4206" i="2"/>
  <c r="F4206" i="2"/>
  <c r="E4206" i="2"/>
  <c r="D4206" i="2"/>
  <c r="C4206" i="2"/>
  <c r="B4206" i="2"/>
  <c r="V4205" i="2"/>
  <c r="U4205" i="2"/>
  <c r="T4205" i="2"/>
  <c r="S4205" i="2"/>
  <c r="R4205" i="2"/>
  <c r="Q4205" i="2"/>
  <c r="P4205" i="2"/>
  <c r="O4205" i="2"/>
  <c r="N4205" i="2"/>
  <c r="M4205" i="2"/>
  <c r="L4205" i="2"/>
  <c r="K4205" i="2"/>
  <c r="J4205" i="2"/>
  <c r="I4205" i="2"/>
  <c r="H4205" i="2"/>
  <c r="G4205" i="2"/>
  <c r="F4205" i="2"/>
  <c r="E4205" i="2"/>
  <c r="D4205" i="2"/>
  <c r="C4205" i="2"/>
  <c r="B4205" i="2"/>
  <c r="V4204" i="2"/>
  <c r="U4204" i="2"/>
  <c r="T4204" i="2"/>
  <c r="S4204" i="2"/>
  <c r="R4204" i="2"/>
  <c r="Q4204" i="2"/>
  <c r="P4204" i="2"/>
  <c r="O4204" i="2"/>
  <c r="N4204" i="2"/>
  <c r="M4204" i="2"/>
  <c r="L4204" i="2"/>
  <c r="K4204" i="2"/>
  <c r="J4204" i="2"/>
  <c r="I4204" i="2"/>
  <c r="H4204" i="2"/>
  <c r="G4204" i="2"/>
  <c r="F4204" i="2"/>
  <c r="E4204" i="2"/>
  <c r="D4204" i="2"/>
  <c r="C4204" i="2"/>
  <c r="B4204" i="2"/>
  <c r="V4203" i="2"/>
  <c r="U4203" i="2"/>
  <c r="T4203" i="2"/>
  <c r="S4203" i="2"/>
  <c r="R4203" i="2"/>
  <c r="Q4203" i="2"/>
  <c r="P4203" i="2"/>
  <c r="O4203" i="2"/>
  <c r="N4203" i="2"/>
  <c r="M4203" i="2"/>
  <c r="L4203" i="2"/>
  <c r="K4203" i="2"/>
  <c r="J4203" i="2"/>
  <c r="I4203" i="2"/>
  <c r="H4203" i="2"/>
  <c r="G4203" i="2"/>
  <c r="F4203" i="2"/>
  <c r="E4203" i="2"/>
  <c r="D4203" i="2"/>
  <c r="C4203" i="2"/>
  <c r="B4203" i="2"/>
  <c r="V4202" i="2"/>
  <c r="U4202" i="2"/>
  <c r="T4202" i="2"/>
  <c r="S4202" i="2"/>
  <c r="R4202" i="2"/>
  <c r="Q4202" i="2"/>
  <c r="P4202" i="2"/>
  <c r="O4202" i="2"/>
  <c r="N4202" i="2"/>
  <c r="M4202" i="2"/>
  <c r="L4202" i="2"/>
  <c r="K4202" i="2"/>
  <c r="J4202" i="2"/>
  <c r="I4202" i="2"/>
  <c r="H4202" i="2"/>
  <c r="G4202" i="2"/>
  <c r="F4202" i="2"/>
  <c r="E4202" i="2"/>
  <c r="D4202" i="2"/>
  <c r="C4202" i="2"/>
  <c r="B4202" i="2"/>
  <c r="V4201" i="2"/>
  <c r="U4201" i="2"/>
  <c r="T4201" i="2"/>
  <c r="S4201" i="2"/>
  <c r="R4201" i="2"/>
  <c r="Q4201" i="2"/>
  <c r="P4201" i="2"/>
  <c r="O4201" i="2"/>
  <c r="N4201" i="2"/>
  <c r="M4201" i="2"/>
  <c r="L4201" i="2"/>
  <c r="K4201" i="2"/>
  <c r="J4201" i="2"/>
  <c r="I4201" i="2"/>
  <c r="H4201" i="2"/>
  <c r="G4201" i="2"/>
  <c r="F4201" i="2"/>
  <c r="E4201" i="2"/>
  <c r="D4201" i="2"/>
  <c r="C4201" i="2"/>
  <c r="B4201" i="2"/>
  <c r="V4200" i="2"/>
  <c r="U4200" i="2"/>
  <c r="T4200" i="2"/>
  <c r="S4200" i="2"/>
  <c r="R4200" i="2"/>
  <c r="Q4200" i="2"/>
  <c r="P4200" i="2"/>
  <c r="O4200" i="2"/>
  <c r="N4200" i="2"/>
  <c r="M4200" i="2"/>
  <c r="L4200" i="2"/>
  <c r="K4200" i="2"/>
  <c r="J4200" i="2"/>
  <c r="I4200" i="2"/>
  <c r="H4200" i="2"/>
  <c r="G4200" i="2"/>
  <c r="F4200" i="2"/>
  <c r="E4200" i="2"/>
  <c r="D4200" i="2"/>
  <c r="C4200" i="2"/>
  <c r="B4200" i="2"/>
  <c r="V4199" i="2"/>
  <c r="U4199" i="2"/>
  <c r="T4199" i="2"/>
  <c r="S4199" i="2"/>
  <c r="R4199" i="2"/>
  <c r="Q4199" i="2"/>
  <c r="P4199" i="2"/>
  <c r="O4199" i="2"/>
  <c r="N4199" i="2"/>
  <c r="M4199" i="2"/>
  <c r="L4199" i="2"/>
  <c r="K4199" i="2"/>
  <c r="J4199" i="2"/>
  <c r="I4199" i="2"/>
  <c r="H4199" i="2"/>
  <c r="G4199" i="2"/>
  <c r="F4199" i="2"/>
  <c r="E4199" i="2"/>
  <c r="D4199" i="2"/>
  <c r="C4199" i="2"/>
  <c r="B4199" i="2"/>
  <c r="V4198" i="2"/>
  <c r="U4198" i="2"/>
  <c r="T4198" i="2"/>
  <c r="S4198" i="2"/>
  <c r="R4198" i="2"/>
  <c r="Q4198" i="2"/>
  <c r="P4198" i="2"/>
  <c r="O4198" i="2"/>
  <c r="N4198" i="2"/>
  <c r="M4198" i="2"/>
  <c r="L4198" i="2"/>
  <c r="K4198" i="2"/>
  <c r="J4198" i="2"/>
  <c r="I4198" i="2"/>
  <c r="H4198" i="2"/>
  <c r="G4198" i="2"/>
  <c r="F4198" i="2"/>
  <c r="E4198" i="2"/>
  <c r="D4198" i="2"/>
  <c r="C4198" i="2"/>
  <c r="B4198" i="2"/>
  <c r="V4197" i="2"/>
  <c r="U4197" i="2"/>
  <c r="T4197" i="2"/>
  <c r="S4197" i="2"/>
  <c r="R4197" i="2"/>
  <c r="Q4197" i="2"/>
  <c r="P4197" i="2"/>
  <c r="O4197" i="2"/>
  <c r="N4197" i="2"/>
  <c r="M4197" i="2"/>
  <c r="L4197" i="2"/>
  <c r="K4197" i="2"/>
  <c r="J4197" i="2"/>
  <c r="I4197" i="2"/>
  <c r="H4197" i="2"/>
  <c r="G4197" i="2"/>
  <c r="F4197" i="2"/>
  <c r="E4197" i="2"/>
  <c r="D4197" i="2"/>
  <c r="C4197" i="2"/>
  <c r="B4197" i="2"/>
  <c r="V4196" i="2"/>
  <c r="U4196" i="2"/>
  <c r="T4196" i="2"/>
  <c r="S4196" i="2"/>
  <c r="R4196" i="2"/>
  <c r="Q4196" i="2"/>
  <c r="P4196" i="2"/>
  <c r="O4196" i="2"/>
  <c r="N4196" i="2"/>
  <c r="M4196" i="2"/>
  <c r="L4196" i="2"/>
  <c r="K4196" i="2"/>
  <c r="J4196" i="2"/>
  <c r="I4196" i="2"/>
  <c r="H4196" i="2"/>
  <c r="G4196" i="2"/>
  <c r="F4196" i="2"/>
  <c r="E4196" i="2"/>
  <c r="D4196" i="2"/>
  <c r="C4196" i="2"/>
  <c r="B4196" i="2"/>
  <c r="V4195" i="2"/>
  <c r="U4195" i="2"/>
  <c r="T4195" i="2"/>
  <c r="S4195" i="2"/>
  <c r="R4195" i="2"/>
  <c r="Q4195" i="2"/>
  <c r="P4195" i="2"/>
  <c r="O4195" i="2"/>
  <c r="N4195" i="2"/>
  <c r="M4195" i="2"/>
  <c r="L4195" i="2"/>
  <c r="K4195" i="2"/>
  <c r="J4195" i="2"/>
  <c r="I4195" i="2"/>
  <c r="H4195" i="2"/>
  <c r="G4195" i="2"/>
  <c r="F4195" i="2"/>
  <c r="E4195" i="2"/>
  <c r="D4195" i="2"/>
  <c r="C4195" i="2"/>
  <c r="B4195" i="2"/>
  <c r="V4194" i="2"/>
  <c r="U4194" i="2"/>
  <c r="T4194" i="2"/>
  <c r="S4194" i="2"/>
  <c r="R4194" i="2"/>
  <c r="Q4194" i="2"/>
  <c r="P4194" i="2"/>
  <c r="O4194" i="2"/>
  <c r="N4194" i="2"/>
  <c r="M4194" i="2"/>
  <c r="L4194" i="2"/>
  <c r="K4194" i="2"/>
  <c r="J4194" i="2"/>
  <c r="I4194" i="2"/>
  <c r="H4194" i="2"/>
  <c r="G4194" i="2"/>
  <c r="F4194" i="2"/>
  <c r="E4194" i="2"/>
  <c r="D4194" i="2"/>
  <c r="C4194" i="2"/>
  <c r="B4194" i="2"/>
  <c r="V4193" i="2"/>
  <c r="U4193" i="2"/>
  <c r="T4193" i="2"/>
  <c r="S4193" i="2"/>
  <c r="R4193" i="2"/>
  <c r="Q4193" i="2"/>
  <c r="P4193" i="2"/>
  <c r="O4193" i="2"/>
  <c r="N4193" i="2"/>
  <c r="M4193" i="2"/>
  <c r="L4193" i="2"/>
  <c r="K4193" i="2"/>
  <c r="J4193" i="2"/>
  <c r="I4193" i="2"/>
  <c r="H4193" i="2"/>
  <c r="G4193" i="2"/>
  <c r="F4193" i="2"/>
  <c r="E4193" i="2"/>
  <c r="D4193" i="2"/>
  <c r="C4193" i="2"/>
  <c r="B4193" i="2"/>
  <c r="V4192" i="2"/>
  <c r="U4192" i="2"/>
  <c r="T4192" i="2"/>
  <c r="S4192" i="2"/>
  <c r="R4192" i="2"/>
  <c r="Q4192" i="2"/>
  <c r="P4192" i="2"/>
  <c r="O4192" i="2"/>
  <c r="N4192" i="2"/>
  <c r="M4192" i="2"/>
  <c r="L4192" i="2"/>
  <c r="K4192" i="2"/>
  <c r="J4192" i="2"/>
  <c r="I4192" i="2"/>
  <c r="H4192" i="2"/>
  <c r="G4192" i="2"/>
  <c r="F4192" i="2"/>
  <c r="E4192" i="2"/>
  <c r="D4192" i="2"/>
  <c r="C4192" i="2"/>
  <c r="B4192" i="2"/>
  <c r="V4191" i="2"/>
  <c r="U4191" i="2"/>
  <c r="T4191" i="2"/>
  <c r="S4191" i="2"/>
  <c r="R4191" i="2"/>
  <c r="Q4191" i="2"/>
  <c r="P4191" i="2"/>
  <c r="O4191" i="2"/>
  <c r="N4191" i="2"/>
  <c r="M4191" i="2"/>
  <c r="L4191" i="2"/>
  <c r="K4191" i="2"/>
  <c r="J4191" i="2"/>
  <c r="I4191" i="2"/>
  <c r="H4191" i="2"/>
  <c r="G4191" i="2"/>
  <c r="F4191" i="2"/>
  <c r="E4191" i="2"/>
  <c r="D4191" i="2"/>
  <c r="C4191" i="2"/>
  <c r="B4191" i="2"/>
  <c r="V4190" i="2"/>
  <c r="U4190" i="2"/>
  <c r="T4190" i="2"/>
  <c r="S4190" i="2"/>
  <c r="R4190" i="2"/>
  <c r="Q4190" i="2"/>
  <c r="P4190" i="2"/>
  <c r="O4190" i="2"/>
  <c r="N4190" i="2"/>
  <c r="M4190" i="2"/>
  <c r="L4190" i="2"/>
  <c r="K4190" i="2"/>
  <c r="J4190" i="2"/>
  <c r="I4190" i="2"/>
  <c r="H4190" i="2"/>
  <c r="G4190" i="2"/>
  <c r="F4190" i="2"/>
  <c r="E4190" i="2"/>
  <c r="D4190" i="2"/>
  <c r="C4190" i="2"/>
  <c r="B4190" i="2"/>
  <c r="V4189" i="2"/>
  <c r="U4189" i="2"/>
  <c r="T4189" i="2"/>
  <c r="S4189" i="2"/>
  <c r="R4189" i="2"/>
  <c r="Q4189" i="2"/>
  <c r="P4189" i="2"/>
  <c r="O4189" i="2"/>
  <c r="N4189" i="2"/>
  <c r="M4189" i="2"/>
  <c r="L4189" i="2"/>
  <c r="K4189" i="2"/>
  <c r="J4189" i="2"/>
  <c r="I4189" i="2"/>
  <c r="H4189" i="2"/>
  <c r="G4189" i="2"/>
  <c r="F4189" i="2"/>
  <c r="E4189" i="2"/>
  <c r="D4189" i="2"/>
  <c r="C4189" i="2"/>
  <c r="B4189" i="2"/>
  <c r="V4188" i="2"/>
  <c r="U4188" i="2"/>
  <c r="T4188" i="2"/>
  <c r="S4188" i="2"/>
  <c r="R4188" i="2"/>
  <c r="Q4188" i="2"/>
  <c r="P4188" i="2"/>
  <c r="O4188" i="2"/>
  <c r="N4188" i="2"/>
  <c r="M4188" i="2"/>
  <c r="L4188" i="2"/>
  <c r="K4188" i="2"/>
  <c r="J4188" i="2"/>
  <c r="I4188" i="2"/>
  <c r="H4188" i="2"/>
  <c r="G4188" i="2"/>
  <c r="F4188" i="2"/>
  <c r="E4188" i="2"/>
  <c r="D4188" i="2"/>
  <c r="C4188" i="2"/>
  <c r="B4188" i="2"/>
  <c r="V4187" i="2"/>
  <c r="U4187" i="2"/>
  <c r="T4187" i="2"/>
  <c r="S4187" i="2"/>
  <c r="R4187" i="2"/>
  <c r="Q4187" i="2"/>
  <c r="P4187" i="2"/>
  <c r="O4187" i="2"/>
  <c r="N4187" i="2"/>
  <c r="M4187" i="2"/>
  <c r="L4187" i="2"/>
  <c r="K4187" i="2"/>
  <c r="J4187" i="2"/>
  <c r="I4187" i="2"/>
  <c r="H4187" i="2"/>
  <c r="G4187" i="2"/>
  <c r="F4187" i="2"/>
  <c r="E4187" i="2"/>
  <c r="D4187" i="2"/>
  <c r="C4187" i="2"/>
  <c r="B4187" i="2"/>
  <c r="V4186" i="2"/>
  <c r="U4186" i="2"/>
  <c r="T4186" i="2"/>
  <c r="S4186" i="2"/>
  <c r="R4186" i="2"/>
  <c r="Q4186" i="2"/>
  <c r="P4186" i="2"/>
  <c r="O4186" i="2"/>
  <c r="N4186" i="2"/>
  <c r="M4186" i="2"/>
  <c r="L4186" i="2"/>
  <c r="K4186" i="2"/>
  <c r="J4186" i="2"/>
  <c r="I4186" i="2"/>
  <c r="H4186" i="2"/>
  <c r="G4186" i="2"/>
  <c r="F4186" i="2"/>
  <c r="E4186" i="2"/>
  <c r="D4186" i="2"/>
  <c r="C4186" i="2"/>
  <c r="B4186" i="2"/>
  <c r="V4185" i="2"/>
  <c r="U4185" i="2"/>
  <c r="T4185" i="2"/>
  <c r="S4185" i="2"/>
  <c r="R4185" i="2"/>
  <c r="Q4185" i="2"/>
  <c r="P4185" i="2"/>
  <c r="O4185" i="2"/>
  <c r="N4185" i="2"/>
  <c r="M4185" i="2"/>
  <c r="L4185" i="2"/>
  <c r="K4185" i="2"/>
  <c r="J4185" i="2"/>
  <c r="I4185" i="2"/>
  <c r="H4185" i="2"/>
  <c r="G4185" i="2"/>
  <c r="F4185" i="2"/>
  <c r="E4185" i="2"/>
  <c r="D4185" i="2"/>
  <c r="C4185" i="2"/>
  <c r="B4185" i="2"/>
  <c r="V4184" i="2"/>
  <c r="U4184" i="2"/>
  <c r="T4184" i="2"/>
  <c r="S4184" i="2"/>
  <c r="R4184" i="2"/>
  <c r="Q4184" i="2"/>
  <c r="P4184" i="2"/>
  <c r="O4184" i="2"/>
  <c r="N4184" i="2"/>
  <c r="M4184" i="2"/>
  <c r="L4184" i="2"/>
  <c r="K4184" i="2"/>
  <c r="J4184" i="2"/>
  <c r="I4184" i="2"/>
  <c r="H4184" i="2"/>
  <c r="G4184" i="2"/>
  <c r="F4184" i="2"/>
  <c r="E4184" i="2"/>
  <c r="D4184" i="2"/>
  <c r="C4184" i="2"/>
  <c r="B4184" i="2"/>
  <c r="V4183" i="2"/>
  <c r="U4183" i="2"/>
  <c r="T4183" i="2"/>
  <c r="S4183" i="2"/>
  <c r="R4183" i="2"/>
  <c r="Q4183" i="2"/>
  <c r="P4183" i="2"/>
  <c r="O4183" i="2"/>
  <c r="N4183" i="2"/>
  <c r="M4183" i="2"/>
  <c r="L4183" i="2"/>
  <c r="K4183" i="2"/>
  <c r="J4183" i="2"/>
  <c r="I4183" i="2"/>
  <c r="H4183" i="2"/>
  <c r="G4183" i="2"/>
  <c r="F4183" i="2"/>
  <c r="E4183" i="2"/>
  <c r="D4183" i="2"/>
  <c r="C4183" i="2"/>
  <c r="B4183" i="2"/>
  <c r="V4182" i="2"/>
  <c r="U4182" i="2"/>
  <c r="T4182" i="2"/>
  <c r="S4182" i="2"/>
  <c r="R4182" i="2"/>
  <c r="Q4182" i="2"/>
  <c r="P4182" i="2"/>
  <c r="O4182" i="2"/>
  <c r="N4182" i="2"/>
  <c r="M4182" i="2"/>
  <c r="L4182" i="2"/>
  <c r="K4182" i="2"/>
  <c r="J4182" i="2"/>
  <c r="I4182" i="2"/>
  <c r="H4182" i="2"/>
  <c r="G4182" i="2"/>
  <c r="F4182" i="2"/>
  <c r="E4182" i="2"/>
  <c r="D4182" i="2"/>
  <c r="C4182" i="2"/>
  <c r="B4182" i="2"/>
  <c r="V4181" i="2"/>
  <c r="U4181" i="2"/>
  <c r="T4181" i="2"/>
  <c r="S4181" i="2"/>
  <c r="R4181" i="2"/>
  <c r="Q4181" i="2"/>
  <c r="P4181" i="2"/>
  <c r="O4181" i="2"/>
  <c r="N4181" i="2"/>
  <c r="M4181" i="2"/>
  <c r="L4181" i="2"/>
  <c r="K4181" i="2"/>
  <c r="J4181" i="2"/>
  <c r="I4181" i="2"/>
  <c r="H4181" i="2"/>
  <c r="G4181" i="2"/>
  <c r="F4181" i="2"/>
  <c r="E4181" i="2"/>
  <c r="D4181" i="2"/>
  <c r="C4181" i="2"/>
  <c r="B4181" i="2"/>
  <c r="V4180" i="2"/>
  <c r="U4180" i="2"/>
  <c r="T4180" i="2"/>
  <c r="S4180" i="2"/>
  <c r="R4180" i="2"/>
  <c r="Q4180" i="2"/>
  <c r="P4180" i="2"/>
  <c r="O4180" i="2"/>
  <c r="N4180" i="2"/>
  <c r="M4180" i="2"/>
  <c r="L4180" i="2"/>
  <c r="K4180" i="2"/>
  <c r="J4180" i="2"/>
  <c r="I4180" i="2"/>
  <c r="H4180" i="2"/>
  <c r="G4180" i="2"/>
  <c r="F4180" i="2"/>
  <c r="E4180" i="2"/>
  <c r="D4180" i="2"/>
  <c r="C4180" i="2"/>
  <c r="B4180" i="2"/>
  <c r="V4179" i="2"/>
  <c r="U4179" i="2"/>
  <c r="T4179" i="2"/>
  <c r="S4179" i="2"/>
  <c r="R4179" i="2"/>
  <c r="Q4179" i="2"/>
  <c r="P4179" i="2"/>
  <c r="O4179" i="2"/>
  <c r="N4179" i="2"/>
  <c r="M4179" i="2"/>
  <c r="L4179" i="2"/>
  <c r="K4179" i="2"/>
  <c r="J4179" i="2"/>
  <c r="I4179" i="2"/>
  <c r="H4179" i="2"/>
  <c r="G4179" i="2"/>
  <c r="F4179" i="2"/>
  <c r="E4179" i="2"/>
  <c r="D4179" i="2"/>
  <c r="C4179" i="2"/>
  <c r="B4179" i="2"/>
  <c r="V4178" i="2"/>
  <c r="U4178" i="2"/>
  <c r="T4178" i="2"/>
  <c r="S4178" i="2"/>
  <c r="R4178" i="2"/>
  <c r="Q4178" i="2"/>
  <c r="P4178" i="2"/>
  <c r="O4178" i="2"/>
  <c r="N4178" i="2"/>
  <c r="M4178" i="2"/>
  <c r="L4178" i="2"/>
  <c r="K4178" i="2"/>
  <c r="J4178" i="2"/>
  <c r="I4178" i="2"/>
  <c r="H4178" i="2"/>
  <c r="G4178" i="2"/>
  <c r="F4178" i="2"/>
  <c r="E4178" i="2"/>
  <c r="D4178" i="2"/>
  <c r="C4178" i="2"/>
  <c r="B4178" i="2"/>
  <c r="V4177" i="2"/>
  <c r="U4177" i="2"/>
  <c r="T4177" i="2"/>
  <c r="S4177" i="2"/>
  <c r="R4177" i="2"/>
  <c r="Q4177" i="2"/>
  <c r="P4177" i="2"/>
  <c r="O4177" i="2"/>
  <c r="N4177" i="2"/>
  <c r="M4177" i="2"/>
  <c r="L4177" i="2"/>
  <c r="K4177" i="2"/>
  <c r="J4177" i="2"/>
  <c r="I4177" i="2"/>
  <c r="H4177" i="2"/>
  <c r="G4177" i="2"/>
  <c r="F4177" i="2"/>
  <c r="E4177" i="2"/>
  <c r="D4177" i="2"/>
  <c r="C4177" i="2"/>
  <c r="B4177" i="2"/>
  <c r="V4176" i="2"/>
  <c r="U4176" i="2"/>
  <c r="T4176" i="2"/>
  <c r="S4176" i="2"/>
  <c r="R4176" i="2"/>
  <c r="Q4176" i="2"/>
  <c r="P4176" i="2"/>
  <c r="O4176" i="2"/>
  <c r="N4176" i="2"/>
  <c r="M4176" i="2"/>
  <c r="L4176" i="2"/>
  <c r="K4176" i="2"/>
  <c r="J4176" i="2"/>
  <c r="I4176" i="2"/>
  <c r="H4176" i="2"/>
  <c r="G4176" i="2"/>
  <c r="F4176" i="2"/>
  <c r="E4176" i="2"/>
  <c r="D4176" i="2"/>
  <c r="C4176" i="2"/>
  <c r="B4176" i="2"/>
  <c r="V4175" i="2"/>
  <c r="U4175" i="2"/>
  <c r="T4175" i="2"/>
  <c r="S4175" i="2"/>
  <c r="R4175" i="2"/>
  <c r="Q4175" i="2"/>
  <c r="P4175" i="2"/>
  <c r="O4175" i="2"/>
  <c r="N4175" i="2"/>
  <c r="M4175" i="2"/>
  <c r="L4175" i="2"/>
  <c r="K4175" i="2"/>
  <c r="J4175" i="2"/>
  <c r="I4175" i="2"/>
  <c r="H4175" i="2"/>
  <c r="G4175" i="2"/>
  <c r="F4175" i="2"/>
  <c r="E4175" i="2"/>
  <c r="D4175" i="2"/>
  <c r="C4175" i="2"/>
  <c r="B4175" i="2"/>
  <c r="V4174" i="2"/>
  <c r="U4174" i="2"/>
  <c r="T4174" i="2"/>
  <c r="S4174" i="2"/>
  <c r="R4174" i="2"/>
  <c r="Q4174" i="2"/>
  <c r="P4174" i="2"/>
  <c r="O4174" i="2"/>
  <c r="N4174" i="2"/>
  <c r="M4174" i="2"/>
  <c r="L4174" i="2"/>
  <c r="K4174" i="2"/>
  <c r="J4174" i="2"/>
  <c r="I4174" i="2"/>
  <c r="H4174" i="2"/>
  <c r="G4174" i="2"/>
  <c r="F4174" i="2"/>
  <c r="E4174" i="2"/>
  <c r="D4174" i="2"/>
  <c r="C4174" i="2"/>
  <c r="B4174" i="2"/>
  <c r="V4173" i="2"/>
  <c r="U4173" i="2"/>
  <c r="T4173" i="2"/>
  <c r="S4173" i="2"/>
  <c r="R4173" i="2"/>
  <c r="Q4173" i="2"/>
  <c r="P4173" i="2"/>
  <c r="O4173" i="2"/>
  <c r="N4173" i="2"/>
  <c r="M4173" i="2"/>
  <c r="L4173" i="2"/>
  <c r="K4173" i="2"/>
  <c r="J4173" i="2"/>
  <c r="I4173" i="2"/>
  <c r="H4173" i="2"/>
  <c r="G4173" i="2"/>
  <c r="F4173" i="2"/>
  <c r="E4173" i="2"/>
  <c r="D4173" i="2"/>
  <c r="C4173" i="2"/>
  <c r="B4173" i="2"/>
  <c r="V4172" i="2"/>
  <c r="U4172" i="2"/>
  <c r="T4172" i="2"/>
  <c r="S4172" i="2"/>
  <c r="R4172" i="2"/>
  <c r="Q4172" i="2"/>
  <c r="P4172" i="2"/>
  <c r="O4172" i="2"/>
  <c r="N4172" i="2"/>
  <c r="M4172" i="2"/>
  <c r="L4172" i="2"/>
  <c r="K4172" i="2"/>
  <c r="J4172" i="2"/>
  <c r="I4172" i="2"/>
  <c r="H4172" i="2"/>
  <c r="G4172" i="2"/>
  <c r="F4172" i="2"/>
  <c r="E4172" i="2"/>
  <c r="D4172" i="2"/>
  <c r="C4172" i="2"/>
  <c r="B4172" i="2"/>
  <c r="V4171" i="2"/>
  <c r="U4171" i="2"/>
  <c r="T4171" i="2"/>
  <c r="S4171" i="2"/>
  <c r="R4171" i="2"/>
  <c r="Q4171" i="2"/>
  <c r="P4171" i="2"/>
  <c r="O4171" i="2"/>
  <c r="N4171" i="2"/>
  <c r="M4171" i="2"/>
  <c r="L4171" i="2"/>
  <c r="K4171" i="2"/>
  <c r="J4171" i="2"/>
  <c r="I4171" i="2"/>
  <c r="H4171" i="2"/>
  <c r="G4171" i="2"/>
  <c r="F4171" i="2"/>
  <c r="E4171" i="2"/>
  <c r="D4171" i="2"/>
  <c r="C4171" i="2"/>
  <c r="B4171" i="2"/>
  <c r="V4170" i="2"/>
  <c r="U4170" i="2"/>
  <c r="T4170" i="2"/>
  <c r="S4170" i="2"/>
  <c r="R4170" i="2"/>
  <c r="Q4170" i="2"/>
  <c r="P4170" i="2"/>
  <c r="O4170" i="2"/>
  <c r="N4170" i="2"/>
  <c r="M4170" i="2"/>
  <c r="L4170" i="2"/>
  <c r="K4170" i="2"/>
  <c r="J4170" i="2"/>
  <c r="I4170" i="2"/>
  <c r="H4170" i="2"/>
  <c r="G4170" i="2"/>
  <c r="F4170" i="2"/>
  <c r="E4170" i="2"/>
  <c r="D4170" i="2"/>
  <c r="C4170" i="2"/>
  <c r="B4170" i="2"/>
  <c r="V4169" i="2"/>
  <c r="U4169" i="2"/>
  <c r="T4169" i="2"/>
  <c r="S4169" i="2"/>
  <c r="R4169" i="2"/>
  <c r="Q4169" i="2"/>
  <c r="P4169" i="2"/>
  <c r="O4169" i="2"/>
  <c r="N4169" i="2"/>
  <c r="M4169" i="2"/>
  <c r="L4169" i="2"/>
  <c r="K4169" i="2"/>
  <c r="J4169" i="2"/>
  <c r="I4169" i="2"/>
  <c r="H4169" i="2"/>
  <c r="G4169" i="2"/>
  <c r="F4169" i="2"/>
  <c r="E4169" i="2"/>
  <c r="D4169" i="2"/>
  <c r="C4169" i="2"/>
  <c r="B4169" i="2"/>
  <c r="V4168" i="2"/>
  <c r="U4168" i="2"/>
  <c r="T4168" i="2"/>
  <c r="S4168" i="2"/>
  <c r="R4168" i="2"/>
  <c r="Q4168" i="2"/>
  <c r="P4168" i="2"/>
  <c r="O4168" i="2"/>
  <c r="N4168" i="2"/>
  <c r="M4168" i="2"/>
  <c r="L4168" i="2"/>
  <c r="K4168" i="2"/>
  <c r="J4168" i="2"/>
  <c r="I4168" i="2"/>
  <c r="H4168" i="2"/>
  <c r="G4168" i="2"/>
  <c r="F4168" i="2"/>
  <c r="E4168" i="2"/>
  <c r="D4168" i="2"/>
  <c r="C4168" i="2"/>
  <c r="B4168" i="2"/>
  <c r="V4167" i="2"/>
  <c r="U4167" i="2"/>
  <c r="T4167" i="2"/>
  <c r="S4167" i="2"/>
  <c r="R4167" i="2"/>
  <c r="Q4167" i="2"/>
  <c r="P4167" i="2"/>
  <c r="O4167" i="2"/>
  <c r="N4167" i="2"/>
  <c r="M4167" i="2"/>
  <c r="L4167" i="2"/>
  <c r="K4167" i="2"/>
  <c r="J4167" i="2"/>
  <c r="I4167" i="2"/>
  <c r="H4167" i="2"/>
  <c r="G4167" i="2"/>
  <c r="F4167" i="2"/>
  <c r="E4167" i="2"/>
  <c r="D4167" i="2"/>
  <c r="C4167" i="2"/>
  <c r="B4167" i="2"/>
  <c r="V4166" i="2"/>
  <c r="U4166" i="2"/>
  <c r="T4166" i="2"/>
  <c r="S4166" i="2"/>
  <c r="R4166" i="2"/>
  <c r="Q4166" i="2"/>
  <c r="P4166" i="2"/>
  <c r="O4166" i="2"/>
  <c r="N4166" i="2"/>
  <c r="M4166" i="2"/>
  <c r="L4166" i="2"/>
  <c r="K4166" i="2"/>
  <c r="J4166" i="2"/>
  <c r="I4166" i="2"/>
  <c r="H4166" i="2"/>
  <c r="G4166" i="2"/>
  <c r="F4166" i="2"/>
  <c r="E4166" i="2"/>
  <c r="D4166" i="2"/>
  <c r="C4166" i="2"/>
  <c r="B4166" i="2"/>
  <c r="V4165" i="2"/>
  <c r="U4165" i="2"/>
  <c r="T4165" i="2"/>
  <c r="S4165" i="2"/>
  <c r="R4165" i="2"/>
  <c r="Q4165" i="2"/>
  <c r="P4165" i="2"/>
  <c r="O4165" i="2"/>
  <c r="N4165" i="2"/>
  <c r="M4165" i="2"/>
  <c r="L4165" i="2"/>
  <c r="K4165" i="2"/>
  <c r="J4165" i="2"/>
  <c r="I4165" i="2"/>
  <c r="H4165" i="2"/>
  <c r="G4165" i="2"/>
  <c r="F4165" i="2"/>
  <c r="E4165" i="2"/>
  <c r="D4165" i="2"/>
  <c r="C4165" i="2"/>
  <c r="B4165" i="2"/>
  <c r="V4164" i="2"/>
  <c r="U4164" i="2"/>
  <c r="T4164" i="2"/>
  <c r="S4164" i="2"/>
  <c r="R4164" i="2"/>
  <c r="Q4164" i="2"/>
  <c r="P4164" i="2"/>
  <c r="O4164" i="2"/>
  <c r="N4164" i="2"/>
  <c r="M4164" i="2"/>
  <c r="L4164" i="2"/>
  <c r="K4164" i="2"/>
  <c r="J4164" i="2"/>
  <c r="I4164" i="2"/>
  <c r="H4164" i="2"/>
  <c r="G4164" i="2"/>
  <c r="F4164" i="2"/>
  <c r="E4164" i="2"/>
  <c r="D4164" i="2"/>
  <c r="C4164" i="2"/>
  <c r="B4164" i="2"/>
  <c r="V4163" i="2"/>
  <c r="U4163" i="2"/>
  <c r="T4163" i="2"/>
  <c r="S4163" i="2"/>
  <c r="R4163" i="2"/>
  <c r="Q4163" i="2"/>
  <c r="P4163" i="2"/>
  <c r="O4163" i="2"/>
  <c r="N4163" i="2"/>
  <c r="M4163" i="2"/>
  <c r="L4163" i="2"/>
  <c r="K4163" i="2"/>
  <c r="J4163" i="2"/>
  <c r="I4163" i="2"/>
  <c r="H4163" i="2"/>
  <c r="G4163" i="2"/>
  <c r="F4163" i="2"/>
  <c r="E4163" i="2"/>
  <c r="D4163" i="2"/>
  <c r="C4163" i="2"/>
  <c r="B4163" i="2"/>
  <c r="V4162" i="2"/>
  <c r="U4162" i="2"/>
  <c r="T4162" i="2"/>
  <c r="S4162" i="2"/>
  <c r="R4162" i="2"/>
  <c r="Q4162" i="2"/>
  <c r="P4162" i="2"/>
  <c r="O4162" i="2"/>
  <c r="N4162" i="2"/>
  <c r="M4162" i="2"/>
  <c r="L4162" i="2"/>
  <c r="K4162" i="2"/>
  <c r="J4162" i="2"/>
  <c r="I4162" i="2"/>
  <c r="H4162" i="2"/>
  <c r="G4162" i="2"/>
  <c r="F4162" i="2"/>
  <c r="E4162" i="2"/>
  <c r="D4162" i="2"/>
  <c r="C4162" i="2"/>
  <c r="B4162" i="2"/>
  <c r="V4161" i="2"/>
  <c r="U4161" i="2"/>
  <c r="T4161" i="2"/>
  <c r="S4161" i="2"/>
  <c r="R4161" i="2"/>
  <c r="Q4161" i="2"/>
  <c r="P4161" i="2"/>
  <c r="O4161" i="2"/>
  <c r="N4161" i="2"/>
  <c r="M4161" i="2"/>
  <c r="L4161" i="2"/>
  <c r="K4161" i="2"/>
  <c r="J4161" i="2"/>
  <c r="I4161" i="2"/>
  <c r="H4161" i="2"/>
  <c r="G4161" i="2"/>
  <c r="F4161" i="2"/>
  <c r="E4161" i="2"/>
  <c r="D4161" i="2"/>
  <c r="C4161" i="2"/>
  <c r="B4161" i="2"/>
  <c r="V4160" i="2"/>
  <c r="U4160" i="2"/>
  <c r="T4160" i="2"/>
  <c r="S4160" i="2"/>
  <c r="R4160" i="2"/>
  <c r="Q4160" i="2"/>
  <c r="P4160" i="2"/>
  <c r="O4160" i="2"/>
  <c r="N4160" i="2"/>
  <c r="M4160" i="2"/>
  <c r="L4160" i="2"/>
  <c r="K4160" i="2"/>
  <c r="J4160" i="2"/>
  <c r="I4160" i="2"/>
  <c r="H4160" i="2"/>
  <c r="G4160" i="2"/>
  <c r="F4160" i="2"/>
  <c r="E4160" i="2"/>
  <c r="D4160" i="2"/>
  <c r="C4160" i="2"/>
  <c r="B4160" i="2"/>
  <c r="V4159" i="2"/>
  <c r="U4159" i="2"/>
  <c r="T4159" i="2"/>
  <c r="S4159" i="2"/>
  <c r="R4159" i="2"/>
  <c r="Q4159" i="2"/>
  <c r="P4159" i="2"/>
  <c r="O4159" i="2"/>
  <c r="N4159" i="2"/>
  <c r="M4159" i="2"/>
  <c r="L4159" i="2"/>
  <c r="K4159" i="2"/>
  <c r="J4159" i="2"/>
  <c r="I4159" i="2"/>
  <c r="H4159" i="2"/>
  <c r="G4159" i="2"/>
  <c r="F4159" i="2"/>
  <c r="E4159" i="2"/>
  <c r="D4159" i="2"/>
  <c r="C4159" i="2"/>
  <c r="B4159" i="2"/>
  <c r="V4158" i="2"/>
  <c r="U4158" i="2"/>
  <c r="T4158" i="2"/>
  <c r="S4158" i="2"/>
  <c r="R4158" i="2"/>
  <c r="Q4158" i="2"/>
  <c r="P4158" i="2"/>
  <c r="O4158" i="2"/>
  <c r="N4158" i="2"/>
  <c r="M4158" i="2"/>
  <c r="L4158" i="2"/>
  <c r="K4158" i="2"/>
  <c r="J4158" i="2"/>
  <c r="I4158" i="2"/>
  <c r="H4158" i="2"/>
  <c r="G4158" i="2"/>
  <c r="F4158" i="2"/>
  <c r="E4158" i="2"/>
  <c r="D4158" i="2"/>
  <c r="C4158" i="2"/>
  <c r="B4158" i="2"/>
  <c r="V4157" i="2"/>
  <c r="U4157" i="2"/>
  <c r="T4157" i="2"/>
  <c r="S4157" i="2"/>
  <c r="R4157" i="2"/>
  <c r="Q4157" i="2"/>
  <c r="P4157" i="2"/>
  <c r="O4157" i="2"/>
  <c r="N4157" i="2"/>
  <c r="M4157" i="2"/>
  <c r="L4157" i="2"/>
  <c r="K4157" i="2"/>
  <c r="J4157" i="2"/>
  <c r="I4157" i="2"/>
  <c r="H4157" i="2"/>
  <c r="G4157" i="2"/>
  <c r="F4157" i="2"/>
  <c r="E4157" i="2"/>
  <c r="D4157" i="2"/>
  <c r="C4157" i="2"/>
  <c r="B4157" i="2"/>
  <c r="V4156" i="2"/>
  <c r="U4156" i="2"/>
  <c r="T4156" i="2"/>
  <c r="S4156" i="2"/>
  <c r="R4156" i="2"/>
  <c r="Q4156" i="2"/>
  <c r="P4156" i="2"/>
  <c r="O4156" i="2"/>
  <c r="N4156" i="2"/>
  <c r="M4156" i="2"/>
  <c r="L4156" i="2"/>
  <c r="K4156" i="2"/>
  <c r="J4156" i="2"/>
  <c r="I4156" i="2"/>
  <c r="H4156" i="2"/>
  <c r="G4156" i="2"/>
  <c r="F4156" i="2"/>
  <c r="E4156" i="2"/>
  <c r="D4156" i="2"/>
  <c r="C4156" i="2"/>
  <c r="B4156" i="2"/>
  <c r="V4155" i="2"/>
  <c r="U4155" i="2"/>
  <c r="T4155" i="2"/>
  <c r="S4155" i="2"/>
  <c r="R4155" i="2"/>
  <c r="Q4155" i="2"/>
  <c r="P4155" i="2"/>
  <c r="O4155" i="2"/>
  <c r="N4155" i="2"/>
  <c r="M4155" i="2"/>
  <c r="L4155" i="2"/>
  <c r="K4155" i="2"/>
  <c r="J4155" i="2"/>
  <c r="I4155" i="2"/>
  <c r="H4155" i="2"/>
  <c r="G4155" i="2"/>
  <c r="F4155" i="2"/>
  <c r="E4155" i="2"/>
  <c r="D4155" i="2"/>
  <c r="C4155" i="2"/>
  <c r="B4155" i="2"/>
  <c r="V4154" i="2"/>
  <c r="U4154" i="2"/>
  <c r="T4154" i="2"/>
  <c r="S4154" i="2"/>
  <c r="R4154" i="2"/>
  <c r="Q4154" i="2"/>
  <c r="P4154" i="2"/>
  <c r="O4154" i="2"/>
  <c r="N4154" i="2"/>
  <c r="M4154" i="2"/>
  <c r="L4154" i="2"/>
  <c r="K4154" i="2"/>
  <c r="J4154" i="2"/>
  <c r="I4154" i="2"/>
  <c r="H4154" i="2"/>
  <c r="G4154" i="2"/>
  <c r="F4154" i="2"/>
  <c r="E4154" i="2"/>
  <c r="D4154" i="2"/>
  <c r="C4154" i="2"/>
  <c r="B4154" i="2"/>
  <c r="V4153" i="2"/>
  <c r="U4153" i="2"/>
  <c r="T4153" i="2"/>
  <c r="S4153" i="2"/>
  <c r="R4153" i="2"/>
  <c r="Q4153" i="2"/>
  <c r="P4153" i="2"/>
  <c r="O4153" i="2"/>
  <c r="N4153" i="2"/>
  <c r="M4153" i="2"/>
  <c r="L4153" i="2"/>
  <c r="K4153" i="2"/>
  <c r="J4153" i="2"/>
  <c r="I4153" i="2"/>
  <c r="H4153" i="2"/>
  <c r="G4153" i="2"/>
  <c r="F4153" i="2"/>
  <c r="E4153" i="2"/>
  <c r="D4153" i="2"/>
  <c r="C4153" i="2"/>
  <c r="B4153" i="2"/>
  <c r="V4152" i="2"/>
  <c r="U4152" i="2"/>
  <c r="T4152" i="2"/>
  <c r="S4152" i="2"/>
  <c r="R4152" i="2"/>
  <c r="Q4152" i="2"/>
  <c r="P4152" i="2"/>
  <c r="O4152" i="2"/>
  <c r="N4152" i="2"/>
  <c r="M4152" i="2"/>
  <c r="L4152" i="2"/>
  <c r="K4152" i="2"/>
  <c r="J4152" i="2"/>
  <c r="I4152" i="2"/>
  <c r="H4152" i="2"/>
  <c r="G4152" i="2"/>
  <c r="F4152" i="2"/>
  <c r="E4152" i="2"/>
  <c r="D4152" i="2"/>
  <c r="C4152" i="2"/>
  <c r="B4152" i="2"/>
  <c r="V4151" i="2"/>
  <c r="U4151" i="2"/>
  <c r="T4151" i="2"/>
  <c r="S4151" i="2"/>
  <c r="R4151" i="2"/>
  <c r="Q4151" i="2"/>
  <c r="P4151" i="2"/>
  <c r="O4151" i="2"/>
  <c r="N4151" i="2"/>
  <c r="M4151" i="2"/>
  <c r="L4151" i="2"/>
  <c r="K4151" i="2"/>
  <c r="J4151" i="2"/>
  <c r="I4151" i="2"/>
  <c r="H4151" i="2"/>
  <c r="G4151" i="2"/>
  <c r="F4151" i="2"/>
  <c r="E4151" i="2"/>
  <c r="D4151" i="2"/>
  <c r="C4151" i="2"/>
  <c r="B4151" i="2"/>
  <c r="V4150" i="2"/>
  <c r="U4150" i="2"/>
  <c r="T4150" i="2"/>
  <c r="S4150" i="2"/>
  <c r="R4150" i="2"/>
  <c r="Q4150" i="2"/>
  <c r="P4150" i="2"/>
  <c r="O4150" i="2"/>
  <c r="N4150" i="2"/>
  <c r="M4150" i="2"/>
  <c r="L4150" i="2"/>
  <c r="K4150" i="2"/>
  <c r="J4150" i="2"/>
  <c r="I4150" i="2"/>
  <c r="H4150" i="2"/>
  <c r="G4150" i="2"/>
  <c r="F4150" i="2"/>
  <c r="E4150" i="2"/>
  <c r="D4150" i="2"/>
  <c r="C4150" i="2"/>
  <c r="B4150" i="2"/>
  <c r="V4149" i="2"/>
  <c r="U4149" i="2"/>
  <c r="T4149" i="2"/>
  <c r="S4149" i="2"/>
  <c r="R4149" i="2"/>
  <c r="Q4149" i="2"/>
  <c r="P4149" i="2"/>
  <c r="O4149" i="2"/>
  <c r="N4149" i="2"/>
  <c r="M4149" i="2"/>
  <c r="L4149" i="2"/>
  <c r="K4149" i="2"/>
  <c r="J4149" i="2"/>
  <c r="I4149" i="2"/>
  <c r="H4149" i="2"/>
  <c r="G4149" i="2"/>
  <c r="F4149" i="2"/>
  <c r="E4149" i="2"/>
  <c r="D4149" i="2"/>
  <c r="C4149" i="2"/>
  <c r="B4149" i="2"/>
  <c r="V4148" i="2"/>
  <c r="U4148" i="2"/>
  <c r="T4148" i="2"/>
  <c r="S4148" i="2"/>
  <c r="R4148" i="2"/>
  <c r="Q4148" i="2"/>
  <c r="P4148" i="2"/>
  <c r="O4148" i="2"/>
  <c r="N4148" i="2"/>
  <c r="M4148" i="2"/>
  <c r="L4148" i="2"/>
  <c r="K4148" i="2"/>
  <c r="J4148" i="2"/>
  <c r="I4148" i="2"/>
  <c r="H4148" i="2"/>
  <c r="G4148" i="2"/>
  <c r="F4148" i="2"/>
  <c r="E4148" i="2"/>
  <c r="D4148" i="2"/>
  <c r="C4148" i="2"/>
  <c r="B4148" i="2"/>
  <c r="V4147" i="2"/>
  <c r="U4147" i="2"/>
  <c r="T4147" i="2"/>
  <c r="S4147" i="2"/>
  <c r="R4147" i="2"/>
  <c r="Q4147" i="2"/>
  <c r="P4147" i="2"/>
  <c r="O4147" i="2"/>
  <c r="N4147" i="2"/>
  <c r="M4147" i="2"/>
  <c r="L4147" i="2"/>
  <c r="K4147" i="2"/>
  <c r="J4147" i="2"/>
  <c r="I4147" i="2"/>
  <c r="H4147" i="2"/>
  <c r="G4147" i="2"/>
  <c r="F4147" i="2"/>
  <c r="E4147" i="2"/>
  <c r="D4147" i="2"/>
  <c r="C4147" i="2"/>
  <c r="B4147" i="2"/>
  <c r="V4146" i="2"/>
  <c r="U4146" i="2"/>
  <c r="T4146" i="2"/>
  <c r="S4146" i="2"/>
  <c r="R4146" i="2"/>
  <c r="Q4146" i="2"/>
  <c r="P4146" i="2"/>
  <c r="O4146" i="2"/>
  <c r="N4146" i="2"/>
  <c r="M4146" i="2"/>
  <c r="L4146" i="2"/>
  <c r="K4146" i="2"/>
  <c r="J4146" i="2"/>
  <c r="I4146" i="2"/>
  <c r="H4146" i="2"/>
  <c r="G4146" i="2"/>
  <c r="F4146" i="2"/>
  <c r="E4146" i="2"/>
  <c r="D4146" i="2"/>
  <c r="C4146" i="2"/>
  <c r="B4146" i="2"/>
  <c r="V4145" i="2"/>
  <c r="U4145" i="2"/>
  <c r="T4145" i="2"/>
  <c r="S4145" i="2"/>
  <c r="R4145" i="2"/>
  <c r="Q4145" i="2"/>
  <c r="P4145" i="2"/>
  <c r="O4145" i="2"/>
  <c r="N4145" i="2"/>
  <c r="M4145" i="2"/>
  <c r="L4145" i="2"/>
  <c r="K4145" i="2"/>
  <c r="J4145" i="2"/>
  <c r="I4145" i="2"/>
  <c r="H4145" i="2"/>
  <c r="G4145" i="2"/>
  <c r="F4145" i="2"/>
  <c r="E4145" i="2"/>
  <c r="D4145" i="2"/>
  <c r="C4145" i="2"/>
  <c r="B4145" i="2"/>
  <c r="V4144" i="2"/>
  <c r="U4144" i="2"/>
  <c r="T4144" i="2"/>
  <c r="S4144" i="2"/>
  <c r="R4144" i="2"/>
  <c r="Q4144" i="2"/>
  <c r="P4144" i="2"/>
  <c r="O4144" i="2"/>
  <c r="N4144" i="2"/>
  <c r="M4144" i="2"/>
  <c r="L4144" i="2"/>
  <c r="K4144" i="2"/>
  <c r="J4144" i="2"/>
  <c r="I4144" i="2"/>
  <c r="H4144" i="2"/>
  <c r="G4144" i="2"/>
  <c r="F4144" i="2"/>
  <c r="E4144" i="2"/>
  <c r="D4144" i="2"/>
  <c r="C4144" i="2"/>
  <c r="B4144" i="2"/>
  <c r="V4143" i="2"/>
  <c r="U4143" i="2"/>
  <c r="T4143" i="2"/>
  <c r="S4143" i="2"/>
  <c r="R4143" i="2"/>
  <c r="Q4143" i="2"/>
  <c r="P4143" i="2"/>
  <c r="O4143" i="2"/>
  <c r="N4143" i="2"/>
  <c r="M4143" i="2"/>
  <c r="L4143" i="2"/>
  <c r="K4143" i="2"/>
  <c r="J4143" i="2"/>
  <c r="I4143" i="2"/>
  <c r="H4143" i="2"/>
  <c r="G4143" i="2"/>
  <c r="F4143" i="2"/>
  <c r="E4143" i="2"/>
  <c r="D4143" i="2"/>
  <c r="C4143" i="2"/>
  <c r="B4143" i="2"/>
  <c r="V4142" i="2"/>
  <c r="U4142" i="2"/>
  <c r="T4142" i="2"/>
  <c r="S4142" i="2"/>
  <c r="R4142" i="2"/>
  <c r="Q4142" i="2"/>
  <c r="P4142" i="2"/>
  <c r="O4142" i="2"/>
  <c r="N4142" i="2"/>
  <c r="M4142" i="2"/>
  <c r="L4142" i="2"/>
  <c r="K4142" i="2"/>
  <c r="J4142" i="2"/>
  <c r="I4142" i="2"/>
  <c r="H4142" i="2"/>
  <c r="G4142" i="2"/>
  <c r="F4142" i="2"/>
  <c r="E4142" i="2"/>
  <c r="D4142" i="2"/>
  <c r="C4142" i="2"/>
  <c r="B4142" i="2"/>
  <c r="V4141" i="2"/>
  <c r="U4141" i="2"/>
  <c r="T4141" i="2"/>
  <c r="S4141" i="2"/>
  <c r="R4141" i="2"/>
  <c r="Q4141" i="2"/>
  <c r="P4141" i="2"/>
  <c r="O4141" i="2"/>
  <c r="N4141" i="2"/>
  <c r="M4141" i="2"/>
  <c r="L4141" i="2"/>
  <c r="K4141" i="2"/>
  <c r="J4141" i="2"/>
  <c r="I4141" i="2"/>
  <c r="H4141" i="2"/>
  <c r="G4141" i="2"/>
  <c r="F4141" i="2"/>
  <c r="E4141" i="2"/>
  <c r="D4141" i="2"/>
  <c r="C4141" i="2"/>
  <c r="B4141" i="2"/>
  <c r="V4140" i="2"/>
  <c r="U4140" i="2"/>
  <c r="T4140" i="2"/>
  <c r="S4140" i="2"/>
  <c r="R4140" i="2"/>
  <c r="Q4140" i="2"/>
  <c r="P4140" i="2"/>
  <c r="O4140" i="2"/>
  <c r="N4140" i="2"/>
  <c r="M4140" i="2"/>
  <c r="L4140" i="2"/>
  <c r="K4140" i="2"/>
  <c r="J4140" i="2"/>
  <c r="I4140" i="2"/>
  <c r="H4140" i="2"/>
  <c r="G4140" i="2"/>
  <c r="F4140" i="2"/>
  <c r="E4140" i="2"/>
  <c r="D4140" i="2"/>
  <c r="C4140" i="2"/>
  <c r="B4140" i="2"/>
  <c r="V4139" i="2"/>
  <c r="U4139" i="2"/>
  <c r="T4139" i="2"/>
  <c r="S4139" i="2"/>
  <c r="R4139" i="2"/>
  <c r="Q4139" i="2"/>
  <c r="P4139" i="2"/>
  <c r="O4139" i="2"/>
  <c r="N4139" i="2"/>
  <c r="M4139" i="2"/>
  <c r="L4139" i="2"/>
  <c r="K4139" i="2"/>
  <c r="J4139" i="2"/>
  <c r="I4139" i="2"/>
  <c r="H4139" i="2"/>
  <c r="G4139" i="2"/>
  <c r="F4139" i="2"/>
  <c r="E4139" i="2"/>
  <c r="D4139" i="2"/>
  <c r="C4139" i="2"/>
  <c r="B4139" i="2"/>
  <c r="V4138" i="2"/>
  <c r="U4138" i="2"/>
  <c r="T4138" i="2"/>
  <c r="S4138" i="2"/>
  <c r="R4138" i="2"/>
  <c r="Q4138" i="2"/>
  <c r="P4138" i="2"/>
  <c r="O4138" i="2"/>
  <c r="N4138" i="2"/>
  <c r="M4138" i="2"/>
  <c r="L4138" i="2"/>
  <c r="K4138" i="2"/>
  <c r="J4138" i="2"/>
  <c r="I4138" i="2"/>
  <c r="H4138" i="2"/>
  <c r="G4138" i="2"/>
  <c r="F4138" i="2"/>
  <c r="E4138" i="2"/>
  <c r="D4138" i="2"/>
  <c r="C4138" i="2"/>
  <c r="B4138" i="2"/>
  <c r="V4137" i="2"/>
  <c r="U4137" i="2"/>
  <c r="T4137" i="2"/>
  <c r="S4137" i="2"/>
  <c r="R4137" i="2"/>
  <c r="Q4137" i="2"/>
  <c r="P4137" i="2"/>
  <c r="O4137" i="2"/>
  <c r="N4137" i="2"/>
  <c r="M4137" i="2"/>
  <c r="L4137" i="2"/>
  <c r="K4137" i="2"/>
  <c r="J4137" i="2"/>
  <c r="I4137" i="2"/>
  <c r="H4137" i="2"/>
  <c r="G4137" i="2"/>
  <c r="F4137" i="2"/>
  <c r="E4137" i="2"/>
  <c r="D4137" i="2"/>
  <c r="C4137" i="2"/>
  <c r="B4137" i="2"/>
  <c r="V4136" i="2"/>
  <c r="U4136" i="2"/>
  <c r="T4136" i="2"/>
  <c r="S4136" i="2"/>
  <c r="R4136" i="2"/>
  <c r="Q4136" i="2"/>
  <c r="P4136" i="2"/>
  <c r="O4136" i="2"/>
  <c r="N4136" i="2"/>
  <c r="M4136" i="2"/>
  <c r="L4136" i="2"/>
  <c r="K4136" i="2"/>
  <c r="J4136" i="2"/>
  <c r="I4136" i="2"/>
  <c r="H4136" i="2"/>
  <c r="G4136" i="2"/>
  <c r="F4136" i="2"/>
  <c r="E4136" i="2"/>
  <c r="D4136" i="2"/>
  <c r="C4136" i="2"/>
  <c r="B4136" i="2"/>
  <c r="V4135" i="2"/>
  <c r="U4135" i="2"/>
  <c r="T4135" i="2"/>
  <c r="S4135" i="2"/>
  <c r="R4135" i="2"/>
  <c r="Q4135" i="2"/>
  <c r="P4135" i="2"/>
  <c r="O4135" i="2"/>
  <c r="N4135" i="2"/>
  <c r="M4135" i="2"/>
  <c r="L4135" i="2"/>
  <c r="K4135" i="2"/>
  <c r="J4135" i="2"/>
  <c r="I4135" i="2"/>
  <c r="H4135" i="2"/>
  <c r="G4135" i="2"/>
  <c r="F4135" i="2"/>
  <c r="E4135" i="2"/>
  <c r="D4135" i="2"/>
  <c r="C4135" i="2"/>
  <c r="B4135" i="2"/>
  <c r="V4134" i="2"/>
  <c r="U4134" i="2"/>
  <c r="T4134" i="2"/>
  <c r="S4134" i="2"/>
  <c r="R4134" i="2"/>
  <c r="Q4134" i="2"/>
  <c r="P4134" i="2"/>
  <c r="O4134" i="2"/>
  <c r="N4134" i="2"/>
  <c r="M4134" i="2"/>
  <c r="L4134" i="2"/>
  <c r="K4134" i="2"/>
  <c r="J4134" i="2"/>
  <c r="I4134" i="2"/>
  <c r="H4134" i="2"/>
  <c r="G4134" i="2"/>
  <c r="F4134" i="2"/>
  <c r="E4134" i="2"/>
  <c r="D4134" i="2"/>
  <c r="C4134" i="2"/>
  <c r="B4134" i="2"/>
  <c r="V4133" i="2"/>
  <c r="U4133" i="2"/>
  <c r="T4133" i="2"/>
  <c r="S4133" i="2"/>
  <c r="R4133" i="2"/>
  <c r="Q4133" i="2"/>
  <c r="P4133" i="2"/>
  <c r="O4133" i="2"/>
  <c r="N4133" i="2"/>
  <c r="M4133" i="2"/>
  <c r="L4133" i="2"/>
  <c r="K4133" i="2"/>
  <c r="J4133" i="2"/>
  <c r="I4133" i="2"/>
  <c r="H4133" i="2"/>
  <c r="G4133" i="2"/>
  <c r="F4133" i="2"/>
  <c r="E4133" i="2"/>
  <c r="D4133" i="2"/>
  <c r="C4133" i="2"/>
  <c r="B4133" i="2"/>
  <c r="V4132" i="2"/>
  <c r="U4132" i="2"/>
  <c r="T4132" i="2"/>
  <c r="S4132" i="2"/>
  <c r="R4132" i="2"/>
  <c r="Q4132" i="2"/>
  <c r="P4132" i="2"/>
  <c r="O4132" i="2"/>
  <c r="N4132" i="2"/>
  <c r="M4132" i="2"/>
  <c r="L4132" i="2"/>
  <c r="K4132" i="2"/>
  <c r="J4132" i="2"/>
  <c r="I4132" i="2"/>
  <c r="H4132" i="2"/>
  <c r="G4132" i="2"/>
  <c r="F4132" i="2"/>
  <c r="E4132" i="2"/>
  <c r="D4132" i="2"/>
  <c r="C4132" i="2"/>
  <c r="B4132" i="2"/>
  <c r="V4131" i="2"/>
  <c r="U4131" i="2"/>
  <c r="T4131" i="2"/>
  <c r="S4131" i="2"/>
  <c r="R4131" i="2"/>
  <c r="Q4131" i="2"/>
  <c r="P4131" i="2"/>
  <c r="O4131" i="2"/>
  <c r="N4131" i="2"/>
  <c r="M4131" i="2"/>
  <c r="L4131" i="2"/>
  <c r="K4131" i="2"/>
  <c r="J4131" i="2"/>
  <c r="I4131" i="2"/>
  <c r="H4131" i="2"/>
  <c r="G4131" i="2"/>
  <c r="F4131" i="2"/>
  <c r="E4131" i="2"/>
  <c r="D4131" i="2"/>
  <c r="C4131" i="2"/>
  <c r="B4131" i="2"/>
  <c r="V4130" i="2"/>
  <c r="U4130" i="2"/>
  <c r="T4130" i="2"/>
  <c r="S4130" i="2"/>
  <c r="R4130" i="2"/>
  <c r="Q4130" i="2"/>
  <c r="P4130" i="2"/>
  <c r="O4130" i="2"/>
  <c r="N4130" i="2"/>
  <c r="M4130" i="2"/>
  <c r="L4130" i="2"/>
  <c r="K4130" i="2"/>
  <c r="J4130" i="2"/>
  <c r="I4130" i="2"/>
  <c r="H4130" i="2"/>
  <c r="G4130" i="2"/>
  <c r="F4130" i="2"/>
  <c r="E4130" i="2"/>
  <c r="D4130" i="2"/>
  <c r="C4130" i="2"/>
  <c r="B4130" i="2"/>
  <c r="V4129" i="2"/>
  <c r="U4129" i="2"/>
  <c r="T4129" i="2"/>
  <c r="S4129" i="2"/>
  <c r="R4129" i="2"/>
  <c r="Q4129" i="2"/>
  <c r="P4129" i="2"/>
  <c r="O4129" i="2"/>
  <c r="N4129" i="2"/>
  <c r="M4129" i="2"/>
  <c r="L4129" i="2"/>
  <c r="K4129" i="2"/>
  <c r="J4129" i="2"/>
  <c r="I4129" i="2"/>
  <c r="H4129" i="2"/>
  <c r="G4129" i="2"/>
  <c r="F4129" i="2"/>
  <c r="E4129" i="2"/>
  <c r="D4129" i="2"/>
  <c r="C4129" i="2"/>
  <c r="B4129" i="2"/>
  <c r="V4128" i="2"/>
  <c r="U4128" i="2"/>
  <c r="T4128" i="2"/>
  <c r="S4128" i="2"/>
  <c r="R4128" i="2"/>
  <c r="Q4128" i="2"/>
  <c r="P4128" i="2"/>
  <c r="O4128" i="2"/>
  <c r="N4128" i="2"/>
  <c r="M4128" i="2"/>
  <c r="L4128" i="2"/>
  <c r="K4128" i="2"/>
  <c r="J4128" i="2"/>
  <c r="I4128" i="2"/>
  <c r="H4128" i="2"/>
  <c r="G4128" i="2"/>
  <c r="F4128" i="2"/>
  <c r="E4128" i="2"/>
  <c r="D4128" i="2"/>
  <c r="C4128" i="2"/>
  <c r="B4128" i="2"/>
  <c r="V4127" i="2"/>
  <c r="U4127" i="2"/>
  <c r="T4127" i="2"/>
  <c r="S4127" i="2"/>
  <c r="R4127" i="2"/>
  <c r="Q4127" i="2"/>
  <c r="P4127" i="2"/>
  <c r="O4127" i="2"/>
  <c r="N4127" i="2"/>
  <c r="M4127" i="2"/>
  <c r="L4127" i="2"/>
  <c r="K4127" i="2"/>
  <c r="J4127" i="2"/>
  <c r="I4127" i="2"/>
  <c r="H4127" i="2"/>
  <c r="G4127" i="2"/>
  <c r="F4127" i="2"/>
  <c r="E4127" i="2"/>
  <c r="D4127" i="2"/>
  <c r="C4127" i="2"/>
  <c r="B4127" i="2"/>
  <c r="V4126" i="2"/>
  <c r="U4126" i="2"/>
  <c r="T4126" i="2"/>
  <c r="S4126" i="2"/>
  <c r="R4126" i="2"/>
  <c r="Q4126" i="2"/>
  <c r="P4126" i="2"/>
  <c r="O4126" i="2"/>
  <c r="N4126" i="2"/>
  <c r="M4126" i="2"/>
  <c r="L4126" i="2"/>
  <c r="K4126" i="2"/>
  <c r="J4126" i="2"/>
  <c r="I4126" i="2"/>
  <c r="H4126" i="2"/>
  <c r="G4126" i="2"/>
  <c r="F4126" i="2"/>
  <c r="E4126" i="2"/>
  <c r="D4126" i="2"/>
  <c r="C4126" i="2"/>
  <c r="B4126" i="2"/>
  <c r="V4125" i="2"/>
  <c r="U4125" i="2"/>
  <c r="T4125" i="2"/>
  <c r="S4125" i="2"/>
  <c r="R4125" i="2"/>
  <c r="Q4125" i="2"/>
  <c r="P4125" i="2"/>
  <c r="O4125" i="2"/>
  <c r="N4125" i="2"/>
  <c r="M4125" i="2"/>
  <c r="L4125" i="2"/>
  <c r="K4125" i="2"/>
  <c r="J4125" i="2"/>
  <c r="I4125" i="2"/>
  <c r="H4125" i="2"/>
  <c r="G4125" i="2"/>
  <c r="F4125" i="2"/>
  <c r="E4125" i="2"/>
  <c r="D4125" i="2"/>
  <c r="C4125" i="2"/>
  <c r="B4125" i="2"/>
  <c r="V4124" i="2"/>
  <c r="U4124" i="2"/>
  <c r="T4124" i="2"/>
  <c r="S4124" i="2"/>
  <c r="R4124" i="2"/>
  <c r="Q4124" i="2"/>
  <c r="P4124" i="2"/>
  <c r="O4124" i="2"/>
  <c r="N4124" i="2"/>
  <c r="M4124" i="2"/>
  <c r="L4124" i="2"/>
  <c r="K4124" i="2"/>
  <c r="J4124" i="2"/>
  <c r="I4124" i="2"/>
  <c r="H4124" i="2"/>
  <c r="G4124" i="2"/>
  <c r="F4124" i="2"/>
  <c r="E4124" i="2"/>
  <c r="D4124" i="2"/>
  <c r="C4124" i="2"/>
  <c r="B4124" i="2"/>
  <c r="V4123" i="2"/>
  <c r="U4123" i="2"/>
  <c r="T4123" i="2"/>
  <c r="S4123" i="2"/>
  <c r="R4123" i="2"/>
  <c r="Q4123" i="2"/>
  <c r="P4123" i="2"/>
  <c r="O4123" i="2"/>
  <c r="N4123" i="2"/>
  <c r="M4123" i="2"/>
  <c r="L4123" i="2"/>
  <c r="K4123" i="2"/>
  <c r="J4123" i="2"/>
  <c r="I4123" i="2"/>
  <c r="H4123" i="2"/>
  <c r="G4123" i="2"/>
  <c r="F4123" i="2"/>
  <c r="E4123" i="2"/>
  <c r="D4123" i="2"/>
  <c r="C4123" i="2"/>
  <c r="B4123" i="2"/>
  <c r="V4122" i="2"/>
  <c r="U4122" i="2"/>
  <c r="T4122" i="2"/>
  <c r="S4122" i="2"/>
  <c r="R4122" i="2"/>
  <c r="Q4122" i="2"/>
  <c r="P4122" i="2"/>
  <c r="O4122" i="2"/>
  <c r="N4122" i="2"/>
  <c r="M4122" i="2"/>
  <c r="L4122" i="2"/>
  <c r="K4122" i="2"/>
  <c r="J4122" i="2"/>
  <c r="I4122" i="2"/>
  <c r="H4122" i="2"/>
  <c r="G4122" i="2"/>
  <c r="F4122" i="2"/>
  <c r="E4122" i="2"/>
  <c r="D4122" i="2"/>
  <c r="C4122" i="2"/>
  <c r="B4122" i="2"/>
  <c r="V4121" i="2"/>
  <c r="U4121" i="2"/>
  <c r="T4121" i="2"/>
  <c r="S4121" i="2"/>
  <c r="R4121" i="2"/>
  <c r="Q4121" i="2"/>
  <c r="P4121" i="2"/>
  <c r="O4121" i="2"/>
  <c r="N4121" i="2"/>
  <c r="M4121" i="2"/>
  <c r="L4121" i="2"/>
  <c r="K4121" i="2"/>
  <c r="J4121" i="2"/>
  <c r="I4121" i="2"/>
  <c r="H4121" i="2"/>
  <c r="G4121" i="2"/>
  <c r="F4121" i="2"/>
  <c r="E4121" i="2"/>
  <c r="D4121" i="2"/>
  <c r="C4121" i="2"/>
  <c r="B4121" i="2"/>
  <c r="V4120" i="2"/>
  <c r="U4120" i="2"/>
  <c r="T4120" i="2"/>
  <c r="S4120" i="2"/>
  <c r="R4120" i="2"/>
  <c r="Q4120" i="2"/>
  <c r="P4120" i="2"/>
  <c r="O4120" i="2"/>
  <c r="N4120" i="2"/>
  <c r="M4120" i="2"/>
  <c r="L4120" i="2"/>
  <c r="K4120" i="2"/>
  <c r="J4120" i="2"/>
  <c r="I4120" i="2"/>
  <c r="H4120" i="2"/>
  <c r="G4120" i="2"/>
  <c r="F4120" i="2"/>
  <c r="E4120" i="2"/>
  <c r="D4120" i="2"/>
  <c r="C4120" i="2"/>
  <c r="B4120" i="2"/>
  <c r="V4119" i="2"/>
  <c r="U4119" i="2"/>
  <c r="T4119" i="2"/>
  <c r="S4119" i="2"/>
  <c r="R4119" i="2"/>
  <c r="Q4119" i="2"/>
  <c r="P4119" i="2"/>
  <c r="O4119" i="2"/>
  <c r="N4119" i="2"/>
  <c r="M4119" i="2"/>
  <c r="L4119" i="2"/>
  <c r="K4119" i="2"/>
  <c r="J4119" i="2"/>
  <c r="I4119" i="2"/>
  <c r="H4119" i="2"/>
  <c r="G4119" i="2"/>
  <c r="F4119" i="2"/>
  <c r="E4119" i="2"/>
  <c r="D4119" i="2"/>
  <c r="C4119" i="2"/>
  <c r="B4119" i="2"/>
  <c r="V4118" i="2"/>
  <c r="U4118" i="2"/>
  <c r="T4118" i="2"/>
  <c r="S4118" i="2"/>
  <c r="R4118" i="2"/>
  <c r="Q4118" i="2"/>
  <c r="P4118" i="2"/>
  <c r="O4118" i="2"/>
  <c r="N4118" i="2"/>
  <c r="M4118" i="2"/>
  <c r="L4118" i="2"/>
  <c r="K4118" i="2"/>
  <c r="J4118" i="2"/>
  <c r="I4118" i="2"/>
  <c r="H4118" i="2"/>
  <c r="G4118" i="2"/>
  <c r="F4118" i="2"/>
  <c r="E4118" i="2"/>
  <c r="D4118" i="2"/>
  <c r="C4118" i="2"/>
  <c r="B4118" i="2"/>
  <c r="V4117" i="2"/>
  <c r="U4117" i="2"/>
  <c r="T4117" i="2"/>
  <c r="S4117" i="2"/>
  <c r="R4117" i="2"/>
  <c r="Q4117" i="2"/>
  <c r="P4117" i="2"/>
  <c r="O4117" i="2"/>
  <c r="N4117" i="2"/>
  <c r="M4117" i="2"/>
  <c r="L4117" i="2"/>
  <c r="K4117" i="2"/>
  <c r="J4117" i="2"/>
  <c r="I4117" i="2"/>
  <c r="H4117" i="2"/>
  <c r="G4117" i="2"/>
  <c r="F4117" i="2"/>
  <c r="E4117" i="2"/>
  <c r="D4117" i="2"/>
  <c r="C4117" i="2"/>
  <c r="B4117" i="2"/>
  <c r="V4116" i="2"/>
  <c r="U4116" i="2"/>
  <c r="T4116" i="2"/>
  <c r="S4116" i="2"/>
  <c r="R4116" i="2"/>
  <c r="Q4116" i="2"/>
  <c r="P4116" i="2"/>
  <c r="O4116" i="2"/>
  <c r="N4116" i="2"/>
  <c r="M4116" i="2"/>
  <c r="L4116" i="2"/>
  <c r="K4116" i="2"/>
  <c r="J4116" i="2"/>
  <c r="I4116" i="2"/>
  <c r="H4116" i="2"/>
  <c r="G4116" i="2"/>
  <c r="F4116" i="2"/>
  <c r="E4116" i="2"/>
  <c r="D4116" i="2"/>
  <c r="C4116" i="2"/>
  <c r="B4116" i="2"/>
  <c r="V4115" i="2"/>
  <c r="U4115" i="2"/>
  <c r="T4115" i="2"/>
  <c r="S4115" i="2"/>
  <c r="R4115" i="2"/>
  <c r="Q4115" i="2"/>
  <c r="P4115" i="2"/>
  <c r="O4115" i="2"/>
  <c r="N4115" i="2"/>
  <c r="M4115" i="2"/>
  <c r="L4115" i="2"/>
  <c r="K4115" i="2"/>
  <c r="J4115" i="2"/>
  <c r="I4115" i="2"/>
  <c r="H4115" i="2"/>
  <c r="G4115" i="2"/>
  <c r="F4115" i="2"/>
  <c r="E4115" i="2"/>
  <c r="D4115" i="2"/>
  <c r="C4115" i="2"/>
  <c r="B4115" i="2"/>
  <c r="V4114" i="2"/>
  <c r="U4114" i="2"/>
  <c r="T4114" i="2"/>
  <c r="S4114" i="2"/>
  <c r="R4114" i="2"/>
  <c r="Q4114" i="2"/>
  <c r="P4114" i="2"/>
  <c r="O4114" i="2"/>
  <c r="N4114" i="2"/>
  <c r="M4114" i="2"/>
  <c r="L4114" i="2"/>
  <c r="K4114" i="2"/>
  <c r="J4114" i="2"/>
  <c r="I4114" i="2"/>
  <c r="H4114" i="2"/>
  <c r="G4114" i="2"/>
  <c r="F4114" i="2"/>
  <c r="E4114" i="2"/>
  <c r="D4114" i="2"/>
  <c r="C4114" i="2"/>
  <c r="B4114" i="2"/>
  <c r="V4113" i="2"/>
  <c r="U4113" i="2"/>
  <c r="T4113" i="2"/>
  <c r="S4113" i="2"/>
  <c r="R4113" i="2"/>
  <c r="Q4113" i="2"/>
  <c r="P4113" i="2"/>
  <c r="O4113" i="2"/>
  <c r="N4113" i="2"/>
  <c r="M4113" i="2"/>
  <c r="L4113" i="2"/>
  <c r="K4113" i="2"/>
  <c r="J4113" i="2"/>
  <c r="I4113" i="2"/>
  <c r="H4113" i="2"/>
  <c r="G4113" i="2"/>
  <c r="F4113" i="2"/>
  <c r="E4113" i="2"/>
  <c r="D4113" i="2"/>
  <c r="C4113" i="2"/>
  <c r="B4113" i="2"/>
  <c r="V4112" i="2"/>
  <c r="U4112" i="2"/>
  <c r="T4112" i="2"/>
  <c r="S4112" i="2"/>
  <c r="R4112" i="2"/>
  <c r="Q4112" i="2"/>
  <c r="P4112" i="2"/>
  <c r="O4112" i="2"/>
  <c r="N4112" i="2"/>
  <c r="M4112" i="2"/>
  <c r="L4112" i="2"/>
  <c r="K4112" i="2"/>
  <c r="J4112" i="2"/>
  <c r="I4112" i="2"/>
  <c r="H4112" i="2"/>
  <c r="G4112" i="2"/>
  <c r="F4112" i="2"/>
  <c r="E4112" i="2"/>
  <c r="D4112" i="2"/>
  <c r="C4112" i="2"/>
  <c r="B4112" i="2"/>
  <c r="V4111" i="2"/>
  <c r="U4111" i="2"/>
  <c r="T4111" i="2"/>
  <c r="S4111" i="2"/>
  <c r="R4111" i="2"/>
  <c r="Q4111" i="2"/>
  <c r="P4111" i="2"/>
  <c r="O4111" i="2"/>
  <c r="N4111" i="2"/>
  <c r="M4111" i="2"/>
  <c r="L4111" i="2"/>
  <c r="K4111" i="2"/>
  <c r="J4111" i="2"/>
  <c r="I4111" i="2"/>
  <c r="H4111" i="2"/>
  <c r="G4111" i="2"/>
  <c r="F4111" i="2"/>
  <c r="E4111" i="2"/>
  <c r="D4111" i="2"/>
  <c r="C4111" i="2"/>
  <c r="B4111" i="2"/>
  <c r="V4110" i="2"/>
  <c r="U4110" i="2"/>
  <c r="T4110" i="2"/>
  <c r="S4110" i="2"/>
  <c r="R4110" i="2"/>
  <c r="Q4110" i="2"/>
  <c r="P4110" i="2"/>
  <c r="O4110" i="2"/>
  <c r="N4110" i="2"/>
  <c r="M4110" i="2"/>
  <c r="L4110" i="2"/>
  <c r="K4110" i="2"/>
  <c r="J4110" i="2"/>
  <c r="I4110" i="2"/>
  <c r="H4110" i="2"/>
  <c r="G4110" i="2"/>
  <c r="F4110" i="2"/>
  <c r="E4110" i="2"/>
  <c r="D4110" i="2"/>
  <c r="C4110" i="2"/>
  <c r="B4110" i="2"/>
  <c r="V4109" i="2"/>
  <c r="U4109" i="2"/>
  <c r="T4109" i="2"/>
  <c r="S4109" i="2"/>
  <c r="R4109" i="2"/>
  <c r="Q4109" i="2"/>
  <c r="P4109" i="2"/>
  <c r="O4109" i="2"/>
  <c r="N4109" i="2"/>
  <c r="M4109" i="2"/>
  <c r="L4109" i="2"/>
  <c r="K4109" i="2"/>
  <c r="J4109" i="2"/>
  <c r="I4109" i="2"/>
  <c r="H4109" i="2"/>
  <c r="G4109" i="2"/>
  <c r="F4109" i="2"/>
  <c r="E4109" i="2"/>
  <c r="D4109" i="2"/>
  <c r="C4109" i="2"/>
  <c r="B4109" i="2"/>
  <c r="V4108" i="2"/>
  <c r="U4108" i="2"/>
  <c r="T4108" i="2"/>
  <c r="S4108" i="2"/>
  <c r="R4108" i="2"/>
  <c r="Q4108" i="2"/>
  <c r="P4108" i="2"/>
  <c r="O4108" i="2"/>
  <c r="N4108" i="2"/>
  <c r="M4108" i="2"/>
  <c r="L4108" i="2"/>
  <c r="K4108" i="2"/>
  <c r="J4108" i="2"/>
  <c r="I4108" i="2"/>
  <c r="H4108" i="2"/>
  <c r="G4108" i="2"/>
  <c r="F4108" i="2"/>
  <c r="E4108" i="2"/>
  <c r="D4108" i="2"/>
  <c r="C4108" i="2"/>
  <c r="B4108" i="2"/>
  <c r="V4107" i="2"/>
  <c r="U4107" i="2"/>
  <c r="T4107" i="2"/>
  <c r="S4107" i="2"/>
  <c r="R4107" i="2"/>
  <c r="Q4107" i="2"/>
  <c r="P4107" i="2"/>
  <c r="O4107" i="2"/>
  <c r="N4107" i="2"/>
  <c r="M4107" i="2"/>
  <c r="L4107" i="2"/>
  <c r="K4107" i="2"/>
  <c r="J4107" i="2"/>
  <c r="I4107" i="2"/>
  <c r="H4107" i="2"/>
  <c r="G4107" i="2"/>
  <c r="F4107" i="2"/>
  <c r="E4107" i="2"/>
  <c r="D4107" i="2"/>
  <c r="C4107" i="2"/>
  <c r="B4107" i="2"/>
  <c r="V4106" i="2"/>
  <c r="U4106" i="2"/>
  <c r="T4106" i="2"/>
  <c r="S4106" i="2"/>
  <c r="R4106" i="2"/>
  <c r="Q4106" i="2"/>
  <c r="P4106" i="2"/>
  <c r="O4106" i="2"/>
  <c r="N4106" i="2"/>
  <c r="M4106" i="2"/>
  <c r="L4106" i="2"/>
  <c r="K4106" i="2"/>
  <c r="J4106" i="2"/>
  <c r="I4106" i="2"/>
  <c r="H4106" i="2"/>
  <c r="G4106" i="2"/>
  <c r="F4106" i="2"/>
  <c r="E4106" i="2"/>
  <c r="D4106" i="2"/>
  <c r="C4106" i="2"/>
  <c r="B4106" i="2"/>
  <c r="V4105" i="2"/>
  <c r="U4105" i="2"/>
  <c r="T4105" i="2"/>
  <c r="S4105" i="2"/>
  <c r="R4105" i="2"/>
  <c r="Q4105" i="2"/>
  <c r="P4105" i="2"/>
  <c r="O4105" i="2"/>
  <c r="N4105" i="2"/>
  <c r="M4105" i="2"/>
  <c r="L4105" i="2"/>
  <c r="K4105" i="2"/>
  <c r="J4105" i="2"/>
  <c r="I4105" i="2"/>
  <c r="H4105" i="2"/>
  <c r="G4105" i="2"/>
  <c r="F4105" i="2"/>
  <c r="E4105" i="2"/>
  <c r="D4105" i="2"/>
  <c r="C4105" i="2"/>
  <c r="B4105" i="2"/>
  <c r="V4104" i="2"/>
  <c r="U4104" i="2"/>
  <c r="T4104" i="2"/>
  <c r="S4104" i="2"/>
  <c r="R4104" i="2"/>
  <c r="Q4104" i="2"/>
  <c r="P4104" i="2"/>
  <c r="O4104" i="2"/>
  <c r="N4104" i="2"/>
  <c r="M4104" i="2"/>
  <c r="L4104" i="2"/>
  <c r="K4104" i="2"/>
  <c r="J4104" i="2"/>
  <c r="I4104" i="2"/>
  <c r="H4104" i="2"/>
  <c r="G4104" i="2"/>
  <c r="F4104" i="2"/>
  <c r="E4104" i="2"/>
  <c r="D4104" i="2"/>
  <c r="C4104" i="2"/>
  <c r="B4104" i="2"/>
  <c r="V4103" i="2"/>
  <c r="U4103" i="2"/>
  <c r="T4103" i="2"/>
  <c r="S4103" i="2"/>
  <c r="R4103" i="2"/>
  <c r="Q4103" i="2"/>
  <c r="P4103" i="2"/>
  <c r="O4103" i="2"/>
  <c r="N4103" i="2"/>
  <c r="M4103" i="2"/>
  <c r="L4103" i="2"/>
  <c r="K4103" i="2"/>
  <c r="J4103" i="2"/>
  <c r="I4103" i="2"/>
  <c r="H4103" i="2"/>
  <c r="G4103" i="2"/>
  <c r="F4103" i="2"/>
  <c r="E4103" i="2"/>
  <c r="D4103" i="2"/>
  <c r="C4103" i="2"/>
  <c r="B4103" i="2"/>
  <c r="V4102" i="2"/>
  <c r="U4102" i="2"/>
  <c r="T4102" i="2"/>
  <c r="S4102" i="2"/>
  <c r="R4102" i="2"/>
  <c r="Q4102" i="2"/>
  <c r="P4102" i="2"/>
  <c r="O4102" i="2"/>
  <c r="N4102" i="2"/>
  <c r="M4102" i="2"/>
  <c r="L4102" i="2"/>
  <c r="K4102" i="2"/>
  <c r="J4102" i="2"/>
  <c r="I4102" i="2"/>
  <c r="H4102" i="2"/>
  <c r="G4102" i="2"/>
  <c r="F4102" i="2"/>
  <c r="E4102" i="2"/>
  <c r="D4102" i="2"/>
  <c r="C4102" i="2"/>
  <c r="B4102" i="2"/>
  <c r="V4101" i="2"/>
  <c r="U4101" i="2"/>
  <c r="T4101" i="2"/>
  <c r="S4101" i="2"/>
  <c r="R4101" i="2"/>
  <c r="Q4101" i="2"/>
  <c r="P4101" i="2"/>
  <c r="O4101" i="2"/>
  <c r="N4101" i="2"/>
  <c r="M4101" i="2"/>
  <c r="L4101" i="2"/>
  <c r="K4101" i="2"/>
  <c r="J4101" i="2"/>
  <c r="I4101" i="2"/>
  <c r="H4101" i="2"/>
  <c r="G4101" i="2"/>
  <c r="F4101" i="2"/>
  <c r="E4101" i="2"/>
  <c r="D4101" i="2"/>
  <c r="C4101" i="2"/>
  <c r="B4101" i="2"/>
  <c r="V4100" i="2"/>
  <c r="U4100" i="2"/>
  <c r="T4100" i="2"/>
  <c r="S4100" i="2"/>
  <c r="R4100" i="2"/>
  <c r="Q4100" i="2"/>
  <c r="P4100" i="2"/>
  <c r="O4100" i="2"/>
  <c r="N4100" i="2"/>
  <c r="M4100" i="2"/>
  <c r="L4100" i="2"/>
  <c r="K4100" i="2"/>
  <c r="J4100" i="2"/>
  <c r="I4100" i="2"/>
  <c r="H4100" i="2"/>
  <c r="G4100" i="2"/>
  <c r="F4100" i="2"/>
  <c r="E4100" i="2"/>
  <c r="D4100" i="2"/>
  <c r="C4100" i="2"/>
  <c r="B4100" i="2"/>
  <c r="V4099" i="2"/>
  <c r="U4099" i="2"/>
  <c r="T4099" i="2"/>
  <c r="S4099" i="2"/>
  <c r="R4099" i="2"/>
  <c r="Q4099" i="2"/>
  <c r="P4099" i="2"/>
  <c r="O4099" i="2"/>
  <c r="N4099" i="2"/>
  <c r="M4099" i="2"/>
  <c r="L4099" i="2"/>
  <c r="K4099" i="2"/>
  <c r="J4099" i="2"/>
  <c r="I4099" i="2"/>
  <c r="H4099" i="2"/>
  <c r="G4099" i="2"/>
  <c r="F4099" i="2"/>
  <c r="E4099" i="2"/>
  <c r="D4099" i="2"/>
  <c r="C4099" i="2"/>
  <c r="B4099" i="2"/>
  <c r="V4098" i="2"/>
  <c r="U4098" i="2"/>
  <c r="T4098" i="2"/>
  <c r="S4098" i="2"/>
  <c r="R4098" i="2"/>
  <c r="Q4098" i="2"/>
  <c r="P4098" i="2"/>
  <c r="O4098" i="2"/>
  <c r="N4098" i="2"/>
  <c r="M4098" i="2"/>
  <c r="L4098" i="2"/>
  <c r="K4098" i="2"/>
  <c r="J4098" i="2"/>
  <c r="I4098" i="2"/>
  <c r="H4098" i="2"/>
  <c r="G4098" i="2"/>
  <c r="F4098" i="2"/>
  <c r="E4098" i="2"/>
  <c r="D4098" i="2"/>
  <c r="C4098" i="2"/>
  <c r="B4098" i="2"/>
  <c r="V4097" i="2"/>
  <c r="U4097" i="2"/>
  <c r="T4097" i="2"/>
  <c r="S4097" i="2"/>
  <c r="R4097" i="2"/>
  <c r="Q4097" i="2"/>
  <c r="P4097" i="2"/>
  <c r="O4097" i="2"/>
  <c r="N4097" i="2"/>
  <c r="M4097" i="2"/>
  <c r="L4097" i="2"/>
  <c r="K4097" i="2"/>
  <c r="J4097" i="2"/>
  <c r="I4097" i="2"/>
  <c r="H4097" i="2"/>
  <c r="G4097" i="2"/>
  <c r="F4097" i="2"/>
  <c r="E4097" i="2"/>
  <c r="D4097" i="2"/>
  <c r="C4097" i="2"/>
  <c r="B4097" i="2"/>
  <c r="V4096" i="2"/>
  <c r="U4096" i="2"/>
  <c r="T4096" i="2"/>
  <c r="S4096" i="2"/>
  <c r="R4096" i="2"/>
  <c r="Q4096" i="2"/>
  <c r="P4096" i="2"/>
  <c r="O4096" i="2"/>
  <c r="N4096" i="2"/>
  <c r="M4096" i="2"/>
  <c r="L4096" i="2"/>
  <c r="K4096" i="2"/>
  <c r="J4096" i="2"/>
  <c r="I4096" i="2"/>
  <c r="H4096" i="2"/>
  <c r="G4096" i="2"/>
  <c r="F4096" i="2"/>
  <c r="E4096" i="2"/>
  <c r="D4096" i="2"/>
  <c r="C4096" i="2"/>
  <c r="B4096" i="2"/>
  <c r="V4095" i="2"/>
  <c r="U4095" i="2"/>
  <c r="T4095" i="2"/>
  <c r="S4095" i="2"/>
  <c r="R4095" i="2"/>
  <c r="Q4095" i="2"/>
  <c r="P4095" i="2"/>
  <c r="O4095" i="2"/>
  <c r="N4095" i="2"/>
  <c r="M4095" i="2"/>
  <c r="L4095" i="2"/>
  <c r="K4095" i="2"/>
  <c r="J4095" i="2"/>
  <c r="I4095" i="2"/>
  <c r="H4095" i="2"/>
  <c r="G4095" i="2"/>
  <c r="F4095" i="2"/>
  <c r="E4095" i="2"/>
  <c r="D4095" i="2"/>
  <c r="C4095" i="2"/>
  <c r="B4095" i="2"/>
  <c r="V4094" i="2"/>
  <c r="U4094" i="2"/>
  <c r="T4094" i="2"/>
  <c r="S4094" i="2"/>
  <c r="R4094" i="2"/>
  <c r="Q4094" i="2"/>
  <c r="P4094" i="2"/>
  <c r="O4094" i="2"/>
  <c r="N4094" i="2"/>
  <c r="M4094" i="2"/>
  <c r="L4094" i="2"/>
  <c r="K4094" i="2"/>
  <c r="J4094" i="2"/>
  <c r="I4094" i="2"/>
  <c r="H4094" i="2"/>
  <c r="G4094" i="2"/>
  <c r="F4094" i="2"/>
  <c r="E4094" i="2"/>
  <c r="D4094" i="2"/>
  <c r="C4094" i="2"/>
  <c r="B4094" i="2"/>
  <c r="V4093" i="2"/>
  <c r="U4093" i="2"/>
  <c r="T4093" i="2"/>
  <c r="S4093" i="2"/>
  <c r="R4093" i="2"/>
  <c r="Q4093" i="2"/>
  <c r="P4093" i="2"/>
  <c r="O4093" i="2"/>
  <c r="N4093" i="2"/>
  <c r="M4093" i="2"/>
  <c r="L4093" i="2"/>
  <c r="K4093" i="2"/>
  <c r="J4093" i="2"/>
  <c r="I4093" i="2"/>
  <c r="H4093" i="2"/>
  <c r="G4093" i="2"/>
  <c r="F4093" i="2"/>
  <c r="E4093" i="2"/>
  <c r="D4093" i="2"/>
  <c r="C4093" i="2"/>
  <c r="B4093" i="2"/>
  <c r="V4092" i="2"/>
  <c r="U4092" i="2"/>
  <c r="T4092" i="2"/>
  <c r="S4092" i="2"/>
  <c r="R4092" i="2"/>
  <c r="Q4092" i="2"/>
  <c r="P4092" i="2"/>
  <c r="O4092" i="2"/>
  <c r="N4092" i="2"/>
  <c r="M4092" i="2"/>
  <c r="L4092" i="2"/>
  <c r="K4092" i="2"/>
  <c r="J4092" i="2"/>
  <c r="I4092" i="2"/>
  <c r="H4092" i="2"/>
  <c r="G4092" i="2"/>
  <c r="F4092" i="2"/>
  <c r="E4092" i="2"/>
  <c r="D4092" i="2"/>
  <c r="C4092" i="2"/>
  <c r="B4092" i="2"/>
  <c r="V4091" i="2"/>
  <c r="U4091" i="2"/>
  <c r="T4091" i="2"/>
  <c r="S4091" i="2"/>
  <c r="R4091" i="2"/>
  <c r="Q4091" i="2"/>
  <c r="P4091" i="2"/>
  <c r="O4091" i="2"/>
  <c r="N4091" i="2"/>
  <c r="M4091" i="2"/>
  <c r="L4091" i="2"/>
  <c r="K4091" i="2"/>
  <c r="J4091" i="2"/>
  <c r="I4091" i="2"/>
  <c r="H4091" i="2"/>
  <c r="G4091" i="2"/>
  <c r="F4091" i="2"/>
  <c r="E4091" i="2"/>
  <c r="D4091" i="2"/>
  <c r="C4091" i="2"/>
  <c r="B4091" i="2"/>
  <c r="V4090" i="2"/>
  <c r="U4090" i="2"/>
  <c r="T4090" i="2"/>
  <c r="S4090" i="2"/>
  <c r="R4090" i="2"/>
  <c r="Q4090" i="2"/>
  <c r="P4090" i="2"/>
  <c r="O4090" i="2"/>
  <c r="N4090" i="2"/>
  <c r="M4090" i="2"/>
  <c r="L4090" i="2"/>
  <c r="K4090" i="2"/>
  <c r="J4090" i="2"/>
  <c r="I4090" i="2"/>
  <c r="H4090" i="2"/>
  <c r="G4090" i="2"/>
  <c r="F4090" i="2"/>
  <c r="E4090" i="2"/>
  <c r="D4090" i="2"/>
  <c r="C4090" i="2"/>
  <c r="B4090" i="2"/>
  <c r="V4089" i="2"/>
  <c r="U4089" i="2"/>
  <c r="T4089" i="2"/>
  <c r="S4089" i="2"/>
  <c r="R4089" i="2"/>
  <c r="Q4089" i="2"/>
  <c r="P4089" i="2"/>
  <c r="O4089" i="2"/>
  <c r="N4089" i="2"/>
  <c r="M4089" i="2"/>
  <c r="L4089" i="2"/>
  <c r="K4089" i="2"/>
  <c r="J4089" i="2"/>
  <c r="I4089" i="2"/>
  <c r="H4089" i="2"/>
  <c r="G4089" i="2"/>
  <c r="F4089" i="2"/>
  <c r="E4089" i="2"/>
  <c r="D4089" i="2"/>
  <c r="C4089" i="2"/>
  <c r="B4089" i="2"/>
  <c r="V4088" i="2"/>
  <c r="U4088" i="2"/>
  <c r="T4088" i="2"/>
  <c r="S4088" i="2"/>
  <c r="R4088" i="2"/>
  <c r="Q4088" i="2"/>
  <c r="P4088" i="2"/>
  <c r="O4088" i="2"/>
  <c r="N4088" i="2"/>
  <c r="M4088" i="2"/>
  <c r="L4088" i="2"/>
  <c r="K4088" i="2"/>
  <c r="J4088" i="2"/>
  <c r="I4088" i="2"/>
  <c r="H4088" i="2"/>
  <c r="G4088" i="2"/>
  <c r="F4088" i="2"/>
  <c r="E4088" i="2"/>
  <c r="D4088" i="2"/>
  <c r="C4088" i="2"/>
  <c r="B4088" i="2"/>
  <c r="V4087" i="2"/>
  <c r="U4087" i="2"/>
  <c r="T4087" i="2"/>
  <c r="S4087" i="2"/>
  <c r="R4087" i="2"/>
  <c r="Q4087" i="2"/>
  <c r="P4087" i="2"/>
  <c r="O4087" i="2"/>
  <c r="N4087" i="2"/>
  <c r="M4087" i="2"/>
  <c r="L4087" i="2"/>
  <c r="K4087" i="2"/>
  <c r="J4087" i="2"/>
  <c r="I4087" i="2"/>
  <c r="H4087" i="2"/>
  <c r="G4087" i="2"/>
  <c r="F4087" i="2"/>
  <c r="E4087" i="2"/>
  <c r="D4087" i="2"/>
  <c r="C4087" i="2"/>
  <c r="B4087" i="2"/>
  <c r="V4086" i="2"/>
  <c r="U4086" i="2"/>
  <c r="T4086" i="2"/>
  <c r="S4086" i="2"/>
  <c r="R4086" i="2"/>
  <c r="Q4086" i="2"/>
  <c r="P4086" i="2"/>
  <c r="O4086" i="2"/>
  <c r="N4086" i="2"/>
  <c r="M4086" i="2"/>
  <c r="L4086" i="2"/>
  <c r="K4086" i="2"/>
  <c r="J4086" i="2"/>
  <c r="I4086" i="2"/>
  <c r="H4086" i="2"/>
  <c r="G4086" i="2"/>
  <c r="F4086" i="2"/>
  <c r="E4086" i="2"/>
  <c r="D4086" i="2"/>
  <c r="C4086" i="2"/>
  <c r="B4086" i="2"/>
  <c r="V4085" i="2"/>
  <c r="U4085" i="2"/>
  <c r="T4085" i="2"/>
  <c r="S4085" i="2"/>
  <c r="R4085" i="2"/>
  <c r="Q4085" i="2"/>
  <c r="P4085" i="2"/>
  <c r="O4085" i="2"/>
  <c r="N4085" i="2"/>
  <c r="M4085" i="2"/>
  <c r="L4085" i="2"/>
  <c r="K4085" i="2"/>
  <c r="J4085" i="2"/>
  <c r="I4085" i="2"/>
  <c r="H4085" i="2"/>
  <c r="G4085" i="2"/>
  <c r="F4085" i="2"/>
  <c r="E4085" i="2"/>
  <c r="D4085" i="2"/>
  <c r="C4085" i="2"/>
  <c r="B4085" i="2"/>
  <c r="V4084" i="2"/>
  <c r="U4084" i="2"/>
  <c r="T4084" i="2"/>
  <c r="S4084" i="2"/>
  <c r="R4084" i="2"/>
  <c r="Q4084" i="2"/>
  <c r="P4084" i="2"/>
  <c r="O4084" i="2"/>
  <c r="N4084" i="2"/>
  <c r="M4084" i="2"/>
  <c r="L4084" i="2"/>
  <c r="K4084" i="2"/>
  <c r="J4084" i="2"/>
  <c r="I4084" i="2"/>
  <c r="H4084" i="2"/>
  <c r="G4084" i="2"/>
  <c r="F4084" i="2"/>
  <c r="E4084" i="2"/>
  <c r="D4084" i="2"/>
  <c r="C4084" i="2"/>
  <c r="B4084" i="2"/>
  <c r="V4083" i="2"/>
  <c r="U4083" i="2"/>
  <c r="T4083" i="2"/>
  <c r="S4083" i="2"/>
  <c r="R4083" i="2"/>
  <c r="Q4083" i="2"/>
  <c r="P4083" i="2"/>
  <c r="O4083" i="2"/>
  <c r="N4083" i="2"/>
  <c r="M4083" i="2"/>
  <c r="L4083" i="2"/>
  <c r="K4083" i="2"/>
  <c r="J4083" i="2"/>
  <c r="I4083" i="2"/>
  <c r="H4083" i="2"/>
  <c r="G4083" i="2"/>
  <c r="F4083" i="2"/>
  <c r="E4083" i="2"/>
  <c r="D4083" i="2"/>
  <c r="C4083" i="2"/>
  <c r="B4083" i="2"/>
  <c r="V4082" i="2"/>
  <c r="U4082" i="2"/>
  <c r="T4082" i="2"/>
  <c r="S4082" i="2"/>
  <c r="R4082" i="2"/>
  <c r="Q4082" i="2"/>
  <c r="P4082" i="2"/>
  <c r="O4082" i="2"/>
  <c r="N4082" i="2"/>
  <c r="M4082" i="2"/>
  <c r="L4082" i="2"/>
  <c r="K4082" i="2"/>
  <c r="J4082" i="2"/>
  <c r="I4082" i="2"/>
  <c r="H4082" i="2"/>
  <c r="G4082" i="2"/>
  <c r="F4082" i="2"/>
  <c r="E4082" i="2"/>
  <c r="D4082" i="2"/>
  <c r="C4082" i="2"/>
  <c r="B4082" i="2"/>
  <c r="V4081" i="2"/>
  <c r="U4081" i="2"/>
  <c r="T4081" i="2"/>
  <c r="S4081" i="2"/>
  <c r="R4081" i="2"/>
  <c r="Q4081" i="2"/>
  <c r="P4081" i="2"/>
  <c r="O4081" i="2"/>
  <c r="N4081" i="2"/>
  <c r="M4081" i="2"/>
  <c r="L4081" i="2"/>
  <c r="K4081" i="2"/>
  <c r="J4081" i="2"/>
  <c r="I4081" i="2"/>
  <c r="H4081" i="2"/>
  <c r="G4081" i="2"/>
  <c r="F4081" i="2"/>
  <c r="E4081" i="2"/>
  <c r="D4081" i="2"/>
  <c r="C4081" i="2"/>
  <c r="B4081" i="2"/>
  <c r="V4080" i="2"/>
  <c r="U4080" i="2"/>
  <c r="T4080" i="2"/>
  <c r="S4080" i="2"/>
  <c r="R4080" i="2"/>
  <c r="Q4080" i="2"/>
  <c r="P4080" i="2"/>
  <c r="O4080" i="2"/>
  <c r="N4080" i="2"/>
  <c r="M4080" i="2"/>
  <c r="L4080" i="2"/>
  <c r="K4080" i="2"/>
  <c r="J4080" i="2"/>
  <c r="I4080" i="2"/>
  <c r="H4080" i="2"/>
  <c r="G4080" i="2"/>
  <c r="F4080" i="2"/>
  <c r="E4080" i="2"/>
  <c r="D4080" i="2"/>
  <c r="C4080" i="2"/>
  <c r="B4080" i="2"/>
  <c r="V4079" i="2"/>
  <c r="U4079" i="2"/>
  <c r="T4079" i="2"/>
  <c r="S4079" i="2"/>
  <c r="R4079" i="2"/>
  <c r="Q4079" i="2"/>
  <c r="P4079" i="2"/>
  <c r="O4079" i="2"/>
  <c r="N4079" i="2"/>
  <c r="M4079" i="2"/>
  <c r="L4079" i="2"/>
  <c r="K4079" i="2"/>
  <c r="J4079" i="2"/>
  <c r="I4079" i="2"/>
  <c r="H4079" i="2"/>
  <c r="G4079" i="2"/>
  <c r="F4079" i="2"/>
  <c r="E4079" i="2"/>
  <c r="D4079" i="2"/>
  <c r="C4079" i="2"/>
  <c r="B4079" i="2"/>
  <c r="V4078" i="2"/>
  <c r="U4078" i="2"/>
  <c r="T4078" i="2"/>
  <c r="S4078" i="2"/>
  <c r="R4078" i="2"/>
  <c r="Q4078" i="2"/>
  <c r="P4078" i="2"/>
  <c r="O4078" i="2"/>
  <c r="N4078" i="2"/>
  <c r="M4078" i="2"/>
  <c r="L4078" i="2"/>
  <c r="K4078" i="2"/>
  <c r="J4078" i="2"/>
  <c r="I4078" i="2"/>
  <c r="H4078" i="2"/>
  <c r="G4078" i="2"/>
  <c r="F4078" i="2"/>
  <c r="E4078" i="2"/>
  <c r="D4078" i="2"/>
  <c r="C4078" i="2"/>
  <c r="B4078" i="2"/>
  <c r="V4077" i="2"/>
  <c r="U4077" i="2"/>
  <c r="T4077" i="2"/>
  <c r="S4077" i="2"/>
  <c r="R4077" i="2"/>
  <c r="Q4077" i="2"/>
  <c r="P4077" i="2"/>
  <c r="O4077" i="2"/>
  <c r="N4077" i="2"/>
  <c r="M4077" i="2"/>
  <c r="L4077" i="2"/>
  <c r="K4077" i="2"/>
  <c r="J4077" i="2"/>
  <c r="I4077" i="2"/>
  <c r="H4077" i="2"/>
  <c r="G4077" i="2"/>
  <c r="F4077" i="2"/>
  <c r="E4077" i="2"/>
  <c r="D4077" i="2"/>
  <c r="C4077" i="2"/>
  <c r="B4077" i="2"/>
  <c r="V4076" i="2"/>
  <c r="U4076" i="2"/>
  <c r="T4076" i="2"/>
  <c r="S4076" i="2"/>
  <c r="R4076" i="2"/>
  <c r="Q4076" i="2"/>
  <c r="P4076" i="2"/>
  <c r="O4076" i="2"/>
  <c r="N4076" i="2"/>
  <c r="M4076" i="2"/>
  <c r="L4076" i="2"/>
  <c r="K4076" i="2"/>
  <c r="J4076" i="2"/>
  <c r="I4076" i="2"/>
  <c r="H4076" i="2"/>
  <c r="G4076" i="2"/>
  <c r="F4076" i="2"/>
  <c r="E4076" i="2"/>
  <c r="D4076" i="2"/>
  <c r="C4076" i="2"/>
  <c r="B4076" i="2"/>
  <c r="V4075" i="2"/>
  <c r="U4075" i="2"/>
  <c r="T4075" i="2"/>
  <c r="S4075" i="2"/>
  <c r="R4075" i="2"/>
  <c r="Q4075" i="2"/>
  <c r="P4075" i="2"/>
  <c r="O4075" i="2"/>
  <c r="N4075" i="2"/>
  <c r="M4075" i="2"/>
  <c r="L4075" i="2"/>
  <c r="K4075" i="2"/>
  <c r="J4075" i="2"/>
  <c r="I4075" i="2"/>
  <c r="H4075" i="2"/>
  <c r="G4075" i="2"/>
  <c r="F4075" i="2"/>
  <c r="E4075" i="2"/>
  <c r="D4075" i="2"/>
  <c r="C4075" i="2"/>
  <c r="B4075" i="2"/>
  <c r="V4074" i="2"/>
  <c r="U4074" i="2"/>
  <c r="T4074" i="2"/>
  <c r="S4074" i="2"/>
  <c r="R4074" i="2"/>
  <c r="Q4074" i="2"/>
  <c r="P4074" i="2"/>
  <c r="O4074" i="2"/>
  <c r="N4074" i="2"/>
  <c r="M4074" i="2"/>
  <c r="L4074" i="2"/>
  <c r="K4074" i="2"/>
  <c r="J4074" i="2"/>
  <c r="I4074" i="2"/>
  <c r="H4074" i="2"/>
  <c r="G4074" i="2"/>
  <c r="F4074" i="2"/>
  <c r="E4074" i="2"/>
  <c r="D4074" i="2"/>
  <c r="C4074" i="2"/>
  <c r="B4074" i="2"/>
  <c r="V4073" i="2"/>
  <c r="U4073" i="2"/>
  <c r="T4073" i="2"/>
  <c r="S4073" i="2"/>
  <c r="R4073" i="2"/>
  <c r="Q4073" i="2"/>
  <c r="P4073" i="2"/>
  <c r="O4073" i="2"/>
  <c r="N4073" i="2"/>
  <c r="M4073" i="2"/>
  <c r="L4073" i="2"/>
  <c r="K4073" i="2"/>
  <c r="J4073" i="2"/>
  <c r="I4073" i="2"/>
  <c r="H4073" i="2"/>
  <c r="G4073" i="2"/>
  <c r="F4073" i="2"/>
  <c r="E4073" i="2"/>
  <c r="D4073" i="2"/>
  <c r="C4073" i="2"/>
  <c r="B4073" i="2"/>
  <c r="V4072" i="2"/>
  <c r="U4072" i="2"/>
  <c r="T4072" i="2"/>
  <c r="S4072" i="2"/>
  <c r="R4072" i="2"/>
  <c r="Q4072" i="2"/>
  <c r="P4072" i="2"/>
  <c r="O4072" i="2"/>
  <c r="N4072" i="2"/>
  <c r="M4072" i="2"/>
  <c r="L4072" i="2"/>
  <c r="K4072" i="2"/>
  <c r="J4072" i="2"/>
  <c r="I4072" i="2"/>
  <c r="H4072" i="2"/>
  <c r="G4072" i="2"/>
  <c r="F4072" i="2"/>
  <c r="E4072" i="2"/>
  <c r="D4072" i="2"/>
  <c r="C4072" i="2"/>
  <c r="B4072" i="2"/>
  <c r="V4071" i="2"/>
  <c r="U4071" i="2"/>
  <c r="T4071" i="2"/>
  <c r="S4071" i="2"/>
  <c r="R4071" i="2"/>
  <c r="Q4071" i="2"/>
  <c r="P4071" i="2"/>
  <c r="O4071" i="2"/>
  <c r="N4071" i="2"/>
  <c r="M4071" i="2"/>
  <c r="L4071" i="2"/>
  <c r="K4071" i="2"/>
  <c r="J4071" i="2"/>
  <c r="I4071" i="2"/>
  <c r="H4071" i="2"/>
  <c r="G4071" i="2"/>
  <c r="F4071" i="2"/>
  <c r="E4071" i="2"/>
  <c r="D4071" i="2"/>
  <c r="C4071" i="2"/>
  <c r="B4071" i="2"/>
  <c r="V4070" i="2"/>
  <c r="U4070" i="2"/>
  <c r="T4070" i="2"/>
  <c r="S4070" i="2"/>
  <c r="R4070" i="2"/>
  <c r="Q4070" i="2"/>
  <c r="P4070" i="2"/>
  <c r="O4070" i="2"/>
  <c r="N4070" i="2"/>
  <c r="M4070" i="2"/>
  <c r="L4070" i="2"/>
  <c r="K4070" i="2"/>
  <c r="J4070" i="2"/>
  <c r="I4070" i="2"/>
  <c r="H4070" i="2"/>
  <c r="G4070" i="2"/>
  <c r="F4070" i="2"/>
  <c r="E4070" i="2"/>
  <c r="D4070" i="2"/>
  <c r="C4070" i="2"/>
  <c r="B4070" i="2"/>
  <c r="V4069" i="2"/>
  <c r="U4069" i="2"/>
  <c r="T4069" i="2"/>
  <c r="S4069" i="2"/>
  <c r="R4069" i="2"/>
  <c r="Q4069" i="2"/>
  <c r="P4069" i="2"/>
  <c r="O4069" i="2"/>
  <c r="N4069" i="2"/>
  <c r="M4069" i="2"/>
  <c r="L4069" i="2"/>
  <c r="K4069" i="2"/>
  <c r="J4069" i="2"/>
  <c r="I4069" i="2"/>
  <c r="H4069" i="2"/>
  <c r="G4069" i="2"/>
  <c r="F4069" i="2"/>
  <c r="E4069" i="2"/>
  <c r="D4069" i="2"/>
  <c r="C4069" i="2"/>
  <c r="B4069" i="2"/>
  <c r="V4068" i="2"/>
  <c r="U4068" i="2"/>
  <c r="T4068" i="2"/>
  <c r="S4068" i="2"/>
  <c r="R4068" i="2"/>
  <c r="Q4068" i="2"/>
  <c r="P4068" i="2"/>
  <c r="O4068" i="2"/>
  <c r="N4068" i="2"/>
  <c r="M4068" i="2"/>
  <c r="L4068" i="2"/>
  <c r="K4068" i="2"/>
  <c r="J4068" i="2"/>
  <c r="I4068" i="2"/>
  <c r="H4068" i="2"/>
  <c r="G4068" i="2"/>
  <c r="F4068" i="2"/>
  <c r="E4068" i="2"/>
  <c r="D4068" i="2"/>
  <c r="C4068" i="2"/>
  <c r="B4068" i="2"/>
  <c r="V4067" i="2"/>
  <c r="U4067" i="2"/>
  <c r="T4067" i="2"/>
  <c r="S4067" i="2"/>
  <c r="R4067" i="2"/>
  <c r="Q4067" i="2"/>
  <c r="P4067" i="2"/>
  <c r="O4067" i="2"/>
  <c r="N4067" i="2"/>
  <c r="M4067" i="2"/>
  <c r="L4067" i="2"/>
  <c r="K4067" i="2"/>
  <c r="J4067" i="2"/>
  <c r="I4067" i="2"/>
  <c r="H4067" i="2"/>
  <c r="G4067" i="2"/>
  <c r="F4067" i="2"/>
  <c r="E4067" i="2"/>
  <c r="D4067" i="2"/>
  <c r="C4067" i="2"/>
  <c r="B4067" i="2"/>
  <c r="V4066" i="2"/>
  <c r="U4066" i="2"/>
  <c r="T4066" i="2"/>
  <c r="S4066" i="2"/>
  <c r="R4066" i="2"/>
  <c r="Q4066" i="2"/>
  <c r="P4066" i="2"/>
  <c r="O4066" i="2"/>
  <c r="N4066" i="2"/>
  <c r="M4066" i="2"/>
  <c r="L4066" i="2"/>
  <c r="K4066" i="2"/>
  <c r="J4066" i="2"/>
  <c r="I4066" i="2"/>
  <c r="H4066" i="2"/>
  <c r="G4066" i="2"/>
  <c r="F4066" i="2"/>
  <c r="E4066" i="2"/>
  <c r="D4066" i="2"/>
  <c r="C4066" i="2"/>
  <c r="B4066" i="2"/>
  <c r="V4065" i="2"/>
  <c r="U4065" i="2"/>
  <c r="T4065" i="2"/>
  <c r="S4065" i="2"/>
  <c r="R4065" i="2"/>
  <c r="Q4065" i="2"/>
  <c r="P4065" i="2"/>
  <c r="O4065" i="2"/>
  <c r="N4065" i="2"/>
  <c r="M4065" i="2"/>
  <c r="L4065" i="2"/>
  <c r="K4065" i="2"/>
  <c r="J4065" i="2"/>
  <c r="I4065" i="2"/>
  <c r="H4065" i="2"/>
  <c r="G4065" i="2"/>
  <c r="F4065" i="2"/>
  <c r="E4065" i="2"/>
  <c r="D4065" i="2"/>
  <c r="C4065" i="2"/>
  <c r="B4065" i="2"/>
  <c r="V4064" i="2"/>
  <c r="U4064" i="2"/>
  <c r="T4064" i="2"/>
  <c r="S4064" i="2"/>
  <c r="R4064" i="2"/>
  <c r="Q4064" i="2"/>
  <c r="P4064" i="2"/>
  <c r="O4064" i="2"/>
  <c r="N4064" i="2"/>
  <c r="M4064" i="2"/>
  <c r="L4064" i="2"/>
  <c r="K4064" i="2"/>
  <c r="J4064" i="2"/>
  <c r="I4064" i="2"/>
  <c r="H4064" i="2"/>
  <c r="G4064" i="2"/>
  <c r="F4064" i="2"/>
  <c r="E4064" i="2"/>
  <c r="D4064" i="2"/>
  <c r="C4064" i="2"/>
  <c r="B4064" i="2"/>
  <c r="V4063" i="2"/>
  <c r="U4063" i="2"/>
  <c r="T4063" i="2"/>
  <c r="S4063" i="2"/>
  <c r="R4063" i="2"/>
  <c r="Q4063" i="2"/>
  <c r="P4063" i="2"/>
  <c r="O4063" i="2"/>
  <c r="N4063" i="2"/>
  <c r="M4063" i="2"/>
  <c r="L4063" i="2"/>
  <c r="K4063" i="2"/>
  <c r="J4063" i="2"/>
  <c r="I4063" i="2"/>
  <c r="H4063" i="2"/>
  <c r="G4063" i="2"/>
  <c r="F4063" i="2"/>
  <c r="E4063" i="2"/>
  <c r="D4063" i="2"/>
  <c r="C4063" i="2"/>
  <c r="B4063" i="2"/>
  <c r="V4062" i="2"/>
  <c r="U4062" i="2"/>
  <c r="T4062" i="2"/>
  <c r="S4062" i="2"/>
  <c r="R4062" i="2"/>
  <c r="Q4062" i="2"/>
  <c r="P4062" i="2"/>
  <c r="O4062" i="2"/>
  <c r="N4062" i="2"/>
  <c r="M4062" i="2"/>
  <c r="L4062" i="2"/>
  <c r="K4062" i="2"/>
  <c r="J4062" i="2"/>
  <c r="I4062" i="2"/>
  <c r="H4062" i="2"/>
  <c r="G4062" i="2"/>
  <c r="F4062" i="2"/>
  <c r="E4062" i="2"/>
  <c r="D4062" i="2"/>
  <c r="C4062" i="2"/>
  <c r="B4062" i="2"/>
  <c r="V4061" i="2"/>
  <c r="U4061" i="2"/>
  <c r="T4061" i="2"/>
  <c r="S4061" i="2"/>
  <c r="R4061" i="2"/>
  <c r="Q4061" i="2"/>
  <c r="P4061" i="2"/>
  <c r="O4061" i="2"/>
  <c r="N4061" i="2"/>
  <c r="M4061" i="2"/>
  <c r="L4061" i="2"/>
  <c r="K4061" i="2"/>
  <c r="J4061" i="2"/>
  <c r="I4061" i="2"/>
  <c r="H4061" i="2"/>
  <c r="G4061" i="2"/>
  <c r="F4061" i="2"/>
  <c r="E4061" i="2"/>
  <c r="D4061" i="2"/>
  <c r="C4061" i="2"/>
  <c r="B4061" i="2"/>
  <c r="V4060" i="2"/>
  <c r="U4060" i="2"/>
  <c r="T4060" i="2"/>
  <c r="S4060" i="2"/>
  <c r="R4060" i="2"/>
  <c r="Q4060" i="2"/>
  <c r="P4060" i="2"/>
  <c r="O4060" i="2"/>
  <c r="N4060" i="2"/>
  <c r="M4060" i="2"/>
  <c r="L4060" i="2"/>
  <c r="K4060" i="2"/>
  <c r="J4060" i="2"/>
  <c r="I4060" i="2"/>
  <c r="H4060" i="2"/>
  <c r="G4060" i="2"/>
  <c r="F4060" i="2"/>
  <c r="E4060" i="2"/>
  <c r="D4060" i="2"/>
  <c r="C4060" i="2"/>
  <c r="B4060" i="2"/>
  <c r="V4059" i="2"/>
  <c r="U4059" i="2"/>
  <c r="T4059" i="2"/>
  <c r="S4059" i="2"/>
  <c r="R4059" i="2"/>
  <c r="Q4059" i="2"/>
  <c r="P4059" i="2"/>
  <c r="O4059" i="2"/>
  <c r="N4059" i="2"/>
  <c r="M4059" i="2"/>
  <c r="L4059" i="2"/>
  <c r="K4059" i="2"/>
  <c r="J4059" i="2"/>
  <c r="I4059" i="2"/>
  <c r="H4059" i="2"/>
  <c r="G4059" i="2"/>
  <c r="F4059" i="2"/>
  <c r="E4059" i="2"/>
  <c r="D4059" i="2"/>
  <c r="C4059" i="2"/>
  <c r="B4059" i="2"/>
  <c r="V4058" i="2"/>
  <c r="U4058" i="2"/>
  <c r="T4058" i="2"/>
  <c r="S4058" i="2"/>
  <c r="R4058" i="2"/>
  <c r="Q4058" i="2"/>
  <c r="P4058" i="2"/>
  <c r="O4058" i="2"/>
  <c r="N4058" i="2"/>
  <c r="M4058" i="2"/>
  <c r="L4058" i="2"/>
  <c r="K4058" i="2"/>
  <c r="J4058" i="2"/>
  <c r="I4058" i="2"/>
  <c r="H4058" i="2"/>
  <c r="G4058" i="2"/>
  <c r="F4058" i="2"/>
  <c r="E4058" i="2"/>
  <c r="D4058" i="2"/>
  <c r="C4058" i="2"/>
  <c r="B4058" i="2"/>
  <c r="V4057" i="2"/>
  <c r="U4057" i="2"/>
  <c r="T4057" i="2"/>
  <c r="S4057" i="2"/>
  <c r="R4057" i="2"/>
  <c r="Q4057" i="2"/>
  <c r="P4057" i="2"/>
  <c r="O4057" i="2"/>
  <c r="N4057" i="2"/>
  <c r="M4057" i="2"/>
  <c r="L4057" i="2"/>
  <c r="K4057" i="2"/>
  <c r="J4057" i="2"/>
  <c r="I4057" i="2"/>
  <c r="H4057" i="2"/>
  <c r="G4057" i="2"/>
  <c r="F4057" i="2"/>
  <c r="E4057" i="2"/>
  <c r="D4057" i="2"/>
  <c r="C4057" i="2"/>
  <c r="B4057" i="2"/>
  <c r="V4056" i="2"/>
  <c r="U4056" i="2"/>
  <c r="T4056" i="2"/>
  <c r="S4056" i="2"/>
  <c r="R4056" i="2"/>
  <c r="Q4056" i="2"/>
  <c r="P4056" i="2"/>
  <c r="O4056" i="2"/>
  <c r="N4056" i="2"/>
  <c r="M4056" i="2"/>
  <c r="L4056" i="2"/>
  <c r="K4056" i="2"/>
  <c r="J4056" i="2"/>
  <c r="I4056" i="2"/>
  <c r="H4056" i="2"/>
  <c r="G4056" i="2"/>
  <c r="F4056" i="2"/>
  <c r="E4056" i="2"/>
  <c r="D4056" i="2"/>
  <c r="C4056" i="2"/>
  <c r="B4056" i="2"/>
  <c r="V4055" i="2"/>
  <c r="U4055" i="2"/>
  <c r="T4055" i="2"/>
  <c r="S4055" i="2"/>
  <c r="R4055" i="2"/>
  <c r="Q4055" i="2"/>
  <c r="P4055" i="2"/>
  <c r="O4055" i="2"/>
  <c r="N4055" i="2"/>
  <c r="M4055" i="2"/>
  <c r="L4055" i="2"/>
  <c r="K4055" i="2"/>
  <c r="J4055" i="2"/>
  <c r="I4055" i="2"/>
  <c r="H4055" i="2"/>
  <c r="G4055" i="2"/>
  <c r="F4055" i="2"/>
  <c r="E4055" i="2"/>
  <c r="D4055" i="2"/>
  <c r="C4055" i="2"/>
  <c r="B4055" i="2"/>
  <c r="V4054" i="2"/>
  <c r="U4054" i="2"/>
  <c r="T4054" i="2"/>
  <c r="S4054" i="2"/>
  <c r="R4054" i="2"/>
  <c r="Q4054" i="2"/>
  <c r="P4054" i="2"/>
  <c r="O4054" i="2"/>
  <c r="N4054" i="2"/>
  <c r="M4054" i="2"/>
  <c r="L4054" i="2"/>
  <c r="K4054" i="2"/>
  <c r="J4054" i="2"/>
  <c r="I4054" i="2"/>
  <c r="H4054" i="2"/>
  <c r="G4054" i="2"/>
  <c r="F4054" i="2"/>
  <c r="E4054" i="2"/>
  <c r="D4054" i="2"/>
  <c r="C4054" i="2"/>
  <c r="B4054" i="2"/>
  <c r="V4053" i="2"/>
  <c r="U4053" i="2"/>
  <c r="T4053" i="2"/>
  <c r="S4053" i="2"/>
  <c r="R4053" i="2"/>
  <c r="Q4053" i="2"/>
  <c r="P4053" i="2"/>
  <c r="O4053" i="2"/>
  <c r="N4053" i="2"/>
  <c r="M4053" i="2"/>
  <c r="L4053" i="2"/>
  <c r="K4053" i="2"/>
  <c r="J4053" i="2"/>
  <c r="I4053" i="2"/>
  <c r="H4053" i="2"/>
  <c r="G4053" i="2"/>
  <c r="F4053" i="2"/>
  <c r="E4053" i="2"/>
  <c r="D4053" i="2"/>
  <c r="C4053" i="2"/>
  <c r="B4053" i="2"/>
  <c r="V4052" i="2"/>
  <c r="U4052" i="2"/>
  <c r="T4052" i="2"/>
  <c r="S4052" i="2"/>
  <c r="R4052" i="2"/>
  <c r="Q4052" i="2"/>
  <c r="P4052" i="2"/>
  <c r="O4052" i="2"/>
  <c r="N4052" i="2"/>
  <c r="M4052" i="2"/>
  <c r="L4052" i="2"/>
  <c r="K4052" i="2"/>
  <c r="J4052" i="2"/>
  <c r="I4052" i="2"/>
  <c r="H4052" i="2"/>
  <c r="G4052" i="2"/>
  <c r="F4052" i="2"/>
  <c r="E4052" i="2"/>
  <c r="D4052" i="2"/>
  <c r="C4052" i="2"/>
  <c r="B4052" i="2"/>
  <c r="V4051" i="2"/>
  <c r="U4051" i="2"/>
  <c r="T4051" i="2"/>
  <c r="S4051" i="2"/>
  <c r="R4051" i="2"/>
  <c r="Q4051" i="2"/>
  <c r="P4051" i="2"/>
  <c r="O4051" i="2"/>
  <c r="N4051" i="2"/>
  <c r="M4051" i="2"/>
  <c r="L4051" i="2"/>
  <c r="K4051" i="2"/>
  <c r="J4051" i="2"/>
  <c r="I4051" i="2"/>
  <c r="H4051" i="2"/>
  <c r="G4051" i="2"/>
  <c r="F4051" i="2"/>
  <c r="E4051" i="2"/>
  <c r="D4051" i="2"/>
  <c r="C4051" i="2"/>
  <c r="B4051" i="2"/>
  <c r="V4050" i="2"/>
  <c r="U4050" i="2"/>
  <c r="T4050" i="2"/>
  <c r="S4050" i="2"/>
  <c r="R4050" i="2"/>
  <c r="Q4050" i="2"/>
  <c r="P4050" i="2"/>
  <c r="O4050" i="2"/>
  <c r="N4050" i="2"/>
  <c r="M4050" i="2"/>
  <c r="L4050" i="2"/>
  <c r="K4050" i="2"/>
  <c r="J4050" i="2"/>
  <c r="I4050" i="2"/>
  <c r="H4050" i="2"/>
  <c r="G4050" i="2"/>
  <c r="F4050" i="2"/>
  <c r="E4050" i="2"/>
  <c r="D4050" i="2"/>
  <c r="C4050" i="2"/>
  <c r="B4050" i="2"/>
  <c r="V4049" i="2"/>
  <c r="U4049" i="2"/>
  <c r="T4049" i="2"/>
  <c r="S4049" i="2"/>
  <c r="R4049" i="2"/>
  <c r="Q4049" i="2"/>
  <c r="P4049" i="2"/>
  <c r="O4049" i="2"/>
  <c r="N4049" i="2"/>
  <c r="M4049" i="2"/>
  <c r="L4049" i="2"/>
  <c r="K4049" i="2"/>
  <c r="J4049" i="2"/>
  <c r="I4049" i="2"/>
  <c r="H4049" i="2"/>
  <c r="G4049" i="2"/>
  <c r="F4049" i="2"/>
  <c r="E4049" i="2"/>
  <c r="D4049" i="2"/>
  <c r="C4049" i="2"/>
  <c r="B4049" i="2"/>
  <c r="V4048" i="2"/>
  <c r="U4048" i="2"/>
  <c r="T4048" i="2"/>
  <c r="S4048" i="2"/>
  <c r="R4048" i="2"/>
  <c r="Q4048" i="2"/>
  <c r="P4048" i="2"/>
  <c r="O4048" i="2"/>
  <c r="N4048" i="2"/>
  <c r="M4048" i="2"/>
  <c r="L4048" i="2"/>
  <c r="K4048" i="2"/>
  <c r="J4048" i="2"/>
  <c r="I4048" i="2"/>
  <c r="H4048" i="2"/>
  <c r="G4048" i="2"/>
  <c r="F4048" i="2"/>
  <c r="E4048" i="2"/>
  <c r="D4048" i="2"/>
  <c r="C4048" i="2"/>
  <c r="B4048" i="2"/>
  <c r="V4047" i="2"/>
  <c r="U4047" i="2"/>
  <c r="T4047" i="2"/>
  <c r="S4047" i="2"/>
  <c r="R4047" i="2"/>
  <c r="Q4047" i="2"/>
  <c r="P4047" i="2"/>
  <c r="O4047" i="2"/>
  <c r="N4047" i="2"/>
  <c r="M4047" i="2"/>
  <c r="L4047" i="2"/>
  <c r="K4047" i="2"/>
  <c r="J4047" i="2"/>
  <c r="I4047" i="2"/>
  <c r="H4047" i="2"/>
  <c r="G4047" i="2"/>
  <c r="F4047" i="2"/>
  <c r="E4047" i="2"/>
  <c r="D4047" i="2"/>
  <c r="C4047" i="2"/>
  <c r="B4047" i="2"/>
  <c r="V4046" i="2"/>
  <c r="U4046" i="2"/>
  <c r="T4046" i="2"/>
  <c r="S4046" i="2"/>
  <c r="R4046" i="2"/>
  <c r="Q4046" i="2"/>
  <c r="P4046" i="2"/>
  <c r="O4046" i="2"/>
  <c r="N4046" i="2"/>
  <c r="M4046" i="2"/>
  <c r="L4046" i="2"/>
  <c r="K4046" i="2"/>
  <c r="J4046" i="2"/>
  <c r="I4046" i="2"/>
  <c r="H4046" i="2"/>
  <c r="G4046" i="2"/>
  <c r="F4046" i="2"/>
  <c r="E4046" i="2"/>
  <c r="D4046" i="2"/>
  <c r="C4046" i="2"/>
  <c r="B4046" i="2"/>
  <c r="V4045" i="2"/>
  <c r="U4045" i="2"/>
  <c r="T4045" i="2"/>
  <c r="S4045" i="2"/>
  <c r="R4045" i="2"/>
  <c r="Q4045" i="2"/>
  <c r="P4045" i="2"/>
  <c r="O4045" i="2"/>
  <c r="N4045" i="2"/>
  <c r="M4045" i="2"/>
  <c r="L4045" i="2"/>
  <c r="K4045" i="2"/>
  <c r="J4045" i="2"/>
  <c r="I4045" i="2"/>
  <c r="H4045" i="2"/>
  <c r="G4045" i="2"/>
  <c r="F4045" i="2"/>
  <c r="E4045" i="2"/>
  <c r="D4045" i="2"/>
  <c r="C4045" i="2"/>
  <c r="B4045" i="2"/>
  <c r="V4044" i="2"/>
  <c r="U4044" i="2"/>
  <c r="T4044" i="2"/>
  <c r="S4044" i="2"/>
  <c r="R4044" i="2"/>
  <c r="Q4044" i="2"/>
  <c r="P4044" i="2"/>
  <c r="O4044" i="2"/>
  <c r="N4044" i="2"/>
  <c r="M4044" i="2"/>
  <c r="L4044" i="2"/>
  <c r="K4044" i="2"/>
  <c r="J4044" i="2"/>
  <c r="I4044" i="2"/>
  <c r="H4044" i="2"/>
  <c r="G4044" i="2"/>
  <c r="F4044" i="2"/>
  <c r="E4044" i="2"/>
  <c r="D4044" i="2"/>
  <c r="C4044" i="2"/>
  <c r="B4044" i="2"/>
  <c r="V4043" i="2"/>
  <c r="U4043" i="2"/>
  <c r="T4043" i="2"/>
  <c r="S4043" i="2"/>
  <c r="R4043" i="2"/>
  <c r="Q4043" i="2"/>
  <c r="P4043" i="2"/>
  <c r="O4043" i="2"/>
  <c r="N4043" i="2"/>
  <c r="M4043" i="2"/>
  <c r="L4043" i="2"/>
  <c r="K4043" i="2"/>
  <c r="J4043" i="2"/>
  <c r="I4043" i="2"/>
  <c r="H4043" i="2"/>
  <c r="G4043" i="2"/>
  <c r="F4043" i="2"/>
  <c r="E4043" i="2"/>
  <c r="D4043" i="2"/>
  <c r="C4043" i="2"/>
  <c r="B4043" i="2"/>
  <c r="V4042" i="2"/>
  <c r="U4042" i="2"/>
  <c r="T4042" i="2"/>
  <c r="S4042" i="2"/>
  <c r="R4042" i="2"/>
  <c r="Q4042" i="2"/>
  <c r="P4042" i="2"/>
  <c r="O4042" i="2"/>
  <c r="N4042" i="2"/>
  <c r="M4042" i="2"/>
  <c r="L4042" i="2"/>
  <c r="K4042" i="2"/>
  <c r="J4042" i="2"/>
  <c r="I4042" i="2"/>
  <c r="H4042" i="2"/>
  <c r="G4042" i="2"/>
  <c r="F4042" i="2"/>
  <c r="E4042" i="2"/>
  <c r="D4042" i="2"/>
  <c r="C4042" i="2"/>
  <c r="B4042" i="2"/>
  <c r="V4041" i="2"/>
  <c r="U4041" i="2"/>
  <c r="T4041" i="2"/>
  <c r="S4041" i="2"/>
  <c r="R4041" i="2"/>
  <c r="Q4041" i="2"/>
  <c r="P4041" i="2"/>
  <c r="O4041" i="2"/>
  <c r="N4041" i="2"/>
  <c r="M4041" i="2"/>
  <c r="L4041" i="2"/>
  <c r="K4041" i="2"/>
  <c r="J4041" i="2"/>
  <c r="I4041" i="2"/>
  <c r="H4041" i="2"/>
  <c r="G4041" i="2"/>
  <c r="F4041" i="2"/>
  <c r="E4041" i="2"/>
  <c r="D4041" i="2"/>
  <c r="C4041" i="2"/>
  <c r="B4041" i="2"/>
  <c r="V4040" i="2"/>
  <c r="U4040" i="2"/>
  <c r="T4040" i="2"/>
  <c r="S4040" i="2"/>
  <c r="R4040" i="2"/>
  <c r="Q4040" i="2"/>
  <c r="P4040" i="2"/>
  <c r="O4040" i="2"/>
  <c r="N4040" i="2"/>
  <c r="M4040" i="2"/>
  <c r="L4040" i="2"/>
  <c r="K4040" i="2"/>
  <c r="J4040" i="2"/>
  <c r="I4040" i="2"/>
  <c r="H4040" i="2"/>
  <c r="G4040" i="2"/>
  <c r="F4040" i="2"/>
  <c r="E4040" i="2"/>
  <c r="D4040" i="2"/>
  <c r="C4040" i="2"/>
  <c r="B4040" i="2"/>
  <c r="V4039" i="2"/>
  <c r="U4039" i="2"/>
  <c r="T4039" i="2"/>
  <c r="S4039" i="2"/>
  <c r="R4039" i="2"/>
  <c r="Q4039" i="2"/>
  <c r="P4039" i="2"/>
  <c r="O4039" i="2"/>
  <c r="N4039" i="2"/>
  <c r="M4039" i="2"/>
  <c r="L4039" i="2"/>
  <c r="K4039" i="2"/>
  <c r="J4039" i="2"/>
  <c r="I4039" i="2"/>
  <c r="H4039" i="2"/>
  <c r="G4039" i="2"/>
  <c r="F4039" i="2"/>
  <c r="E4039" i="2"/>
  <c r="D4039" i="2"/>
  <c r="C4039" i="2"/>
  <c r="B4039" i="2"/>
  <c r="V4038" i="2"/>
  <c r="U4038" i="2"/>
  <c r="T4038" i="2"/>
  <c r="S4038" i="2"/>
  <c r="R4038" i="2"/>
  <c r="Q4038" i="2"/>
  <c r="P4038" i="2"/>
  <c r="O4038" i="2"/>
  <c r="N4038" i="2"/>
  <c r="M4038" i="2"/>
  <c r="L4038" i="2"/>
  <c r="K4038" i="2"/>
  <c r="J4038" i="2"/>
  <c r="I4038" i="2"/>
  <c r="H4038" i="2"/>
  <c r="G4038" i="2"/>
  <c r="F4038" i="2"/>
  <c r="E4038" i="2"/>
  <c r="D4038" i="2"/>
  <c r="C4038" i="2"/>
  <c r="B4038" i="2"/>
  <c r="V4037" i="2"/>
  <c r="U4037" i="2"/>
  <c r="T4037" i="2"/>
  <c r="S4037" i="2"/>
  <c r="R4037" i="2"/>
  <c r="Q4037" i="2"/>
  <c r="P4037" i="2"/>
  <c r="O4037" i="2"/>
  <c r="N4037" i="2"/>
  <c r="M4037" i="2"/>
  <c r="L4037" i="2"/>
  <c r="K4037" i="2"/>
  <c r="J4037" i="2"/>
  <c r="I4037" i="2"/>
  <c r="H4037" i="2"/>
  <c r="G4037" i="2"/>
  <c r="F4037" i="2"/>
  <c r="E4037" i="2"/>
  <c r="D4037" i="2"/>
  <c r="C4037" i="2"/>
  <c r="B4037" i="2"/>
  <c r="V4036" i="2"/>
  <c r="U4036" i="2"/>
  <c r="T4036" i="2"/>
  <c r="S4036" i="2"/>
  <c r="R4036" i="2"/>
  <c r="Q4036" i="2"/>
  <c r="P4036" i="2"/>
  <c r="O4036" i="2"/>
  <c r="N4036" i="2"/>
  <c r="M4036" i="2"/>
  <c r="L4036" i="2"/>
  <c r="K4036" i="2"/>
  <c r="J4036" i="2"/>
  <c r="I4036" i="2"/>
  <c r="H4036" i="2"/>
  <c r="G4036" i="2"/>
  <c r="F4036" i="2"/>
  <c r="E4036" i="2"/>
  <c r="D4036" i="2"/>
  <c r="C4036" i="2"/>
  <c r="B4036" i="2"/>
  <c r="V4035" i="2"/>
  <c r="U4035" i="2"/>
  <c r="T4035" i="2"/>
  <c r="S4035" i="2"/>
  <c r="R4035" i="2"/>
  <c r="Q4035" i="2"/>
  <c r="P4035" i="2"/>
  <c r="O4035" i="2"/>
  <c r="N4035" i="2"/>
  <c r="M4035" i="2"/>
  <c r="L4035" i="2"/>
  <c r="K4035" i="2"/>
  <c r="J4035" i="2"/>
  <c r="I4035" i="2"/>
  <c r="H4035" i="2"/>
  <c r="G4035" i="2"/>
  <c r="F4035" i="2"/>
  <c r="E4035" i="2"/>
  <c r="D4035" i="2"/>
  <c r="C4035" i="2"/>
  <c r="B4035" i="2"/>
  <c r="V4034" i="2"/>
  <c r="U4034" i="2"/>
  <c r="T4034" i="2"/>
  <c r="S4034" i="2"/>
  <c r="R4034" i="2"/>
  <c r="Q4034" i="2"/>
  <c r="P4034" i="2"/>
  <c r="O4034" i="2"/>
  <c r="N4034" i="2"/>
  <c r="M4034" i="2"/>
  <c r="L4034" i="2"/>
  <c r="K4034" i="2"/>
  <c r="J4034" i="2"/>
  <c r="I4034" i="2"/>
  <c r="H4034" i="2"/>
  <c r="G4034" i="2"/>
  <c r="F4034" i="2"/>
  <c r="E4034" i="2"/>
  <c r="D4034" i="2"/>
  <c r="C4034" i="2"/>
  <c r="B4034" i="2"/>
  <c r="V4033" i="2"/>
  <c r="U4033" i="2"/>
  <c r="T4033" i="2"/>
  <c r="S4033" i="2"/>
  <c r="R4033" i="2"/>
  <c r="Q4033" i="2"/>
  <c r="P4033" i="2"/>
  <c r="O4033" i="2"/>
  <c r="N4033" i="2"/>
  <c r="M4033" i="2"/>
  <c r="L4033" i="2"/>
  <c r="K4033" i="2"/>
  <c r="J4033" i="2"/>
  <c r="I4033" i="2"/>
  <c r="H4033" i="2"/>
  <c r="G4033" i="2"/>
  <c r="F4033" i="2"/>
  <c r="E4033" i="2"/>
  <c r="D4033" i="2"/>
  <c r="C4033" i="2"/>
  <c r="B4033" i="2"/>
  <c r="V4032" i="2"/>
  <c r="U4032" i="2"/>
  <c r="T4032" i="2"/>
  <c r="S4032" i="2"/>
  <c r="R4032" i="2"/>
  <c r="Q4032" i="2"/>
  <c r="P4032" i="2"/>
  <c r="O4032" i="2"/>
  <c r="N4032" i="2"/>
  <c r="M4032" i="2"/>
  <c r="L4032" i="2"/>
  <c r="K4032" i="2"/>
  <c r="J4032" i="2"/>
  <c r="I4032" i="2"/>
  <c r="H4032" i="2"/>
  <c r="G4032" i="2"/>
  <c r="F4032" i="2"/>
  <c r="E4032" i="2"/>
  <c r="D4032" i="2"/>
  <c r="C4032" i="2"/>
  <c r="B4032" i="2"/>
  <c r="V4031" i="2"/>
  <c r="U4031" i="2"/>
  <c r="T4031" i="2"/>
  <c r="S4031" i="2"/>
  <c r="R4031" i="2"/>
  <c r="Q4031" i="2"/>
  <c r="P4031" i="2"/>
  <c r="O4031" i="2"/>
  <c r="N4031" i="2"/>
  <c r="M4031" i="2"/>
  <c r="L4031" i="2"/>
  <c r="K4031" i="2"/>
  <c r="J4031" i="2"/>
  <c r="I4031" i="2"/>
  <c r="H4031" i="2"/>
  <c r="G4031" i="2"/>
  <c r="F4031" i="2"/>
  <c r="E4031" i="2"/>
  <c r="D4031" i="2"/>
  <c r="C4031" i="2"/>
  <c r="B4031" i="2"/>
  <c r="V4030" i="2"/>
  <c r="U4030" i="2"/>
  <c r="T4030" i="2"/>
  <c r="S4030" i="2"/>
  <c r="R4030" i="2"/>
  <c r="Q4030" i="2"/>
  <c r="P4030" i="2"/>
  <c r="O4030" i="2"/>
  <c r="N4030" i="2"/>
  <c r="M4030" i="2"/>
  <c r="L4030" i="2"/>
  <c r="K4030" i="2"/>
  <c r="J4030" i="2"/>
  <c r="I4030" i="2"/>
  <c r="H4030" i="2"/>
  <c r="G4030" i="2"/>
  <c r="F4030" i="2"/>
  <c r="E4030" i="2"/>
  <c r="D4030" i="2"/>
  <c r="C4030" i="2"/>
  <c r="B4030" i="2"/>
  <c r="V4029" i="2"/>
  <c r="U4029" i="2"/>
  <c r="T4029" i="2"/>
  <c r="S4029" i="2"/>
  <c r="R4029" i="2"/>
  <c r="Q4029" i="2"/>
  <c r="P4029" i="2"/>
  <c r="O4029" i="2"/>
  <c r="N4029" i="2"/>
  <c r="M4029" i="2"/>
  <c r="L4029" i="2"/>
  <c r="K4029" i="2"/>
  <c r="J4029" i="2"/>
  <c r="I4029" i="2"/>
  <c r="H4029" i="2"/>
  <c r="G4029" i="2"/>
  <c r="F4029" i="2"/>
  <c r="E4029" i="2"/>
  <c r="D4029" i="2"/>
  <c r="C4029" i="2"/>
  <c r="B4029" i="2"/>
  <c r="V4028" i="2"/>
  <c r="U4028" i="2"/>
  <c r="T4028" i="2"/>
  <c r="S4028" i="2"/>
  <c r="R4028" i="2"/>
  <c r="Q4028" i="2"/>
  <c r="P4028" i="2"/>
  <c r="O4028" i="2"/>
  <c r="N4028" i="2"/>
  <c r="M4028" i="2"/>
  <c r="L4028" i="2"/>
  <c r="K4028" i="2"/>
  <c r="J4028" i="2"/>
  <c r="I4028" i="2"/>
  <c r="H4028" i="2"/>
  <c r="G4028" i="2"/>
  <c r="F4028" i="2"/>
  <c r="E4028" i="2"/>
  <c r="D4028" i="2"/>
  <c r="C4028" i="2"/>
  <c r="B4028" i="2"/>
  <c r="V4027" i="2"/>
  <c r="U4027" i="2"/>
  <c r="T4027" i="2"/>
  <c r="S4027" i="2"/>
  <c r="R4027" i="2"/>
  <c r="Q4027" i="2"/>
  <c r="P4027" i="2"/>
  <c r="O4027" i="2"/>
  <c r="N4027" i="2"/>
  <c r="M4027" i="2"/>
  <c r="L4027" i="2"/>
  <c r="K4027" i="2"/>
  <c r="J4027" i="2"/>
  <c r="I4027" i="2"/>
  <c r="H4027" i="2"/>
  <c r="G4027" i="2"/>
  <c r="F4027" i="2"/>
  <c r="E4027" i="2"/>
  <c r="D4027" i="2"/>
  <c r="C4027" i="2"/>
  <c r="B4027" i="2"/>
  <c r="V4026" i="2"/>
  <c r="U4026" i="2"/>
  <c r="T4026" i="2"/>
  <c r="S4026" i="2"/>
  <c r="R4026" i="2"/>
  <c r="Q4026" i="2"/>
  <c r="P4026" i="2"/>
  <c r="O4026" i="2"/>
  <c r="N4026" i="2"/>
  <c r="M4026" i="2"/>
  <c r="L4026" i="2"/>
  <c r="K4026" i="2"/>
  <c r="J4026" i="2"/>
  <c r="I4026" i="2"/>
  <c r="H4026" i="2"/>
  <c r="G4026" i="2"/>
  <c r="F4026" i="2"/>
  <c r="E4026" i="2"/>
  <c r="D4026" i="2"/>
  <c r="C4026" i="2"/>
  <c r="B4026" i="2"/>
  <c r="V4025" i="2"/>
  <c r="U4025" i="2"/>
  <c r="T4025" i="2"/>
  <c r="S4025" i="2"/>
  <c r="R4025" i="2"/>
  <c r="Q4025" i="2"/>
  <c r="P4025" i="2"/>
  <c r="O4025" i="2"/>
  <c r="N4025" i="2"/>
  <c r="M4025" i="2"/>
  <c r="L4025" i="2"/>
  <c r="K4025" i="2"/>
  <c r="J4025" i="2"/>
  <c r="I4025" i="2"/>
  <c r="H4025" i="2"/>
  <c r="G4025" i="2"/>
  <c r="F4025" i="2"/>
  <c r="E4025" i="2"/>
  <c r="D4025" i="2"/>
  <c r="C4025" i="2"/>
  <c r="B4025" i="2"/>
  <c r="V4024" i="2"/>
  <c r="U4024" i="2"/>
  <c r="T4024" i="2"/>
  <c r="S4024" i="2"/>
  <c r="R4024" i="2"/>
  <c r="Q4024" i="2"/>
  <c r="P4024" i="2"/>
  <c r="O4024" i="2"/>
  <c r="N4024" i="2"/>
  <c r="M4024" i="2"/>
  <c r="L4024" i="2"/>
  <c r="K4024" i="2"/>
  <c r="J4024" i="2"/>
  <c r="I4024" i="2"/>
  <c r="H4024" i="2"/>
  <c r="G4024" i="2"/>
  <c r="F4024" i="2"/>
  <c r="E4024" i="2"/>
  <c r="D4024" i="2"/>
  <c r="C4024" i="2"/>
  <c r="B4024" i="2"/>
  <c r="V4023" i="2"/>
  <c r="U4023" i="2"/>
  <c r="T4023" i="2"/>
  <c r="S4023" i="2"/>
  <c r="R4023" i="2"/>
  <c r="Q4023" i="2"/>
  <c r="P4023" i="2"/>
  <c r="O4023" i="2"/>
  <c r="N4023" i="2"/>
  <c r="M4023" i="2"/>
  <c r="L4023" i="2"/>
  <c r="K4023" i="2"/>
  <c r="J4023" i="2"/>
  <c r="I4023" i="2"/>
  <c r="H4023" i="2"/>
  <c r="G4023" i="2"/>
  <c r="F4023" i="2"/>
  <c r="E4023" i="2"/>
  <c r="D4023" i="2"/>
  <c r="C4023" i="2"/>
  <c r="B4023" i="2"/>
  <c r="V4022" i="2"/>
  <c r="U4022" i="2"/>
  <c r="T4022" i="2"/>
  <c r="S4022" i="2"/>
  <c r="R4022" i="2"/>
  <c r="Q4022" i="2"/>
  <c r="P4022" i="2"/>
  <c r="O4022" i="2"/>
  <c r="N4022" i="2"/>
  <c r="M4022" i="2"/>
  <c r="L4022" i="2"/>
  <c r="K4022" i="2"/>
  <c r="J4022" i="2"/>
  <c r="I4022" i="2"/>
  <c r="H4022" i="2"/>
  <c r="G4022" i="2"/>
  <c r="F4022" i="2"/>
  <c r="E4022" i="2"/>
  <c r="D4022" i="2"/>
  <c r="C4022" i="2"/>
  <c r="B4022" i="2"/>
  <c r="V4021" i="2"/>
  <c r="U4021" i="2"/>
  <c r="T4021" i="2"/>
  <c r="S4021" i="2"/>
  <c r="R4021" i="2"/>
  <c r="Q4021" i="2"/>
  <c r="P4021" i="2"/>
  <c r="O4021" i="2"/>
  <c r="N4021" i="2"/>
  <c r="M4021" i="2"/>
  <c r="L4021" i="2"/>
  <c r="K4021" i="2"/>
  <c r="J4021" i="2"/>
  <c r="I4021" i="2"/>
  <c r="H4021" i="2"/>
  <c r="G4021" i="2"/>
  <c r="F4021" i="2"/>
  <c r="E4021" i="2"/>
  <c r="D4021" i="2"/>
  <c r="C4021" i="2"/>
  <c r="B4021" i="2"/>
  <c r="V4020" i="2"/>
  <c r="U4020" i="2"/>
  <c r="T4020" i="2"/>
  <c r="S4020" i="2"/>
  <c r="R4020" i="2"/>
  <c r="Q4020" i="2"/>
  <c r="P4020" i="2"/>
  <c r="O4020" i="2"/>
  <c r="N4020" i="2"/>
  <c r="M4020" i="2"/>
  <c r="L4020" i="2"/>
  <c r="K4020" i="2"/>
  <c r="J4020" i="2"/>
  <c r="I4020" i="2"/>
  <c r="H4020" i="2"/>
  <c r="G4020" i="2"/>
  <c r="F4020" i="2"/>
  <c r="E4020" i="2"/>
  <c r="D4020" i="2"/>
  <c r="C4020" i="2"/>
  <c r="B4020" i="2"/>
  <c r="V4019" i="2"/>
  <c r="U4019" i="2"/>
  <c r="T4019" i="2"/>
  <c r="S4019" i="2"/>
  <c r="R4019" i="2"/>
  <c r="Q4019" i="2"/>
  <c r="P4019" i="2"/>
  <c r="O4019" i="2"/>
  <c r="N4019" i="2"/>
  <c r="M4019" i="2"/>
  <c r="L4019" i="2"/>
  <c r="K4019" i="2"/>
  <c r="J4019" i="2"/>
  <c r="I4019" i="2"/>
  <c r="H4019" i="2"/>
  <c r="G4019" i="2"/>
  <c r="F4019" i="2"/>
  <c r="E4019" i="2"/>
  <c r="D4019" i="2"/>
  <c r="C4019" i="2"/>
  <c r="B4019" i="2"/>
  <c r="V4018" i="2"/>
  <c r="U4018" i="2"/>
  <c r="T4018" i="2"/>
  <c r="S4018" i="2"/>
  <c r="R4018" i="2"/>
  <c r="Q4018" i="2"/>
  <c r="P4018" i="2"/>
  <c r="O4018" i="2"/>
  <c r="N4018" i="2"/>
  <c r="M4018" i="2"/>
  <c r="L4018" i="2"/>
  <c r="K4018" i="2"/>
  <c r="J4018" i="2"/>
  <c r="I4018" i="2"/>
  <c r="H4018" i="2"/>
  <c r="G4018" i="2"/>
  <c r="F4018" i="2"/>
  <c r="E4018" i="2"/>
  <c r="D4018" i="2"/>
  <c r="C4018" i="2"/>
  <c r="B4018" i="2"/>
  <c r="V4017" i="2"/>
  <c r="U4017" i="2"/>
  <c r="T4017" i="2"/>
  <c r="S4017" i="2"/>
  <c r="R4017" i="2"/>
  <c r="Q4017" i="2"/>
  <c r="P4017" i="2"/>
  <c r="O4017" i="2"/>
  <c r="N4017" i="2"/>
  <c r="M4017" i="2"/>
  <c r="L4017" i="2"/>
  <c r="K4017" i="2"/>
  <c r="J4017" i="2"/>
  <c r="I4017" i="2"/>
  <c r="H4017" i="2"/>
  <c r="G4017" i="2"/>
  <c r="F4017" i="2"/>
  <c r="E4017" i="2"/>
  <c r="D4017" i="2"/>
  <c r="C4017" i="2"/>
  <c r="B4017" i="2"/>
  <c r="V4016" i="2"/>
  <c r="U4016" i="2"/>
  <c r="T4016" i="2"/>
  <c r="S4016" i="2"/>
  <c r="R4016" i="2"/>
  <c r="Q4016" i="2"/>
  <c r="P4016" i="2"/>
  <c r="O4016" i="2"/>
  <c r="N4016" i="2"/>
  <c r="M4016" i="2"/>
  <c r="L4016" i="2"/>
  <c r="K4016" i="2"/>
  <c r="J4016" i="2"/>
  <c r="I4016" i="2"/>
  <c r="H4016" i="2"/>
  <c r="G4016" i="2"/>
  <c r="F4016" i="2"/>
  <c r="E4016" i="2"/>
  <c r="D4016" i="2"/>
  <c r="C4016" i="2"/>
  <c r="B4016" i="2"/>
  <c r="V4015" i="2"/>
  <c r="U4015" i="2"/>
  <c r="T4015" i="2"/>
  <c r="S4015" i="2"/>
  <c r="R4015" i="2"/>
  <c r="Q4015" i="2"/>
  <c r="P4015" i="2"/>
  <c r="O4015" i="2"/>
  <c r="N4015" i="2"/>
  <c r="M4015" i="2"/>
  <c r="L4015" i="2"/>
  <c r="K4015" i="2"/>
  <c r="J4015" i="2"/>
  <c r="I4015" i="2"/>
  <c r="H4015" i="2"/>
  <c r="G4015" i="2"/>
  <c r="F4015" i="2"/>
  <c r="E4015" i="2"/>
  <c r="D4015" i="2"/>
  <c r="C4015" i="2"/>
  <c r="B4015" i="2"/>
  <c r="V4014" i="2"/>
  <c r="U4014" i="2"/>
  <c r="T4014" i="2"/>
  <c r="S4014" i="2"/>
  <c r="R4014" i="2"/>
  <c r="Q4014" i="2"/>
  <c r="P4014" i="2"/>
  <c r="O4014" i="2"/>
  <c r="N4014" i="2"/>
  <c r="M4014" i="2"/>
  <c r="L4014" i="2"/>
  <c r="K4014" i="2"/>
  <c r="J4014" i="2"/>
  <c r="I4014" i="2"/>
  <c r="H4014" i="2"/>
  <c r="G4014" i="2"/>
  <c r="F4014" i="2"/>
  <c r="E4014" i="2"/>
  <c r="D4014" i="2"/>
  <c r="C4014" i="2"/>
  <c r="B4014" i="2"/>
  <c r="V4013" i="2"/>
  <c r="U4013" i="2"/>
  <c r="T4013" i="2"/>
  <c r="S4013" i="2"/>
  <c r="R4013" i="2"/>
  <c r="Q4013" i="2"/>
  <c r="P4013" i="2"/>
  <c r="O4013" i="2"/>
  <c r="N4013" i="2"/>
  <c r="M4013" i="2"/>
  <c r="L4013" i="2"/>
  <c r="K4013" i="2"/>
  <c r="J4013" i="2"/>
  <c r="I4013" i="2"/>
  <c r="H4013" i="2"/>
  <c r="G4013" i="2"/>
  <c r="F4013" i="2"/>
  <c r="E4013" i="2"/>
  <c r="D4013" i="2"/>
  <c r="C4013" i="2"/>
  <c r="B4013" i="2"/>
  <c r="V4012" i="2"/>
  <c r="U4012" i="2"/>
  <c r="T4012" i="2"/>
  <c r="S4012" i="2"/>
  <c r="R4012" i="2"/>
  <c r="Q4012" i="2"/>
  <c r="P4012" i="2"/>
  <c r="O4012" i="2"/>
  <c r="N4012" i="2"/>
  <c r="M4012" i="2"/>
  <c r="L4012" i="2"/>
  <c r="K4012" i="2"/>
  <c r="J4012" i="2"/>
  <c r="I4012" i="2"/>
  <c r="H4012" i="2"/>
  <c r="G4012" i="2"/>
  <c r="F4012" i="2"/>
  <c r="E4012" i="2"/>
  <c r="D4012" i="2"/>
  <c r="C4012" i="2"/>
  <c r="B4012" i="2"/>
  <c r="V4011" i="2"/>
  <c r="U4011" i="2"/>
  <c r="T4011" i="2"/>
  <c r="S4011" i="2"/>
  <c r="R4011" i="2"/>
  <c r="Q4011" i="2"/>
  <c r="P4011" i="2"/>
  <c r="O4011" i="2"/>
  <c r="N4011" i="2"/>
  <c r="M4011" i="2"/>
  <c r="L4011" i="2"/>
  <c r="K4011" i="2"/>
  <c r="J4011" i="2"/>
  <c r="I4011" i="2"/>
  <c r="H4011" i="2"/>
  <c r="G4011" i="2"/>
  <c r="F4011" i="2"/>
  <c r="E4011" i="2"/>
  <c r="D4011" i="2"/>
  <c r="C4011" i="2"/>
  <c r="B4011" i="2"/>
  <c r="V4010" i="2"/>
  <c r="U4010" i="2"/>
  <c r="T4010" i="2"/>
  <c r="S4010" i="2"/>
  <c r="R4010" i="2"/>
  <c r="Q4010" i="2"/>
  <c r="P4010" i="2"/>
  <c r="O4010" i="2"/>
  <c r="N4010" i="2"/>
  <c r="M4010" i="2"/>
  <c r="L4010" i="2"/>
  <c r="K4010" i="2"/>
  <c r="J4010" i="2"/>
  <c r="I4010" i="2"/>
  <c r="H4010" i="2"/>
  <c r="G4010" i="2"/>
  <c r="F4010" i="2"/>
  <c r="E4010" i="2"/>
  <c r="D4010" i="2"/>
  <c r="C4010" i="2"/>
  <c r="B4010" i="2"/>
  <c r="V4009" i="2"/>
  <c r="U4009" i="2"/>
  <c r="T4009" i="2"/>
  <c r="S4009" i="2"/>
  <c r="R4009" i="2"/>
  <c r="Q4009" i="2"/>
  <c r="P4009" i="2"/>
  <c r="O4009" i="2"/>
  <c r="N4009" i="2"/>
  <c r="M4009" i="2"/>
  <c r="L4009" i="2"/>
  <c r="K4009" i="2"/>
  <c r="J4009" i="2"/>
  <c r="I4009" i="2"/>
  <c r="H4009" i="2"/>
  <c r="G4009" i="2"/>
  <c r="F4009" i="2"/>
  <c r="E4009" i="2"/>
  <c r="D4009" i="2"/>
  <c r="C4009" i="2"/>
  <c r="B4009" i="2"/>
  <c r="V4008" i="2"/>
  <c r="U4008" i="2"/>
  <c r="T4008" i="2"/>
  <c r="S4008" i="2"/>
  <c r="R4008" i="2"/>
  <c r="Q4008" i="2"/>
  <c r="P4008" i="2"/>
  <c r="O4008" i="2"/>
  <c r="N4008" i="2"/>
  <c r="M4008" i="2"/>
  <c r="L4008" i="2"/>
  <c r="K4008" i="2"/>
  <c r="J4008" i="2"/>
  <c r="I4008" i="2"/>
  <c r="H4008" i="2"/>
  <c r="G4008" i="2"/>
  <c r="F4008" i="2"/>
  <c r="E4008" i="2"/>
  <c r="D4008" i="2"/>
  <c r="C4008" i="2"/>
  <c r="B4008" i="2"/>
  <c r="V4007" i="2"/>
  <c r="U4007" i="2"/>
  <c r="T4007" i="2"/>
  <c r="S4007" i="2"/>
  <c r="R4007" i="2"/>
  <c r="Q4007" i="2"/>
  <c r="P4007" i="2"/>
  <c r="O4007" i="2"/>
  <c r="N4007" i="2"/>
  <c r="M4007" i="2"/>
  <c r="L4007" i="2"/>
  <c r="K4007" i="2"/>
  <c r="J4007" i="2"/>
  <c r="I4007" i="2"/>
  <c r="H4007" i="2"/>
  <c r="G4007" i="2"/>
  <c r="F4007" i="2"/>
  <c r="E4007" i="2"/>
  <c r="D4007" i="2"/>
  <c r="C4007" i="2"/>
  <c r="B4007" i="2"/>
  <c r="V4006" i="2"/>
  <c r="U4006" i="2"/>
  <c r="T4006" i="2"/>
  <c r="S4006" i="2"/>
  <c r="R4006" i="2"/>
  <c r="Q4006" i="2"/>
  <c r="P4006" i="2"/>
  <c r="O4006" i="2"/>
  <c r="N4006" i="2"/>
  <c r="M4006" i="2"/>
  <c r="L4006" i="2"/>
  <c r="K4006" i="2"/>
  <c r="J4006" i="2"/>
  <c r="I4006" i="2"/>
  <c r="H4006" i="2"/>
  <c r="G4006" i="2"/>
  <c r="F4006" i="2"/>
  <c r="E4006" i="2"/>
  <c r="D4006" i="2"/>
  <c r="C4006" i="2"/>
  <c r="B4006" i="2"/>
  <c r="V4005" i="2"/>
  <c r="U4005" i="2"/>
  <c r="T4005" i="2"/>
  <c r="S4005" i="2"/>
  <c r="R4005" i="2"/>
  <c r="Q4005" i="2"/>
  <c r="P4005" i="2"/>
  <c r="O4005" i="2"/>
  <c r="N4005" i="2"/>
  <c r="M4005" i="2"/>
  <c r="L4005" i="2"/>
  <c r="K4005" i="2"/>
  <c r="J4005" i="2"/>
  <c r="I4005" i="2"/>
  <c r="H4005" i="2"/>
  <c r="G4005" i="2"/>
  <c r="F4005" i="2"/>
  <c r="E4005" i="2"/>
  <c r="D4005" i="2"/>
  <c r="C4005" i="2"/>
  <c r="B4005" i="2"/>
  <c r="V4004" i="2"/>
  <c r="U4004" i="2"/>
  <c r="T4004" i="2"/>
  <c r="S4004" i="2"/>
  <c r="R4004" i="2"/>
  <c r="Q4004" i="2"/>
  <c r="P4004" i="2"/>
  <c r="O4004" i="2"/>
  <c r="N4004" i="2"/>
  <c r="M4004" i="2"/>
  <c r="L4004" i="2"/>
  <c r="K4004" i="2"/>
  <c r="J4004" i="2"/>
  <c r="I4004" i="2"/>
  <c r="H4004" i="2"/>
  <c r="G4004" i="2"/>
  <c r="F4004" i="2"/>
  <c r="E4004" i="2"/>
  <c r="D4004" i="2"/>
  <c r="C4004" i="2"/>
  <c r="B4004" i="2"/>
  <c r="V4003" i="2"/>
  <c r="U4003" i="2"/>
  <c r="T4003" i="2"/>
  <c r="S4003" i="2"/>
  <c r="R4003" i="2"/>
  <c r="Q4003" i="2"/>
  <c r="P4003" i="2"/>
  <c r="O4003" i="2"/>
  <c r="N4003" i="2"/>
  <c r="M4003" i="2"/>
  <c r="L4003" i="2"/>
  <c r="K4003" i="2"/>
  <c r="J4003" i="2"/>
  <c r="I4003" i="2"/>
  <c r="H4003" i="2"/>
  <c r="G4003" i="2"/>
  <c r="F4003" i="2"/>
  <c r="E4003" i="2"/>
  <c r="D4003" i="2"/>
  <c r="C4003" i="2"/>
  <c r="B4003" i="2"/>
  <c r="V4002" i="2"/>
  <c r="U4002" i="2"/>
  <c r="T4002" i="2"/>
  <c r="S4002" i="2"/>
  <c r="R4002" i="2"/>
  <c r="Q4002" i="2"/>
  <c r="P4002" i="2"/>
  <c r="O4002" i="2"/>
  <c r="N4002" i="2"/>
  <c r="M4002" i="2"/>
  <c r="L4002" i="2"/>
  <c r="K4002" i="2"/>
  <c r="J4002" i="2"/>
  <c r="I4002" i="2"/>
  <c r="H4002" i="2"/>
  <c r="G4002" i="2"/>
  <c r="F4002" i="2"/>
  <c r="E4002" i="2"/>
  <c r="D4002" i="2"/>
  <c r="C4002" i="2"/>
  <c r="B4002" i="2"/>
  <c r="V4001" i="2"/>
  <c r="U4001" i="2"/>
  <c r="T4001" i="2"/>
  <c r="S4001" i="2"/>
  <c r="R4001" i="2"/>
  <c r="Q4001" i="2"/>
  <c r="P4001" i="2"/>
  <c r="O4001" i="2"/>
  <c r="N4001" i="2"/>
  <c r="M4001" i="2"/>
  <c r="L4001" i="2"/>
  <c r="K4001" i="2"/>
  <c r="J4001" i="2"/>
  <c r="I4001" i="2"/>
  <c r="H4001" i="2"/>
  <c r="G4001" i="2"/>
  <c r="F4001" i="2"/>
  <c r="E4001" i="2"/>
  <c r="D4001" i="2"/>
  <c r="C4001" i="2"/>
  <c r="B4001" i="2"/>
  <c r="V4000" i="2"/>
  <c r="U4000" i="2"/>
  <c r="T4000" i="2"/>
  <c r="S4000" i="2"/>
  <c r="R4000" i="2"/>
  <c r="Q4000" i="2"/>
  <c r="P4000" i="2"/>
  <c r="O4000" i="2"/>
  <c r="N4000" i="2"/>
  <c r="M4000" i="2"/>
  <c r="L4000" i="2"/>
  <c r="K4000" i="2"/>
  <c r="J4000" i="2"/>
  <c r="I4000" i="2"/>
  <c r="H4000" i="2"/>
  <c r="G4000" i="2"/>
  <c r="F4000" i="2"/>
  <c r="E4000" i="2"/>
  <c r="D4000" i="2"/>
  <c r="C4000" i="2"/>
  <c r="B4000" i="2"/>
  <c r="V3999" i="2"/>
  <c r="U3999" i="2"/>
  <c r="T3999" i="2"/>
  <c r="S3999" i="2"/>
  <c r="R3999" i="2"/>
  <c r="Q3999" i="2"/>
  <c r="P3999" i="2"/>
  <c r="O3999" i="2"/>
  <c r="N3999" i="2"/>
  <c r="M3999" i="2"/>
  <c r="L3999" i="2"/>
  <c r="K3999" i="2"/>
  <c r="J3999" i="2"/>
  <c r="I3999" i="2"/>
  <c r="H3999" i="2"/>
  <c r="G3999" i="2"/>
  <c r="F3999" i="2"/>
  <c r="E3999" i="2"/>
  <c r="D3999" i="2"/>
  <c r="C3999" i="2"/>
  <c r="B3999" i="2"/>
  <c r="V3998" i="2"/>
  <c r="U3998" i="2"/>
  <c r="T3998" i="2"/>
  <c r="S3998" i="2"/>
  <c r="R3998" i="2"/>
  <c r="Q3998" i="2"/>
  <c r="P3998" i="2"/>
  <c r="O3998" i="2"/>
  <c r="N3998" i="2"/>
  <c r="M3998" i="2"/>
  <c r="L3998" i="2"/>
  <c r="K3998" i="2"/>
  <c r="J3998" i="2"/>
  <c r="I3998" i="2"/>
  <c r="H3998" i="2"/>
  <c r="G3998" i="2"/>
  <c r="F3998" i="2"/>
  <c r="E3998" i="2"/>
  <c r="D3998" i="2"/>
  <c r="C3998" i="2"/>
  <c r="B3998" i="2"/>
  <c r="V3997" i="2"/>
  <c r="U3997" i="2"/>
  <c r="T3997" i="2"/>
  <c r="S3997" i="2"/>
  <c r="R3997" i="2"/>
  <c r="Q3997" i="2"/>
  <c r="P3997" i="2"/>
  <c r="O3997" i="2"/>
  <c r="N3997" i="2"/>
  <c r="M3997" i="2"/>
  <c r="L3997" i="2"/>
  <c r="K3997" i="2"/>
  <c r="J3997" i="2"/>
  <c r="I3997" i="2"/>
  <c r="H3997" i="2"/>
  <c r="G3997" i="2"/>
  <c r="F3997" i="2"/>
  <c r="E3997" i="2"/>
  <c r="D3997" i="2"/>
  <c r="C3997" i="2"/>
  <c r="B3997" i="2"/>
  <c r="V3996" i="2"/>
  <c r="U3996" i="2"/>
  <c r="T3996" i="2"/>
  <c r="S3996" i="2"/>
  <c r="R3996" i="2"/>
  <c r="Q3996" i="2"/>
  <c r="P3996" i="2"/>
  <c r="O3996" i="2"/>
  <c r="N3996" i="2"/>
  <c r="M3996" i="2"/>
  <c r="L3996" i="2"/>
  <c r="K3996" i="2"/>
  <c r="J3996" i="2"/>
  <c r="I3996" i="2"/>
  <c r="H3996" i="2"/>
  <c r="G3996" i="2"/>
  <c r="F3996" i="2"/>
  <c r="E3996" i="2"/>
  <c r="D3996" i="2"/>
  <c r="C3996" i="2"/>
  <c r="B3996" i="2"/>
  <c r="V3995" i="2"/>
  <c r="U3995" i="2"/>
  <c r="T3995" i="2"/>
  <c r="S3995" i="2"/>
  <c r="R3995" i="2"/>
  <c r="Q3995" i="2"/>
  <c r="P3995" i="2"/>
  <c r="O3995" i="2"/>
  <c r="N3995" i="2"/>
  <c r="M3995" i="2"/>
  <c r="L3995" i="2"/>
  <c r="K3995" i="2"/>
  <c r="J3995" i="2"/>
  <c r="I3995" i="2"/>
  <c r="H3995" i="2"/>
  <c r="G3995" i="2"/>
  <c r="F3995" i="2"/>
  <c r="E3995" i="2"/>
  <c r="D3995" i="2"/>
  <c r="C3995" i="2"/>
  <c r="B3995" i="2"/>
  <c r="V3994" i="2"/>
  <c r="U3994" i="2"/>
  <c r="T3994" i="2"/>
  <c r="S3994" i="2"/>
  <c r="R3994" i="2"/>
  <c r="Q3994" i="2"/>
  <c r="P3994" i="2"/>
  <c r="O3994" i="2"/>
  <c r="N3994" i="2"/>
  <c r="M3994" i="2"/>
  <c r="L3994" i="2"/>
  <c r="K3994" i="2"/>
  <c r="J3994" i="2"/>
  <c r="I3994" i="2"/>
  <c r="H3994" i="2"/>
  <c r="G3994" i="2"/>
  <c r="F3994" i="2"/>
  <c r="E3994" i="2"/>
  <c r="D3994" i="2"/>
  <c r="C3994" i="2"/>
  <c r="B3994" i="2"/>
  <c r="V3993" i="2"/>
  <c r="U3993" i="2"/>
  <c r="T3993" i="2"/>
  <c r="S3993" i="2"/>
  <c r="R3993" i="2"/>
  <c r="Q3993" i="2"/>
  <c r="P3993" i="2"/>
  <c r="O3993" i="2"/>
  <c r="N3993" i="2"/>
  <c r="M3993" i="2"/>
  <c r="L3993" i="2"/>
  <c r="K3993" i="2"/>
  <c r="J3993" i="2"/>
  <c r="I3993" i="2"/>
  <c r="H3993" i="2"/>
  <c r="G3993" i="2"/>
  <c r="F3993" i="2"/>
  <c r="E3993" i="2"/>
  <c r="D3993" i="2"/>
  <c r="C3993" i="2"/>
  <c r="B3993" i="2"/>
  <c r="V3992" i="2"/>
  <c r="U3992" i="2"/>
  <c r="T3992" i="2"/>
  <c r="S3992" i="2"/>
  <c r="R3992" i="2"/>
  <c r="Q3992" i="2"/>
  <c r="P3992" i="2"/>
  <c r="O3992" i="2"/>
  <c r="N3992" i="2"/>
  <c r="M3992" i="2"/>
  <c r="L3992" i="2"/>
  <c r="K3992" i="2"/>
  <c r="J3992" i="2"/>
  <c r="I3992" i="2"/>
  <c r="H3992" i="2"/>
  <c r="G3992" i="2"/>
  <c r="F3992" i="2"/>
  <c r="E3992" i="2"/>
  <c r="D3992" i="2"/>
  <c r="C3992" i="2"/>
  <c r="B3992" i="2"/>
  <c r="V3991" i="2"/>
  <c r="U3991" i="2"/>
  <c r="T3991" i="2"/>
  <c r="S3991" i="2"/>
  <c r="R3991" i="2"/>
  <c r="Q3991" i="2"/>
  <c r="P3991" i="2"/>
  <c r="O3991" i="2"/>
  <c r="N3991" i="2"/>
  <c r="M3991" i="2"/>
  <c r="L3991" i="2"/>
  <c r="K3991" i="2"/>
  <c r="J3991" i="2"/>
  <c r="I3991" i="2"/>
  <c r="H3991" i="2"/>
  <c r="G3991" i="2"/>
  <c r="F3991" i="2"/>
  <c r="E3991" i="2"/>
  <c r="D3991" i="2"/>
  <c r="C3991" i="2"/>
  <c r="B3991" i="2"/>
  <c r="V3990" i="2"/>
  <c r="U3990" i="2"/>
  <c r="T3990" i="2"/>
  <c r="S3990" i="2"/>
  <c r="R3990" i="2"/>
  <c r="Q3990" i="2"/>
  <c r="P3990" i="2"/>
  <c r="O3990" i="2"/>
  <c r="N3990" i="2"/>
  <c r="M3990" i="2"/>
  <c r="L3990" i="2"/>
  <c r="K3990" i="2"/>
  <c r="J3990" i="2"/>
  <c r="I3990" i="2"/>
  <c r="H3990" i="2"/>
  <c r="G3990" i="2"/>
  <c r="F3990" i="2"/>
  <c r="E3990" i="2"/>
  <c r="D3990" i="2"/>
  <c r="C3990" i="2"/>
  <c r="B3990" i="2"/>
  <c r="V3989" i="2"/>
  <c r="U3989" i="2"/>
  <c r="T3989" i="2"/>
  <c r="S3989" i="2"/>
  <c r="R3989" i="2"/>
  <c r="Q3989" i="2"/>
  <c r="P3989" i="2"/>
  <c r="O3989" i="2"/>
  <c r="N3989" i="2"/>
  <c r="M3989" i="2"/>
  <c r="L3989" i="2"/>
  <c r="K3989" i="2"/>
  <c r="J3989" i="2"/>
  <c r="I3989" i="2"/>
  <c r="H3989" i="2"/>
  <c r="G3989" i="2"/>
  <c r="F3989" i="2"/>
  <c r="E3989" i="2"/>
  <c r="D3989" i="2"/>
  <c r="C3989" i="2"/>
  <c r="B3989" i="2"/>
  <c r="V3988" i="2"/>
  <c r="U3988" i="2"/>
  <c r="T3988" i="2"/>
  <c r="S3988" i="2"/>
  <c r="R3988" i="2"/>
  <c r="Q3988" i="2"/>
  <c r="P3988" i="2"/>
  <c r="O3988" i="2"/>
  <c r="N3988" i="2"/>
  <c r="M3988" i="2"/>
  <c r="L3988" i="2"/>
  <c r="K3988" i="2"/>
  <c r="J3988" i="2"/>
  <c r="I3988" i="2"/>
  <c r="H3988" i="2"/>
  <c r="G3988" i="2"/>
  <c r="F3988" i="2"/>
  <c r="E3988" i="2"/>
  <c r="D3988" i="2"/>
  <c r="C3988" i="2"/>
  <c r="B3988" i="2"/>
  <c r="V3987" i="2"/>
  <c r="U3987" i="2"/>
  <c r="T3987" i="2"/>
  <c r="S3987" i="2"/>
  <c r="R3987" i="2"/>
  <c r="Q3987" i="2"/>
  <c r="P3987" i="2"/>
  <c r="O3987" i="2"/>
  <c r="N3987" i="2"/>
  <c r="M3987" i="2"/>
  <c r="L3987" i="2"/>
  <c r="K3987" i="2"/>
  <c r="J3987" i="2"/>
  <c r="I3987" i="2"/>
  <c r="H3987" i="2"/>
  <c r="G3987" i="2"/>
  <c r="F3987" i="2"/>
  <c r="E3987" i="2"/>
  <c r="D3987" i="2"/>
  <c r="C3987" i="2"/>
  <c r="B3987" i="2"/>
  <c r="V3986" i="2"/>
  <c r="U3986" i="2"/>
  <c r="T3986" i="2"/>
  <c r="S3986" i="2"/>
  <c r="R3986" i="2"/>
  <c r="Q3986" i="2"/>
  <c r="P3986" i="2"/>
  <c r="O3986" i="2"/>
  <c r="N3986" i="2"/>
  <c r="M3986" i="2"/>
  <c r="L3986" i="2"/>
  <c r="K3986" i="2"/>
  <c r="J3986" i="2"/>
  <c r="I3986" i="2"/>
  <c r="H3986" i="2"/>
  <c r="G3986" i="2"/>
  <c r="F3986" i="2"/>
  <c r="E3986" i="2"/>
  <c r="D3986" i="2"/>
  <c r="C3986" i="2"/>
  <c r="B3986" i="2"/>
  <c r="V3985" i="2"/>
  <c r="U3985" i="2"/>
  <c r="T3985" i="2"/>
  <c r="S3985" i="2"/>
  <c r="R3985" i="2"/>
  <c r="Q3985" i="2"/>
  <c r="P3985" i="2"/>
  <c r="O3985" i="2"/>
  <c r="N3985" i="2"/>
  <c r="M3985" i="2"/>
  <c r="L3985" i="2"/>
  <c r="K3985" i="2"/>
  <c r="J3985" i="2"/>
  <c r="I3985" i="2"/>
  <c r="H3985" i="2"/>
  <c r="G3985" i="2"/>
  <c r="F3985" i="2"/>
  <c r="E3985" i="2"/>
  <c r="D3985" i="2"/>
  <c r="C3985" i="2"/>
  <c r="B3985" i="2"/>
  <c r="V3984" i="2"/>
  <c r="U3984" i="2"/>
  <c r="T3984" i="2"/>
  <c r="S3984" i="2"/>
  <c r="R3984" i="2"/>
  <c r="Q3984" i="2"/>
  <c r="P3984" i="2"/>
  <c r="O3984" i="2"/>
  <c r="N3984" i="2"/>
  <c r="M3984" i="2"/>
  <c r="L3984" i="2"/>
  <c r="K3984" i="2"/>
  <c r="J3984" i="2"/>
  <c r="I3984" i="2"/>
  <c r="H3984" i="2"/>
  <c r="G3984" i="2"/>
  <c r="F3984" i="2"/>
  <c r="E3984" i="2"/>
  <c r="D3984" i="2"/>
  <c r="C3984" i="2"/>
  <c r="B3984" i="2"/>
  <c r="V3983" i="2"/>
  <c r="U3983" i="2"/>
  <c r="T3983" i="2"/>
  <c r="S3983" i="2"/>
  <c r="R3983" i="2"/>
  <c r="Q3983" i="2"/>
  <c r="P3983" i="2"/>
  <c r="O3983" i="2"/>
  <c r="N3983" i="2"/>
  <c r="M3983" i="2"/>
  <c r="L3983" i="2"/>
  <c r="K3983" i="2"/>
  <c r="J3983" i="2"/>
  <c r="I3983" i="2"/>
  <c r="H3983" i="2"/>
  <c r="G3983" i="2"/>
  <c r="F3983" i="2"/>
  <c r="E3983" i="2"/>
  <c r="D3983" i="2"/>
  <c r="C3983" i="2"/>
  <c r="B3983" i="2"/>
  <c r="V3982" i="2"/>
  <c r="U3982" i="2"/>
  <c r="T3982" i="2"/>
  <c r="S3982" i="2"/>
  <c r="R3982" i="2"/>
  <c r="Q3982" i="2"/>
  <c r="P3982" i="2"/>
  <c r="O3982" i="2"/>
  <c r="N3982" i="2"/>
  <c r="M3982" i="2"/>
  <c r="L3982" i="2"/>
  <c r="K3982" i="2"/>
  <c r="J3982" i="2"/>
  <c r="I3982" i="2"/>
  <c r="H3982" i="2"/>
  <c r="G3982" i="2"/>
  <c r="F3982" i="2"/>
  <c r="E3982" i="2"/>
  <c r="D3982" i="2"/>
  <c r="C3982" i="2"/>
  <c r="B3982" i="2"/>
  <c r="V3981" i="2"/>
  <c r="U3981" i="2"/>
  <c r="T3981" i="2"/>
  <c r="S3981" i="2"/>
  <c r="R3981" i="2"/>
  <c r="Q3981" i="2"/>
  <c r="P3981" i="2"/>
  <c r="O3981" i="2"/>
  <c r="N3981" i="2"/>
  <c r="M3981" i="2"/>
  <c r="L3981" i="2"/>
  <c r="K3981" i="2"/>
  <c r="J3981" i="2"/>
  <c r="I3981" i="2"/>
  <c r="H3981" i="2"/>
  <c r="G3981" i="2"/>
  <c r="F3981" i="2"/>
  <c r="E3981" i="2"/>
  <c r="D3981" i="2"/>
  <c r="C3981" i="2"/>
  <c r="B3981" i="2"/>
  <c r="V3980" i="2"/>
  <c r="U3980" i="2"/>
  <c r="T3980" i="2"/>
  <c r="S3980" i="2"/>
  <c r="R3980" i="2"/>
  <c r="Q3980" i="2"/>
  <c r="P3980" i="2"/>
  <c r="O3980" i="2"/>
  <c r="N3980" i="2"/>
  <c r="M3980" i="2"/>
  <c r="L3980" i="2"/>
  <c r="K3980" i="2"/>
  <c r="J3980" i="2"/>
  <c r="I3980" i="2"/>
  <c r="H3980" i="2"/>
  <c r="G3980" i="2"/>
  <c r="F3980" i="2"/>
  <c r="E3980" i="2"/>
  <c r="D3980" i="2"/>
  <c r="C3980" i="2"/>
  <c r="B3980" i="2"/>
  <c r="V3979" i="2"/>
  <c r="U3979" i="2"/>
  <c r="T3979" i="2"/>
  <c r="S3979" i="2"/>
  <c r="R3979" i="2"/>
  <c r="Q3979" i="2"/>
  <c r="P3979" i="2"/>
  <c r="O3979" i="2"/>
  <c r="N3979" i="2"/>
  <c r="M3979" i="2"/>
  <c r="L3979" i="2"/>
  <c r="K3979" i="2"/>
  <c r="J3979" i="2"/>
  <c r="I3979" i="2"/>
  <c r="H3979" i="2"/>
  <c r="G3979" i="2"/>
  <c r="F3979" i="2"/>
  <c r="E3979" i="2"/>
  <c r="D3979" i="2"/>
  <c r="C3979" i="2"/>
  <c r="B3979" i="2"/>
  <c r="V3978" i="2"/>
  <c r="U3978" i="2"/>
  <c r="T3978" i="2"/>
  <c r="S3978" i="2"/>
  <c r="R3978" i="2"/>
  <c r="Q3978" i="2"/>
  <c r="P3978" i="2"/>
  <c r="O3978" i="2"/>
  <c r="N3978" i="2"/>
  <c r="M3978" i="2"/>
  <c r="L3978" i="2"/>
  <c r="K3978" i="2"/>
  <c r="J3978" i="2"/>
  <c r="I3978" i="2"/>
  <c r="H3978" i="2"/>
  <c r="G3978" i="2"/>
  <c r="F3978" i="2"/>
  <c r="E3978" i="2"/>
  <c r="D3978" i="2"/>
  <c r="C3978" i="2"/>
  <c r="B3978" i="2"/>
  <c r="V3977" i="2"/>
  <c r="U3977" i="2"/>
  <c r="T3977" i="2"/>
  <c r="S3977" i="2"/>
  <c r="R3977" i="2"/>
  <c r="Q3977" i="2"/>
  <c r="P3977" i="2"/>
  <c r="O3977" i="2"/>
  <c r="N3977" i="2"/>
  <c r="M3977" i="2"/>
  <c r="L3977" i="2"/>
  <c r="K3977" i="2"/>
  <c r="J3977" i="2"/>
  <c r="I3977" i="2"/>
  <c r="H3977" i="2"/>
  <c r="G3977" i="2"/>
  <c r="F3977" i="2"/>
  <c r="E3977" i="2"/>
  <c r="D3977" i="2"/>
  <c r="C3977" i="2"/>
  <c r="B3977" i="2"/>
  <c r="V3976" i="2"/>
  <c r="U3976" i="2"/>
  <c r="T3976" i="2"/>
  <c r="S3976" i="2"/>
  <c r="R3976" i="2"/>
  <c r="Q3976" i="2"/>
  <c r="P3976" i="2"/>
  <c r="O3976" i="2"/>
  <c r="N3976" i="2"/>
  <c r="M3976" i="2"/>
  <c r="L3976" i="2"/>
  <c r="K3976" i="2"/>
  <c r="J3976" i="2"/>
  <c r="I3976" i="2"/>
  <c r="H3976" i="2"/>
  <c r="G3976" i="2"/>
  <c r="F3976" i="2"/>
  <c r="E3976" i="2"/>
  <c r="D3976" i="2"/>
  <c r="C3976" i="2"/>
  <c r="B3976" i="2"/>
  <c r="V3975" i="2"/>
  <c r="U3975" i="2"/>
  <c r="T3975" i="2"/>
  <c r="S3975" i="2"/>
  <c r="R3975" i="2"/>
  <c r="Q3975" i="2"/>
  <c r="P3975" i="2"/>
  <c r="O3975" i="2"/>
  <c r="N3975" i="2"/>
  <c r="M3975" i="2"/>
  <c r="L3975" i="2"/>
  <c r="K3975" i="2"/>
  <c r="J3975" i="2"/>
  <c r="I3975" i="2"/>
  <c r="H3975" i="2"/>
  <c r="G3975" i="2"/>
  <c r="F3975" i="2"/>
  <c r="E3975" i="2"/>
  <c r="D3975" i="2"/>
  <c r="C3975" i="2"/>
  <c r="B3975" i="2"/>
  <c r="V3974" i="2"/>
  <c r="U3974" i="2"/>
  <c r="T3974" i="2"/>
  <c r="S3974" i="2"/>
  <c r="R3974" i="2"/>
  <c r="Q3974" i="2"/>
  <c r="P3974" i="2"/>
  <c r="O3974" i="2"/>
  <c r="N3974" i="2"/>
  <c r="M3974" i="2"/>
  <c r="L3974" i="2"/>
  <c r="K3974" i="2"/>
  <c r="J3974" i="2"/>
  <c r="I3974" i="2"/>
  <c r="H3974" i="2"/>
  <c r="G3974" i="2"/>
  <c r="F3974" i="2"/>
  <c r="E3974" i="2"/>
  <c r="D3974" i="2"/>
  <c r="C3974" i="2"/>
  <c r="B3974" i="2"/>
  <c r="V3973" i="2"/>
  <c r="U3973" i="2"/>
  <c r="T3973" i="2"/>
  <c r="S3973" i="2"/>
  <c r="R3973" i="2"/>
  <c r="Q3973" i="2"/>
  <c r="P3973" i="2"/>
  <c r="O3973" i="2"/>
  <c r="N3973" i="2"/>
  <c r="M3973" i="2"/>
  <c r="L3973" i="2"/>
  <c r="K3973" i="2"/>
  <c r="J3973" i="2"/>
  <c r="I3973" i="2"/>
  <c r="H3973" i="2"/>
  <c r="G3973" i="2"/>
  <c r="F3973" i="2"/>
  <c r="E3973" i="2"/>
  <c r="D3973" i="2"/>
  <c r="C3973" i="2"/>
  <c r="B3973" i="2"/>
  <c r="V3972" i="2"/>
  <c r="U3972" i="2"/>
  <c r="T3972" i="2"/>
  <c r="S3972" i="2"/>
  <c r="R3972" i="2"/>
  <c r="Q3972" i="2"/>
  <c r="P3972" i="2"/>
  <c r="O3972" i="2"/>
  <c r="N3972" i="2"/>
  <c r="M3972" i="2"/>
  <c r="L3972" i="2"/>
  <c r="K3972" i="2"/>
  <c r="J3972" i="2"/>
  <c r="I3972" i="2"/>
  <c r="H3972" i="2"/>
  <c r="G3972" i="2"/>
  <c r="F3972" i="2"/>
  <c r="E3972" i="2"/>
  <c r="D3972" i="2"/>
  <c r="C3972" i="2"/>
  <c r="B3972" i="2"/>
  <c r="V3971" i="2"/>
  <c r="U3971" i="2"/>
  <c r="T3971" i="2"/>
  <c r="S3971" i="2"/>
  <c r="R3971" i="2"/>
  <c r="Q3971" i="2"/>
  <c r="P3971" i="2"/>
  <c r="O3971" i="2"/>
  <c r="N3971" i="2"/>
  <c r="M3971" i="2"/>
  <c r="L3971" i="2"/>
  <c r="K3971" i="2"/>
  <c r="J3971" i="2"/>
  <c r="I3971" i="2"/>
  <c r="H3971" i="2"/>
  <c r="G3971" i="2"/>
  <c r="F3971" i="2"/>
  <c r="E3971" i="2"/>
  <c r="D3971" i="2"/>
  <c r="C3971" i="2"/>
  <c r="B3971" i="2"/>
  <c r="V3970" i="2"/>
  <c r="U3970" i="2"/>
  <c r="T3970" i="2"/>
  <c r="S3970" i="2"/>
  <c r="R3970" i="2"/>
  <c r="Q3970" i="2"/>
  <c r="P3970" i="2"/>
  <c r="O3970" i="2"/>
  <c r="N3970" i="2"/>
  <c r="M3970" i="2"/>
  <c r="L3970" i="2"/>
  <c r="K3970" i="2"/>
  <c r="J3970" i="2"/>
  <c r="I3970" i="2"/>
  <c r="H3970" i="2"/>
  <c r="G3970" i="2"/>
  <c r="F3970" i="2"/>
  <c r="E3970" i="2"/>
  <c r="D3970" i="2"/>
  <c r="C3970" i="2"/>
  <c r="B3970" i="2"/>
  <c r="V3969" i="2"/>
  <c r="U3969" i="2"/>
  <c r="T3969" i="2"/>
  <c r="S3969" i="2"/>
  <c r="R3969" i="2"/>
  <c r="Q3969" i="2"/>
  <c r="P3969" i="2"/>
  <c r="O3969" i="2"/>
  <c r="N3969" i="2"/>
  <c r="M3969" i="2"/>
  <c r="L3969" i="2"/>
  <c r="K3969" i="2"/>
  <c r="J3969" i="2"/>
  <c r="I3969" i="2"/>
  <c r="H3969" i="2"/>
  <c r="G3969" i="2"/>
  <c r="F3969" i="2"/>
  <c r="E3969" i="2"/>
  <c r="D3969" i="2"/>
  <c r="C3969" i="2"/>
  <c r="B3969" i="2"/>
  <c r="V3968" i="2"/>
  <c r="U3968" i="2"/>
  <c r="T3968" i="2"/>
  <c r="S3968" i="2"/>
  <c r="R3968" i="2"/>
  <c r="Q3968" i="2"/>
  <c r="P3968" i="2"/>
  <c r="O3968" i="2"/>
  <c r="N3968" i="2"/>
  <c r="M3968" i="2"/>
  <c r="L3968" i="2"/>
  <c r="K3968" i="2"/>
  <c r="J3968" i="2"/>
  <c r="I3968" i="2"/>
  <c r="H3968" i="2"/>
  <c r="G3968" i="2"/>
  <c r="F3968" i="2"/>
  <c r="E3968" i="2"/>
  <c r="D3968" i="2"/>
  <c r="C3968" i="2"/>
  <c r="B3968" i="2"/>
  <c r="V3967" i="2"/>
  <c r="U3967" i="2"/>
  <c r="T3967" i="2"/>
  <c r="S3967" i="2"/>
  <c r="R3967" i="2"/>
  <c r="Q3967" i="2"/>
  <c r="P3967" i="2"/>
  <c r="O3967" i="2"/>
  <c r="N3967" i="2"/>
  <c r="M3967" i="2"/>
  <c r="L3967" i="2"/>
  <c r="K3967" i="2"/>
  <c r="J3967" i="2"/>
  <c r="I3967" i="2"/>
  <c r="H3967" i="2"/>
  <c r="G3967" i="2"/>
  <c r="F3967" i="2"/>
  <c r="E3967" i="2"/>
  <c r="D3967" i="2"/>
  <c r="C3967" i="2"/>
  <c r="B3967" i="2"/>
  <c r="V3966" i="2"/>
  <c r="U3966" i="2"/>
  <c r="T3966" i="2"/>
  <c r="S3966" i="2"/>
  <c r="R3966" i="2"/>
  <c r="Q3966" i="2"/>
  <c r="P3966" i="2"/>
  <c r="O3966" i="2"/>
  <c r="N3966" i="2"/>
  <c r="M3966" i="2"/>
  <c r="L3966" i="2"/>
  <c r="K3966" i="2"/>
  <c r="J3966" i="2"/>
  <c r="I3966" i="2"/>
  <c r="H3966" i="2"/>
  <c r="G3966" i="2"/>
  <c r="F3966" i="2"/>
  <c r="E3966" i="2"/>
  <c r="D3966" i="2"/>
  <c r="C3966" i="2"/>
  <c r="B3966" i="2"/>
  <c r="V3965" i="2"/>
  <c r="U3965" i="2"/>
  <c r="T3965" i="2"/>
  <c r="S3965" i="2"/>
  <c r="R3965" i="2"/>
  <c r="Q3965" i="2"/>
  <c r="P3965" i="2"/>
  <c r="O3965" i="2"/>
  <c r="N3965" i="2"/>
  <c r="M3965" i="2"/>
  <c r="L3965" i="2"/>
  <c r="K3965" i="2"/>
  <c r="J3965" i="2"/>
  <c r="I3965" i="2"/>
  <c r="H3965" i="2"/>
  <c r="G3965" i="2"/>
  <c r="F3965" i="2"/>
  <c r="E3965" i="2"/>
  <c r="D3965" i="2"/>
  <c r="C3965" i="2"/>
  <c r="B3965" i="2"/>
  <c r="V3964" i="2"/>
  <c r="U3964" i="2"/>
  <c r="T3964" i="2"/>
  <c r="S3964" i="2"/>
  <c r="R3964" i="2"/>
  <c r="Q3964" i="2"/>
  <c r="P3964" i="2"/>
  <c r="O3964" i="2"/>
  <c r="N3964" i="2"/>
  <c r="M3964" i="2"/>
  <c r="L3964" i="2"/>
  <c r="K3964" i="2"/>
  <c r="J3964" i="2"/>
  <c r="I3964" i="2"/>
  <c r="H3964" i="2"/>
  <c r="G3964" i="2"/>
  <c r="F3964" i="2"/>
  <c r="E3964" i="2"/>
  <c r="D3964" i="2"/>
  <c r="C3964" i="2"/>
  <c r="B3964" i="2"/>
  <c r="V3963" i="2"/>
  <c r="U3963" i="2"/>
  <c r="T3963" i="2"/>
  <c r="S3963" i="2"/>
  <c r="R3963" i="2"/>
  <c r="Q3963" i="2"/>
  <c r="P3963" i="2"/>
  <c r="O3963" i="2"/>
  <c r="N3963" i="2"/>
  <c r="M3963" i="2"/>
  <c r="L3963" i="2"/>
  <c r="K3963" i="2"/>
  <c r="J3963" i="2"/>
  <c r="I3963" i="2"/>
  <c r="H3963" i="2"/>
  <c r="G3963" i="2"/>
  <c r="F3963" i="2"/>
  <c r="E3963" i="2"/>
  <c r="D3963" i="2"/>
  <c r="C3963" i="2"/>
  <c r="B3963" i="2"/>
  <c r="V3962" i="2"/>
  <c r="U3962" i="2"/>
  <c r="T3962" i="2"/>
  <c r="S3962" i="2"/>
  <c r="R3962" i="2"/>
  <c r="Q3962" i="2"/>
  <c r="P3962" i="2"/>
  <c r="O3962" i="2"/>
  <c r="N3962" i="2"/>
  <c r="M3962" i="2"/>
  <c r="L3962" i="2"/>
  <c r="K3962" i="2"/>
  <c r="J3962" i="2"/>
  <c r="I3962" i="2"/>
  <c r="H3962" i="2"/>
  <c r="G3962" i="2"/>
  <c r="F3962" i="2"/>
  <c r="E3962" i="2"/>
  <c r="D3962" i="2"/>
  <c r="C3962" i="2"/>
  <c r="B3962" i="2"/>
  <c r="V3961" i="2"/>
  <c r="U3961" i="2"/>
  <c r="T3961" i="2"/>
  <c r="S3961" i="2"/>
  <c r="R3961" i="2"/>
  <c r="Q3961" i="2"/>
  <c r="P3961" i="2"/>
  <c r="O3961" i="2"/>
  <c r="N3961" i="2"/>
  <c r="M3961" i="2"/>
  <c r="L3961" i="2"/>
  <c r="K3961" i="2"/>
  <c r="J3961" i="2"/>
  <c r="I3961" i="2"/>
  <c r="H3961" i="2"/>
  <c r="G3961" i="2"/>
  <c r="F3961" i="2"/>
  <c r="E3961" i="2"/>
  <c r="D3961" i="2"/>
  <c r="C3961" i="2"/>
  <c r="B3961" i="2"/>
  <c r="V3960" i="2"/>
  <c r="U3960" i="2"/>
  <c r="T3960" i="2"/>
  <c r="S3960" i="2"/>
  <c r="R3960" i="2"/>
  <c r="Q3960" i="2"/>
  <c r="P3960" i="2"/>
  <c r="O3960" i="2"/>
  <c r="N3960" i="2"/>
  <c r="M3960" i="2"/>
  <c r="L3960" i="2"/>
  <c r="K3960" i="2"/>
  <c r="J3960" i="2"/>
  <c r="I3960" i="2"/>
  <c r="H3960" i="2"/>
  <c r="G3960" i="2"/>
  <c r="F3960" i="2"/>
  <c r="E3960" i="2"/>
  <c r="D3960" i="2"/>
  <c r="C3960" i="2"/>
  <c r="B3960" i="2"/>
  <c r="V3959" i="2"/>
  <c r="U3959" i="2"/>
  <c r="T3959" i="2"/>
  <c r="S3959" i="2"/>
  <c r="R3959" i="2"/>
  <c r="Q3959" i="2"/>
  <c r="P3959" i="2"/>
  <c r="O3959" i="2"/>
  <c r="N3959" i="2"/>
  <c r="M3959" i="2"/>
  <c r="L3959" i="2"/>
  <c r="K3959" i="2"/>
  <c r="J3959" i="2"/>
  <c r="I3959" i="2"/>
  <c r="H3959" i="2"/>
  <c r="G3959" i="2"/>
  <c r="F3959" i="2"/>
  <c r="E3959" i="2"/>
  <c r="D3959" i="2"/>
  <c r="C3959" i="2"/>
  <c r="B3959" i="2"/>
  <c r="V3958" i="2"/>
  <c r="U3958" i="2"/>
  <c r="T3958" i="2"/>
  <c r="S3958" i="2"/>
  <c r="R3958" i="2"/>
  <c r="Q3958" i="2"/>
  <c r="P3958" i="2"/>
  <c r="O3958" i="2"/>
  <c r="N3958" i="2"/>
  <c r="M3958" i="2"/>
  <c r="L3958" i="2"/>
  <c r="K3958" i="2"/>
  <c r="J3958" i="2"/>
  <c r="I3958" i="2"/>
  <c r="H3958" i="2"/>
  <c r="G3958" i="2"/>
  <c r="F3958" i="2"/>
  <c r="E3958" i="2"/>
  <c r="D3958" i="2"/>
  <c r="C3958" i="2"/>
  <c r="B3958" i="2"/>
  <c r="V3957" i="2"/>
  <c r="U3957" i="2"/>
  <c r="T3957" i="2"/>
  <c r="S3957" i="2"/>
  <c r="R3957" i="2"/>
  <c r="Q3957" i="2"/>
  <c r="P3957" i="2"/>
  <c r="O3957" i="2"/>
  <c r="N3957" i="2"/>
  <c r="M3957" i="2"/>
  <c r="L3957" i="2"/>
  <c r="K3957" i="2"/>
  <c r="J3957" i="2"/>
  <c r="I3957" i="2"/>
  <c r="H3957" i="2"/>
  <c r="G3957" i="2"/>
  <c r="F3957" i="2"/>
  <c r="E3957" i="2"/>
  <c r="D3957" i="2"/>
  <c r="C3957" i="2"/>
  <c r="B3957" i="2"/>
  <c r="V3956" i="2"/>
  <c r="U3956" i="2"/>
  <c r="T3956" i="2"/>
  <c r="S3956" i="2"/>
  <c r="R3956" i="2"/>
  <c r="Q3956" i="2"/>
  <c r="P3956" i="2"/>
  <c r="O3956" i="2"/>
  <c r="N3956" i="2"/>
  <c r="M3956" i="2"/>
  <c r="L3956" i="2"/>
  <c r="K3956" i="2"/>
  <c r="J3956" i="2"/>
  <c r="I3956" i="2"/>
  <c r="H3956" i="2"/>
  <c r="G3956" i="2"/>
  <c r="F3956" i="2"/>
  <c r="E3956" i="2"/>
  <c r="D3956" i="2"/>
  <c r="C3956" i="2"/>
  <c r="B3956" i="2"/>
  <c r="V3955" i="2"/>
  <c r="U3955" i="2"/>
  <c r="T3955" i="2"/>
  <c r="S3955" i="2"/>
  <c r="R3955" i="2"/>
  <c r="Q3955" i="2"/>
  <c r="P3955" i="2"/>
  <c r="O3955" i="2"/>
  <c r="N3955" i="2"/>
  <c r="M3955" i="2"/>
  <c r="L3955" i="2"/>
  <c r="K3955" i="2"/>
  <c r="J3955" i="2"/>
  <c r="I3955" i="2"/>
  <c r="H3955" i="2"/>
  <c r="G3955" i="2"/>
  <c r="F3955" i="2"/>
  <c r="E3955" i="2"/>
  <c r="D3955" i="2"/>
  <c r="C3955" i="2"/>
  <c r="B3955" i="2"/>
  <c r="V3954" i="2"/>
  <c r="U3954" i="2"/>
  <c r="T3954" i="2"/>
  <c r="S3954" i="2"/>
  <c r="R3954" i="2"/>
  <c r="Q3954" i="2"/>
  <c r="P3954" i="2"/>
  <c r="O3954" i="2"/>
  <c r="N3954" i="2"/>
  <c r="M3954" i="2"/>
  <c r="L3954" i="2"/>
  <c r="K3954" i="2"/>
  <c r="J3954" i="2"/>
  <c r="I3954" i="2"/>
  <c r="H3954" i="2"/>
  <c r="G3954" i="2"/>
  <c r="F3954" i="2"/>
  <c r="E3954" i="2"/>
  <c r="D3954" i="2"/>
  <c r="C3954" i="2"/>
  <c r="B3954" i="2"/>
  <c r="V3953" i="2"/>
  <c r="U3953" i="2"/>
  <c r="T3953" i="2"/>
  <c r="S3953" i="2"/>
  <c r="R3953" i="2"/>
  <c r="Q3953" i="2"/>
  <c r="P3953" i="2"/>
  <c r="O3953" i="2"/>
  <c r="N3953" i="2"/>
  <c r="M3953" i="2"/>
  <c r="L3953" i="2"/>
  <c r="K3953" i="2"/>
  <c r="J3953" i="2"/>
  <c r="I3953" i="2"/>
  <c r="H3953" i="2"/>
  <c r="G3953" i="2"/>
  <c r="F3953" i="2"/>
  <c r="E3953" i="2"/>
  <c r="D3953" i="2"/>
  <c r="C3953" i="2"/>
  <c r="B3953" i="2"/>
  <c r="V3952" i="2"/>
  <c r="U3952" i="2"/>
  <c r="T3952" i="2"/>
  <c r="S3952" i="2"/>
  <c r="R3952" i="2"/>
  <c r="Q3952" i="2"/>
  <c r="P3952" i="2"/>
  <c r="O3952" i="2"/>
  <c r="N3952" i="2"/>
  <c r="M3952" i="2"/>
  <c r="L3952" i="2"/>
  <c r="K3952" i="2"/>
  <c r="J3952" i="2"/>
  <c r="I3952" i="2"/>
  <c r="H3952" i="2"/>
  <c r="G3952" i="2"/>
  <c r="F3952" i="2"/>
  <c r="E3952" i="2"/>
  <c r="D3952" i="2"/>
  <c r="C3952" i="2"/>
  <c r="B3952" i="2"/>
  <c r="V3951" i="2"/>
  <c r="U3951" i="2"/>
  <c r="T3951" i="2"/>
  <c r="S3951" i="2"/>
  <c r="R3951" i="2"/>
  <c r="Q3951" i="2"/>
  <c r="P3951" i="2"/>
  <c r="O3951" i="2"/>
  <c r="N3951" i="2"/>
  <c r="M3951" i="2"/>
  <c r="L3951" i="2"/>
  <c r="K3951" i="2"/>
  <c r="J3951" i="2"/>
  <c r="I3951" i="2"/>
  <c r="H3951" i="2"/>
  <c r="G3951" i="2"/>
  <c r="F3951" i="2"/>
  <c r="E3951" i="2"/>
  <c r="D3951" i="2"/>
  <c r="C3951" i="2"/>
  <c r="B3951" i="2"/>
  <c r="V3950" i="2"/>
  <c r="U3950" i="2"/>
  <c r="T3950" i="2"/>
  <c r="S3950" i="2"/>
  <c r="R3950" i="2"/>
  <c r="Q3950" i="2"/>
  <c r="P3950" i="2"/>
  <c r="O3950" i="2"/>
  <c r="N3950" i="2"/>
  <c r="M3950" i="2"/>
  <c r="L3950" i="2"/>
  <c r="K3950" i="2"/>
  <c r="J3950" i="2"/>
  <c r="I3950" i="2"/>
  <c r="H3950" i="2"/>
  <c r="G3950" i="2"/>
  <c r="F3950" i="2"/>
  <c r="E3950" i="2"/>
  <c r="D3950" i="2"/>
  <c r="C3950" i="2"/>
  <c r="B3950" i="2"/>
  <c r="V3949" i="2"/>
  <c r="U3949" i="2"/>
  <c r="T3949" i="2"/>
  <c r="S3949" i="2"/>
  <c r="R3949" i="2"/>
  <c r="Q3949" i="2"/>
  <c r="P3949" i="2"/>
  <c r="O3949" i="2"/>
  <c r="N3949" i="2"/>
  <c r="M3949" i="2"/>
  <c r="L3949" i="2"/>
  <c r="K3949" i="2"/>
  <c r="J3949" i="2"/>
  <c r="I3949" i="2"/>
  <c r="H3949" i="2"/>
  <c r="G3949" i="2"/>
  <c r="F3949" i="2"/>
  <c r="E3949" i="2"/>
  <c r="D3949" i="2"/>
  <c r="C3949" i="2"/>
  <c r="B3949" i="2"/>
  <c r="V3948" i="2"/>
  <c r="U3948" i="2"/>
  <c r="T3948" i="2"/>
  <c r="S3948" i="2"/>
  <c r="R3948" i="2"/>
  <c r="Q3948" i="2"/>
  <c r="P3948" i="2"/>
  <c r="O3948" i="2"/>
  <c r="N3948" i="2"/>
  <c r="M3948" i="2"/>
  <c r="L3948" i="2"/>
  <c r="K3948" i="2"/>
  <c r="J3948" i="2"/>
  <c r="I3948" i="2"/>
  <c r="H3948" i="2"/>
  <c r="G3948" i="2"/>
  <c r="F3948" i="2"/>
  <c r="E3948" i="2"/>
  <c r="D3948" i="2"/>
  <c r="C3948" i="2"/>
  <c r="B3948" i="2"/>
  <c r="V3947" i="2"/>
  <c r="U3947" i="2"/>
  <c r="T3947" i="2"/>
  <c r="S3947" i="2"/>
  <c r="R3947" i="2"/>
  <c r="Q3947" i="2"/>
  <c r="P3947" i="2"/>
  <c r="O3947" i="2"/>
  <c r="N3947" i="2"/>
  <c r="M3947" i="2"/>
  <c r="L3947" i="2"/>
  <c r="K3947" i="2"/>
  <c r="J3947" i="2"/>
  <c r="I3947" i="2"/>
  <c r="H3947" i="2"/>
  <c r="G3947" i="2"/>
  <c r="F3947" i="2"/>
  <c r="E3947" i="2"/>
  <c r="D3947" i="2"/>
  <c r="C3947" i="2"/>
  <c r="B3947" i="2"/>
  <c r="V3946" i="2"/>
  <c r="U3946" i="2"/>
  <c r="T3946" i="2"/>
  <c r="S3946" i="2"/>
  <c r="R3946" i="2"/>
  <c r="Q3946" i="2"/>
  <c r="P3946" i="2"/>
  <c r="O3946" i="2"/>
  <c r="N3946" i="2"/>
  <c r="M3946" i="2"/>
  <c r="L3946" i="2"/>
  <c r="K3946" i="2"/>
  <c r="J3946" i="2"/>
  <c r="I3946" i="2"/>
  <c r="H3946" i="2"/>
  <c r="G3946" i="2"/>
  <c r="F3946" i="2"/>
  <c r="E3946" i="2"/>
  <c r="D3946" i="2"/>
  <c r="C3946" i="2"/>
  <c r="B3946" i="2"/>
  <c r="V3945" i="2"/>
  <c r="U3945" i="2"/>
  <c r="T3945" i="2"/>
  <c r="S3945" i="2"/>
  <c r="R3945" i="2"/>
  <c r="Q3945" i="2"/>
  <c r="P3945" i="2"/>
  <c r="O3945" i="2"/>
  <c r="N3945" i="2"/>
  <c r="M3945" i="2"/>
  <c r="L3945" i="2"/>
  <c r="K3945" i="2"/>
  <c r="J3945" i="2"/>
  <c r="I3945" i="2"/>
  <c r="H3945" i="2"/>
  <c r="G3945" i="2"/>
  <c r="F3945" i="2"/>
  <c r="E3945" i="2"/>
  <c r="D3945" i="2"/>
  <c r="C3945" i="2"/>
  <c r="B3945" i="2"/>
  <c r="V3944" i="2"/>
  <c r="U3944" i="2"/>
  <c r="T3944" i="2"/>
  <c r="S3944" i="2"/>
  <c r="R3944" i="2"/>
  <c r="Q3944" i="2"/>
  <c r="P3944" i="2"/>
  <c r="O3944" i="2"/>
  <c r="N3944" i="2"/>
  <c r="M3944" i="2"/>
  <c r="L3944" i="2"/>
  <c r="K3944" i="2"/>
  <c r="J3944" i="2"/>
  <c r="I3944" i="2"/>
  <c r="H3944" i="2"/>
  <c r="G3944" i="2"/>
  <c r="F3944" i="2"/>
  <c r="E3944" i="2"/>
  <c r="D3944" i="2"/>
  <c r="C3944" i="2"/>
  <c r="B3944" i="2"/>
  <c r="V3943" i="2"/>
  <c r="U3943" i="2"/>
  <c r="T3943" i="2"/>
  <c r="S3943" i="2"/>
  <c r="R3943" i="2"/>
  <c r="Q3943" i="2"/>
  <c r="P3943" i="2"/>
  <c r="O3943" i="2"/>
  <c r="N3943" i="2"/>
  <c r="M3943" i="2"/>
  <c r="L3943" i="2"/>
  <c r="K3943" i="2"/>
  <c r="J3943" i="2"/>
  <c r="I3943" i="2"/>
  <c r="H3943" i="2"/>
  <c r="G3943" i="2"/>
  <c r="F3943" i="2"/>
  <c r="E3943" i="2"/>
  <c r="D3943" i="2"/>
  <c r="C3943" i="2"/>
  <c r="B3943" i="2"/>
  <c r="V3942" i="2"/>
  <c r="U3942" i="2"/>
  <c r="T3942" i="2"/>
  <c r="S3942" i="2"/>
  <c r="R3942" i="2"/>
  <c r="Q3942" i="2"/>
  <c r="P3942" i="2"/>
  <c r="O3942" i="2"/>
  <c r="N3942" i="2"/>
  <c r="M3942" i="2"/>
  <c r="L3942" i="2"/>
  <c r="K3942" i="2"/>
  <c r="J3942" i="2"/>
  <c r="I3942" i="2"/>
  <c r="H3942" i="2"/>
  <c r="G3942" i="2"/>
  <c r="F3942" i="2"/>
  <c r="E3942" i="2"/>
  <c r="D3942" i="2"/>
  <c r="C3942" i="2"/>
  <c r="B3942" i="2"/>
  <c r="V3941" i="2"/>
  <c r="U3941" i="2"/>
  <c r="T3941" i="2"/>
  <c r="S3941" i="2"/>
  <c r="R3941" i="2"/>
  <c r="Q3941" i="2"/>
  <c r="P3941" i="2"/>
  <c r="O3941" i="2"/>
  <c r="N3941" i="2"/>
  <c r="M3941" i="2"/>
  <c r="L3941" i="2"/>
  <c r="K3941" i="2"/>
  <c r="J3941" i="2"/>
  <c r="I3941" i="2"/>
  <c r="H3941" i="2"/>
  <c r="G3941" i="2"/>
  <c r="F3941" i="2"/>
  <c r="E3941" i="2"/>
  <c r="D3941" i="2"/>
  <c r="C3941" i="2"/>
  <c r="B3941" i="2"/>
  <c r="V3940" i="2"/>
  <c r="U3940" i="2"/>
  <c r="T3940" i="2"/>
  <c r="S3940" i="2"/>
  <c r="R3940" i="2"/>
  <c r="Q3940" i="2"/>
  <c r="P3940" i="2"/>
  <c r="O3940" i="2"/>
  <c r="N3940" i="2"/>
  <c r="M3940" i="2"/>
  <c r="L3940" i="2"/>
  <c r="K3940" i="2"/>
  <c r="J3940" i="2"/>
  <c r="I3940" i="2"/>
  <c r="H3940" i="2"/>
  <c r="G3940" i="2"/>
  <c r="F3940" i="2"/>
  <c r="E3940" i="2"/>
  <c r="D3940" i="2"/>
  <c r="C3940" i="2"/>
  <c r="B3940" i="2"/>
  <c r="V3939" i="2"/>
  <c r="U3939" i="2"/>
  <c r="T3939" i="2"/>
  <c r="S3939" i="2"/>
  <c r="R3939" i="2"/>
  <c r="Q3939" i="2"/>
  <c r="P3939" i="2"/>
  <c r="O3939" i="2"/>
  <c r="N3939" i="2"/>
  <c r="M3939" i="2"/>
  <c r="L3939" i="2"/>
  <c r="K3939" i="2"/>
  <c r="J3939" i="2"/>
  <c r="I3939" i="2"/>
  <c r="H3939" i="2"/>
  <c r="G3939" i="2"/>
  <c r="F3939" i="2"/>
  <c r="E3939" i="2"/>
  <c r="D3939" i="2"/>
  <c r="C3939" i="2"/>
  <c r="B3939" i="2"/>
  <c r="V3938" i="2"/>
  <c r="U3938" i="2"/>
  <c r="T3938" i="2"/>
  <c r="S3938" i="2"/>
  <c r="R3938" i="2"/>
  <c r="Q3938" i="2"/>
  <c r="P3938" i="2"/>
  <c r="O3938" i="2"/>
  <c r="N3938" i="2"/>
  <c r="M3938" i="2"/>
  <c r="L3938" i="2"/>
  <c r="K3938" i="2"/>
  <c r="J3938" i="2"/>
  <c r="I3938" i="2"/>
  <c r="H3938" i="2"/>
  <c r="G3938" i="2"/>
  <c r="F3938" i="2"/>
  <c r="E3938" i="2"/>
  <c r="D3938" i="2"/>
  <c r="C3938" i="2"/>
  <c r="B3938" i="2"/>
  <c r="V3937" i="2"/>
  <c r="U3937" i="2"/>
  <c r="T3937" i="2"/>
  <c r="S3937" i="2"/>
  <c r="R3937" i="2"/>
  <c r="Q3937" i="2"/>
  <c r="P3937" i="2"/>
  <c r="O3937" i="2"/>
  <c r="N3937" i="2"/>
  <c r="M3937" i="2"/>
  <c r="L3937" i="2"/>
  <c r="K3937" i="2"/>
  <c r="J3937" i="2"/>
  <c r="I3937" i="2"/>
  <c r="H3937" i="2"/>
  <c r="G3937" i="2"/>
  <c r="F3937" i="2"/>
  <c r="E3937" i="2"/>
  <c r="D3937" i="2"/>
  <c r="C3937" i="2"/>
  <c r="B3937" i="2"/>
  <c r="V3936" i="2"/>
  <c r="U3936" i="2"/>
  <c r="T3936" i="2"/>
  <c r="S3936" i="2"/>
  <c r="R3936" i="2"/>
  <c r="Q3936" i="2"/>
  <c r="P3936" i="2"/>
  <c r="O3936" i="2"/>
  <c r="N3936" i="2"/>
  <c r="M3936" i="2"/>
  <c r="L3936" i="2"/>
  <c r="K3936" i="2"/>
  <c r="J3936" i="2"/>
  <c r="I3936" i="2"/>
  <c r="H3936" i="2"/>
  <c r="G3936" i="2"/>
  <c r="F3936" i="2"/>
  <c r="E3936" i="2"/>
  <c r="D3936" i="2"/>
  <c r="C3936" i="2"/>
  <c r="B3936" i="2"/>
  <c r="V3935" i="2"/>
  <c r="U3935" i="2"/>
  <c r="T3935" i="2"/>
  <c r="S3935" i="2"/>
  <c r="R3935" i="2"/>
  <c r="Q3935" i="2"/>
  <c r="P3935" i="2"/>
  <c r="O3935" i="2"/>
  <c r="N3935" i="2"/>
  <c r="M3935" i="2"/>
  <c r="L3935" i="2"/>
  <c r="K3935" i="2"/>
  <c r="J3935" i="2"/>
  <c r="I3935" i="2"/>
  <c r="H3935" i="2"/>
  <c r="G3935" i="2"/>
  <c r="F3935" i="2"/>
  <c r="E3935" i="2"/>
  <c r="D3935" i="2"/>
  <c r="C3935" i="2"/>
  <c r="B3935" i="2"/>
  <c r="V3934" i="2"/>
  <c r="U3934" i="2"/>
  <c r="T3934" i="2"/>
  <c r="S3934" i="2"/>
  <c r="R3934" i="2"/>
  <c r="Q3934" i="2"/>
  <c r="P3934" i="2"/>
  <c r="O3934" i="2"/>
  <c r="N3934" i="2"/>
  <c r="M3934" i="2"/>
  <c r="L3934" i="2"/>
  <c r="K3934" i="2"/>
  <c r="J3934" i="2"/>
  <c r="I3934" i="2"/>
  <c r="H3934" i="2"/>
  <c r="G3934" i="2"/>
  <c r="F3934" i="2"/>
  <c r="E3934" i="2"/>
  <c r="D3934" i="2"/>
  <c r="C3934" i="2"/>
  <c r="B3934" i="2"/>
  <c r="V3933" i="2"/>
  <c r="U3933" i="2"/>
  <c r="T3933" i="2"/>
  <c r="S3933" i="2"/>
  <c r="R3933" i="2"/>
  <c r="Q3933" i="2"/>
  <c r="P3933" i="2"/>
  <c r="O3933" i="2"/>
  <c r="N3933" i="2"/>
  <c r="M3933" i="2"/>
  <c r="L3933" i="2"/>
  <c r="K3933" i="2"/>
  <c r="J3933" i="2"/>
  <c r="I3933" i="2"/>
  <c r="H3933" i="2"/>
  <c r="G3933" i="2"/>
  <c r="F3933" i="2"/>
  <c r="E3933" i="2"/>
  <c r="D3933" i="2"/>
  <c r="C3933" i="2"/>
  <c r="B3933" i="2"/>
  <c r="V3932" i="2"/>
  <c r="U3932" i="2"/>
  <c r="T3932" i="2"/>
  <c r="S3932" i="2"/>
  <c r="R3932" i="2"/>
  <c r="Q3932" i="2"/>
  <c r="P3932" i="2"/>
  <c r="O3932" i="2"/>
  <c r="N3932" i="2"/>
  <c r="M3932" i="2"/>
  <c r="L3932" i="2"/>
  <c r="K3932" i="2"/>
  <c r="J3932" i="2"/>
  <c r="I3932" i="2"/>
  <c r="H3932" i="2"/>
  <c r="G3932" i="2"/>
  <c r="F3932" i="2"/>
  <c r="E3932" i="2"/>
  <c r="D3932" i="2"/>
  <c r="C3932" i="2"/>
  <c r="B3932" i="2"/>
  <c r="V3931" i="2"/>
  <c r="U3931" i="2"/>
  <c r="T3931" i="2"/>
  <c r="S3931" i="2"/>
  <c r="R3931" i="2"/>
  <c r="Q3931" i="2"/>
  <c r="P3931" i="2"/>
  <c r="O3931" i="2"/>
  <c r="N3931" i="2"/>
  <c r="M3931" i="2"/>
  <c r="L3931" i="2"/>
  <c r="K3931" i="2"/>
  <c r="J3931" i="2"/>
  <c r="I3931" i="2"/>
  <c r="H3931" i="2"/>
  <c r="G3931" i="2"/>
  <c r="F3931" i="2"/>
  <c r="E3931" i="2"/>
  <c r="D3931" i="2"/>
  <c r="C3931" i="2"/>
  <c r="B3931" i="2"/>
  <c r="V3930" i="2"/>
  <c r="U3930" i="2"/>
  <c r="T3930" i="2"/>
  <c r="S3930" i="2"/>
  <c r="R3930" i="2"/>
  <c r="Q3930" i="2"/>
  <c r="P3930" i="2"/>
  <c r="O3930" i="2"/>
  <c r="N3930" i="2"/>
  <c r="M3930" i="2"/>
  <c r="L3930" i="2"/>
  <c r="K3930" i="2"/>
  <c r="J3930" i="2"/>
  <c r="I3930" i="2"/>
  <c r="H3930" i="2"/>
  <c r="G3930" i="2"/>
  <c r="F3930" i="2"/>
  <c r="E3930" i="2"/>
  <c r="D3930" i="2"/>
  <c r="C3930" i="2"/>
  <c r="B3930" i="2"/>
  <c r="V3929" i="2"/>
  <c r="U3929" i="2"/>
  <c r="T3929" i="2"/>
  <c r="S3929" i="2"/>
  <c r="R3929" i="2"/>
  <c r="Q3929" i="2"/>
  <c r="P3929" i="2"/>
  <c r="O3929" i="2"/>
  <c r="N3929" i="2"/>
  <c r="M3929" i="2"/>
  <c r="L3929" i="2"/>
  <c r="K3929" i="2"/>
  <c r="J3929" i="2"/>
  <c r="I3929" i="2"/>
  <c r="H3929" i="2"/>
  <c r="G3929" i="2"/>
  <c r="F3929" i="2"/>
  <c r="E3929" i="2"/>
  <c r="D3929" i="2"/>
  <c r="C3929" i="2"/>
  <c r="B3929" i="2"/>
  <c r="V3928" i="2"/>
  <c r="U3928" i="2"/>
  <c r="T3928" i="2"/>
  <c r="S3928" i="2"/>
  <c r="R3928" i="2"/>
  <c r="Q3928" i="2"/>
  <c r="P3928" i="2"/>
  <c r="O3928" i="2"/>
  <c r="N3928" i="2"/>
  <c r="M3928" i="2"/>
  <c r="L3928" i="2"/>
  <c r="K3928" i="2"/>
  <c r="J3928" i="2"/>
  <c r="I3928" i="2"/>
  <c r="H3928" i="2"/>
  <c r="G3928" i="2"/>
  <c r="F3928" i="2"/>
  <c r="E3928" i="2"/>
  <c r="D3928" i="2"/>
  <c r="C3928" i="2"/>
  <c r="B3928" i="2"/>
  <c r="V3927" i="2"/>
  <c r="U3927" i="2"/>
  <c r="T3927" i="2"/>
  <c r="S3927" i="2"/>
  <c r="R3927" i="2"/>
  <c r="Q3927" i="2"/>
  <c r="P3927" i="2"/>
  <c r="O3927" i="2"/>
  <c r="N3927" i="2"/>
  <c r="M3927" i="2"/>
  <c r="L3927" i="2"/>
  <c r="K3927" i="2"/>
  <c r="J3927" i="2"/>
  <c r="I3927" i="2"/>
  <c r="H3927" i="2"/>
  <c r="G3927" i="2"/>
  <c r="F3927" i="2"/>
  <c r="E3927" i="2"/>
  <c r="D3927" i="2"/>
  <c r="C3927" i="2"/>
  <c r="B3927" i="2"/>
  <c r="V3926" i="2"/>
  <c r="U3926" i="2"/>
  <c r="T3926" i="2"/>
  <c r="S3926" i="2"/>
  <c r="R3926" i="2"/>
  <c r="Q3926" i="2"/>
  <c r="P3926" i="2"/>
  <c r="O3926" i="2"/>
  <c r="N3926" i="2"/>
  <c r="M3926" i="2"/>
  <c r="L3926" i="2"/>
  <c r="K3926" i="2"/>
  <c r="J3926" i="2"/>
  <c r="I3926" i="2"/>
  <c r="H3926" i="2"/>
  <c r="G3926" i="2"/>
  <c r="F3926" i="2"/>
  <c r="E3926" i="2"/>
  <c r="D3926" i="2"/>
  <c r="C3926" i="2"/>
  <c r="B3926" i="2"/>
  <c r="V3925" i="2"/>
  <c r="U3925" i="2"/>
  <c r="T3925" i="2"/>
  <c r="S3925" i="2"/>
  <c r="R3925" i="2"/>
  <c r="Q3925" i="2"/>
  <c r="P3925" i="2"/>
  <c r="O3925" i="2"/>
  <c r="N3925" i="2"/>
  <c r="M3925" i="2"/>
  <c r="L3925" i="2"/>
  <c r="K3925" i="2"/>
  <c r="J3925" i="2"/>
  <c r="I3925" i="2"/>
  <c r="H3925" i="2"/>
  <c r="G3925" i="2"/>
  <c r="F3925" i="2"/>
  <c r="E3925" i="2"/>
  <c r="D3925" i="2"/>
  <c r="C3925" i="2"/>
  <c r="B3925" i="2"/>
  <c r="V3924" i="2"/>
  <c r="U3924" i="2"/>
  <c r="T3924" i="2"/>
  <c r="S3924" i="2"/>
  <c r="R3924" i="2"/>
  <c r="Q3924" i="2"/>
  <c r="P3924" i="2"/>
  <c r="O3924" i="2"/>
  <c r="N3924" i="2"/>
  <c r="M3924" i="2"/>
  <c r="L3924" i="2"/>
  <c r="K3924" i="2"/>
  <c r="J3924" i="2"/>
  <c r="I3924" i="2"/>
  <c r="H3924" i="2"/>
  <c r="G3924" i="2"/>
  <c r="F3924" i="2"/>
  <c r="E3924" i="2"/>
  <c r="D3924" i="2"/>
  <c r="C3924" i="2"/>
  <c r="B3924" i="2"/>
  <c r="V3923" i="2"/>
  <c r="U3923" i="2"/>
  <c r="T3923" i="2"/>
  <c r="S3923" i="2"/>
  <c r="R3923" i="2"/>
  <c r="Q3923" i="2"/>
  <c r="P3923" i="2"/>
  <c r="O3923" i="2"/>
  <c r="N3923" i="2"/>
  <c r="M3923" i="2"/>
  <c r="L3923" i="2"/>
  <c r="K3923" i="2"/>
  <c r="J3923" i="2"/>
  <c r="I3923" i="2"/>
  <c r="H3923" i="2"/>
  <c r="G3923" i="2"/>
  <c r="F3923" i="2"/>
  <c r="E3923" i="2"/>
  <c r="D3923" i="2"/>
  <c r="C3923" i="2"/>
  <c r="B3923" i="2"/>
  <c r="V3922" i="2"/>
  <c r="U3922" i="2"/>
  <c r="T3922" i="2"/>
  <c r="S3922" i="2"/>
  <c r="R3922" i="2"/>
  <c r="Q3922" i="2"/>
  <c r="P3922" i="2"/>
  <c r="O3922" i="2"/>
  <c r="N3922" i="2"/>
  <c r="M3922" i="2"/>
  <c r="L3922" i="2"/>
  <c r="K3922" i="2"/>
  <c r="J3922" i="2"/>
  <c r="I3922" i="2"/>
  <c r="H3922" i="2"/>
  <c r="G3922" i="2"/>
  <c r="F3922" i="2"/>
  <c r="E3922" i="2"/>
  <c r="D3922" i="2"/>
  <c r="C3922" i="2"/>
  <c r="B3922" i="2"/>
  <c r="V3921" i="2"/>
  <c r="U3921" i="2"/>
  <c r="T3921" i="2"/>
  <c r="S3921" i="2"/>
  <c r="R3921" i="2"/>
  <c r="Q3921" i="2"/>
  <c r="P3921" i="2"/>
  <c r="O3921" i="2"/>
  <c r="N3921" i="2"/>
  <c r="M3921" i="2"/>
  <c r="L3921" i="2"/>
  <c r="K3921" i="2"/>
  <c r="J3921" i="2"/>
  <c r="I3921" i="2"/>
  <c r="H3921" i="2"/>
  <c r="G3921" i="2"/>
  <c r="F3921" i="2"/>
  <c r="E3921" i="2"/>
  <c r="D3921" i="2"/>
  <c r="C3921" i="2"/>
  <c r="B3921" i="2"/>
  <c r="V3920" i="2"/>
  <c r="U3920" i="2"/>
  <c r="T3920" i="2"/>
  <c r="S3920" i="2"/>
  <c r="R3920" i="2"/>
  <c r="Q3920" i="2"/>
  <c r="P3920" i="2"/>
  <c r="O3920" i="2"/>
  <c r="N3920" i="2"/>
  <c r="M3920" i="2"/>
  <c r="L3920" i="2"/>
  <c r="K3920" i="2"/>
  <c r="J3920" i="2"/>
  <c r="I3920" i="2"/>
  <c r="H3920" i="2"/>
  <c r="G3920" i="2"/>
  <c r="F3920" i="2"/>
  <c r="E3920" i="2"/>
  <c r="D3920" i="2"/>
  <c r="C3920" i="2"/>
  <c r="B3920" i="2"/>
  <c r="V3919" i="2"/>
  <c r="U3919" i="2"/>
  <c r="T3919" i="2"/>
  <c r="S3919" i="2"/>
  <c r="R3919" i="2"/>
  <c r="Q3919" i="2"/>
  <c r="P3919" i="2"/>
  <c r="O3919" i="2"/>
  <c r="N3919" i="2"/>
  <c r="M3919" i="2"/>
  <c r="L3919" i="2"/>
  <c r="K3919" i="2"/>
  <c r="J3919" i="2"/>
  <c r="I3919" i="2"/>
  <c r="H3919" i="2"/>
  <c r="G3919" i="2"/>
  <c r="F3919" i="2"/>
  <c r="E3919" i="2"/>
  <c r="D3919" i="2"/>
  <c r="C3919" i="2"/>
  <c r="B3919" i="2"/>
  <c r="V3918" i="2"/>
  <c r="U3918" i="2"/>
  <c r="T3918" i="2"/>
  <c r="S3918" i="2"/>
  <c r="R3918" i="2"/>
  <c r="Q3918" i="2"/>
  <c r="P3918" i="2"/>
  <c r="O3918" i="2"/>
  <c r="N3918" i="2"/>
  <c r="M3918" i="2"/>
  <c r="L3918" i="2"/>
  <c r="K3918" i="2"/>
  <c r="J3918" i="2"/>
  <c r="I3918" i="2"/>
  <c r="H3918" i="2"/>
  <c r="G3918" i="2"/>
  <c r="F3918" i="2"/>
  <c r="E3918" i="2"/>
  <c r="D3918" i="2"/>
  <c r="C3918" i="2"/>
  <c r="B3918" i="2"/>
  <c r="V3917" i="2"/>
  <c r="U3917" i="2"/>
  <c r="T3917" i="2"/>
  <c r="S3917" i="2"/>
  <c r="R3917" i="2"/>
  <c r="Q3917" i="2"/>
  <c r="P3917" i="2"/>
  <c r="O3917" i="2"/>
  <c r="N3917" i="2"/>
  <c r="M3917" i="2"/>
  <c r="L3917" i="2"/>
  <c r="K3917" i="2"/>
  <c r="J3917" i="2"/>
  <c r="I3917" i="2"/>
  <c r="H3917" i="2"/>
  <c r="G3917" i="2"/>
  <c r="F3917" i="2"/>
  <c r="E3917" i="2"/>
  <c r="D3917" i="2"/>
  <c r="C3917" i="2"/>
  <c r="B3917" i="2"/>
  <c r="V3916" i="2"/>
  <c r="U3916" i="2"/>
  <c r="T3916" i="2"/>
  <c r="S3916" i="2"/>
  <c r="R3916" i="2"/>
  <c r="Q3916" i="2"/>
  <c r="P3916" i="2"/>
  <c r="O3916" i="2"/>
  <c r="N3916" i="2"/>
  <c r="M3916" i="2"/>
  <c r="L3916" i="2"/>
  <c r="K3916" i="2"/>
  <c r="J3916" i="2"/>
  <c r="I3916" i="2"/>
  <c r="H3916" i="2"/>
  <c r="G3916" i="2"/>
  <c r="F3916" i="2"/>
  <c r="E3916" i="2"/>
  <c r="D3916" i="2"/>
  <c r="C3916" i="2"/>
  <c r="B3916" i="2"/>
  <c r="V3915" i="2"/>
  <c r="U3915" i="2"/>
  <c r="T3915" i="2"/>
  <c r="S3915" i="2"/>
  <c r="R3915" i="2"/>
  <c r="Q3915" i="2"/>
  <c r="P3915" i="2"/>
  <c r="O3915" i="2"/>
  <c r="N3915" i="2"/>
  <c r="M3915" i="2"/>
  <c r="L3915" i="2"/>
  <c r="K3915" i="2"/>
  <c r="J3915" i="2"/>
  <c r="I3915" i="2"/>
  <c r="H3915" i="2"/>
  <c r="G3915" i="2"/>
  <c r="F3915" i="2"/>
  <c r="E3915" i="2"/>
  <c r="D3915" i="2"/>
  <c r="C3915" i="2"/>
  <c r="B3915" i="2"/>
  <c r="V3914" i="2"/>
  <c r="U3914" i="2"/>
  <c r="T3914" i="2"/>
  <c r="S3914" i="2"/>
  <c r="R3914" i="2"/>
  <c r="Q3914" i="2"/>
  <c r="P3914" i="2"/>
  <c r="O3914" i="2"/>
  <c r="N3914" i="2"/>
  <c r="M3914" i="2"/>
  <c r="L3914" i="2"/>
  <c r="K3914" i="2"/>
  <c r="J3914" i="2"/>
  <c r="I3914" i="2"/>
  <c r="H3914" i="2"/>
  <c r="G3914" i="2"/>
  <c r="F3914" i="2"/>
  <c r="E3914" i="2"/>
  <c r="D3914" i="2"/>
  <c r="C3914" i="2"/>
  <c r="B3914" i="2"/>
  <c r="V3913" i="2"/>
  <c r="U3913" i="2"/>
  <c r="T3913" i="2"/>
  <c r="S3913" i="2"/>
  <c r="R3913" i="2"/>
  <c r="Q3913" i="2"/>
  <c r="P3913" i="2"/>
  <c r="O3913" i="2"/>
  <c r="N3913" i="2"/>
  <c r="M3913" i="2"/>
  <c r="L3913" i="2"/>
  <c r="K3913" i="2"/>
  <c r="J3913" i="2"/>
  <c r="I3913" i="2"/>
  <c r="H3913" i="2"/>
  <c r="G3913" i="2"/>
  <c r="F3913" i="2"/>
  <c r="E3913" i="2"/>
  <c r="D3913" i="2"/>
  <c r="C3913" i="2"/>
  <c r="B3913" i="2"/>
  <c r="V3912" i="2"/>
  <c r="U3912" i="2"/>
  <c r="T3912" i="2"/>
  <c r="S3912" i="2"/>
  <c r="R3912" i="2"/>
  <c r="Q3912" i="2"/>
  <c r="P3912" i="2"/>
  <c r="O3912" i="2"/>
  <c r="N3912" i="2"/>
  <c r="M3912" i="2"/>
  <c r="L3912" i="2"/>
  <c r="K3912" i="2"/>
  <c r="J3912" i="2"/>
  <c r="I3912" i="2"/>
  <c r="H3912" i="2"/>
  <c r="G3912" i="2"/>
  <c r="F3912" i="2"/>
  <c r="E3912" i="2"/>
  <c r="D3912" i="2"/>
  <c r="C3912" i="2"/>
  <c r="B3912" i="2"/>
  <c r="V3911" i="2"/>
  <c r="U3911" i="2"/>
  <c r="T3911" i="2"/>
  <c r="S3911" i="2"/>
  <c r="R3911" i="2"/>
  <c r="Q3911" i="2"/>
  <c r="P3911" i="2"/>
  <c r="O3911" i="2"/>
  <c r="N3911" i="2"/>
  <c r="M3911" i="2"/>
  <c r="L3911" i="2"/>
  <c r="K3911" i="2"/>
  <c r="J3911" i="2"/>
  <c r="I3911" i="2"/>
  <c r="H3911" i="2"/>
  <c r="G3911" i="2"/>
  <c r="F3911" i="2"/>
  <c r="E3911" i="2"/>
  <c r="D3911" i="2"/>
  <c r="C3911" i="2"/>
  <c r="B3911" i="2"/>
  <c r="V3910" i="2"/>
  <c r="U3910" i="2"/>
  <c r="T3910" i="2"/>
  <c r="S3910" i="2"/>
  <c r="R3910" i="2"/>
  <c r="Q3910" i="2"/>
  <c r="P3910" i="2"/>
  <c r="O3910" i="2"/>
  <c r="N3910" i="2"/>
  <c r="M3910" i="2"/>
  <c r="L3910" i="2"/>
  <c r="K3910" i="2"/>
  <c r="J3910" i="2"/>
  <c r="I3910" i="2"/>
  <c r="H3910" i="2"/>
  <c r="G3910" i="2"/>
  <c r="F3910" i="2"/>
  <c r="E3910" i="2"/>
  <c r="D3910" i="2"/>
  <c r="C3910" i="2"/>
  <c r="B3910" i="2"/>
  <c r="V3909" i="2"/>
  <c r="U3909" i="2"/>
  <c r="T3909" i="2"/>
  <c r="S3909" i="2"/>
  <c r="R3909" i="2"/>
  <c r="Q3909" i="2"/>
  <c r="P3909" i="2"/>
  <c r="O3909" i="2"/>
  <c r="N3909" i="2"/>
  <c r="M3909" i="2"/>
  <c r="L3909" i="2"/>
  <c r="K3909" i="2"/>
  <c r="J3909" i="2"/>
  <c r="I3909" i="2"/>
  <c r="H3909" i="2"/>
  <c r="G3909" i="2"/>
  <c r="F3909" i="2"/>
  <c r="E3909" i="2"/>
  <c r="D3909" i="2"/>
  <c r="C3909" i="2"/>
  <c r="B3909" i="2"/>
  <c r="V3908" i="2"/>
  <c r="U3908" i="2"/>
  <c r="T3908" i="2"/>
  <c r="S3908" i="2"/>
  <c r="R3908" i="2"/>
  <c r="Q3908" i="2"/>
  <c r="P3908" i="2"/>
  <c r="O3908" i="2"/>
  <c r="N3908" i="2"/>
  <c r="M3908" i="2"/>
  <c r="L3908" i="2"/>
  <c r="K3908" i="2"/>
  <c r="J3908" i="2"/>
  <c r="I3908" i="2"/>
  <c r="H3908" i="2"/>
  <c r="G3908" i="2"/>
  <c r="F3908" i="2"/>
  <c r="E3908" i="2"/>
  <c r="D3908" i="2"/>
  <c r="C3908" i="2"/>
  <c r="B3908" i="2"/>
  <c r="V3907" i="2"/>
  <c r="U3907" i="2"/>
  <c r="T3907" i="2"/>
  <c r="S3907" i="2"/>
  <c r="R3907" i="2"/>
  <c r="Q3907" i="2"/>
  <c r="P3907" i="2"/>
  <c r="O3907" i="2"/>
  <c r="N3907" i="2"/>
  <c r="M3907" i="2"/>
  <c r="L3907" i="2"/>
  <c r="K3907" i="2"/>
  <c r="J3907" i="2"/>
  <c r="I3907" i="2"/>
  <c r="H3907" i="2"/>
  <c r="G3907" i="2"/>
  <c r="F3907" i="2"/>
  <c r="E3907" i="2"/>
  <c r="D3907" i="2"/>
  <c r="C3907" i="2"/>
  <c r="B3907" i="2"/>
  <c r="V3906" i="2"/>
  <c r="U3906" i="2"/>
  <c r="T3906" i="2"/>
  <c r="S3906" i="2"/>
  <c r="R3906" i="2"/>
  <c r="Q3906" i="2"/>
  <c r="P3906" i="2"/>
  <c r="O3906" i="2"/>
  <c r="N3906" i="2"/>
  <c r="M3906" i="2"/>
  <c r="L3906" i="2"/>
  <c r="K3906" i="2"/>
  <c r="J3906" i="2"/>
  <c r="I3906" i="2"/>
  <c r="H3906" i="2"/>
  <c r="G3906" i="2"/>
  <c r="F3906" i="2"/>
  <c r="E3906" i="2"/>
  <c r="D3906" i="2"/>
  <c r="C3906" i="2"/>
  <c r="B3906" i="2"/>
  <c r="V3905" i="2"/>
  <c r="U3905" i="2"/>
  <c r="T3905" i="2"/>
  <c r="S3905" i="2"/>
  <c r="R3905" i="2"/>
  <c r="Q3905" i="2"/>
  <c r="P3905" i="2"/>
  <c r="O3905" i="2"/>
  <c r="N3905" i="2"/>
  <c r="M3905" i="2"/>
  <c r="L3905" i="2"/>
  <c r="K3905" i="2"/>
  <c r="J3905" i="2"/>
  <c r="I3905" i="2"/>
  <c r="H3905" i="2"/>
  <c r="G3905" i="2"/>
  <c r="F3905" i="2"/>
  <c r="E3905" i="2"/>
  <c r="D3905" i="2"/>
  <c r="C3905" i="2"/>
  <c r="B3905" i="2"/>
  <c r="V3904" i="2"/>
  <c r="U3904" i="2"/>
  <c r="T3904" i="2"/>
  <c r="S3904" i="2"/>
  <c r="R3904" i="2"/>
  <c r="Q3904" i="2"/>
  <c r="P3904" i="2"/>
  <c r="O3904" i="2"/>
  <c r="N3904" i="2"/>
  <c r="M3904" i="2"/>
  <c r="L3904" i="2"/>
  <c r="K3904" i="2"/>
  <c r="J3904" i="2"/>
  <c r="I3904" i="2"/>
  <c r="H3904" i="2"/>
  <c r="G3904" i="2"/>
  <c r="F3904" i="2"/>
  <c r="E3904" i="2"/>
  <c r="D3904" i="2"/>
  <c r="C3904" i="2"/>
  <c r="B3904" i="2"/>
  <c r="V3903" i="2"/>
  <c r="U3903" i="2"/>
  <c r="T3903" i="2"/>
  <c r="S3903" i="2"/>
  <c r="R3903" i="2"/>
  <c r="Q3903" i="2"/>
  <c r="P3903" i="2"/>
  <c r="O3903" i="2"/>
  <c r="N3903" i="2"/>
  <c r="M3903" i="2"/>
  <c r="L3903" i="2"/>
  <c r="K3903" i="2"/>
  <c r="J3903" i="2"/>
  <c r="I3903" i="2"/>
  <c r="H3903" i="2"/>
  <c r="G3903" i="2"/>
  <c r="F3903" i="2"/>
  <c r="E3903" i="2"/>
  <c r="D3903" i="2"/>
  <c r="C3903" i="2"/>
  <c r="B3903" i="2"/>
  <c r="V3902" i="2"/>
  <c r="U3902" i="2"/>
  <c r="T3902" i="2"/>
  <c r="S3902" i="2"/>
  <c r="R3902" i="2"/>
  <c r="Q3902" i="2"/>
  <c r="P3902" i="2"/>
  <c r="O3902" i="2"/>
  <c r="N3902" i="2"/>
  <c r="M3902" i="2"/>
  <c r="L3902" i="2"/>
  <c r="K3902" i="2"/>
  <c r="J3902" i="2"/>
  <c r="I3902" i="2"/>
  <c r="H3902" i="2"/>
  <c r="G3902" i="2"/>
  <c r="F3902" i="2"/>
  <c r="E3902" i="2"/>
  <c r="D3902" i="2"/>
  <c r="C3902" i="2"/>
  <c r="B3902" i="2"/>
  <c r="V3901" i="2"/>
  <c r="U3901" i="2"/>
  <c r="T3901" i="2"/>
  <c r="S3901" i="2"/>
  <c r="R3901" i="2"/>
  <c r="Q3901" i="2"/>
  <c r="P3901" i="2"/>
  <c r="O3901" i="2"/>
  <c r="N3901" i="2"/>
  <c r="M3901" i="2"/>
  <c r="L3901" i="2"/>
  <c r="K3901" i="2"/>
  <c r="J3901" i="2"/>
  <c r="I3901" i="2"/>
  <c r="H3901" i="2"/>
  <c r="G3901" i="2"/>
  <c r="F3901" i="2"/>
  <c r="E3901" i="2"/>
  <c r="D3901" i="2"/>
  <c r="C3901" i="2"/>
  <c r="B3901" i="2"/>
  <c r="V3900" i="2"/>
  <c r="U3900" i="2"/>
  <c r="T3900" i="2"/>
  <c r="S3900" i="2"/>
  <c r="R3900" i="2"/>
  <c r="Q3900" i="2"/>
  <c r="P3900" i="2"/>
  <c r="O3900" i="2"/>
  <c r="N3900" i="2"/>
  <c r="M3900" i="2"/>
  <c r="L3900" i="2"/>
  <c r="K3900" i="2"/>
  <c r="J3900" i="2"/>
  <c r="I3900" i="2"/>
  <c r="H3900" i="2"/>
  <c r="G3900" i="2"/>
  <c r="F3900" i="2"/>
  <c r="E3900" i="2"/>
  <c r="D3900" i="2"/>
  <c r="C3900" i="2"/>
  <c r="B3900" i="2"/>
  <c r="V3899" i="2"/>
  <c r="U3899" i="2"/>
  <c r="T3899" i="2"/>
  <c r="S3899" i="2"/>
  <c r="R3899" i="2"/>
  <c r="Q3899" i="2"/>
  <c r="P3899" i="2"/>
  <c r="O3899" i="2"/>
  <c r="N3899" i="2"/>
  <c r="M3899" i="2"/>
  <c r="L3899" i="2"/>
  <c r="K3899" i="2"/>
  <c r="J3899" i="2"/>
  <c r="I3899" i="2"/>
  <c r="H3899" i="2"/>
  <c r="G3899" i="2"/>
  <c r="F3899" i="2"/>
  <c r="E3899" i="2"/>
  <c r="D3899" i="2"/>
  <c r="C3899" i="2"/>
  <c r="B3899" i="2"/>
  <c r="V3898" i="2"/>
  <c r="U3898" i="2"/>
  <c r="T3898" i="2"/>
  <c r="S3898" i="2"/>
  <c r="R3898" i="2"/>
  <c r="Q3898" i="2"/>
  <c r="P3898" i="2"/>
  <c r="O3898" i="2"/>
  <c r="N3898" i="2"/>
  <c r="M3898" i="2"/>
  <c r="L3898" i="2"/>
  <c r="K3898" i="2"/>
  <c r="J3898" i="2"/>
  <c r="I3898" i="2"/>
  <c r="H3898" i="2"/>
  <c r="G3898" i="2"/>
  <c r="F3898" i="2"/>
  <c r="E3898" i="2"/>
  <c r="D3898" i="2"/>
  <c r="C3898" i="2"/>
  <c r="B3898" i="2"/>
  <c r="V3897" i="2"/>
  <c r="U3897" i="2"/>
  <c r="T3897" i="2"/>
  <c r="S3897" i="2"/>
  <c r="R3897" i="2"/>
  <c r="Q3897" i="2"/>
  <c r="P3897" i="2"/>
  <c r="O3897" i="2"/>
  <c r="N3897" i="2"/>
  <c r="M3897" i="2"/>
  <c r="L3897" i="2"/>
  <c r="K3897" i="2"/>
  <c r="J3897" i="2"/>
  <c r="I3897" i="2"/>
  <c r="H3897" i="2"/>
  <c r="G3897" i="2"/>
  <c r="F3897" i="2"/>
  <c r="E3897" i="2"/>
  <c r="D3897" i="2"/>
  <c r="C3897" i="2"/>
  <c r="B3897" i="2"/>
  <c r="V3896" i="2"/>
  <c r="U3896" i="2"/>
  <c r="T3896" i="2"/>
  <c r="S3896" i="2"/>
  <c r="R3896" i="2"/>
  <c r="Q3896" i="2"/>
  <c r="P3896" i="2"/>
  <c r="O3896" i="2"/>
  <c r="N3896" i="2"/>
  <c r="M3896" i="2"/>
  <c r="L3896" i="2"/>
  <c r="K3896" i="2"/>
  <c r="J3896" i="2"/>
  <c r="I3896" i="2"/>
  <c r="H3896" i="2"/>
  <c r="G3896" i="2"/>
  <c r="F3896" i="2"/>
  <c r="E3896" i="2"/>
  <c r="D3896" i="2"/>
  <c r="C3896" i="2"/>
  <c r="B3896" i="2"/>
  <c r="V3895" i="2"/>
  <c r="U3895" i="2"/>
  <c r="T3895" i="2"/>
  <c r="S3895" i="2"/>
  <c r="R3895" i="2"/>
  <c r="Q3895" i="2"/>
  <c r="P3895" i="2"/>
  <c r="O3895" i="2"/>
  <c r="N3895" i="2"/>
  <c r="M3895" i="2"/>
  <c r="L3895" i="2"/>
  <c r="K3895" i="2"/>
  <c r="J3895" i="2"/>
  <c r="I3895" i="2"/>
  <c r="H3895" i="2"/>
  <c r="G3895" i="2"/>
  <c r="F3895" i="2"/>
  <c r="E3895" i="2"/>
  <c r="D3895" i="2"/>
  <c r="C3895" i="2"/>
  <c r="B3895" i="2"/>
  <c r="V3894" i="2"/>
  <c r="U3894" i="2"/>
  <c r="T3894" i="2"/>
  <c r="S3894" i="2"/>
  <c r="R3894" i="2"/>
  <c r="Q3894" i="2"/>
  <c r="P3894" i="2"/>
  <c r="O3894" i="2"/>
  <c r="N3894" i="2"/>
  <c r="M3894" i="2"/>
  <c r="L3894" i="2"/>
  <c r="K3894" i="2"/>
  <c r="J3894" i="2"/>
  <c r="I3894" i="2"/>
  <c r="H3894" i="2"/>
  <c r="G3894" i="2"/>
  <c r="F3894" i="2"/>
  <c r="E3894" i="2"/>
  <c r="D3894" i="2"/>
  <c r="C3894" i="2"/>
  <c r="B3894" i="2"/>
  <c r="V3893" i="2"/>
  <c r="U3893" i="2"/>
  <c r="T3893" i="2"/>
  <c r="S3893" i="2"/>
  <c r="R3893" i="2"/>
  <c r="Q3893" i="2"/>
  <c r="P3893" i="2"/>
  <c r="O3893" i="2"/>
  <c r="N3893" i="2"/>
  <c r="M3893" i="2"/>
  <c r="L3893" i="2"/>
  <c r="K3893" i="2"/>
  <c r="J3893" i="2"/>
  <c r="I3893" i="2"/>
  <c r="H3893" i="2"/>
  <c r="G3893" i="2"/>
  <c r="F3893" i="2"/>
  <c r="E3893" i="2"/>
  <c r="D3893" i="2"/>
  <c r="C3893" i="2"/>
  <c r="B3893" i="2"/>
  <c r="V3892" i="2"/>
  <c r="U3892" i="2"/>
  <c r="T3892" i="2"/>
  <c r="S3892" i="2"/>
  <c r="R3892" i="2"/>
  <c r="Q3892" i="2"/>
  <c r="P3892" i="2"/>
  <c r="O3892" i="2"/>
  <c r="N3892" i="2"/>
  <c r="M3892" i="2"/>
  <c r="L3892" i="2"/>
  <c r="K3892" i="2"/>
  <c r="J3892" i="2"/>
  <c r="I3892" i="2"/>
  <c r="H3892" i="2"/>
  <c r="G3892" i="2"/>
  <c r="F3892" i="2"/>
  <c r="E3892" i="2"/>
  <c r="D3892" i="2"/>
  <c r="C3892" i="2"/>
  <c r="B3892" i="2"/>
  <c r="V3891" i="2"/>
  <c r="U3891" i="2"/>
  <c r="T3891" i="2"/>
  <c r="S3891" i="2"/>
  <c r="R3891" i="2"/>
  <c r="Q3891" i="2"/>
  <c r="P3891" i="2"/>
  <c r="O3891" i="2"/>
  <c r="N3891" i="2"/>
  <c r="M3891" i="2"/>
  <c r="L3891" i="2"/>
  <c r="K3891" i="2"/>
  <c r="J3891" i="2"/>
  <c r="I3891" i="2"/>
  <c r="H3891" i="2"/>
  <c r="G3891" i="2"/>
  <c r="F3891" i="2"/>
  <c r="E3891" i="2"/>
  <c r="D3891" i="2"/>
  <c r="C3891" i="2"/>
  <c r="B3891" i="2"/>
  <c r="V3890" i="2"/>
  <c r="U3890" i="2"/>
  <c r="T3890" i="2"/>
  <c r="S3890" i="2"/>
  <c r="R3890" i="2"/>
  <c r="Q3890" i="2"/>
  <c r="P3890" i="2"/>
  <c r="O3890" i="2"/>
  <c r="N3890" i="2"/>
  <c r="M3890" i="2"/>
  <c r="L3890" i="2"/>
  <c r="K3890" i="2"/>
  <c r="J3890" i="2"/>
  <c r="I3890" i="2"/>
  <c r="H3890" i="2"/>
  <c r="G3890" i="2"/>
  <c r="F3890" i="2"/>
  <c r="E3890" i="2"/>
  <c r="D3890" i="2"/>
  <c r="C3890" i="2"/>
  <c r="B3890" i="2"/>
  <c r="V3889" i="2"/>
  <c r="U3889" i="2"/>
  <c r="T3889" i="2"/>
  <c r="S3889" i="2"/>
  <c r="R3889" i="2"/>
  <c r="Q3889" i="2"/>
  <c r="P3889" i="2"/>
  <c r="O3889" i="2"/>
  <c r="N3889" i="2"/>
  <c r="M3889" i="2"/>
  <c r="L3889" i="2"/>
  <c r="K3889" i="2"/>
  <c r="J3889" i="2"/>
  <c r="I3889" i="2"/>
  <c r="H3889" i="2"/>
  <c r="G3889" i="2"/>
  <c r="F3889" i="2"/>
  <c r="E3889" i="2"/>
  <c r="D3889" i="2"/>
  <c r="C3889" i="2"/>
  <c r="B3889" i="2"/>
  <c r="V3888" i="2"/>
  <c r="U3888" i="2"/>
  <c r="T3888" i="2"/>
  <c r="S3888" i="2"/>
  <c r="R3888" i="2"/>
  <c r="Q3888" i="2"/>
  <c r="P3888" i="2"/>
  <c r="O3888" i="2"/>
  <c r="N3888" i="2"/>
  <c r="M3888" i="2"/>
  <c r="L3888" i="2"/>
  <c r="K3888" i="2"/>
  <c r="J3888" i="2"/>
  <c r="I3888" i="2"/>
  <c r="H3888" i="2"/>
  <c r="G3888" i="2"/>
  <c r="F3888" i="2"/>
  <c r="E3888" i="2"/>
  <c r="D3888" i="2"/>
  <c r="C3888" i="2"/>
  <c r="B3888" i="2"/>
  <c r="V3887" i="2"/>
  <c r="U3887" i="2"/>
  <c r="T3887" i="2"/>
  <c r="S3887" i="2"/>
  <c r="R3887" i="2"/>
  <c r="Q3887" i="2"/>
  <c r="P3887" i="2"/>
  <c r="O3887" i="2"/>
  <c r="N3887" i="2"/>
  <c r="M3887" i="2"/>
  <c r="L3887" i="2"/>
  <c r="K3887" i="2"/>
  <c r="J3887" i="2"/>
  <c r="I3887" i="2"/>
  <c r="H3887" i="2"/>
  <c r="G3887" i="2"/>
  <c r="F3887" i="2"/>
  <c r="E3887" i="2"/>
  <c r="D3887" i="2"/>
  <c r="C3887" i="2"/>
  <c r="B3887" i="2"/>
  <c r="V3886" i="2"/>
  <c r="U3886" i="2"/>
  <c r="T3886" i="2"/>
  <c r="S3886" i="2"/>
  <c r="R3886" i="2"/>
  <c r="Q3886" i="2"/>
  <c r="P3886" i="2"/>
  <c r="O3886" i="2"/>
  <c r="N3886" i="2"/>
  <c r="M3886" i="2"/>
  <c r="L3886" i="2"/>
  <c r="K3886" i="2"/>
  <c r="J3886" i="2"/>
  <c r="I3886" i="2"/>
  <c r="H3886" i="2"/>
  <c r="G3886" i="2"/>
  <c r="F3886" i="2"/>
  <c r="E3886" i="2"/>
  <c r="D3886" i="2"/>
  <c r="C3886" i="2"/>
  <c r="B3886" i="2"/>
  <c r="V3885" i="2"/>
  <c r="U3885" i="2"/>
  <c r="T3885" i="2"/>
  <c r="S3885" i="2"/>
  <c r="R3885" i="2"/>
  <c r="Q3885" i="2"/>
  <c r="P3885" i="2"/>
  <c r="O3885" i="2"/>
  <c r="N3885" i="2"/>
  <c r="M3885" i="2"/>
  <c r="L3885" i="2"/>
  <c r="K3885" i="2"/>
  <c r="J3885" i="2"/>
  <c r="I3885" i="2"/>
  <c r="H3885" i="2"/>
  <c r="G3885" i="2"/>
  <c r="F3885" i="2"/>
  <c r="E3885" i="2"/>
  <c r="D3885" i="2"/>
  <c r="C3885" i="2"/>
  <c r="B3885" i="2"/>
  <c r="V3884" i="2"/>
  <c r="U3884" i="2"/>
  <c r="T3884" i="2"/>
  <c r="S3884" i="2"/>
  <c r="R3884" i="2"/>
  <c r="Q3884" i="2"/>
  <c r="P3884" i="2"/>
  <c r="O3884" i="2"/>
  <c r="N3884" i="2"/>
  <c r="M3884" i="2"/>
  <c r="L3884" i="2"/>
  <c r="K3884" i="2"/>
  <c r="J3884" i="2"/>
  <c r="I3884" i="2"/>
  <c r="H3884" i="2"/>
  <c r="G3884" i="2"/>
  <c r="F3884" i="2"/>
  <c r="E3884" i="2"/>
  <c r="D3884" i="2"/>
  <c r="C3884" i="2"/>
  <c r="B3884" i="2"/>
  <c r="V3883" i="2"/>
  <c r="U3883" i="2"/>
  <c r="T3883" i="2"/>
  <c r="S3883" i="2"/>
  <c r="R3883" i="2"/>
  <c r="Q3883" i="2"/>
  <c r="P3883" i="2"/>
  <c r="O3883" i="2"/>
  <c r="N3883" i="2"/>
  <c r="M3883" i="2"/>
  <c r="L3883" i="2"/>
  <c r="K3883" i="2"/>
  <c r="J3883" i="2"/>
  <c r="I3883" i="2"/>
  <c r="H3883" i="2"/>
  <c r="G3883" i="2"/>
  <c r="F3883" i="2"/>
  <c r="E3883" i="2"/>
  <c r="D3883" i="2"/>
  <c r="C3883" i="2"/>
  <c r="B3883" i="2"/>
  <c r="V3882" i="2"/>
  <c r="U3882" i="2"/>
  <c r="T3882" i="2"/>
  <c r="S3882" i="2"/>
  <c r="R3882" i="2"/>
  <c r="Q3882" i="2"/>
  <c r="P3882" i="2"/>
  <c r="O3882" i="2"/>
  <c r="N3882" i="2"/>
  <c r="M3882" i="2"/>
  <c r="L3882" i="2"/>
  <c r="K3882" i="2"/>
  <c r="J3882" i="2"/>
  <c r="I3882" i="2"/>
  <c r="H3882" i="2"/>
  <c r="G3882" i="2"/>
  <c r="F3882" i="2"/>
  <c r="E3882" i="2"/>
  <c r="D3882" i="2"/>
  <c r="C3882" i="2"/>
  <c r="B3882" i="2"/>
  <c r="V3881" i="2"/>
  <c r="U3881" i="2"/>
  <c r="T3881" i="2"/>
  <c r="S3881" i="2"/>
  <c r="R3881" i="2"/>
  <c r="Q3881" i="2"/>
  <c r="P3881" i="2"/>
  <c r="O3881" i="2"/>
  <c r="N3881" i="2"/>
  <c r="M3881" i="2"/>
  <c r="L3881" i="2"/>
  <c r="K3881" i="2"/>
  <c r="J3881" i="2"/>
  <c r="I3881" i="2"/>
  <c r="H3881" i="2"/>
  <c r="G3881" i="2"/>
  <c r="F3881" i="2"/>
  <c r="E3881" i="2"/>
  <c r="D3881" i="2"/>
  <c r="C3881" i="2"/>
  <c r="B3881" i="2"/>
  <c r="V3880" i="2"/>
  <c r="U3880" i="2"/>
  <c r="T3880" i="2"/>
  <c r="S3880" i="2"/>
  <c r="R3880" i="2"/>
  <c r="Q3880" i="2"/>
  <c r="P3880" i="2"/>
  <c r="O3880" i="2"/>
  <c r="N3880" i="2"/>
  <c r="M3880" i="2"/>
  <c r="L3880" i="2"/>
  <c r="K3880" i="2"/>
  <c r="J3880" i="2"/>
  <c r="I3880" i="2"/>
  <c r="H3880" i="2"/>
  <c r="G3880" i="2"/>
  <c r="F3880" i="2"/>
  <c r="E3880" i="2"/>
  <c r="D3880" i="2"/>
  <c r="C3880" i="2"/>
  <c r="B3880" i="2"/>
  <c r="V3879" i="2"/>
  <c r="U3879" i="2"/>
  <c r="T3879" i="2"/>
  <c r="S3879" i="2"/>
  <c r="R3879" i="2"/>
  <c r="Q3879" i="2"/>
  <c r="P3879" i="2"/>
  <c r="O3879" i="2"/>
  <c r="N3879" i="2"/>
  <c r="M3879" i="2"/>
  <c r="L3879" i="2"/>
  <c r="K3879" i="2"/>
  <c r="J3879" i="2"/>
  <c r="I3879" i="2"/>
  <c r="H3879" i="2"/>
  <c r="G3879" i="2"/>
  <c r="F3879" i="2"/>
  <c r="E3879" i="2"/>
  <c r="D3879" i="2"/>
  <c r="C3879" i="2"/>
  <c r="B3879" i="2"/>
  <c r="V3878" i="2"/>
  <c r="U3878" i="2"/>
  <c r="T3878" i="2"/>
  <c r="S3878" i="2"/>
  <c r="R3878" i="2"/>
  <c r="Q3878" i="2"/>
  <c r="P3878" i="2"/>
  <c r="O3878" i="2"/>
  <c r="N3878" i="2"/>
  <c r="M3878" i="2"/>
  <c r="L3878" i="2"/>
  <c r="K3878" i="2"/>
  <c r="J3878" i="2"/>
  <c r="I3878" i="2"/>
  <c r="H3878" i="2"/>
  <c r="G3878" i="2"/>
  <c r="F3878" i="2"/>
  <c r="E3878" i="2"/>
  <c r="D3878" i="2"/>
  <c r="C3878" i="2"/>
  <c r="B3878" i="2"/>
  <c r="V3877" i="2"/>
  <c r="U3877" i="2"/>
  <c r="T3877" i="2"/>
  <c r="S3877" i="2"/>
  <c r="R3877" i="2"/>
  <c r="Q3877" i="2"/>
  <c r="P3877" i="2"/>
  <c r="O3877" i="2"/>
  <c r="N3877" i="2"/>
  <c r="M3877" i="2"/>
  <c r="L3877" i="2"/>
  <c r="K3877" i="2"/>
  <c r="J3877" i="2"/>
  <c r="I3877" i="2"/>
  <c r="H3877" i="2"/>
  <c r="G3877" i="2"/>
  <c r="F3877" i="2"/>
  <c r="E3877" i="2"/>
  <c r="D3877" i="2"/>
  <c r="C3877" i="2"/>
  <c r="B3877" i="2"/>
  <c r="V3876" i="2"/>
  <c r="U3876" i="2"/>
  <c r="T3876" i="2"/>
  <c r="S3876" i="2"/>
  <c r="R3876" i="2"/>
  <c r="Q3876" i="2"/>
  <c r="P3876" i="2"/>
  <c r="O3876" i="2"/>
  <c r="N3876" i="2"/>
  <c r="M3876" i="2"/>
  <c r="L3876" i="2"/>
  <c r="K3876" i="2"/>
  <c r="J3876" i="2"/>
  <c r="I3876" i="2"/>
  <c r="H3876" i="2"/>
  <c r="G3876" i="2"/>
  <c r="F3876" i="2"/>
  <c r="E3876" i="2"/>
  <c r="D3876" i="2"/>
  <c r="C3876" i="2"/>
  <c r="B3876" i="2"/>
  <c r="V3875" i="2"/>
  <c r="U3875" i="2"/>
  <c r="T3875" i="2"/>
  <c r="S3875" i="2"/>
  <c r="R3875" i="2"/>
  <c r="Q3875" i="2"/>
  <c r="P3875" i="2"/>
  <c r="O3875" i="2"/>
  <c r="N3875" i="2"/>
  <c r="M3875" i="2"/>
  <c r="L3875" i="2"/>
  <c r="K3875" i="2"/>
  <c r="J3875" i="2"/>
  <c r="I3875" i="2"/>
  <c r="H3875" i="2"/>
  <c r="G3875" i="2"/>
  <c r="F3875" i="2"/>
  <c r="E3875" i="2"/>
  <c r="D3875" i="2"/>
  <c r="C3875" i="2"/>
  <c r="B3875" i="2"/>
  <c r="V3874" i="2"/>
  <c r="U3874" i="2"/>
  <c r="T3874" i="2"/>
  <c r="S3874" i="2"/>
  <c r="R3874" i="2"/>
  <c r="Q3874" i="2"/>
  <c r="P3874" i="2"/>
  <c r="O3874" i="2"/>
  <c r="N3874" i="2"/>
  <c r="M3874" i="2"/>
  <c r="L3874" i="2"/>
  <c r="K3874" i="2"/>
  <c r="J3874" i="2"/>
  <c r="I3874" i="2"/>
  <c r="H3874" i="2"/>
  <c r="G3874" i="2"/>
  <c r="F3874" i="2"/>
  <c r="E3874" i="2"/>
  <c r="D3874" i="2"/>
  <c r="C3874" i="2"/>
  <c r="B3874" i="2"/>
  <c r="V3873" i="2"/>
  <c r="U3873" i="2"/>
  <c r="T3873" i="2"/>
  <c r="S3873" i="2"/>
  <c r="R3873" i="2"/>
  <c r="Q3873" i="2"/>
  <c r="P3873" i="2"/>
  <c r="O3873" i="2"/>
  <c r="N3873" i="2"/>
  <c r="M3873" i="2"/>
  <c r="L3873" i="2"/>
  <c r="K3873" i="2"/>
  <c r="J3873" i="2"/>
  <c r="I3873" i="2"/>
  <c r="H3873" i="2"/>
  <c r="G3873" i="2"/>
  <c r="F3873" i="2"/>
  <c r="E3873" i="2"/>
  <c r="D3873" i="2"/>
  <c r="C3873" i="2"/>
  <c r="B3873" i="2"/>
  <c r="V3872" i="2"/>
  <c r="U3872" i="2"/>
  <c r="T3872" i="2"/>
  <c r="S3872" i="2"/>
  <c r="R3872" i="2"/>
  <c r="Q3872" i="2"/>
  <c r="P3872" i="2"/>
  <c r="O3872" i="2"/>
  <c r="N3872" i="2"/>
  <c r="M3872" i="2"/>
  <c r="L3872" i="2"/>
  <c r="K3872" i="2"/>
  <c r="J3872" i="2"/>
  <c r="I3872" i="2"/>
  <c r="H3872" i="2"/>
  <c r="G3872" i="2"/>
  <c r="F3872" i="2"/>
  <c r="E3872" i="2"/>
  <c r="D3872" i="2"/>
  <c r="C3872" i="2"/>
  <c r="B3872" i="2"/>
  <c r="V3871" i="2"/>
  <c r="U3871" i="2"/>
  <c r="T3871" i="2"/>
  <c r="S3871" i="2"/>
  <c r="R3871" i="2"/>
  <c r="Q3871" i="2"/>
  <c r="P3871" i="2"/>
  <c r="O3871" i="2"/>
  <c r="N3871" i="2"/>
  <c r="M3871" i="2"/>
  <c r="L3871" i="2"/>
  <c r="K3871" i="2"/>
  <c r="J3871" i="2"/>
  <c r="I3871" i="2"/>
  <c r="H3871" i="2"/>
  <c r="G3871" i="2"/>
  <c r="F3871" i="2"/>
  <c r="E3871" i="2"/>
  <c r="D3871" i="2"/>
  <c r="C3871" i="2"/>
  <c r="B3871" i="2"/>
  <c r="V3870" i="2"/>
  <c r="U3870" i="2"/>
  <c r="T3870" i="2"/>
  <c r="S3870" i="2"/>
  <c r="R3870" i="2"/>
  <c r="Q3870" i="2"/>
  <c r="P3870" i="2"/>
  <c r="O3870" i="2"/>
  <c r="N3870" i="2"/>
  <c r="M3870" i="2"/>
  <c r="L3870" i="2"/>
  <c r="K3870" i="2"/>
  <c r="J3870" i="2"/>
  <c r="I3870" i="2"/>
  <c r="H3870" i="2"/>
  <c r="G3870" i="2"/>
  <c r="F3870" i="2"/>
  <c r="E3870" i="2"/>
  <c r="D3870" i="2"/>
  <c r="C3870" i="2"/>
  <c r="B3870" i="2"/>
  <c r="V3869" i="2"/>
  <c r="U3869" i="2"/>
  <c r="T3869" i="2"/>
  <c r="S3869" i="2"/>
  <c r="R3869" i="2"/>
  <c r="Q3869" i="2"/>
  <c r="P3869" i="2"/>
  <c r="O3869" i="2"/>
  <c r="N3869" i="2"/>
  <c r="M3869" i="2"/>
  <c r="L3869" i="2"/>
  <c r="K3869" i="2"/>
  <c r="J3869" i="2"/>
  <c r="I3869" i="2"/>
  <c r="H3869" i="2"/>
  <c r="G3869" i="2"/>
  <c r="F3869" i="2"/>
  <c r="E3869" i="2"/>
  <c r="D3869" i="2"/>
  <c r="C3869" i="2"/>
  <c r="B3869" i="2"/>
  <c r="V3868" i="2"/>
  <c r="U3868" i="2"/>
  <c r="T3868" i="2"/>
  <c r="S3868" i="2"/>
  <c r="R3868" i="2"/>
  <c r="Q3868" i="2"/>
  <c r="P3868" i="2"/>
  <c r="O3868" i="2"/>
  <c r="N3868" i="2"/>
  <c r="M3868" i="2"/>
  <c r="L3868" i="2"/>
  <c r="K3868" i="2"/>
  <c r="J3868" i="2"/>
  <c r="I3868" i="2"/>
  <c r="H3868" i="2"/>
  <c r="G3868" i="2"/>
  <c r="F3868" i="2"/>
  <c r="E3868" i="2"/>
  <c r="D3868" i="2"/>
  <c r="C3868" i="2"/>
  <c r="B3868" i="2"/>
  <c r="V3867" i="2"/>
  <c r="U3867" i="2"/>
  <c r="T3867" i="2"/>
  <c r="S3867" i="2"/>
  <c r="R3867" i="2"/>
  <c r="Q3867" i="2"/>
  <c r="P3867" i="2"/>
  <c r="O3867" i="2"/>
  <c r="N3867" i="2"/>
  <c r="M3867" i="2"/>
  <c r="L3867" i="2"/>
  <c r="K3867" i="2"/>
  <c r="J3867" i="2"/>
  <c r="I3867" i="2"/>
  <c r="H3867" i="2"/>
  <c r="G3867" i="2"/>
  <c r="F3867" i="2"/>
  <c r="E3867" i="2"/>
  <c r="D3867" i="2"/>
  <c r="C3867" i="2"/>
  <c r="B3867" i="2"/>
  <c r="V3866" i="2"/>
  <c r="U3866" i="2"/>
  <c r="T3866" i="2"/>
  <c r="S3866" i="2"/>
  <c r="R3866" i="2"/>
  <c r="Q3866" i="2"/>
  <c r="P3866" i="2"/>
  <c r="O3866" i="2"/>
  <c r="N3866" i="2"/>
  <c r="M3866" i="2"/>
  <c r="L3866" i="2"/>
  <c r="K3866" i="2"/>
  <c r="J3866" i="2"/>
  <c r="I3866" i="2"/>
  <c r="H3866" i="2"/>
  <c r="G3866" i="2"/>
  <c r="F3866" i="2"/>
  <c r="E3866" i="2"/>
  <c r="D3866" i="2"/>
  <c r="C3866" i="2"/>
  <c r="B3866" i="2"/>
  <c r="V3865" i="2"/>
  <c r="U3865" i="2"/>
  <c r="T3865" i="2"/>
  <c r="S3865" i="2"/>
  <c r="R3865" i="2"/>
  <c r="Q3865" i="2"/>
  <c r="P3865" i="2"/>
  <c r="O3865" i="2"/>
  <c r="N3865" i="2"/>
  <c r="M3865" i="2"/>
  <c r="L3865" i="2"/>
  <c r="K3865" i="2"/>
  <c r="J3865" i="2"/>
  <c r="I3865" i="2"/>
  <c r="H3865" i="2"/>
  <c r="G3865" i="2"/>
  <c r="F3865" i="2"/>
  <c r="E3865" i="2"/>
  <c r="D3865" i="2"/>
  <c r="C3865" i="2"/>
  <c r="B3865" i="2"/>
  <c r="V3864" i="2"/>
  <c r="U3864" i="2"/>
  <c r="T3864" i="2"/>
  <c r="S3864" i="2"/>
  <c r="R3864" i="2"/>
  <c r="Q3864" i="2"/>
  <c r="P3864" i="2"/>
  <c r="O3864" i="2"/>
  <c r="N3864" i="2"/>
  <c r="M3864" i="2"/>
  <c r="L3864" i="2"/>
  <c r="K3864" i="2"/>
  <c r="J3864" i="2"/>
  <c r="I3864" i="2"/>
  <c r="H3864" i="2"/>
  <c r="G3864" i="2"/>
  <c r="F3864" i="2"/>
  <c r="E3864" i="2"/>
  <c r="D3864" i="2"/>
  <c r="C3864" i="2"/>
  <c r="B3864" i="2"/>
  <c r="V3863" i="2"/>
  <c r="U3863" i="2"/>
  <c r="T3863" i="2"/>
  <c r="S3863" i="2"/>
  <c r="R3863" i="2"/>
  <c r="Q3863" i="2"/>
  <c r="P3863" i="2"/>
  <c r="O3863" i="2"/>
  <c r="N3863" i="2"/>
  <c r="M3863" i="2"/>
  <c r="L3863" i="2"/>
  <c r="K3863" i="2"/>
  <c r="J3863" i="2"/>
  <c r="I3863" i="2"/>
  <c r="H3863" i="2"/>
  <c r="G3863" i="2"/>
  <c r="F3863" i="2"/>
  <c r="E3863" i="2"/>
  <c r="D3863" i="2"/>
  <c r="C3863" i="2"/>
  <c r="B3863" i="2"/>
  <c r="V3862" i="2"/>
  <c r="U3862" i="2"/>
  <c r="T3862" i="2"/>
  <c r="S3862" i="2"/>
  <c r="R3862" i="2"/>
  <c r="Q3862" i="2"/>
  <c r="P3862" i="2"/>
  <c r="O3862" i="2"/>
  <c r="N3862" i="2"/>
  <c r="M3862" i="2"/>
  <c r="L3862" i="2"/>
  <c r="K3862" i="2"/>
  <c r="J3862" i="2"/>
  <c r="I3862" i="2"/>
  <c r="H3862" i="2"/>
  <c r="G3862" i="2"/>
  <c r="F3862" i="2"/>
  <c r="E3862" i="2"/>
  <c r="D3862" i="2"/>
  <c r="C3862" i="2"/>
  <c r="B3862" i="2"/>
  <c r="V3861" i="2"/>
  <c r="U3861" i="2"/>
  <c r="T3861" i="2"/>
  <c r="S3861" i="2"/>
  <c r="R3861" i="2"/>
  <c r="Q3861" i="2"/>
  <c r="P3861" i="2"/>
  <c r="O3861" i="2"/>
  <c r="N3861" i="2"/>
  <c r="M3861" i="2"/>
  <c r="L3861" i="2"/>
  <c r="K3861" i="2"/>
  <c r="J3861" i="2"/>
  <c r="I3861" i="2"/>
  <c r="H3861" i="2"/>
  <c r="G3861" i="2"/>
  <c r="F3861" i="2"/>
  <c r="E3861" i="2"/>
  <c r="D3861" i="2"/>
  <c r="C3861" i="2"/>
  <c r="B3861" i="2"/>
  <c r="V3860" i="2"/>
  <c r="U3860" i="2"/>
  <c r="T3860" i="2"/>
  <c r="S3860" i="2"/>
  <c r="R3860" i="2"/>
  <c r="Q3860" i="2"/>
  <c r="P3860" i="2"/>
  <c r="O3860" i="2"/>
  <c r="N3860" i="2"/>
  <c r="M3860" i="2"/>
  <c r="L3860" i="2"/>
  <c r="K3860" i="2"/>
  <c r="J3860" i="2"/>
  <c r="I3860" i="2"/>
  <c r="H3860" i="2"/>
  <c r="G3860" i="2"/>
  <c r="F3860" i="2"/>
  <c r="E3860" i="2"/>
  <c r="D3860" i="2"/>
  <c r="C3860" i="2"/>
  <c r="B3860" i="2"/>
  <c r="V3859" i="2"/>
  <c r="U3859" i="2"/>
  <c r="T3859" i="2"/>
  <c r="S3859" i="2"/>
  <c r="R3859" i="2"/>
  <c r="Q3859" i="2"/>
  <c r="P3859" i="2"/>
  <c r="O3859" i="2"/>
  <c r="N3859" i="2"/>
  <c r="M3859" i="2"/>
  <c r="L3859" i="2"/>
  <c r="K3859" i="2"/>
  <c r="J3859" i="2"/>
  <c r="I3859" i="2"/>
  <c r="H3859" i="2"/>
  <c r="G3859" i="2"/>
  <c r="F3859" i="2"/>
  <c r="E3859" i="2"/>
  <c r="D3859" i="2"/>
  <c r="C3859" i="2"/>
  <c r="B3859" i="2"/>
  <c r="V3858" i="2"/>
  <c r="U3858" i="2"/>
  <c r="T3858" i="2"/>
  <c r="S3858" i="2"/>
  <c r="R3858" i="2"/>
  <c r="Q3858" i="2"/>
  <c r="P3858" i="2"/>
  <c r="O3858" i="2"/>
  <c r="N3858" i="2"/>
  <c r="M3858" i="2"/>
  <c r="L3858" i="2"/>
  <c r="K3858" i="2"/>
  <c r="J3858" i="2"/>
  <c r="I3858" i="2"/>
  <c r="H3858" i="2"/>
  <c r="G3858" i="2"/>
  <c r="F3858" i="2"/>
  <c r="E3858" i="2"/>
  <c r="D3858" i="2"/>
  <c r="C3858" i="2"/>
  <c r="B3858" i="2"/>
  <c r="V3857" i="2"/>
  <c r="U3857" i="2"/>
  <c r="T3857" i="2"/>
  <c r="S3857" i="2"/>
  <c r="R3857" i="2"/>
  <c r="Q3857" i="2"/>
  <c r="P3857" i="2"/>
  <c r="O3857" i="2"/>
  <c r="N3857" i="2"/>
  <c r="M3857" i="2"/>
  <c r="L3857" i="2"/>
  <c r="K3857" i="2"/>
  <c r="J3857" i="2"/>
  <c r="I3857" i="2"/>
  <c r="H3857" i="2"/>
  <c r="G3857" i="2"/>
  <c r="F3857" i="2"/>
  <c r="E3857" i="2"/>
  <c r="D3857" i="2"/>
  <c r="C3857" i="2"/>
  <c r="B3857" i="2"/>
  <c r="V3856" i="2"/>
  <c r="U3856" i="2"/>
  <c r="T3856" i="2"/>
  <c r="S3856" i="2"/>
  <c r="R3856" i="2"/>
  <c r="Q3856" i="2"/>
  <c r="P3856" i="2"/>
  <c r="O3856" i="2"/>
  <c r="N3856" i="2"/>
  <c r="M3856" i="2"/>
  <c r="L3856" i="2"/>
  <c r="K3856" i="2"/>
  <c r="J3856" i="2"/>
  <c r="I3856" i="2"/>
  <c r="H3856" i="2"/>
  <c r="G3856" i="2"/>
  <c r="F3856" i="2"/>
  <c r="E3856" i="2"/>
  <c r="D3856" i="2"/>
  <c r="C3856" i="2"/>
  <c r="B3856" i="2"/>
  <c r="V3855" i="2"/>
  <c r="U3855" i="2"/>
  <c r="T3855" i="2"/>
  <c r="S3855" i="2"/>
  <c r="R3855" i="2"/>
  <c r="Q3855" i="2"/>
  <c r="P3855" i="2"/>
  <c r="O3855" i="2"/>
  <c r="N3855" i="2"/>
  <c r="M3855" i="2"/>
  <c r="L3855" i="2"/>
  <c r="K3855" i="2"/>
  <c r="J3855" i="2"/>
  <c r="I3855" i="2"/>
  <c r="H3855" i="2"/>
  <c r="G3855" i="2"/>
  <c r="F3855" i="2"/>
  <c r="E3855" i="2"/>
  <c r="D3855" i="2"/>
  <c r="C3855" i="2"/>
  <c r="B3855" i="2"/>
  <c r="V3854" i="2"/>
  <c r="U3854" i="2"/>
  <c r="T3854" i="2"/>
  <c r="S3854" i="2"/>
  <c r="R3854" i="2"/>
  <c r="Q3854" i="2"/>
  <c r="P3854" i="2"/>
  <c r="O3854" i="2"/>
  <c r="N3854" i="2"/>
  <c r="M3854" i="2"/>
  <c r="L3854" i="2"/>
  <c r="K3854" i="2"/>
  <c r="J3854" i="2"/>
  <c r="I3854" i="2"/>
  <c r="H3854" i="2"/>
  <c r="G3854" i="2"/>
  <c r="F3854" i="2"/>
  <c r="E3854" i="2"/>
  <c r="D3854" i="2"/>
  <c r="C3854" i="2"/>
  <c r="B3854" i="2"/>
  <c r="V3853" i="2"/>
  <c r="U3853" i="2"/>
  <c r="T3853" i="2"/>
  <c r="S3853" i="2"/>
  <c r="R3853" i="2"/>
  <c r="Q3853" i="2"/>
  <c r="P3853" i="2"/>
  <c r="O3853" i="2"/>
  <c r="N3853" i="2"/>
  <c r="M3853" i="2"/>
  <c r="L3853" i="2"/>
  <c r="K3853" i="2"/>
  <c r="J3853" i="2"/>
  <c r="I3853" i="2"/>
  <c r="H3853" i="2"/>
  <c r="G3853" i="2"/>
  <c r="F3853" i="2"/>
  <c r="E3853" i="2"/>
  <c r="D3853" i="2"/>
  <c r="C3853" i="2"/>
  <c r="B3853" i="2"/>
  <c r="V3852" i="2"/>
  <c r="U3852" i="2"/>
  <c r="T3852" i="2"/>
  <c r="S3852" i="2"/>
  <c r="R3852" i="2"/>
  <c r="Q3852" i="2"/>
  <c r="P3852" i="2"/>
  <c r="O3852" i="2"/>
  <c r="N3852" i="2"/>
  <c r="M3852" i="2"/>
  <c r="L3852" i="2"/>
  <c r="K3852" i="2"/>
  <c r="J3852" i="2"/>
  <c r="I3852" i="2"/>
  <c r="H3852" i="2"/>
  <c r="G3852" i="2"/>
  <c r="F3852" i="2"/>
  <c r="E3852" i="2"/>
  <c r="D3852" i="2"/>
  <c r="C3852" i="2"/>
  <c r="B3852" i="2"/>
  <c r="V3851" i="2"/>
  <c r="U3851" i="2"/>
  <c r="T3851" i="2"/>
  <c r="S3851" i="2"/>
  <c r="R3851" i="2"/>
  <c r="Q3851" i="2"/>
  <c r="P3851" i="2"/>
  <c r="O3851" i="2"/>
  <c r="N3851" i="2"/>
  <c r="M3851" i="2"/>
  <c r="L3851" i="2"/>
  <c r="K3851" i="2"/>
  <c r="J3851" i="2"/>
  <c r="I3851" i="2"/>
  <c r="H3851" i="2"/>
  <c r="G3851" i="2"/>
  <c r="F3851" i="2"/>
  <c r="E3851" i="2"/>
  <c r="D3851" i="2"/>
  <c r="C3851" i="2"/>
  <c r="B3851" i="2"/>
  <c r="V3850" i="2"/>
  <c r="U3850" i="2"/>
  <c r="T3850" i="2"/>
  <c r="S3850" i="2"/>
  <c r="R3850" i="2"/>
  <c r="Q3850" i="2"/>
  <c r="P3850" i="2"/>
  <c r="O3850" i="2"/>
  <c r="N3850" i="2"/>
  <c r="M3850" i="2"/>
  <c r="L3850" i="2"/>
  <c r="K3850" i="2"/>
  <c r="J3850" i="2"/>
  <c r="I3850" i="2"/>
  <c r="H3850" i="2"/>
  <c r="G3850" i="2"/>
  <c r="F3850" i="2"/>
  <c r="E3850" i="2"/>
  <c r="D3850" i="2"/>
  <c r="C3850" i="2"/>
  <c r="B3850" i="2"/>
  <c r="V3849" i="2"/>
  <c r="U3849" i="2"/>
  <c r="T3849" i="2"/>
  <c r="S3849" i="2"/>
  <c r="R3849" i="2"/>
  <c r="Q3849" i="2"/>
  <c r="P3849" i="2"/>
  <c r="O3849" i="2"/>
  <c r="N3849" i="2"/>
  <c r="M3849" i="2"/>
  <c r="L3849" i="2"/>
  <c r="K3849" i="2"/>
  <c r="J3849" i="2"/>
  <c r="I3849" i="2"/>
  <c r="H3849" i="2"/>
  <c r="G3849" i="2"/>
  <c r="F3849" i="2"/>
  <c r="E3849" i="2"/>
  <c r="D3849" i="2"/>
  <c r="C3849" i="2"/>
  <c r="B3849" i="2"/>
  <c r="V3848" i="2"/>
  <c r="U3848" i="2"/>
  <c r="T3848" i="2"/>
  <c r="S3848" i="2"/>
  <c r="R3848" i="2"/>
  <c r="Q3848" i="2"/>
  <c r="P3848" i="2"/>
  <c r="O3848" i="2"/>
  <c r="N3848" i="2"/>
  <c r="M3848" i="2"/>
  <c r="L3848" i="2"/>
  <c r="K3848" i="2"/>
  <c r="J3848" i="2"/>
  <c r="I3848" i="2"/>
  <c r="H3848" i="2"/>
  <c r="G3848" i="2"/>
  <c r="F3848" i="2"/>
  <c r="E3848" i="2"/>
  <c r="D3848" i="2"/>
  <c r="C3848" i="2"/>
  <c r="B3848" i="2"/>
  <c r="V3847" i="2"/>
  <c r="U3847" i="2"/>
  <c r="T3847" i="2"/>
  <c r="S3847" i="2"/>
  <c r="R3847" i="2"/>
  <c r="Q3847" i="2"/>
  <c r="P3847" i="2"/>
  <c r="O3847" i="2"/>
  <c r="N3847" i="2"/>
  <c r="M3847" i="2"/>
  <c r="L3847" i="2"/>
  <c r="K3847" i="2"/>
  <c r="J3847" i="2"/>
  <c r="I3847" i="2"/>
  <c r="H3847" i="2"/>
  <c r="G3847" i="2"/>
  <c r="F3847" i="2"/>
  <c r="E3847" i="2"/>
  <c r="D3847" i="2"/>
  <c r="C3847" i="2"/>
  <c r="B3847" i="2"/>
  <c r="V3846" i="2"/>
  <c r="U3846" i="2"/>
  <c r="T3846" i="2"/>
  <c r="S3846" i="2"/>
  <c r="R3846" i="2"/>
  <c r="Q3846" i="2"/>
  <c r="P3846" i="2"/>
  <c r="O3846" i="2"/>
  <c r="N3846" i="2"/>
  <c r="M3846" i="2"/>
  <c r="L3846" i="2"/>
  <c r="K3846" i="2"/>
  <c r="J3846" i="2"/>
  <c r="I3846" i="2"/>
  <c r="H3846" i="2"/>
  <c r="G3846" i="2"/>
  <c r="F3846" i="2"/>
  <c r="E3846" i="2"/>
  <c r="D3846" i="2"/>
  <c r="C3846" i="2"/>
  <c r="B3846" i="2"/>
  <c r="V3845" i="2"/>
  <c r="U3845" i="2"/>
  <c r="T3845" i="2"/>
  <c r="S3845" i="2"/>
  <c r="R3845" i="2"/>
  <c r="Q3845" i="2"/>
  <c r="P3845" i="2"/>
  <c r="O3845" i="2"/>
  <c r="N3845" i="2"/>
  <c r="M3845" i="2"/>
  <c r="L3845" i="2"/>
  <c r="K3845" i="2"/>
  <c r="J3845" i="2"/>
  <c r="I3845" i="2"/>
  <c r="H3845" i="2"/>
  <c r="G3845" i="2"/>
  <c r="F3845" i="2"/>
  <c r="E3845" i="2"/>
  <c r="D3845" i="2"/>
  <c r="C3845" i="2"/>
  <c r="B3845" i="2"/>
  <c r="V3844" i="2"/>
  <c r="U3844" i="2"/>
  <c r="T3844" i="2"/>
  <c r="S3844" i="2"/>
  <c r="R3844" i="2"/>
  <c r="Q3844" i="2"/>
  <c r="P3844" i="2"/>
  <c r="O3844" i="2"/>
  <c r="N3844" i="2"/>
  <c r="M3844" i="2"/>
  <c r="L3844" i="2"/>
  <c r="K3844" i="2"/>
  <c r="J3844" i="2"/>
  <c r="I3844" i="2"/>
  <c r="H3844" i="2"/>
  <c r="G3844" i="2"/>
  <c r="F3844" i="2"/>
  <c r="E3844" i="2"/>
  <c r="D3844" i="2"/>
  <c r="C3844" i="2"/>
  <c r="B3844" i="2"/>
  <c r="V3843" i="2"/>
  <c r="U3843" i="2"/>
  <c r="T3843" i="2"/>
  <c r="S3843" i="2"/>
  <c r="R3843" i="2"/>
  <c r="Q3843" i="2"/>
  <c r="P3843" i="2"/>
  <c r="O3843" i="2"/>
  <c r="N3843" i="2"/>
  <c r="M3843" i="2"/>
  <c r="L3843" i="2"/>
  <c r="K3843" i="2"/>
  <c r="J3843" i="2"/>
  <c r="I3843" i="2"/>
  <c r="H3843" i="2"/>
  <c r="G3843" i="2"/>
  <c r="F3843" i="2"/>
  <c r="E3843" i="2"/>
  <c r="D3843" i="2"/>
  <c r="C3843" i="2"/>
  <c r="B3843" i="2"/>
  <c r="V3842" i="2"/>
  <c r="U3842" i="2"/>
  <c r="T3842" i="2"/>
  <c r="S3842" i="2"/>
  <c r="R3842" i="2"/>
  <c r="Q3842" i="2"/>
  <c r="P3842" i="2"/>
  <c r="O3842" i="2"/>
  <c r="N3842" i="2"/>
  <c r="M3842" i="2"/>
  <c r="L3842" i="2"/>
  <c r="K3842" i="2"/>
  <c r="J3842" i="2"/>
  <c r="I3842" i="2"/>
  <c r="H3842" i="2"/>
  <c r="G3842" i="2"/>
  <c r="F3842" i="2"/>
  <c r="E3842" i="2"/>
  <c r="D3842" i="2"/>
  <c r="C3842" i="2"/>
  <c r="B3842" i="2"/>
  <c r="V3841" i="2"/>
  <c r="U3841" i="2"/>
  <c r="T3841" i="2"/>
  <c r="S3841" i="2"/>
  <c r="R3841" i="2"/>
  <c r="Q3841" i="2"/>
  <c r="P3841" i="2"/>
  <c r="O3841" i="2"/>
  <c r="N3841" i="2"/>
  <c r="M3841" i="2"/>
  <c r="L3841" i="2"/>
  <c r="K3841" i="2"/>
  <c r="J3841" i="2"/>
  <c r="I3841" i="2"/>
  <c r="H3841" i="2"/>
  <c r="G3841" i="2"/>
  <c r="F3841" i="2"/>
  <c r="E3841" i="2"/>
  <c r="D3841" i="2"/>
  <c r="C3841" i="2"/>
  <c r="B3841" i="2"/>
  <c r="V3840" i="2"/>
  <c r="U3840" i="2"/>
  <c r="T3840" i="2"/>
  <c r="S3840" i="2"/>
  <c r="R3840" i="2"/>
  <c r="Q3840" i="2"/>
  <c r="P3840" i="2"/>
  <c r="O3840" i="2"/>
  <c r="N3840" i="2"/>
  <c r="M3840" i="2"/>
  <c r="L3840" i="2"/>
  <c r="K3840" i="2"/>
  <c r="J3840" i="2"/>
  <c r="I3840" i="2"/>
  <c r="H3840" i="2"/>
  <c r="G3840" i="2"/>
  <c r="F3840" i="2"/>
  <c r="E3840" i="2"/>
  <c r="D3840" i="2"/>
  <c r="C3840" i="2"/>
  <c r="B3840" i="2"/>
  <c r="V3839" i="2"/>
  <c r="U3839" i="2"/>
  <c r="T3839" i="2"/>
  <c r="S3839" i="2"/>
  <c r="R3839" i="2"/>
  <c r="Q3839" i="2"/>
  <c r="P3839" i="2"/>
  <c r="O3839" i="2"/>
  <c r="N3839" i="2"/>
  <c r="M3839" i="2"/>
  <c r="L3839" i="2"/>
  <c r="K3839" i="2"/>
  <c r="J3839" i="2"/>
  <c r="I3839" i="2"/>
  <c r="H3839" i="2"/>
  <c r="G3839" i="2"/>
  <c r="F3839" i="2"/>
  <c r="E3839" i="2"/>
  <c r="D3839" i="2"/>
  <c r="C3839" i="2"/>
  <c r="B3839" i="2"/>
  <c r="V3838" i="2"/>
  <c r="U3838" i="2"/>
  <c r="T3838" i="2"/>
  <c r="S3838" i="2"/>
  <c r="R3838" i="2"/>
  <c r="Q3838" i="2"/>
  <c r="P3838" i="2"/>
  <c r="O3838" i="2"/>
  <c r="N3838" i="2"/>
  <c r="M3838" i="2"/>
  <c r="L3838" i="2"/>
  <c r="K3838" i="2"/>
  <c r="J3838" i="2"/>
  <c r="I3838" i="2"/>
  <c r="H3838" i="2"/>
  <c r="G3838" i="2"/>
  <c r="F3838" i="2"/>
  <c r="E3838" i="2"/>
  <c r="D3838" i="2"/>
  <c r="C3838" i="2"/>
  <c r="B3838" i="2"/>
  <c r="V3837" i="2"/>
  <c r="U3837" i="2"/>
  <c r="T3837" i="2"/>
  <c r="S3837" i="2"/>
  <c r="R3837" i="2"/>
  <c r="Q3837" i="2"/>
  <c r="P3837" i="2"/>
  <c r="O3837" i="2"/>
  <c r="N3837" i="2"/>
  <c r="M3837" i="2"/>
  <c r="L3837" i="2"/>
  <c r="K3837" i="2"/>
  <c r="J3837" i="2"/>
  <c r="I3837" i="2"/>
  <c r="H3837" i="2"/>
  <c r="G3837" i="2"/>
  <c r="F3837" i="2"/>
  <c r="E3837" i="2"/>
  <c r="D3837" i="2"/>
  <c r="C3837" i="2"/>
  <c r="B3837" i="2"/>
  <c r="V3836" i="2"/>
  <c r="U3836" i="2"/>
  <c r="T3836" i="2"/>
  <c r="S3836" i="2"/>
  <c r="R3836" i="2"/>
  <c r="Q3836" i="2"/>
  <c r="P3836" i="2"/>
  <c r="O3836" i="2"/>
  <c r="N3836" i="2"/>
  <c r="M3836" i="2"/>
  <c r="L3836" i="2"/>
  <c r="K3836" i="2"/>
  <c r="J3836" i="2"/>
  <c r="I3836" i="2"/>
  <c r="H3836" i="2"/>
  <c r="G3836" i="2"/>
  <c r="F3836" i="2"/>
  <c r="E3836" i="2"/>
  <c r="D3836" i="2"/>
  <c r="C3836" i="2"/>
  <c r="B3836" i="2"/>
  <c r="V3835" i="2"/>
  <c r="U3835" i="2"/>
  <c r="T3835" i="2"/>
  <c r="S3835" i="2"/>
  <c r="R3835" i="2"/>
  <c r="Q3835" i="2"/>
  <c r="P3835" i="2"/>
  <c r="O3835" i="2"/>
  <c r="N3835" i="2"/>
  <c r="M3835" i="2"/>
  <c r="L3835" i="2"/>
  <c r="K3835" i="2"/>
  <c r="J3835" i="2"/>
  <c r="I3835" i="2"/>
  <c r="H3835" i="2"/>
  <c r="G3835" i="2"/>
  <c r="F3835" i="2"/>
  <c r="E3835" i="2"/>
  <c r="D3835" i="2"/>
  <c r="C3835" i="2"/>
  <c r="B3835" i="2"/>
  <c r="V3834" i="2"/>
  <c r="U3834" i="2"/>
  <c r="T3834" i="2"/>
  <c r="S3834" i="2"/>
  <c r="R3834" i="2"/>
  <c r="Q3834" i="2"/>
  <c r="P3834" i="2"/>
  <c r="O3834" i="2"/>
  <c r="N3834" i="2"/>
  <c r="M3834" i="2"/>
  <c r="L3834" i="2"/>
  <c r="K3834" i="2"/>
  <c r="J3834" i="2"/>
  <c r="I3834" i="2"/>
  <c r="H3834" i="2"/>
  <c r="G3834" i="2"/>
  <c r="F3834" i="2"/>
  <c r="E3834" i="2"/>
  <c r="D3834" i="2"/>
  <c r="C3834" i="2"/>
  <c r="B3834" i="2"/>
  <c r="V3833" i="2"/>
  <c r="U3833" i="2"/>
  <c r="T3833" i="2"/>
  <c r="S3833" i="2"/>
  <c r="R3833" i="2"/>
  <c r="Q3833" i="2"/>
  <c r="P3833" i="2"/>
  <c r="O3833" i="2"/>
  <c r="N3833" i="2"/>
  <c r="M3833" i="2"/>
  <c r="L3833" i="2"/>
  <c r="K3833" i="2"/>
  <c r="J3833" i="2"/>
  <c r="I3833" i="2"/>
  <c r="H3833" i="2"/>
  <c r="G3833" i="2"/>
  <c r="F3833" i="2"/>
  <c r="E3833" i="2"/>
  <c r="D3833" i="2"/>
  <c r="C3833" i="2"/>
  <c r="B3833" i="2"/>
  <c r="V3832" i="2"/>
  <c r="U3832" i="2"/>
  <c r="T3832" i="2"/>
  <c r="S3832" i="2"/>
  <c r="R3832" i="2"/>
  <c r="Q3832" i="2"/>
  <c r="P3832" i="2"/>
  <c r="O3832" i="2"/>
  <c r="N3832" i="2"/>
  <c r="M3832" i="2"/>
  <c r="L3832" i="2"/>
  <c r="K3832" i="2"/>
  <c r="J3832" i="2"/>
  <c r="I3832" i="2"/>
  <c r="H3832" i="2"/>
  <c r="G3832" i="2"/>
  <c r="F3832" i="2"/>
  <c r="E3832" i="2"/>
  <c r="D3832" i="2"/>
  <c r="C3832" i="2"/>
  <c r="B3832" i="2"/>
  <c r="V3831" i="2"/>
  <c r="U3831" i="2"/>
  <c r="T3831" i="2"/>
  <c r="S3831" i="2"/>
  <c r="R3831" i="2"/>
  <c r="Q3831" i="2"/>
  <c r="P3831" i="2"/>
  <c r="O3831" i="2"/>
  <c r="N3831" i="2"/>
  <c r="M3831" i="2"/>
  <c r="L3831" i="2"/>
  <c r="K3831" i="2"/>
  <c r="J3831" i="2"/>
  <c r="I3831" i="2"/>
  <c r="H3831" i="2"/>
  <c r="G3831" i="2"/>
  <c r="F3831" i="2"/>
  <c r="E3831" i="2"/>
  <c r="D3831" i="2"/>
  <c r="C3831" i="2"/>
  <c r="B3831" i="2"/>
  <c r="V3830" i="2"/>
  <c r="U3830" i="2"/>
  <c r="T3830" i="2"/>
  <c r="S3830" i="2"/>
  <c r="R3830" i="2"/>
  <c r="Q3830" i="2"/>
  <c r="P3830" i="2"/>
  <c r="O3830" i="2"/>
  <c r="N3830" i="2"/>
  <c r="M3830" i="2"/>
  <c r="L3830" i="2"/>
  <c r="K3830" i="2"/>
  <c r="J3830" i="2"/>
  <c r="I3830" i="2"/>
  <c r="H3830" i="2"/>
  <c r="G3830" i="2"/>
  <c r="F3830" i="2"/>
  <c r="E3830" i="2"/>
  <c r="D3830" i="2"/>
  <c r="C3830" i="2"/>
  <c r="B3830" i="2"/>
  <c r="V3829" i="2"/>
  <c r="U3829" i="2"/>
  <c r="T3829" i="2"/>
  <c r="S3829" i="2"/>
  <c r="R3829" i="2"/>
  <c r="Q3829" i="2"/>
  <c r="P3829" i="2"/>
  <c r="O3829" i="2"/>
  <c r="N3829" i="2"/>
  <c r="M3829" i="2"/>
  <c r="L3829" i="2"/>
  <c r="K3829" i="2"/>
  <c r="J3829" i="2"/>
  <c r="I3829" i="2"/>
  <c r="H3829" i="2"/>
  <c r="G3829" i="2"/>
  <c r="F3829" i="2"/>
  <c r="E3829" i="2"/>
  <c r="D3829" i="2"/>
  <c r="C3829" i="2"/>
  <c r="B3829" i="2"/>
  <c r="V3828" i="2"/>
  <c r="U3828" i="2"/>
  <c r="T3828" i="2"/>
  <c r="S3828" i="2"/>
  <c r="R3828" i="2"/>
  <c r="Q3828" i="2"/>
  <c r="P3828" i="2"/>
  <c r="O3828" i="2"/>
  <c r="N3828" i="2"/>
  <c r="M3828" i="2"/>
  <c r="L3828" i="2"/>
  <c r="K3828" i="2"/>
  <c r="J3828" i="2"/>
  <c r="I3828" i="2"/>
  <c r="H3828" i="2"/>
  <c r="G3828" i="2"/>
  <c r="F3828" i="2"/>
  <c r="E3828" i="2"/>
  <c r="D3828" i="2"/>
  <c r="C3828" i="2"/>
  <c r="B3828" i="2"/>
  <c r="V3827" i="2"/>
  <c r="U3827" i="2"/>
  <c r="T3827" i="2"/>
  <c r="S3827" i="2"/>
  <c r="R3827" i="2"/>
  <c r="Q3827" i="2"/>
  <c r="P3827" i="2"/>
  <c r="O3827" i="2"/>
  <c r="N3827" i="2"/>
  <c r="M3827" i="2"/>
  <c r="L3827" i="2"/>
  <c r="K3827" i="2"/>
  <c r="J3827" i="2"/>
  <c r="I3827" i="2"/>
  <c r="H3827" i="2"/>
  <c r="G3827" i="2"/>
  <c r="F3827" i="2"/>
  <c r="E3827" i="2"/>
  <c r="D3827" i="2"/>
  <c r="C3827" i="2"/>
  <c r="B3827" i="2"/>
  <c r="V3826" i="2"/>
  <c r="U3826" i="2"/>
  <c r="T3826" i="2"/>
  <c r="S3826" i="2"/>
  <c r="R3826" i="2"/>
  <c r="Q3826" i="2"/>
  <c r="P3826" i="2"/>
  <c r="O3826" i="2"/>
  <c r="N3826" i="2"/>
  <c r="M3826" i="2"/>
  <c r="L3826" i="2"/>
  <c r="K3826" i="2"/>
  <c r="J3826" i="2"/>
  <c r="I3826" i="2"/>
  <c r="H3826" i="2"/>
  <c r="G3826" i="2"/>
  <c r="F3826" i="2"/>
  <c r="E3826" i="2"/>
  <c r="D3826" i="2"/>
  <c r="C3826" i="2"/>
  <c r="B3826" i="2"/>
  <c r="V3825" i="2"/>
  <c r="U3825" i="2"/>
  <c r="T3825" i="2"/>
  <c r="S3825" i="2"/>
  <c r="R3825" i="2"/>
  <c r="Q3825" i="2"/>
  <c r="P3825" i="2"/>
  <c r="O3825" i="2"/>
  <c r="N3825" i="2"/>
  <c r="M3825" i="2"/>
  <c r="L3825" i="2"/>
  <c r="K3825" i="2"/>
  <c r="J3825" i="2"/>
  <c r="I3825" i="2"/>
  <c r="H3825" i="2"/>
  <c r="G3825" i="2"/>
  <c r="F3825" i="2"/>
  <c r="E3825" i="2"/>
  <c r="D3825" i="2"/>
  <c r="C3825" i="2"/>
  <c r="B3825" i="2"/>
  <c r="V3824" i="2"/>
  <c r="U3824" i="2"/>
  <c r="T3824" i="2"/>
  <c r="S3824" i="2"/>
  <c r="R3824" i="2"/>
  <c r="Q3824" i="2"/>
  <c r="P3824" i="2"/>
  <c r="O3824" i="2"/>
  <c r="N3824" i="2"/>
  <c r="M3824" i="2"/>
  <c r="L3824" i="2"/>
  <c r="K3824" i="2"/>
  <c r="J3824" i="2"/>
  <c r="I3824" i="2"/>
  <c r="H3824" i="2"/>
  <c r="G3824" i="2"/>
  <c r="F3824" i="2"/>
  <c r="E3824" i="2"/>
  <c r="D3824" i="2"/>
  <c r="C3824" i="2"/>
  <c r="B3824" i="2"/>
  <c r="V3823" i="2"/>
  <c r="U3823" i="2"/>
  <c r="T3823" i="2"/>
  <c r="S3823" i="2"/>
  <c r="R3823" i="2"/>
  <c r="Q3823" i="2"/>
  <c r="P3823" i="2"/>
  <c r="O3823" i="2"/>
  <c r="N3823" i="2"/>
  <c r="M3823" i="2"/>
  <c r="L3823" i="2"/>
  <c r="K3823" i="2"/>
  <c r="J3823" i="2"/>
  <c r="I3823" i="2"/>
  <c r="H3823" i="2"/>
  <c r="G3823" i="2"/>
  <c r="F3823" i="2"/>
  <c r="E3823" i="2"/>
  <c r="D3823" i="2"/>
  <c r="C3823" i="2"/>
  <c r="B3823" i="2"/>
  <c r="V3822" i="2"/>
  <c r="U3822" i="2"/>
  <c r="T3822" i="2"/>
  <c r="S3822" i="2"/>
  <c r="R3822" i="2"/>
  <c r="Q3822" i="2"/>
  <c r="P3822" i="2"/>
  <c r="O3822" i="2"/>
  <c r="N3822" i="2"/>
  <c r="M3822" i="2"/>
  <c r="L3822" i="2"/>
  <c r="K3822" i="2"/>
  <c r="J3822" i="2"/>
  <c r="I3822" i="2"/>
  <c r="H3822" i="2"/>
  <c r="G3822" i="2"/>
  <c r="F3822" i="2"/>
  <c r="E3822" i="2"/>
  <c r="D3822" i="2"/>
  <c r="C3822" i="2"/>
  <c r="B3822" i="2"/>
  <c r="V3821" i="2"/>
  <c r="U3821" i="2"/>
  <c r="T3821" i="2"/>
  <c r="S3821" i="2"/>
  <c r="R3821" i="2"/>
  <c r="Q3821" i="2"/>
  <c r="P3821" i="2"/>
  <c r="O3821" i="2"/>
  <c r="N3821" i="2"/>
  <c r="M3821" i="2"/>
  <c r="L3821" i="2"/>
  <c r="K3821" i="2"/>
  <c r="J3821" i="2"/>
  <c r="I3821" i="2"/>
  <c r="H3821" i="2"/>
  <c r="G3821" i="2"/>
  <c r="F3821" i="2"/>
  <c r="E3821" i="2"/>
  <c r="D3821" i="2"/>
  <c r="C3821" i="2"/>
  <c r="B3821" i="2"/>
  <c r="V3820" i="2"/>
  <c r="U3820" i="2"/>
  <c r="T3820" i="2"/>
  <c r="S3820" i="2"/>
  <c r="R3820" i="2"/>
  <c r="Q3820" i="2"/>
  <c r="P3820" i="2"/>
  <c r="O3820" i="2"/>
  <c r="N3820" i="2"/>
  <c r="M3820" i="2"/>
  <c r="L3820" i="2"/>
  <c r="K3820" i="2"/>
  <c r="J3820" i="2"/>
  <c r="I3820" i="2"/>
  <c r="H3820" i="2"/>
  <c r="G3820" i="2"/>
  <c r="F3820" i="2"/>
  <c r="E3820" i="2"/>
  <c r="D3820" i="2"/>
  <c r="C3820" i="2"/>
  <c r="B3820" i="2"/>
  <c r="V3819" i="2"/>
  <c r="U3819" i="2"/>
  <c r="T3819" i="2"/>
  <c r="S3819" i="2"/>
  <c r="R3819" i="2"/>
  <c r="Q3819" i="2"/>
  <c r="P3819" i="2"/>
  <c r="O3819" i="2"/>
  <c r="N3819" i="2"/>
  <c r="M3819" i="2"/>
  <c r="L3819" i="2"/>
  <c r="K3819" i="2"/>
  <c r="J3819" i="2"/>
  <c r="I3819" i="2"/>
  <c r="H3819" i="2"/>
  <c r="G3819" i="2"/>
  <c r="F3819" i="2"/>
  <c r="E3819" i="2"/>
  <c r="D3819" i="2"/>
  <c r="C3819" i="2"/>
  <c r="B3819" i="2"/>
  <c r="V3818" i="2"/>
  <c r="U3818" i="2"/>
  <c r="T3818" i="2"/>
  <c r="S3818" i="2"/>
  <c r="R3818" i="2"/>
  <c r="Q3818" i="2"/>
  <c r="P3818" i="2"/>
  <c r="O3818" i="2"/>
  <c r="N3818" i="2"/>
  <c r="M3818" i="2"/>
  <c r="L3818" i="2"/>
  <c r="K3818" i="2"/>
  <c r="J3818" i="2"/>
  <c r="I3818" i="2"/>
  <c r="H3818" i="2"/>
  <c r="G3818" i="2"/>
  <c r="F3818" i="2"/>
  <c r="E3818" i="2"/>
  <c r="D3818" i="2"/>
  <c r="C3818" i="2"/>
  <c r="B3818" i="2"/>
  <c r="V3817" i="2"/>
  <c r="U3817" i="2"/>
  <c r="T3817" i="2"/>
  <c r="S3817" i="2"/>
  <c r="R3817" i="2"/>
  <c r="Q3817" i="2"/>
  <c r="P3817" i="2"/>
  <c r="O3817" i="2"/>
  <c r="N3817" i="2"/>
  <c r="M3817" i="2"/>
  <c r="L3817" i="2"/>
  <c r="K3817" i="2"/>
  <c r="J3817" i="2"/>
  <c r="I3817" i="2"/>
  <c r="H3817" i="2"/>
  <c r="G3817" i="2"/>
  <c r="F3817" i="2"/>
  <c r="E3817" i="2"/>
  <c r="D3817" i="2"/>
  <c r="C3817" i="2"/>
  <c r="B3817" i="2"/>
  <c r="V3816" i="2"/>
  <c r="U3816" i="2"/>
  <c r="T3816" i="2"/>
  <c r="S3816" i="2"/>
  <c r="R3816" i="2"/>
  <c r="Q3816" i="2"/>
  <c r="P3816" i="2"/>
  <c r="O3816" i="2"/>
  <c r="N3816" i="2"/>
  <c r="M3816" i="2"/>
  <c r="L3816" i="2"/>
  <c r="K3816" i="2"/>
  <c r="J3816" i="2"/>
  <c r="I3816" i="2"/>
  <c r="H3816" i="2"/>
  <c r="G3816" i="2"/>
  <c r="F3816" i="2"/>
  <c r="E3816" i="2"/>
  <c r="D3816" i="2"/>
  <c r="C3816" i="2"/>
  <c r="B3816" i="2"/>
  <c r="V3815" i="2"/>
  <c r="U3815" i="2"/>
  <c r="T3815" i="2"/>
  <c r="S3815" i="2"/>
  <c r="R3815" i="2"/>
  <c r="Q3815" i="2"/>
  <c r="P3815" i="2"/>
  <c r="O3815" i="2"/>
  <c r="N3815" i="2"/>
  <c r="M3815" i="2"/>
  <c r="L3815" i="2"/>
  <c r="K3815" i="2"/>
  <c r="J3815" i="2"/>
  <c r="I3815" i="2"/>
  <c r="H3815" i="2"/>
  <c r="G3815" i="2"/>
  <c r="F3815" i="2"/>
  <c r="E3815" i="2"/>
  <c r="D3815" i="2"/>
  <c r="C3815" i="2"/>
  <c r="B3815" i="2"/>
  <c r="V3814" i="2"/>
  <c r="U3814" i="2"/>
  <c r="T3814" i="2"/>
  <c r="S3814" i="2"/>
  <c r="R3814" i="2"/>
  <c r="Q3814" i="2"/>
  <c r="P3814" i="2"/>
  <c r="O3814" i="2"/>
  <c r="N3814" i="2"/>
  <c r="M3814" i="2"/>
  <c r="L3814" i="2"/>
  <c r="K3814" i="2"/>
  <c r="J3814" i="2"/>
  <c r="I3814" i="2"/>
  <c r="H3814" i="2"/>
  <c r="G3814" i="2"/>
  <c r="F3814" i="2"/>
  <c r="E3814" i="2"/>
  <c r="D3814" i="2"/>
  <c r="C3814" i="2"/>
  <c r="B3814" i="2"/>
  <c r="V3813" i="2"/>
  <c r="U3813" i="2"/>
  <c r="T3813" i="2"/>
  <c r="S3813" i="2"/>
  <c r="R3813" i="2"/>
  <c r="Q3813" i="2"/>
  <c r="P3813" i="2"/>
  <c r="O3813" i="2"/>
  <c r="N3813" i="2"/>
  <c r="M3813" i="2"/>
  <c r="L3813" i="2"/>
  <c r="K3813" i="2"/>
  <c r="J3813" i="2"/>
  <c r="I3813" i="2"/>
  <c r="H3813" i="2"/>
  <c r="G3813" i="2"/>
  <c r="F3813" i="2"/>
  <c r="E3813" i="2"/>
  <c r="D3813" i="2"/>
  <c r="C3813" i="2"/>
  <c r="B3813" i="2"/>
  <c r="V3812" i="2"/>
  <c r="U3812" i="2"/>
  <c r="T3812" i="2"/>
  <c r="S3812" i="2"/>
  <c r="R3812" i="2"/>
  <c r="Q3812" i="2"/>
  <c r="P3812" i="2"/>
  <c r="O3812" i="2"/>
  <c r="N3812" i="2"/>
  <c r="M3812" i="2"/>
  <c r="L3812" i="2"/>
  <c r="K3812" i="2"/>
  <c r="J3812" i="2"/>
  <c r="I3812" i="2"/>
  <c r="H3812" i="2"/>
  <c r="G3812" i="2"/>
  <c r="F3812" i="2"/>
  <c r="E3812" i="2"/>
  <c r="D3812" i="2"/>
  <c r="C3812" i="2"/>
  <c r="B3812" i="2"/>
  <c r="V3811" i="2"/>
  <c r="U3811" i="2"/>
  <c r="T3811" i="2"/>
  <c r="S3811" i="2"/>
  <c r="R3811" i="2"/>
  <c r="Q3811" i="2"/>
  <c r="P3811" i="2"/>
  <c r="O3811" i="2"/>
  <c r="N3811" i="2"/>
  <c r="M3811" i="2"/>
  <c r="L3811" i="2"/>
  <c r="K3811" i="2"/>
  <c r="J3811" i="2"/>
  <c r="I3811" i="2"/>
  <c r="H3811" i="2"/>
  <c r="G3811" i="2"/>
  <c r="F3811" i="2"/>
  <c r="E3811" i="2"/>
  <c r="D3811" i="2"/>
  <c r="C3811" i="2"/>
  <c r="B3811" i="2"/>
  <c r="V3810" i="2"/>
  <c r="U3810" i="2"/>
  <c r="T3810" i="2"/>
  <c r="S3810" i="2"/>
  <c r="R3810" i="2"/>
  <c r="Q3810" i="2"/>
  <c r="P3810" i="2"/>
  <c r="O3810" i="2"/>
  <c r="N3810" i="2"/>
  <c r="M3810" i="2"/>
  <c r="L3810" i="2"/>
  <c r="K3810" i="2"/>
  <c r="J3810" i="2"/>
  <c r="I3810" i="2"/>
  <c r="H3810" i="2"/>
  <c r="G3810" i="2"/>
  <c r="F3810" i="2"/>
  <c r="E3810" i="2"/>
  <c r="D3810" i="2"/>
  <c r="C3810" i="2"/>
  <c r="B3810" i="2"/>
  <c r="V3809" i="2"/>
  <c r="U3809" i="2"/>
  <c r="T3809" i="2"/>
  <c r="S3809" i="2"/>
  <c r="R3809" i="2"/>
  <c r="Q3809" i="2"/>
  <c r="P3809" i="2"/>
  <c r="O3809" i="2"/>
  <c r="N3809" i="2"/>
  <c r="M3809" i="2"/>
  <c r="L3809" i="2"/>
  <c r="K3809" i="2"/>
  <c r="J3809" i="2"/>
  <c r="I3809" i="2"/>
  <c r="H3809" i="2"/>
  <c r="G3809" i="2"/>
  <c r="F3809" i="2"/>
  <c r="E3809" i="2"/>
  <c r="D3809" i="2"/>
  <c r="C3809" i="2"/>
  <c r="B3809" i="2"/>
  <c r="V3808" i="2"/>
  <c r="U3808" i="2"/>
  <c r="T3808" i="2"/>
  <c r="S3808" i="2"/>
  <c r="R3808" i="2"/>
  <c r="Q3808" i="2"/>
  <c r="P3808" i="2"/>
  <c r="O3808" i="2"/>
  <c r="N3808" i="2"/>
  <c r="M3808" i="2"/>
  <c r="L3808" i="2"/>
  <c r="K3808" i="2"/>
  <c r="J3808" i="2"/>
  <c r="I3808" i="2"/>
  <c r="H3808" i="2"/>
  <c r="G3808" i="2"/>
  <c r="F3808" i="2"/>
  <c r="E3808" i="2"/>
  <c r="D3808" i="2"/>
  <c r="C3808" i="2"/>
  <c r="B3808" i="2"/>
  <c r="V3807" i="2"/>
  <c r="U3807" i="2"/>
  <c r="T3807" i="2"/>
  <c r="S3807" i="2"/>
  <c r="R3807" i="2"/>
  <c r="Q3807" i="2"/>
  <c r="P3807" i="2"/>
  <c r="O3807" i="2"/>
  <c r="N3807" i="2"/>
  <c r="M3807" i="2"/>
  <c r="L3807" i="2"/>
  <c r="K3807" i="2"/>
  <c r="J3807" i="2"/>
  <c r="I3807" i="2"/>
  <c r="H3807" i="2"/>
  <c r="G3807" i="2"/>
  <c r="F3807" i="2"/>
  <c r="E3807" i="2"/>
  <c r="D3807" i="2"/>
  <c r="C3807" i="2"/>
  <c r="B3807" i="2"/>
  <c r="V3806" i="2"/>
  <c r="U3806" i="2"/>
  <c r="T3806" i="2"/>
  <c r="S3806" i="2"/>
  <c r="R3806" i="2"/>
  <c r="Q3806" i="2"/>
  <c r="P3806" i="2"/>
  <c r="O3806" i="2"/>
  <c r="N3806" i="2"/>
  <c r="M3806" i="2"/>
  <c r="L3806" i="2"/>
  <c r="K3806" i="2"/>
  <c r="J3806" i="2"/>
  <c r="I3806" i="2"/>
  <c r="H3806" i="2"/>
  <c r="G3806" i="2"/>
  <c r="F3806" i="2"/>
  <c r="E3806" i="2"/>
  <c r="D3806" i="2"/>
  <c r="C3806" i="2"/>
  <c r="B3806" i="2"/>
  <c r="V3805" i="2"/>
  <c r="U3805" i="2"/>
  <c r="T3805" i="2"/>
  <c r="S3805" i="2"/>
  <c r="R3805" i="2"/>
  <c r="Q3805" i="2"/>
  <c r="P3805" i="2"/>
  <c r="O3805" i="2"/>
  <c r="N3805" i="2"/>
  <c r="M3805" i="2"/>
  <c r="L3805" i="2"/>
  <c r="K3805" i="2"/>
  <c r="J3805" i="2"/>
  <c r="I3805" i="2"/>
  <c r="H3805" i="2"/>
  <c r="G3805" i="2"/>
  <c r="F3805" i="2"/>
  <c r="E3805" i="2"/>
  <c r="D3805" i="2"/>
  <c r="C3805" i="2"/>
  <c r="B3805" i="2"/>
  <c r="V3804" i="2"/>
  <c r="U3804" i="2"/>
  <c r="T3804" i="2"/>
  <c r="S3804" i="2"/>
  <c r="R3804" i="2"/>
  <c r="Q3804" i="2"/>
  <c r="P3804" i="2"/>
  <c r="O3804" i="2"/>
  <c r="N3804" i="2"/>
  <c r="M3804" i="2"/>
  <c r="L3804" i="2"/>
  <c r="K3804" i="2"/>
  <c r="J3804" i="2"/>
  <c r="I3804" i="2"/>
  <c r="H3804" i="2"/>
  <c r="G3804" i="2"/>
  <c r="F3804" i="2"/>
  <c r="E3804" i="2"/>
  <c r="D3804" i="2"/>
  <c r="C3804" i="2"/>
  <c r="B3804" i="2"/>
  <c r="V3803" i="2"/>
  <c r="U3803" i="2"/>
  <c r="T3803" i="2"/>
  <c r="S3803" i="2"/>
  <c r="R3803" i="2"/>
  <c r="Q3803" i="2"/>
  <c r="P3803" i="2"/>
  <c r="O3803" i="2"/>
  <c r="N3803" i="2"/>
  <c r="M3803" i="2"/>
  <c r="L3803" i="2"/>
  <c r="K3803" i="2"/>
  <c r="J3803" i="2"/>
  <c r="I3803" i="2"/>
  <c r="H3803" i="2"/>
  <c r="G3803" i="2"/>
  <c r="F3803" i="2"/>
  <c r="E3803" i="2"/>
  <c r="D3803" i="2"/>
  <c r="C3803" i="2"/>
  <c r="B3803" i="2"/>
  <c r="V3802" i="2"/>
  <c r="U3802" i="2"/>
  <c r="T3802" i="2"/>
  <c r="S3802" i="2"/>
  <c r="R3802" i="2"/>
  <c r="Q3802" i="2"/>
  <c r="P3802" i="2"/>
  <c r="O3802" i="2"/>
  <c r="N3802" i="2"/>
  <c r="M3802" i="2"/>
  <c r="L3802" i="2"/>
  <c r="K3802" i="2"/>
  <c r="J3802" i="2"/>
  <c r="I3802" i="2"/>
  <c r="H3802" i="2"/>
  <c r="G3802" i="2"/>
  <c r="F3802" i="2"/>
  <c r="E3802" i="2"/>
  <c r="D3802" i="2"/>
  <c r="C3802" i="2"/>
  <c r="B3802" i="2"/>
  <c r="V3801" i="2"/>
  <c r="U3801" i="2"/>
  <c r="T3801" i="2"/>
  <c r="S3801" i="2"/>
  <c r="R3801" i="2"/>
  <c r="Q3801" i="2"/>
  <c r="P3801" i="2"/>
  <c r="O3801" i="2"/>
  <c r="N3801" i="2"/>
  <c r="M3801" i="2"/>
  <c r="L3801" i="2"/>
  <c r="K3801" i="2"/>
  <c r="J3801" i="2"/>
  <c r="I3801" i="2"/>
  <c r="H3801" i="2"/>
  <c r="G3801" i="2"/>
  <c r="F3801" i="2"/>
  <c r="E3801" i="2"/>
  <c r="D3801" i="2"/>
  <c r="C3801" i="2"/>
  <c r="B3801" i="2"/>
  <c r="V3800" i="2"/>
  <c r="U3800" i="2"/>
  <c r="T3800" i="2"/>
  <c r="S3800" i="2"/>
  <c r="R3800" i="2"/>
  <c r="Q3800" i="2"/>
  <c r="P3800" i="2"/>
  <c r="O3800" i="2"/>
  <c r="N3800" i="2"/>
  <c r="M3800" i="2"/>
  <c r="L3800" i="2"/>
  <c r="K3800" i="2"/>
  <c r="J3800" i="2"/>
  <c r="I3800" i="2"/>
  <c r="H3800" i="2"/>
  <c r="G3800" i="2"/>
  <c r="F3800" i="2"/>
  <c r="E3800" i="2"/>
  <c r="D3800" i="2"/>
  <c r="C3800" i="2"/>
  <c r="B3800" i="2"/>
  <c r="V3799" i="2"/>
  <c r="U3799" i="2"/>
  <c r="T3799" i="2"/>
  <c r="S3799" i="2"/>
  <c r="R3799" i="2"/>
  <c r="Q3799" i="2"/>
  <c r="P3799" i="2"/>
  <c r="O3799" i="2"/>
  <c r="N3799" i="2"/>
  <c r="M3799" i="2"/>
  <c r="L3799" i="2"/>
  <c r="K3799" i="2"/>
  <c r="J3799" i="2"/>
  <c r="I3799" i="2"/>
  <c r="H3799" i="2"/>
  <c r="G3799" i="2"/>
  <c r="F3799" i="2"/>
  <c r="E3799" i="2"/>
  <c r="D3799" i="2"/>
  <c r="C3799" i="2"/>
  <c r="B3799" i="2"/>
  <c r="V3798" i="2"/>
  <c r="U3798" i="2"/>
  <c r="T3798" i="2"/>
  <c r="S3798" i="2"/>
  <c r="R3798" i="2"/>
  <c r="Q3798" i="2"/>
  <c r="P3798" i="2"/>
  <c r="O3798" i="2"/>
  <c r="N3798" i="2"/>
  <c r="M3798" i="2"/>
  <c r="L3798" i="2"/>
  <c r="K3798" i="2"/>
  <c r="J3798" i="2"/>
  <c r="I3798" i="2"/>
  <c r="H3798" i="2"/>
  <c r="G3798" i="2"/>
  <c r="F3798" i="2"/>
  <c r="E3798" i="2"/>
  <c r="D3798" i="2"/>
  <c r="C3798" i="2"/>
  <c r="B3798" i="2"/>
  <c r="V3797" i="2"/>
  <c r="U3797" i="2"/>
  <c r="T3797" i="2"/>
  <c r="S3797" i="2"/>
  <c r="R3797" i="2"/>
  <c r="Q3797" i="2"/>
  <c r="P3797" i="2"/>
  <c r="O3797" i="2"/>
  <c r="N3797" i="2"/>
  <c r="M3797" i="2"/>
  <c r="L3797" i="2"/>
  <c r="K3797" i="2"/>
  <c r="J3797" i="2"/>
  <c r="I3797" i="2"/>
  <c r="H3797" i="2"/>
  <c r="G3797" i="2"/>
  <c r="F3797" i="2"/>
  <c r="E3797" i="2"/>
  <c r="D3797" i="2"/>
  <c r="C3797" i="2"/>
  <c r="B3797" i="2"/>
  <c r="V3796" i="2"/>
  <c r="U3796" i="2"/>
  <c r="T3796" i="2"/>
  <c r="S3796" i="2"/>
  <c r="R3796" i="2"/>
  <c r="Q3796" i="2"/>
  <c r="P3796" i="2"/>
  <c r="O3796" i="2"/>
  <c r="N3796" i="2"/>
  <c r="M3796" i="2"/>
  <c r="L3796" i="2"/>
  <c r="K3796" i="2"/>
  <c r="J3796" i="2"/>
  <c r="I3796" i="2"/>
  <c r="H3796" i="2"/>
  <c r="G3796" i="2"/>
  <c r="F3796" i="2"/>
  <c r="E3796" i="2"/>
  <c r="D3796" i="2"/>
  <c r="C3796" i="2"/>
  <c r="B3796" i="2"/>
  <c r="V3795" i="2"/>
  <c r="U3795" i="2"/>
  <c r="T3795" i="2"/>
  <c r="S3795" i="2"/>
  <c r="R3795" i="2"/>
  <c r="Q3795" i="2"/>
  <c r="P3795" i="2"/>
  <c r="O3795" i="2"/>
  <c r="N3795" i="2"/>
  <c r="M3795" i="2"/>
  <c r="L3795" i="2"/>
  <c r="K3795" i="2"/>
  <c r="J3795" i="2"/>
  <c r="I3795" i="2"/>
  <c r="H3795" i="2"/>
  <c r="G3795" i="2"/>
  <c r="F3795" i="2"/>
  <c r="E3795" i="2"/>
  <c r="D3795" i="2"/>
  <c r="C3795" i="2"/>
  <c r="B3795" i="2"/>
  <c r="V3794" i="2"/>
  <c r="U3794" i="2"/>
  <c r="T3794" i="2"/>
  <c r="S3794" i="2"/>
  <c r="R3794" i="2"/>
  <c r="Q3794" i="2"/>
  <c r="P3794" i="2"/>
  <c r="O3794" i="2"/>
  <c r="N3794" i="2"/>
  <c r="M3794" i="2"/>
  <c r="L3794" i="2"/>
  <c r="K3794" i="2"/>
  <c r="J3794" i="2"/>
  <c r="I3794" i="2"/>
  <c r="H3794" i="2"/>
  <c r="G3794" i="2"/>
  <c r="F3794" i="2"/>
  <c r="E3794" i="2"/>
  <c r="D3794" i="2"/>
  <c r="C3794" i="2"/>
  <c r="B3794" i="2"/>
  <c r="V3793" i="2"/>
  <c r="U3793" i="2"/>
  <c r="T3793" i="2"/>
  <c r="S3793" i="2"/>
  <c r="R3793" i="2"/>
  <c r="Q3793" i="2"/>
  <c r="P3793" i="2"/>
  <c r="O3793" i="2"/>
  <c r="N3793" i="2"/>
  <c r="M3793" i="2"/>
  <c r="L3793" i="2"/>
  <c r="K3793" i="2"/>
  <c r="J3793" i="2"/>
  <c r="I3793" i="2"/>
  <c r="H3793" i="2"/>
  <c r="G3793" i="2"/>
  <c r="F3793" i="2"/>
  <c r="E3793" i="2"/>
  <c r="D3793" i="2"/>
  <c r="C3793" i="2"/>
  <c r="B3793" i="2"/>
  <c r="V3792" i="2"/>
  <c r="U3792" i="2"/>
  <c r="T3792" i="2"/>
  <c r="S3792" i="2"/>
  <c r="R3792" i="2"/>
  <c r="Q3792" i="2"/>
  <c r="P3792" i="2"/>
  <c r="O3792" i="2"/>
  <c r="N3792" i="2"/>
  <c r="M3792" i="2"/>
  <c r="L3792" i="2"/>
  <c r="K3792" i="2"/>
  <c r="J3792" i="2"/>
  <c r="I3792" i="2"/>
  <c r="H3792" i="2"/>
  <c r="G3792" i="2"/>
  <c r="F3792" i="2"/>
  <c r="E3792" i="2"/>
  <c r="D3792" i="2"/>
  <c r="C3792" i="2"/>
  <c r="B3792" i="2"/>
  <c r="V3791" i="2"/>
  <c r="U3791" i="2"/>
  <c r="T3791" i="2"/>
  <c r="S3791" i="2"/>
  <c r="R3791" i="2"/>
  <c r="Q3791" i="2"/>
  <c r="P3791" i="2"/>
  <c r="O3791" i="2"/>
  <c r="N3791" i="2"/>
  <c r="M3791" i="2"/>
  <c r="L3791" i="2"/>
  <c r="K3791" i="2"/>
  <c r="J3791" i="2"/>
  <c r="I3791" i="2"/>
  <c r="H3791" i="2"/>
  <c r="G3791" i="2"/>
  <c r="F3791" i="2"/>
  <c r="E3791" i="2"/>
  <c r="D3791" i="2"/>
  <c r="C3791" i="2"/>
  <c r="B3791" i="2"/>
  <c r="V3790" i="2"/>
  <c r="U3790" i="2"/>
  <c r="T3790" i="2"/>
  <c r="S3790" i="2"/>
  <c r="R3790" i="2"/>
  <c r="Q3790" i="2"/>
  <c r="P3790" i="2"/>
  <c r="O3790" i="2"/>
  <c r="N3790" i="2"/>
  <c r="M3790" i="2"/>
  <c r="L3790" i="2"/>
  <c r="K3790" i="2"/>
  <c r="J3790" i="2"/>
  <c r="I3790" i="2"/>
  <c r="H3790" i="2"/>
  <c r="G3790" i="2"/>
  <c r="F3790" i="2"/>
  <c r="E3790" i="2"/>
  <c r="D3790" i="2"/>
  <c r="C3790" i="2"/>
  <c r="B3790" i="2"/>
  <c r="V3789" i="2"/>
  <c r="U3789" i="2"/>
  <c r="T3789" i="2"/>
  <c r="S3789" i="2"/>
  <c r="R3789" i="2"/>
  <c r="Q3789" i="2"/>
  <c r="P3789" i="2"/>
  <c r="O3789" i="2"/>
  <c r="N3789" i="2"/>
  <c r="M3789" i="2"/>
  <c r="L3789" i="2"/>
  <c r="K3789" i="2"/>
  <c r="J3789" i="2"/>
  <c r="I3789" i="2"/>
  <c r="H3789" i="2"/>
  <c r="G3789" i="2"/>
  <c r="F3789" i="2"/>
  <c r="E3789" i="2"/>
  <c r="D3789" i="2"/>
  <c r="C3789" i="2"/>
  <c r="B3789" i="2"/>
  <c r="V3788" i="2"/>
  <c r="U3788" i="2"/>
  <c r="T3788" i="2"/>
  <c r="S3788" i="2"/>
  <c r="R3788" i="2"/>
  <c r="Q3788" i="2"/>
  <c r="P3788" i="2"/>
  <c r="O3788" i="2"/>
  <c r="N3788" i="2"/>
  <c r="M3788" i="2"/>
  <c r="L3788" i="2"/>
  <c r="K3788" i="2"/>
  <c r="J3788" i="2"/>
  <c r="I3788" i="2"/>
  <c r="H3788" i="2"/>
  <c r="G3788" i="2"/>
  <c r="F3788" i="2"/>
  <c r="E3788" i="2"/>
  <c r="D3788" i="2"/>
  <c r="C3788" i="2"/>
  <c r="B3788" i="2"/>
  <c r="V3787" i="2"/>
  <c r="U3787" i="2"/>
  <c r="T3787" i="2"/>
  <c r="S3787" i="2"/>
  <c r="R3787" i="2"/>
  <c r="Q3787" i="2"/>
  <c r="P3787" i="2"/>
  <c r="O3787" i="2"/>
  <c r="N3787" i="2"/>
  <c r="M3787" i="2"/>
  <c r="L3787" i="2"/>
  <c r="K3787" i="2"/>
  <c r="J3787" i="2"/>
  <c r="I3787" i="2"/>
  <c r="H3787" i="2"/>
  <c r="G3787" i="2"/>
  <c r="F3787" i="2"/>
  <c r="E3787" i="2"/>
  <c r="D3787" i="2"/>
  <c r="C3787" i="2"/>
  <c r="B3787" i="2"/>
  <c r="V3786" i="2"/>
  <c r="U3786" i="2"/>
  <c r="T3786" i="2"/>
  <c r="S3786" i="2"/>
  <c r="R3786" i="2"/>
  <c r="Q3786" i="2"/>
  <c r="P3786" i="2"/>
  <c r="O3786" i="2"/>
  <c r="N3786" i="2"/>
  <c r="M3786" i="2"/>
  <c r="L3786" i="2"/>
  <c r="K3786" i="2"/>
  <c r="J3786" i="2"/>
  <c r="I3786" i="2"/>
  <c r="H3786" i="2"/>
  <c r="G3786" i="2"/>
  <c r="F3786" i="2"/>
  <c r="E3786" i="2"/>
  <c r="D3786" i="2"/>
  <c r="C3786" i="2"/>
  <c r="B3786" i="2"/>
  <c r="V3785" i="2"/>
  <c r="U3785" i="2"/>
  <c r="T3785" i="2"/>
  <c r="S3785" i="2"/>
  <c r="R3785" i="2"/>
  <c r="Q3785" i="2"/>
  <c r="P3785" i="2"/>
  <c r="O3785" i="2"/>
  <c r="N3785" i="2"/>
  <c r="M3785" i="2"/>
  <c r="L3785" i="2"/>
  <c r="K3785" i="2"/>
  <c r="J3785" i="2"/>
  <c r="I3785" i="2"/>
  <c r="H3785" i="2"/>
  <c r="G3785" i="2"/>
  <c r="F3785" i="2"/>
  <c r="E3785" i="2"/>
  <c r="D3785" i="2"/>
  <c r="C3785" i="2"/>
  <c r="B3785" i="2"/>
  <c r="V3784" i="2"/>
  <c r="U3784" i="2"/>
  <c r="T3784" i="2"/>
  <c r="S3784" i="2"/>
  <c r="R3784" i="2"/>
  <c r="Q3784" i="2"/>
  <c r="P3784" i="2"/>
  <c r="O3784" i="2"/>
  <c r="N3784" i="2"/>
  <c r="M3784" i="2"/>
  <c r="L3784" i="2"/>
  <c r="K3784" i="2"/>
  <c r="J3784" i="2"/>
  <c r="I3784" i="2"/>
  <c r="H3784" i="2"/>
  <c r="G3784" i="2"/>
  <c r="F3784" i="2"/>
  <c r="E3784" i="2"/>
  <c r="D3784" i="2"/>
  <c r="C3784" i="2"/>
  <c r="B3784" i="2"/>
  <c r="V3783" i="2"/>
  <c r="U3783" i="2"/>
  <c r="T3783" i="2"/>
  <c r="S3783" i="2"/>
  <c r="R3783" i="2"/>
  <c r="Q3783" i="2"/>
  <c r="P3783" i="2"/>
  <c r="O3783" i="2"/>
  <c r="N3783" i="2"/>
  <c r="M3783" i="2"/>
  <c r="L3783" i="2"/>
  <c r="K3783" i="2"/>
  <c r="J3783" i="2"/>
  <c r="I3783" i="2"/>
  <c r="H3783" i="2"/>
  <c r="G3783" i="2"/>
  <c r="F3783" i="2"/>
  <c r="E3783" i="2"/>
  <c r="D3783" i="2"/>
  <c r="C3783" i="2"/>
  <c r="B3783" i="2"/>
  <c r="V3782" i="2"/>
  <c r="U3782" i="2"/>
  <c r="T3782" i="2"/>
  <c r="S3782" i="2"/>
  <c r="R3782" i="2"/>
  <c r="Q3782" i="2"/>
  <c r="P3782" i="2"/>
  <c r="O3782" i="2"/>
  <c r="N3782" i="2"/>
  <c r="M3782" i="2"/>
  <c r="L3782" i="2"/>
  <c r="K3782" i="2"/>
  <c r="J3782" i="2"/>
  <c r="I3782" i="2"/>
  <c r="H3782" i="2"/>
  <c r="G3782" i="2"/>
  <c r="F3782" i="2"/>
  <c r="E3782" i="2"/>
  <c r="D3782" i="2"/>
  <c r="C3782" i="2"/>
  <c r="B3782" i="2"/>
  <c r="V3781" i="2"/>
  <c r="U3781" i="2"/>
  <c r="T3781" i="2"/>
  <c r="S3781" i="2"/>
  <c r="R3781" i="2"/>
  <c r="Q3781" i="2"/>
  <c r="P3781" i="2"/>
  <c r="O3781" i="2"/>
  <c r="N3781" i="2"/>
  <c r="M3781" i="2"/>
  <c r="L3781" i="2"/>
  <c r="K3781" i="2"/>
  <c r="J3781" i="2"/>
  <c r="I3781" i="2"/>
  <c r="H3781" i="2"/>
  <c r="G3781" i="2"/>
  <c r="F3781" i="2"/>
  <c r="E3781" i="2"/>
  <c r="D3781" i="2"/>
  <c r="C3781" i="2"/>
  <c r="B3781" i="2"/>
  <c r="V3780" i="2"/>
  <c r="U3780" i="2"/>
  <c r="T3780" i="2"/>
  <c r="S3780" i="2"/>
  <c r="R3780" i="2"/>
  <c r="Q3780" i="2"/>
  <c r="P3780" i="2"/>
  <c r="O3780" i="2"/>
  <c r="N3780" i="2"/>
  <c r="M3780" i="2"/>
  <c r="L3780" i="2"/>
  <c r="K3780" i="2"/>
  <c r="J3780" i="2"/>
  <c r="I3780" i="2"/>
  <c r="H3780" i="2"/>
  <c r="G3780" i="2"/>
  <c r="F3780" i="2"/>
  <c r="E3780" i="2"/>
  <c r="D3780" i="2"/>
  <c r="C3780" i="2"/>
  <c r="B3780" i="2"/>
  <c r="V3779" i="2"/>
  <c r="U3779" i="2"/>
  <c r="T3779" i="2"/>
  <c r="S3779" i="2"/>
  <c r="R3779" i="2"/>
  <c r="Q3779" i="2"/>
  <c r="P3779" i="2"/>
  <c r="O3779" i="2"/>
  <c r="N3779" i="2"/>
  <c r="M3779" i="2"/>
  <c r="L3779" i="2"/>
  <c r="K3779" i="2"/>
  <c r="J3779" i="2"/>
  <c r="I3779" i="2"/>
  <c r="H3779" i="2"/>
  <c r="G3779" i="2"/>
  <c r="F3779" i="2"/>
  <c r="E3779" i="2"/>
  <c r="D3779" i="2"/>
  <c r="C3779" i="2"/>
  <c r="B3779" i="2"/>
  <c r="V3778" i="2"/>
  <c r="U3778" i="2"/>
  <c r="T3778" i="2"/>
  <c r="S3778" i="2"/>
  <c r="R3778" i="2"/>
  <c r="Q3778" i="2"/>
  <c r="P3778" i="2"/>
  <c r="O3778" i="2"/>
  <c r="N3778" i="2"/>
  <c r="M3778" i="2"/>
  <c r="L3778" i="2"/>
  <c r="K3778" i="2"/>
  <c r="J3778" i="2"/>
  <c r="I3778" i="2"/>
  <c r="H3778" i="2"/>
  <c r="G3778" i="2"/>
  <c r="F3778" i="2"/>
  <c r="E3778" i="2"/>
  <c r="D3778" i="2"/>
  <c r="C3778" i="2"/>
  <c r="B3778" i="2"/>
  <c r="V3777" i="2"/>
  <c r="U3777" i="2"/>
  <c r="T3777" i="2"/>
  <c r="S3777" i="2"/>
  <c r="R3777" i="2"/>
  <c r="Q3777" i="2"/>
  <c r="P3777" i="2"/>
  <c r="O3777" i="2"/>
  <c r="N3777" i="2"/>
  <c r="M3777" i="2"/>
  <c r="L3777" i="2"/>
  <c r="K3777" i="2"/>
  <c r="J3777" i="2"/>
  <c r="I3777" i="2"/>
  <c r="H3777" i="2"/>
  <c r="G3777" i="2"/>
  <c r="F3777" i="2"/>
  <c r="E3777" i="2"/>
  <c r="D3777" i="2"/>
  <c r="C3777" i="2"/>
  <c r="B3777" i="2"/>
  <c r="V3776" i="2"/>
  <c r="U3776" i="2"/>
  <c r="T3776" i="2"/>
  <c r="S3776" i="2"/>
  <c r="R3776" i="2"/>
  <c r="Q3776" i="2"/>
  <c r="P3776" i="2"/>
  <c r="O3776" i="2"/>
  <c r="N3776" i="2"/>
  <c r="M3776" i="2"/>
  <c r="L3776" i="2"/>
  <c r="K3776" i="2"/>
  <c r="J3776" i="2"/>
  <c r="I3776" i="2"/>
  <c r="H3776" i="2"/>
  <c r="G3776" i="2"/>
  <c r="F3776" i="2"/>
  <c r="E3776" i="2"/>
  <c r="D3776" i="2"/>
  <c r="C3776" i="2"/>
  <c r="B3776" i="2"/>
  <c r="V3775" i="2"/>
  <c r="U3775" i="2"/>
  <c r="T3775" i="2"/>
  <c r="S3775" i="2"/>
  <c r="R3775" i="2"/>
  <c r="Q3775" i="2"/>
  <c r="P3775" i="2"/>
  <c r="O3775" i="2"/>
  <c r="N3775" i="2"/>
  <c r="M3775" i="2"/>
  <c r="L3775" i="2"/>
  <c r="K3775" i="2"/>
  <c r="J3775" i="2"/>
  <c r="I3775" i="2"/>
  <c r="H3775" i="2"/>
  <c r="G3775" i="2"/>
  <c r="F3775" i="2"/>
  <c r="E3775" i="2"/>
  <c r="D3775" i="2"/>
  <c r="C3775" i="2"/>
  <c r="B3775" i="2"/>
  <c r="V3774" i="2"/>
  <c r="U3774" i="2"/>
  <c r="T3774" i="2"/>
  <c r="S3774" i="2"/>
  <c r="R3774" i="2"/>
  <c r="Q3774" i="2"/>
  <c r="P3774" i="2"/>
  <c r="O3774" i="2"/>
  <c r="N3774" i="2"/>
  <c r="M3774" i="2"/>
  <c r="L3774" i="2"/>
  <c r="K3774" i="2"/>
  <c r="J3774" i="2"/>
  <c r="I3774" i="2"/>
  <c r="H3774" i="2"/>
  <c r="G3774" i="2"/>
  <c r="F3774" i="2"/>
  <c r="E3774" i="2"/>
  <c r="D3774" i="2"/>
  <c r="C3774" i="2"/>
  <c r="B3774" i="2"/>
  <c r="V3773" i="2"/>
  <c r="U3773" i="2"/>
  <c r="T3773" i="2"/>
  <c r="S3773" i="2"/>
  <c r="R3773" i="2"/>
  <c r="Q3773" i="2"/>
  <c r="P3773" i="2"/>
  <c r="O3773" i="2"/>
  <c r="N3773" i="2"/>
  <c r="M3773" i="2"/>
  <c r="L3773" i="2"/>
  <c r="K3773" i="2"/>
  <c r="J3773" i="2"/>
  <c r="I3773" i="2"/>
  <c r="H3773" i="2"/>
  <c r="G3773" i="2"/>
  <c r="F3773" i="2"/>
  <c r="E3773" i="2"/>
  <c r="D3773" i="2"/>
  <c r="C3773" i="2"/>
  <c r="B3773" i="2"/>
  <c r="V3772" i="2"/>
  <c r="U3772" i="2"/>
  <c r="T3772" i="2"/>
  <c r="S3772" i="2"/>
  <c r="R3772" i="2"/>
  <c r="Q3772" i="2"/>
  <c r="P3772" i="2"/>
  <c r="O3772" i="2"/>
  <c r="N3772" i="2"/>
  <c r="M3772" i="2"/>
  <c r="L3772" i="2"/>
  <c r="K3772" i="2"/>
  <c r="J3772" i="2"/>
  <c r="I3772" i="2"/>
  <c r="H3772" i="2"/>
  <c r="G3772" i="2"/>
  <c r="F3772" i="2"/>
  <c r="E3772" i="2"/>
  <c r="D3772" i="2"/>
  <c r="C3772" i="2"/>
  <c r="B3772" i="2"/>
  <c r="V3771" i="2"/>
  <c r="U3771" i="2"/>
  <c r="T3771" i="2"/>
  <c r="S3771" i="2"/>
  <c r="R3771" i="2"/>
  <c r="Q3771" i="2"/>
  <c r="P3771" i="2"/>
  <c r="O3771" i="2"/>
  <c r="N3771" i="2"/>
  <c r="M3771" i="2"/>
  <c r="L3771" i="2"/>
  <c r="K3771" i="2"/>
  <c r="J3771" i="2"/>
  <c r="I3771" i="2"/>
  <c r="H3771" i="2"/>
  <c r="G3771" i="2"/>
  <c r="F3771" i="2"/>
  <c r="E3771" i="2"/>
  <c r="D3771" i="2"/>
  <c r="C3771" i="2"/>
  <c r="B3771" i="2"/>
  <c r="V3770" i="2"/>
  <c r="U3770" i="2"/>
  <c r="T3770" i="2"/>
  <c r="S3770" i="2"/>
  <c r="R3770" i="2"/>
  <c r="Q3770" i="2"/>
  <c r="P3770" i="2"/>
  <c r="O3770" i="2"/>
  <c r="N3770" i="2"/>
  <c r="M3770" i="2"/>
  <c r="L3770" i="2"/>
  <c r="K3770" i="2"/>
  <c r="J3770" i="2"/>
  <c r="I3770" i="2"/>
  <c r="H3770" i="2"/>
  <c r="G3770" i="2"/>
  <c r="F3770" i="2"/>
  <c r="E3770" i="2"/>
  <c r="D3770" i="2"/>
  <c r="C3770" i="2"/>
  <c r="B3770" i="2"/>
  <c r="V3769" i="2"/>
  <c r="U3769" i="2"/>
  <c r="T3769" i="2"/>
  <c r="S3769" i="2"/>
  <c r="R3769" i="2"/>
  <c r="Q3769" i="2"/>
  <c r="P3769" i="2"/>
  <c r="O3769" i="2"/>
  <c r="N3769" i="2"/>
  <c r="M3769" i="2"/>
  <c r="L3769" i="2"/>
  <c r="K3769" i="2"/>
  <c r="J3769" i="2"/>
  <c r="I3769" i="2"/>
  <c r="H3769" i="2"/>
  <c r="G3769" i="2"/>
  <c r="F3769" i="2"/>
  <c r="E3769" i="2"/>
  <c r="D3769" i="2"/>
  <c r="C3769" i="2"/>
  <c r="B3769" i="2"/>
  <c r="V3768" i="2"/>
  <c r="U3768" i="2"/>
  <c r="T3768" i="2"/>
  <c r="S3768" i="2"/>
  <c r="R3768" i="2"/>
  <c r="Q3768" i="2"/>
  <c r="P3768" i="2"/>
  <c r="O3768" i="2"/>
  <c r="N3768" i="2"/>
  <c r="M3768" i="2"/>
  <c r="L3768" i="2"/>
  <c r="K3768" i="2"/>
  <c r="J3768" i="2"/>
  <c r="I3768" i="2"/>
  <c r="H3768" i="2"/>
  <c r="G3768" i="2"/>
  <c r="F3768" i="2"/>
  <c r="E3768" i="2"/>
  <c r="D3768" i="2"/>
  <c r="C3768" i="2"/>
  <c r="B3768" i="2"/>
  <c r="V3767" i="2"/>
  <c r="U3767" i="2"/>
  <c r="T3767" i="2"/>
  <c r="S3767" i="2"/>
  <c r="R3767" i="2"/>
  <c r="Q3767" i="2"/>
  <c r="P3767" i="2"/>
  <c r="O3767" i="2"/>
  <c r="N3767" i="2"/>
  <c r="M3767" i="2"/>
  <c r="L3767" i="2"/>
  <c r="K3767" i="2"/>
  <c r="J3767" i="2"/>
  <c r="I3767" i="2"/>
  <c r="H3767" i="2"/>
  <c r="G3767" i="2"/>
  <c r="F3767" i="2"/>
  <c r="E3767" i="2"/>
  <c r="D3767" i="2"/>
  <c r="C3767" i="2"/>
  <c r="B3767" i="2"/>
  <c r="V3766" i="2"/>
  <c r="U3766" i="2"/>
  <c r="T3766" i="2"/>
  <c r="S3766" i="2"/>
  <c r="R3766" i="2"/>
  <c r="Q3766" i="2"/>
  <c r="P3766" i="2"/>
  <c r="O3766" i="2"/>
  <c r="N3766" i="2"/>
  <c r="M3766" i="2"/>
  <c r="L3766" i="2"/>
  <c r="K3766" i="2"/>
  <c r="J3766" i="2"/>
  <c r="I3766" i="2"/>
  <c r="H3766" i="2"/>
  <c r="G3766" i="2"/>
  <c r="F3766" i="2"/>
  <c r="E3766" i="2"/>
  <c r="D3766" i="2"/>
  <c r="C3766" i="2"/>
  <c r="B3766" i="2"/>
  <c r="V3765" i="2"/>
  <c r="U3765" i="2"/>
  <c r="T3765" i="2"/>
  <c r="S3765" i="2"/>
  <c r="R3765" i="2"/>
  <c r="Q3765" i="2"/>
  <c r="P3765" i="2"/>
  <c r="O3765" i="2"/>
  <c r="N3765" i="2"/>
  <c r="M3765" i="2"/>
  <c r="L3765" i="2"/>
  <c r="K3765" i="2"/>
  <c r="J3765" i="2"/>
  <c r="I3765" i="2"/>
  <c r="H3765" i="2"/>
  <c r="G3765" i="2"/>
  <c r="F3765" i="2"/>
  <c r="E3765" i="2"/>
  <c r="D3765" i="2"/>
  <c r="C3765" i="2"/>
  <c r="B3765" i="2"/>
  <c r="V3764" i="2"/>
  <c r="U3764" i="2"/>
  <c r="T3764" i="2"/>
  <c r="S3764" i="2"/>
  <c r="R3764" i="2"/>
  <c r="Q3764" i="2"/>
  <c r="P3764" i="2"/>
  <c r="O3764" i="2"/>
  <c r="N3764" i="2"/>
  <c r="M3764" i="2"/>
  <c r="L3764" i="2"/>
  <c r="K3764" i="2"/>
  <c r="J3764" i="2"/>
  <c r="I3764" i="2"/>
  <c r="H3764" i="2"/>
  <c r="G3764" i="2"/>
  <c r="F3764" i="2"/>
  <c r="E3764" i="2"/>
  <c r="D3764" i="2"/>
  <c r="C3764" i="2"/>
  <c r="B3764" i="2"/>
  <c r="V3763" i="2"/>
  <c r="U3763" i="2"/>
  <c r="T3763" i="2"/>
  <c r="S3763" i="2"/>
  <c r="R3763" i="2"/>
  <c r="Q3763" i="2"/>
  <c r="P3763" i="2"/>
  <c r="O3763" i="2"/>
  <c r="N3763" i="2"/>
  <c r="M3763" i="2"/>
  <c r="L3763" i="2"/>
  <c r="K3763" i="2"/>
  <c r="J3763" i="2"/>
  <c r="I3763" i="2"/>
  <c r="H3763" i="2"/>
  <c r="G3763" i="2"/>
  <c r="F3763" i="2"/>
  <c r="E3763" i="2"/>
  <c r="D3763" i="2"/>
  <c r="C3763" i="2"/>
  <c r="B3763" i="2"/>
  <c r="V3762" i="2"/>
  <c r="U3762" i="2"/>
  <c r="T3762" i="2"/>
  <c r="S3762" i="2"/>
  <c r="R3762" i="2"/>
  <c r="Q3762" i="2"/>
  <c r="P3762" i="2"/>
  <c r="O3762" i="2"/>
  <c r="N3762" i="2"/>
  <c r="M3762" i="2"/>
  <c r="L3762" i="2"/>
  <c r="K3762" i="2"/>
  <c r="J3762" i="2"/>
  <c r="I3762" i="2"/>
  <c r="H3762" i="2"/>
  <c r="G3762" i="2"/>
  <c r="F3762" i="2"/>
  <c r="E3762" i="2"/>
  <c r="D3762" i="2"/>
  <c r="C3762" i="2"/>
  <c r="B3762" i="2"/>
  <c r="V3761" i="2"/>
  <c r="U3761" i="2"/>
  <c r="T3761" i="2"/>
  <c r="S3761" i="2"/>
  <c r="R3761" i="2"/>
  <c r="Q3761" i="2"/>
  <c r="P3761" i="2"/>
  <c r="O3761" i="2"/>
  <c r="N3761" i="2"/>
  <c r="M3761" i="2"/>
  <c r="L3761" i="2"/>
  <c r="K3761" i="2"/>
  <c r="J3761" i="2"/>
  <c r="I3761" i="2"/>
  <c r="H3761" i="2"/>
  <c r="G3761" i="2"/>
  <c r="F3761" i="2"/>
  <c r="E3761" i="2"/>
  <c r="D3761" i="2"/>
  <c r="C3761" i="2"/>
  <c r="B3761" i="2"/>
  <c r="V3760" i="2"/>
  <c r="U3760" i="2"/>
  <c r="T3760" i="2"/>
  <c r="S3760" i="2"/>
  <c r="R3760" i="2"/>
  <c r="Q3760" i="2"/>
  <c r="P3760" i="2"/>
  <c r="O3760" i="2"/>
  <c r="N3760" i="2"/>
  <c r="M3760" i="2"/>
  <c r="L3760" i="2"/>
  <c r="K3760" i="2"/>
  <c r="J3760" i="2"/>
  <c r="I3760" i="2"/>
  <c r="H3760" i="2"/>
  <c r="G3760" i="2"/>
  <c r="F3760" i="2"/>
  <c r="E3760" i="2"/>
  <c r="D3760" i="2"/>
  <c r="C3760" i="2"/>
  <c r="B3760" i="2"/>
  <c r="V3759" i="2"/>
  <c r="U3759" i="2"/>
  <c r="T3759" i="2"/>
  <c r="S3759" i="2"/>
  <c r="R3759" i="2"/>
  <c r="Q3759" i="2"/>
  <c r="P3759" i="2"/>
  <c r="O3759" i="2"/>
  <c r="N3759" i="2"/>
  <c r="M3759" i="2"/>
  <c r="L3759" i="2"/>
  <c r="K3759" i="2"/>
  <c r="J3759" i="2"/>
  <c r="I3759" i="2"/>
  <c r="H3759" i="2"/>
  <c r="G3759" i="2"/>
  <c r="F3759" i="2"/>
  <c r="E3759" i="2"/>
  <c r="D3759" i="2"/>
  <c r="C3759" i="2"/>
  <c r="B3759" i="2"/>
  <c r="V3758" i="2"/>
  <c r="U3758" i="2"/>
  <c r="T3758" i="2"/>
  <c r="S3758" i="2"/>
  <c r="R3758" i="2"/>
  <c r="Q3758" i="2"/>
  <c r="P3758" i="2"/>
  <c r="O3758" i="2"/>
  <c r="N3758" i="2"/>
  <c r="M3758" i="2"/>
  <c r="L3758" i="2"/>
  <c r="K3758" i="2"/>
  <c r="J3758" i="2"/>
  <c r="I3758" i="2"/>
  <c r="H3758" i="2"/>
  <c r="G3758" i="2"/>
  <c r="F3758" i="2"/>
  <c r="E3758" i="2"/>
  <c r="D3758" i="2"/>
  <c r="C3758" i="2"/>
  <c r="B3758" i="2"/>
  <c r="V3757" i="2"/>
  <c r="U3757" i="2"/>
  <c r="T3757" i="2"/>
  <c r="S3757" i="2"/>
  <c r="R3757" i="2"/>
  <c r="Q3757" i="2"/>
  <c r="P3757" i="2"/>
  <c r="O3757" i="2"/>
  <c r="N3757" i="2"/>
  <c r="M3757" i="2"/>
  <c r="L3757" i="2"/>
  <c r="K3757" i="2"/>
  <c r="J3757" i="2"/>
  <c r="I3757" i="2"/>
  <c r="H3757" i="2"/>
  <c r="G3757" i="2"/>
  <c r="F3757" i="2"/>
  <c r="E3757" i="2"/>
  <c r="D3757" i="2"/>
  <c r="C3757" i="2"/>
  <c r="B3757" i="2"/>
  <c r="V3756" i="2"/>
  <c r="U3756" i="2"/>
  <c r="T3756" i="2"/>
  <c r="S3756" i="2"/>
  <c r="R3756" i="2"/>
  <c r="Q3756" i="2"/>
  <c r="P3756" i="2"/>
  <c r="O3756" i="2"/>
  <c r="N3756" i="2"/>
  <c r="M3756" i="2"/>
  <c r="L3756" i="2"/>
  <c r="K3756" i="2"/>
  <c r="J3756" i="2"/>
  <c r="I3756" i="2"/>
  <c r="H3756" i="2"/>
  <c r="G3756" i="2"/>
  <c r="F3756" i="2"/>
  <c r="E3756" i="2"/>
  <c r="D3756" i="2"/>
  <c r="C3756" i="2"/>
  <c r="B3756" i="2"/>
  <c r="V3755" i="2"/>
  <c r="U3755" i="2"/>
  <c r="T3755" i="2"/>
  <c r="S3755" i="2"/>
  <c r="R3755" i="2"/>
  <c r="Q3755" i="2"/>
  <c r="P3755" i="2"/>
  <c r="O3755" i="2"/>
  <c r="N3755" i="2"/>
  <c r="M3755" i="2"/>
  <c r="L3755" i="2"/>
  <c r="K3755" i="2"/>
  <c r="J3755" i="2"/>
  <c r="I3755" i="2"/>
  <c r="H3755" i="2"/>
  <c r="G3755" i="2"/>
  <c r="F3755" i="2"/>
  <c r="E3755" i="2"/>
  <c r="D3755" i="2"/>
  <c r="C3755" i="2"/>
  <c r="B3755" i="2"/>
  <c r="V3754" i="2"/>
  <c r="U3754" i="2"/>
  <c r="T3754" i="2"/>
  <c r="S3754" i="2"/>
  <c r="R3754" i="2"/>
  <c r="Q3754" i="2"/>
  <c r="P3754" i="2"/>
  <c r="O3754" i="2"/>
  <c r="N3754" i="2"/>
  <c r="M3754" i="2"/>
  <c r="L3754" i="2"/>
  <c r="K3754" i="2"/>
  <c r="J3754" i="2"/>
  <c r="I3754" i="2"/>
  <c r="H3754" i="2"/>
  <c r="G3754" i="2"/>
  <c r="F3754" i="2"/>
  <c r="E3754" i="2"/>
  <c r="D3754" i="2"/>
  <c r="C3754" i="2"/>
  <c r="B3754" i="2"/>
  <c r="V3753" i="2"/>
  <c r="U3753" i="2"/>
  <c r="T3753" i="2"/>
  <c r="S3753" i="2"/>
  <c r="R3753" i="2"/>
  <c r="Q3753" i="2"/>
  <c r="P3753" i="2"/>
  <c r="O3753" i="2"/>
  <c r="N3753" i="2"/>
  <c r="M3753" i="2"/>
  <c r="L3753" i="2"/>
  <c r="K3753" i="2"/>
  <c r="J3753" i="2"/>
  <c r="I3753" i="2"/>
  <c r="H3753" i="2"/>
  <c r="G3753" i="2"/>
  <c r="F3753" i="2"/>
  <c r="E3753" i="2"/>
  <c r="D3753" i="2"/>
  <c r="C3753" i="2"/>
  <c r="B3753" i="2"/>
  <c r="V3752" i="2"/>
  <c r="U3752" i="2"/>
  <c r="T3752" i="2"/>
  <c r="S3752" i="2"/>
  <c r="R3752" i="2"/>
  <c r="Q3752" i="2"/>
  <c r="P3752" i="2"/>
  <c r="O3752" i="2"/>
  <c r="N3752" i="2"/>
  <c r="M3752" i="2"/>
  <c r="L3752" i="2"/>
  <c r="K3752" i="2"/>
  <c r="J3752" i="2"/>
  <c r="I3752" i="2"/>
  <c r="H3752" i="2"/>
  <c r="G3752" i="2"/>
  <c r="F3752" i="2"/>
  <c r="E3752" i="2"/>
  <c r="D3752" i="2"/>
  <c r="C3752" i="2"/>
  <c r="B3752" i="2"/>
  <c r="V3751" i="2"/>
  <c r="U3751" i="2"/>
  <c r="T3751" i="2"/>
  <c r="S3751" i="2"/>
  <c r="R3751" i="2"/>
  <c r="Q3751" i="2"/>
  <c r="P3751" i="2"/>
  <c r="O3751" i="2"/>
  <c r="N3751" i="2"/>
  <c r="M3751" i="2"/>
  <c r="L3751" i="2"/>
  <c r="K3751" i="2"/>
  <c r="J3751" i="2"/>
  <c r="I3751" i="2"/>
  <c r="H3751" i="2"/>
  <c r="G3751" i="2"/>
  <c r="F3751" i="2"/>
  <c r="E3751" i="2"/>
  <c r="D3751" i="2"/>
  <c r="C3751" i="2"/>
  <c r="B3751" i="2"/>
  <c r="V3750" i="2"/>
  <c r="U3750" i="2"/>
  <c r="T3750" i="2"/>
  <c r="S3750" i="2"/>
  <c r="R3750" i="2"/>
  <c r="Q3750" i="2"/>
  <c r="P3750" i="2"/>
  <c r="O3750" i="2"/>
  <c r="N3750" i="2"/>
  <c r="M3750" i="2"/>
  <c r="L3750" i="2"/>
  <c r="K3750" i="2"/>
  <c r="J3750" i="2"/>
  <c r="I3750" i="2"/>
  <c r="H3750" i="2"/>
  <c r="G3750" i="2"/>
  <c r="F3750" i="2"/>
  <c r="E3750" i="2"/>
  <c r="D3750" i="2"/>
  <c r="C3750" i="2"/>
  <c r="B3750" i="2"/>
  <c r="V3749" i="2"/>
  <c r="U3749" i="2"/>
  <c r="T3749" i="2"/>
  <c r="S3749" i="2"/>
  <c r="R3749" i="2"/>
  <c r="Q3749" i="2"/>
  <c r="P3749" i="2"/>
  <c r="O3749" i="2"/>
  <c r="N3749" i="2"/>
  <c r="M3749" i="2"/>
  <c r="L3749" i="2"/>
  <c r="K3749" i="2"/>
  <c r="J3749" i="2"/>
  <c r="I3749" i="2"/>
  <c r="H3749" i="2"/>
  <c r="G3749" i="2"/>
  <c r="F3749" i="2"/>
  <c r="E3749" i="2"/>
  <c r="D3749" i="2"/>
  <c r="C3749" i="2"/>
  <c r="B3749" i="2"/>
  <c r="V3748" i="2"/>
  <c r="U3748" i="2"/>
  <c r="T3748" i="2"/>
  <c r="S3748" i="2"/>
  <c r="R3748" i="2"/>
  <c r="Q3748" i="2"/>
  <c r="P3748" i="2"/>
  <c r="O3748" i="2"/>
  <c r="N3748" i="2"/>
  <c r="M3748" i="2"/>
  <c r="L3748" i="2"/>
  <c r="K3748" i="2"/>
  <c r="J3748" i="2"/>
  <c r="I3748" i="2"/>
  <c r="H3748" i="2"/>
  <c r="G3748" i="2"/>
  <c r="F3748" i="2"/>
  <c r="E3748" i="2"/>
  <c r="D3748" i="2"/>
  <c r="C3748" i="2"/>
  <c r="B3748" i="2"/>
  <c r="V3747" i="2"/>
  <c r="U3747" i="2"/>
  <c r="T3747" i="2"/>
  <c r="S3747" i="2"/>
  <c r="R3747" i="2"/>
  <c r="Q3747" i="2"/>
  <c r="P3747" i="2"/>
  <c r="O3747" i="2"/>
  <c r="N3747" i="2"/>
  <c r="M3747" i="2"/>
  <c r="L3747" i="2"/>
  <c r="K3747" i="2"/>
  <c r="J3747" i="2"/>
  <c r="I3747" i="2"/>
  <c r="H3747" i="2"/>
  <c r="G3747" i="2"/>
  <c r="F3747" i="2"/>
  <c r="E3747" i="2"/>
  <c r="D3747" i="2"/>
  <c r="C3747" i="2"/>
  <c r="B3747" i="2"/>
  <c r="V3746" i="2"/>
  <c r="U3746" i="2"/>
  <c r="T3746" i="2"/>
  <c r="S3746" i="2"/>
  <c r="R3746" i="2"/>
  <c r="Q3746" i="2"/>
  <c r="P3746" i="2"/>
  <c r="O3746" i="2"/>
  <c r="N3746" i="2"/>
  <c r="M3746" i="2"/>
  <c r="L3746" i="2"/>
  <c r="K3746" i="2"/>
  <c r="J3746" i="2"/>
  <c r="I3746" i="2"/>
  <c r="H3746" i="2"/>
  <c r="G3746" i="2"/>
  <c r="F3746" i="2"/>
  <c r="E3746" i="2"/>
  <c r="D3746" i="2"/>
  <c r="C3746" i="2"/>
  <c r="B3746" i="2"/>
  <c r="V3745" i="2"/>
  <c r="U3745" i="2"/>
  <c r="T3745" i="2"/>
  <c r="S3745" i="2"/>
  <c r="R3745" i="2"/>
  <c r="Q3745" i="2"/>
  <c r="P3745" i="2"/>
  <c r="O3745" i="2"/>
  <c r="N3745" i="2"/>
  <c r="M3745" i="2"/>
  <c r="L3745" i="2"/>
  <c r="K3745" i="2"/>
  <c r="J3745" i="2"/>
  <c r="I3745" i="2"/>
  <c r="H3745" i="2"/>
  <c r="G3745" i="2"/>
  <c r="F3745" i="2"/>
  <c r="E3745" i="2"/>
  <c r="D3745" i="2"/>
  <c r="C3745" i="2"/>
  <c r="B3745" i="2"/>
  <c r="V3744" i="2"/>
  <c r="U3744" i="2"/>
  <c r="T3744" i="2"/>
  <c r="S3744" i="2"/>
  <c r="R3744" i="2"/>
  <c r="Q3744" i="2"/>
  <c r="P3744" i="2"/>
  <c r="O3744" i="2"/>
  <c r="N3744" i="2"/>
  <c r="M3744" i="2"/>
  <c r="L3744" i="2"/>
  <c r="K3744" i="2"/>
  <c r="J3744" i="2"/>
  <c r="I3744" i="2"/>
  <c r="H3744" i="2"/>
  <c r="G3744" i="2"/>
  <c r="F3744" i="2"/>
  <c r="E3744" i="2"/>
  <c r="D3744" i="2"/>
  <c r="C3744" i="2"/>
  <c r="B3744" i="2"/>
  <c r="V3743" i="2"/>
  <c r="U3743" i="2"/>
  <c r="T3743" i="2"/>
  <c r="S3743" i="2"/>
  <c r="R3743" i="2"/>
  <c r="Q3743" i="2"/>
  <c r="P3743" i="2"/>
  <c r="O3743" i="2"/>
  <c r="N3743" i="2"/>
  <c r="M3743" i="2"/>
  <c r="L3743" i="2"/>
  <c r="K3743" i="2"/>
  <c r="J3743" i="2"/>
  <c r="I3743" i="2"/>
  <c r="H3743" i="2"/>
  <c r="G3743" i="2"/>
  <c r="F3743" i="2"/>
  <c r="E3743" i="2"/>
  <c r="D3743" i="2"/>
  <c r="C3743" i="2"/>
  <c r="B3743" i="2"/>
  <c r="V3742" i="2"/>
  <c r="U3742" i="2"/>
  <c r="T3742" i="2"/>
  <c r="S3742" i="2"/>
  <c r="R3742" i="2"/>
  <c r="Q3742" i="2"/>
  <c r="P3742" i="2"/>
  <c r="O3742" i="2"/>
  <c r="N3742" i="2"/>
  <c r="M3742" i="2"/>
  <c r="L3742" i="2"/>
  <c r="K3742" i="2"/>
  <c r="J3742" i="2"/>
  <c r="I3742" i="2"/>
  <c r="H3742" i="2"/>
  <c r="G3742" i="2"/>
  <c r="F3742" i="2"/>
  <c r="E3742" i="2"/>
  <c r="D3742" i="2"/>
  <c r="C3742" i="2"/>
  <c r="B3742" i="2"/>
  <c r="V3741" i="2"/>
  <c r="U3741" i="2"/>
  <c r="T3741" i="2"/>
  <c r="S3741" i="2"/>
  <c r="R3741" i="2"/>
  <c r="Q3741" i="2"/>
  <c r="P3741" i="2"/>
  <c r="O3741" i="2"/>
  <c r="N3741" i="2"/>
  <c r="M3741" i="2"/>
  <c r="L3741" i="2"/>
  <c r="K3741" i="2"/>
  <c r="J3741" i="2"/>
  <c r="I3741" i="2"/>
  <c r="H3741" i="2"/>
  <c r="G3741" i="2"/>
  <c r="F3741" i="2"/>
  <c r="E3741" i="2"/>
  <c r="D3741" i="2"/>
  <c r="C3741" i="2"/>
  <c r="B3741" i="2"/>
  <c r="V3740" i="2"/>
  <c r="U3740" i="2"/>
  <c r="T3740" i="2"/>
  <c r="S3740" i="2"/>
  <c r="R3740" i="2"/>
  <c r="Q3740" i="2"/>
  <c r="P3740" i="2"/>
  <c r="O3740" i="2"/>
  <c r="N3740" i="2"/>
  <c r="M3740" i="2"/>
  <c r="L3740" i="2"/>
  <c r="K3740" i="2"/>
  <c r="J3740" i="2"/>
  <c r="I3740" i="2"/>
  <c r="H3740" i="2"/>
  <c r="G3740" i="2"/>
  <c r="F3740" i="2"/>
  <c r="E3740" i="2"/>
  <c r="D3740" i="2"/>
  <c r="C3740" i="2"/>
  <c r="B3740" i="2"/>
  <c r="V3739" i="2"/>
  <c r="U3739" i="2"/>
  <c r="T3739" i="2"/>
  <c r="S3739" i="2"/>
  <c r="R3739" i="2"/>
  <c r="Q3739" i="2"/>
  <c r="P3739" i="2"/>
  <c r="O3739" i="2"/>
  <c r="N3739" i="2"/>
  <c r="M3739" i="2"/>
  <c r="L3739" i="2"/>
  <c r="K3739" i="2"/>
  <c r="J3739" i="2"/>
  <c r="I3739" i="2"/>
  <c r="H3739" i="2"/>
  <c r="G3739" i="2"/>
  <c r="F3739" i="2"/>
  <c r="E3739" i="2"/>
  <c r="D3739" i="2"/>
  <c r="C3739" i="2"/>
  <c r="B3739" i="2"/>
  <c r="V3738" i="2"/>
  <c r="U3738" i="2"/>
  <c r="T3738" i="2"/>
  <c r="S3738" i="2"/>
  <c r="R3738" i="2"/>
  <c r="Q3738" i="2"/>
  <c r="P3738" i="2"/>
  <c r="O3738" i="2"/>
  <c r="N3738" i="2"/>
  <c r="M3738" i="2"/>
  <c r="L3738" i="2"/>
  <c r="K3738" i="2"/>
  <c r="J3738" i="2"/>
  <c r="I3738" i="2"/>
  <c r="H3738" i="2"/>
  <c r="G3738" i="2"/>
  <c r="F3738" i="2"/>
  <c r="E3738" i="2"/>
  <c r="D3738" i="2"/>
  <c r="C3738" i="2"/>
  <c r="B3738" i="2"/>
  <c r="V3737" i="2"/>
  <c r="U3737" i="2"/>
  <c r="T3737" i="2"/>
  <c r="S3737" i="2"/>
  <c r="R3737" i="2"/>
  <c r="Q3737" i="2"/>
  <c r="P3737" i="2"/>
  <c r="O3737" i="2"/>
  <c r="N3737" i="2"/>
  <c r="M3737" i="2"/>
  <c r="L3737" i="2"/>
  <c r="K3737" i="2"/>
  <c r="J3737" i="2"/>
  <c r="I3737" i="2"/>
  <c r="H3737" i="2"/>
  <c r="G3737" i="2"/>
  <c r="F3737" i="2"/>
  <c r="E3737" i="2"/>
  <c r="D3737" i="2"/>
  <c r="C3737" i="2"/>
  <c r="B3737" i="2"/>
  <c r="V3736" i="2"/>
  <c r="U3736" i="2"/>
  <c r="T3736" i="2"/>
  <c r="S3736" i="2"/>
  <c r="R3736" i="2"/>
  <c r="Q3736" i="2"/>
  <c r="P3736" i="2"/>
  <c r="O3736" i="2"/>
  <c r="N3736" i="2"/>
  <c r="M3736" i="2"/>
  <c r="L3736" i="2"/>
  <c r="K3736" i="2"/>
  <c r="J3736" i="2"/>
  <c r="I3736" i="2"/>
  <c r="H3736" i="2"/>
  <c r="G3736" i="2"/>
  <c r="F3736" i="2"/>
  <c r="E3736" i="2"/>
  <c r="D3736" i="2"/>
  <c r="C3736" i="2"/>
  <c r="B3736" i="2"/>
  <c r="V3735" i="2"/>
  <c r="U3735" i="2"/>
  <c r="T3735" i="2"/>
  <c r="S3735" i="2"/>
  <c r="R3735" i="2"/>
  <c r="Q3735" i="2"/>
  <c r="P3735" i="2"/>
  <c r="O3735" i="2"/>
  <c r="N3735" i="2"/>
  <c r="M3735" i="2"/>
  <c r="L3735" i="2"/>
  <c r="K3735" i="2"/>
  <c r="J3735" i="2"/>
  <c r="I3735" i="2"/>
  <c r="H3735" i="2"/>
  <c r="G3735" i="2"/>
  <c r="F3735" i="2"/>
  <c r="E3735" i="2"/>
  <c r="D3735" i="2"/>
  <c r="C3735" i="2"/>
  <c r="B3735" i="2"/>
  <c r="V3734" i="2"/>
  <c r="U3734" i="2"/>
  <c r="T3734" i="2"/>
  <c r="S3734" i="2"/>
  <c r="R3734" i="2"/>
  <c r="Q3734" i="2"/>
  <c r="P3734" i="2"/>
  <c r="O3734" i="2"/>
  <c r="N3734" i="2"/>
  <c r="M3734" i="2"/>
  <c r="L3734" i="2"/>
  <c r="K3734" i="2"/>
  <c r="J3734" i="2"/>
  <c r="I3734" i="2"/>
  <c r="H3734" i="2"/>
  <c r="G3734" i="2"/>
  <c r="F3734" i="2"/>
  <c r="E3734" i="2"/>
  <c r="D3734" i="2"/>
  <c r="C3734" i="2"/>
  <c r="B3734" i="2"/>
  <c r="V3733" i="2"/>
  <c r="U3733" i="2"/>
  <c r="T3733" i="2"/>
  <c r="S3733" i="2"/>
  <c r="R3733" i="2"/>
  <c r="Q3733" i="2"/>
  <c r="P3733" i="2"/>
  <c r="O3733" i="2"/>
  <c r="N3733" i="2"/>
  <c r="M3733" i="2"/>
  <c r="L3733" i="2"/>
  <c r="K3733" i="2"/>
  <c r="J3733" i="2"/>
  <c r="I3733" i="2"/>
  <c r="H3733" i="2"/>
  <c r="G3733" i="2"/>
  <c r="F3733" i="2"/>
  <c r="E3733" i="2"/>
  <c r="D3733" i="2"/>
  <c r="C3733" i="2"/>
  <c r="B3733" i="2"/>
  <c r="V3732" i="2"/>
  <c r="U3732" i="2"/>
  <c r="T3732" i="2"/>
  <c r="S3732" i="2"/>
  <c r="R3732" i="2"/>
  <c r="Q3732" i="2"/>
  <c r="P3732" i="2"/>
  <c r="O3732" i="2"/>
  <c r="N3732" i="2"/>
  <c r="M3732" i="2"/>
  <c r="L3732" i="2"/>
  <c r="K3732" i="2"/>
  <c r="J3732" i="2"/>
  <c r="I3732" i="2"/>
  <c r="H3732" i="2"/>
  <c r="G3732" i="2"/>
  <c r="F3732" i="2"/>
  <c r="E3732" i="2"/>
  <c r="D3732" i="2"/>
  <c r="C3732" i="2"/>
  <c r="B3732" i="2"/>
  <c r="V3731" i="2"/>
  <c r="U3731" i="2"/>
  <c r="T3731" i="2"/>
  <c r="S3731" i="2"/>
  <c r="R3731" i="2"/>
  <c r="Q3731" i="2"/>
  <c r="P3731" i="2"/>
  <c r="O3731" i="2"/>
  <c r="N3731" i="2"/>
  <c r="M3731" i="2"/>
  <c r="L3731" i="2"/>
  <c r="K3731" i="2"/>
  <c r="J3731" i="2"/>
  <c r="I3731" i="2"/>
  <c r="H3731" i="2"/>
  <c r="G3731" i="2"/>
  <c r="F3731" i="2"/>
  <c r="E3731" i="2"/>
  <c r="D3731" i="2"/>
  <c r="C3731" i="2"/>
  <c r="B3731" i="2"/>
  <c r="V3730" i="2"/>
  <c r="U3730" i="2"/>
  <c r="T3730" i="2"/>
  <c r="S3730" i="2"/>
  <c r="R3730" i="2"/>
  <c r="Q3730" i="2"/>
  <c r="P3730" i="2"/>
  <c r="O3730" i="2"/>
  <c r="N3730" i="2"/>
  <c r="M3730" i="2"/>
  <c r="L3730" i="2"/>
  <c r="K3730" i="2"/>
  <c r="J3730" i="2"/>
  <c r="I3730" i="2"/>
  <c r="H3730" i="2"/>
  <c r="G3730" i="2"/>
  <c r="F3730" i="2"/>
  <c r="E3730" i="2"/>
  <c r="D3730" i="2"/>
  <c r="C3730" i="2"/>
  <c r="B3730" i="2"/>
  <c r="V3729" i="2"/>
  <c r="U3729" i="2"/>
  <c r="T3729" i="2"/>
  <c r="S3729" i="2"/>
  <c r="R3729" i="2"/>
  <c r="Q3729" i="2"/>
  <c r="P3729" i="2"/>
  <c r="O3729" i="2"/>
  <c r="N3729" i="2"/>
  <c r="M3729" i="2"/>
  <c r="L3729" i="2"/>
  <c r="K3729" i="2"/>
  <c r="J3729" i="2"/>
  <c r="I3729" i="2"/>
  <c r="H3729" i="2"/>
  <c r="G3729" i="2"/>
  <c r="F3729" i="2"/>
  <c r="E3729" i="2"/>
  <c r="D3729" i="2"/>
  <c r="C3729" i="2"/>
  <c r="B3729" i="2"/>
  <c r="V3728" i="2"/>
  <c r="U3728" i="2"/>
  <c r="T3728" i="2"/>
  <c r="S3728" i="2"/>
  <c r="R3728" i="2"/>
  <c r="Q3728" i="2"/>
  <c r="P3728" i="2"/>
  <c r="O3728" i="2"/>
  <c r="N3728" i="2"/>
  <c r="M3728" i="2"/>
  <c r="L3728" i="2"/>
  <c r="K3728" i="2"/>
  <c r="J3728" i="2"/>
  <c r="I3728" i="2"/>
  <c r="H3728" i="2"/>
  <c r="G3728" i="2"/>
  <c r="F3728" i="2"/>
  <c r="E3728" i="2"/>
  <c r="D3728" i="2"/>
  <c r="C3728" i="2"/>
  <c r="B3728" i="2"/>
  <c r="V3727" i="2"/>
  <c r="U3727" i="2"/>
  <c r="T3727" i="2"/>
  <c r="S3727" i="2"/>
  <c r="R3727" i="2"/>
  <c r="Q3727" i="2"/>
  <c r="P3727" i="2"/>
  <c r="O3727" i="2"/>
  <c r="N3727" i="2"/>
  <c r="M3727" i="2"/>
  <c r="L3727" i="2"/>
  <c r="K3727" i="2"/>
  <c r="J3727" i="2"/>
  <c r="I3727" i="2"/>
  <c r="H3727" i="2"/>
  <c r="G3727" i="2"/>
  <c r="F3727" i="2"/>
  <c r="E3727" i="2"/>
  <c r="D3727" i="2"/>
  <c r="C3727" i="2"/>
  <c r="B3727" i="2"/>
  <c r="V3726" i="2"/>
  <c r="U3726" i="2"/>
  <c r="T3726" i="2"/>
  <c r="S3726" i="2"/>
  <c r="R3726" i="2"/>
  <c r="Q3726" i="2"/>
  <c r="P3726" i="2"/>
  <c r="O3726" i="2"/>
  <c r="N3726" i="2"/>
  <c r="M3726" i="2"/>
  <c r="L3726" i="2"/>
  <c r="K3726" i="2"/>
  <c r="J3726" i="2"/>
  <c r="I3726" i="2"/>
  <c r="H3726" i="2"/>
  <c r="G3726" i="2"/>
  <c r="F3726" i="2"/>
  <c r="E3726" i="2"/>
  <c r="D3726" i="2"/>
  <c r="C3726" i="2"/>
  <c r="B3726" i="2"/>
  <c r="V3725" i="2"/>
  <c r="U3725" i="2"/>
  <c r="T3725" i="2"/>
  <c r="S3725" i="2"/>
  <c r="R3725" i="2"/>
  <c r="Q3725" i="2"/>
  <c r="P3725" i="2"/>
  <c r="O3725" i="2"/>
  <c r="N3725" i="2"/>
  <c r="M3725" i="2"/>
  <c r="L3725" i="2"/>
  <c r="K3725" i="2"/>
  <c r="J3725" i="2"/>
  <c r="I3725" i="2"/>
  <c r="H3725" i="2"/>
  <c r="G3725" i="2"/>
  <c r="F3725" i="2"/>
  <c r="E3725" i="2"/>
  <c r="D3725" i="2"/>
  <c r="C3725" i="2"/>
  <c r="B3725" i="2"/>
  <c r="V3724" i="2"/>
  <c r="U3724" i="2"/>
  <c r="T3724" i="2"/>
  <c r="S3724" i="2"/>
  <c r="R3724" i="2"/>
  <c r="Q3724" i="2"/>
  <c r="P3724" i="2"/>
  <c r="O3724" i="2"/>
  <c r="N3724" i="2"/>
  <c r="M3724" i="2"/>
  <c r="L3724" i="2"/>
  <c r="K3724" i="2"/>
  <c r="J3724" i="2"/>
  <c r="I3724" i="2"/>
  <c r="H3724" i="2"/>
  <c r="G3724" i="2"/>
  <c r="F3724" i="2"/>
  <c r="E3724" i="2"/>
  <c r="D3724" i="2"/>
  <c r="C3724" i="2"/>
  <c r="B3724" i="2"/>
  <c r="V3723" i="2"/>
  <c r="U3723" i="2"/>
  <c r="T3723" i="2"/>
  <c r="S3723" i="2"/>
  <c r="R3723" i="2"/>
  <c r="Q3723" i="2"/>
  <c r="P3723" i="2"/>
  <c r="O3723" i="2"/>
  <c r="N3723" i="2"/>
  <c r="M3723" i="2"/>
  <c r="L3723" i="2"/>
  <c r="K3723" i="2"/>
  <c r="J3723" i="2"/>
  <c r="I3723" i="2"/>
  <c r="H3723" i="2"/>
  <c r="G3723" i="2"/>
  <c r="F3723" i="2"/>
  <c r="E3723" i="2"/>
  <c r="D3723" i="2"/>
  <c r="C3723" i="2"/>
  <c r="B3723" i="2"/>
  <c r="V3722" i="2"/>
  <c r="U3722" i="2"/>
  <c r="T3722" i="2"/>
  <c r="S3722" i="2"/>
  <c r="R3722" i="2"/>
  <c r="Q3722" i="2"/>
  <c r="P3722" i="2"/>
  <c r="O3722" i="2"/>
  <c r="N3722" i="2"/>
  <c r="M3722" i="2"/>
  <c r="L3722" i="2"/>
  <c r="K3722" i="2"/>
  <c r="J3722" i="2"/>
  <c r="I3722" i="2"/>
  <c r="H3722" i="2"/>
  <c r="G3722" i="2"/>
  <c r="F3722" i="2"/>
  <c r="E3722" i="2"/>
  <c r="D3722" i="2"/>
  <c r="C3722" i="2"/>
  <c r="B3722" i="2"/>
  <c r="V3721" i="2"/>
  <c r="U3721" i="2"/>
  <c r="T3721" i="2"/>
  <c r="S3721" i="2"/>
  <c r="R3721" i="2"/>
  <c r="Q3721" i="2"/>
  <c r="P3721" i="2"/>
  <c r="O3721" i="2"/>
  <c r="N3721" i="2"/>
  <c r="M3721" i="2"/>
  <c r="L3721" i="2"/>
  <c r="K3721" i="2"/>
  <c r="J3721" i="2"/>
  <c r="I3721" i="2"/>
  <c r="H3721" i="2"/>
  <c r="G3721" i="2"/>
  <c r="F3721" i="2"/>
  <c r="E3721" i="2"/>
  <c r="D3721" i="2"/>
  <c r="C3721" i="2"/>
  <c r="B3721" i="2"/>
  <c r="V3720" i="2"/>
  <c r="U3720" i="2"/>
  <c r="T3720" i="2"/>
  <c r="S3720" i="2"/>
  <c r="R3720" i="2"/>
  <c r="Q3720" i="2"/>
  <c r="P3720" i="2"/>
  <c r="O3720" i="2"/>
  <c r="N3720" i="2"/>
  <c r="M3720" i="2"/>
  <c r="L3720" i="2"/>
  <c r="K3720" i="2"/>
  <c r="J3720" i="2"/>
  <c r="I3720" i="2"/>
  <c r="H3720" i="2"/>
  <c r="G3720" i="2"/>
  <c r="F3720" i="2"/>
  <c r="E3720" i="2"/>
  <c r="D3720" i="2"/>
  <c r="C3720" i="2"/>
  <c r="B3720" i="2"/>
  <c r="V3719" i="2"/>
  <c r="U3719" i="2"/>
  <c r="T3719" i="2"/>
  <c r="S3719" i="2"/>
  <c r="R3719" i="2"/>
  <c r="Q3719" i="2"/>
  <c r="P3719" i="2"/>
  <c r="O3719" i="2"/>
  <c r="N3719" i="2"/>
  <c r="M3719" i="2"/>
  <c r="L3719" i="2"/>
  <c r="K3719" i="2"/>
  <c r="J3719" i="2"/>
  <c r="I3719" i="2"/>
  <c r="H3719" i="2"/>
  <c r="G3719" i="2"/>
  <c r="F3719" i="2"/>
  <c r="E3719" i="2"/>
  <c r="D3719" i="2"/>
  <c r="C3719" i="2"/>
  <c r="B3719" i="2"/>
  <c r="V3718" i="2"/>
  <c r="U3718" i="2"/>
  <c r="T3718" i="2"/>
  <c r="S3718" i="2"/>
  <c r="R3718" i="2"/>
  <c r="Q3718" i="2"/>
  <c r="P3718" i="2"/>
  <c r="O3718" i="2"/>
  <c r="N3718" i="2"/>
  <c r="M3718" i="2"/>
  <c r="L3718" i="2"/>
  <c r="K3718" i="2"/>
  <c r="J3718" i="2"/>
  <c r="I3718" i="2"/>
  <c r="H3718" i="2"/>
  <c r="G3718" i="2"/>
  <c r="F3718" i="2"/>
  <c r="E3718" i="2"/>
  <c r="D3718" i="2"/>
  <c r="C3718" i="2"/>
  <c r="B3718" i="2"/>
  <c r="V3717" i="2"/>
  <c r="U3717" i="2"/>
  <c r="T3717" i="2"/>
  <c r="S3717" i="2"/>
  <c r="R3717" i="2"/>
  <c r="Q3717" i="2"/>
  <c r="P3717" i="2"/>
  <c r="O3717" i="2"/>
  <c r="N3717" i="2"/>
  <c r="M3717" i="2"/>
  <c r="L3717" i="2"/>
  <c r="K3717" i="2"/>
  <c r="J3717" i="2"/>
  <c r="I3717" i="2"/>
  <c r="H3717" i="2"/>
  <c r="G3717" i="2"/>
  <c r="F3717" i="2"/>
  <c r="E3717" i="2"/>
  <c r="D3717" i="2"/>
  <c r="C3717" i="2"/>
  <c r="B3717" i="2"/>
  <c r="V3716" i="2"/>
  <c r="U3716" i="2"/>
  <c r="T3716" i="2"/>
  <c r="S3716" i="2"/>
  <c r="R3716" i="2"/>
  <c r="Q3716" i="2"/>
  <c r="P3716" i="2"/>
  <c r="O3716" i="2"/>
  <c r="N3716" i="2"/>
  <c r="M3716" i="2"/>
  <c r="L3716" i="2"/>
  <c r="K3716" i="2"/>
  <c r="J3716" i="2"/>
  <c r="I3716" i="2"/>
  <c r="H3716" i="2"/>
  <c r="G3716" i="2"/>
  <c r="F3716" i="2"/>
  <c r="E3716" i="2"/>
  <c r="D3716" i="2"/>
  <c r="C3716" i="2"/>
  <c r="B3716" i="2"/>
  <c r="V3715" i="2"/>
  <c r="U3715" i="2"/>
  <c r="T3715" i="2"/>
  <c r="S3715" i="2"/>
  <c r="R3715" i="2"/>
  <c r="Q3715" i="2"/>
  <c r="P3715" i="2"/>
  <c r="O3715" i="2"/>
  <c r="N3715" i="2"/>
  <c r="M3715" i="2"/>
  <c r="L3715" i="2"/>
  <c r="K3715" i="2"/>
  <c r="J3715" i="2"/>
  <c r="I3715" i="2"/>
  <c r="H3715" i="2"/>
  <c r="G3715" i="2"/>
  <c r="F3715" i="2"/>
  <c r="E3715" i="2"/>
  <c r="D3715" i="2"/>
  <c r="C3715" i="2"/>
  <c r="B3715" i="2"/>
  <c r="V3714" i="2"/>
  <c r="U3714" i="2"/>
  <c r="T3714" i="2"/>
  <c r="S3714" i="2"/>
  <c r="R3714" i="2"/>
  <c r="Q3714" i="2"/>
  <c r="P3714" i="2"/>
  <c r="O3714" i="2"/>
  <c r="N3714" i="2"/>
  <c r="M3714" i="2"/>
  <c r="L3714" i="2"/>
  <c r="K3714" i="2"/>
  <c r="J3714" i="2"/>
  <c r="I3714" i="2"/>
  <c r="H3714" i="2"/>
  <c r="G3714" i="2"/>
  <c r="F3714" i="2"/>
  <c r="E3714" i="2"/>
  <c r="D3714" i="2"/>
  <c r="C3714" i="2"/>
  <c r="B3714" i="2"/>
  <c r="V3713" i="2"/>
  <c r="U3713" i="2"/>
  <c r="T3713" i="2"/>
  <c r="S3713" i="2"/>
  <c r="R3713" i="2"/>
  <c r="Q3713" i="2"/>
  <c r="P3713" i="2"/>
  <c r="O3713" i="2"/>
  <c r="N3713" i="2"/>
  <c r="M3713" i="2"/>
  <c r="L3713" i="2"/>
  <c r="K3713" i="2"/>
  <c r="J3713" i="2"/>
  <c r="I3713" i="2"/>
  <c r="H3713" i="2"/>
  <c r="G3713" i="2"/>
  <c r="F3713" i="2"/>
  <c r="E3713" i="2"/>
  <c r="D3713" i="2"/>
  <c r="C3713" i="2"/>
  <c r="B3713" i="2"/>
  <c r="V3712" i="2"/>
  <c r="U3712" i="2"/>
  <c r="T3712" i="2"/>
  <c r="S3712" i="2"/>
  <c r="R3712" i="2"/>
  <c r="Q3712" i="2"/>
  <c r="P3712" i="2"/>
  <c r="O3712" i="2"/>
  <c r="N3712" i="2"/>
  <c r="M3712" i="2"/>
  <c r="L3712" i="2"/>
  <c r="K3712" i="2"/>
  <c r="J3712" i="2"/>
  <c r="I3712" i="2"/>
  <c r="H3712" i="2"/>
  <c r="G3712" i="2"/>
  <c r="F3712" i="2"/>
  <c r="E3712" i="2"/>
  <c r="D3712" i="2"/>
  <c r="C3712" i="2"/>
  <c r="B3712" i="2"/>
  <c r="V3711" i="2"/>
  <c r="U3711" i="2"/>
  <c r="T3711" i="2"/>
  <c r="S3711" i="2"/>
  <c r="R3711" i="2"/>
  <c r="Q3711" i="2"/>
  <c r="P3711" i="2"/>
  <c r="O3711" i="2"/>
  <c r="N3711" i="2"/>
  <c r="M3711" i="2"/>
  <c r="L3711" i="2"/>
  <c r="K3711" i="2"/>
  <c r="J3711" i="2"/>
  <c r="I3711" i="2"/>
  <c r="H3711" i="2"/>
  <c r="G3711" i="2"/>
  <c r="F3711" i="2"/>
  <c r="E3711" i="2"/>
  <c r="D3711" i="2"/>
  <c r="C3711" i="2"/>
  <c r="B3711" i="2"/>
  <c r="V3710" i="2"/>
  <c r="U3710" i="2"/>
  <c r="T3710" i="2"/>
  <c r="S3710" i="2"/>
  <c r="R3710" i="2"/>
  <c r="Q3710" i="2"/>
  <c r="P3710" i="2"/>
  <c r="O3710" i="2"/>
  <c r="N3710" i="2"/>
  <c r="M3710" i="2"/>
  <c r="L3710" i="2"/>
  <c r="K3710" i="2"/>
  <c r="J3710" i="2"/>
  <c r="I3710" i="2"/>
  <c r="H3710" i="2"/>
  <c r="G3710" i="2"/>
  <c r="F3710" i="2"/>
  <c r="E3710" i="2"/>
  <c r="D3710" i="2"/>
  <c r="C3710" i="2"/>
  <c r="B3710" i="2"/>
  <c r="V3709" i="2"/>
  <c r="U3709" i="2"/>
  <c r="T3709" i="2"/>
  <c r="S3709" i="2"/>
  <c r="R3709" i="2"/>
  <c r="Q3709" i="2"/>
  <c r="P3709" i="2"/>
  <c r="O3709" i="2"/>
  <c r="N3709" i="2"/>
  <c r="M3709" i="2"/>
  <c r="L3709" i="2"/>
  <c r="K3709" i="2"/>
  <c r="J3709" i="2"/>
  <c r="I3709" i="2"/>
  <c r="H3709" i="2"/>
  <c r="G3709" i="2"/>
  <c r="F3709" i="2"/>
  <c r="E3709" i="2"/>
  <c r="D3709" i="2"/>
  <c r="C3709" i="2"/>
  <c r="B3709" i="2"/>
  <c r="V3708" i="2"/>
  <c r="U3708" i="2"/>
  <c r="T3708" i="2"/>
  <c r="S3708" i="2"/>
  <c r="R3708" i="2"/>
  <c r="Q3708" i="2"/>
  <c r="P3708" i="2"/>
  <c r="O3708" i="2"/>
  <c r="N3708" i="2"/>
  <c r="M3708" i="2"/>
  <c r="L3708" i="2"/>
  <c r="K3708" i="2"/>
  <c r="J3708" i="2"/>
  <c r="I3708" i="2"/>
  <c r="H3708" i="2"/>
  <c r="G3708" i="2"/>
  <c r="F3708" i="2"/>
  <c r="E3708" i="2"/>
  <c r="D3708" i="2"/>
  <c r="C3708" i="2"/>
  <c r="B3708" i="2"/>
  <c r="V3707" i="2"/>
  <c r="U3707" i="2"/>
  <c r="T3707" i="2"/>
  <c r="S3707" i="2"/>
  <c r="R3707" i="2"/>
  <c r="Q3707" i="2"/>
  <c r="P3707" i="2"/>
  <c r="O3707" i="2"/>
  <c r="N3707" i="2"/>
  <c r="M3707" i="2"/>
  <c r="L3707" i="2"/>
  <c r="K3707" i="2"/>
  <c r="J3707" i="2"/>
  <c r="I3707" i="2"/>
  <c r="H3707" i="2"/>
  <c r="G3707" i="2"/>
  <c r="F3707" i="2"/>
  <c r="E3707" i="2"/>
  <c r="D3707" i="2"/>
  <c r="C3707" i="2"/>
  <c r="B3707" i="2"/>
  <c r="V3706" i="2"/>
  <c r="U3706" i="2"/>
  <c r="T3706" i="2"/>
  <c r="S3706" i="2"/>
  <c r="R3706" i="2"/>
  <c r="Q3706" i="2"/>
  <c r="P3706" i="2"/>
  <c r="O3706" i="2"/>
  <c r="N3706" i="2"/>
  <c r="M3706" i="2"/>
  <c r="L3706" i="2"/>
  <c r="K3706" i="2"/>
  <c r="J3706" i="2"/>
  <c r="I3706" i="2"/>
  <c r="H3706" i="2"/>
  <c r="G3706" i="2"/>
  <c r="F3706" i="2"/>
  <c r="E3706" i="2"/>
  <c r="D3706" i="2"/>
  <c r="C3706" i="2"/>
  <c r="B3706" i="2"/>
  <c r="V3705" i="2"/>
  <c r="U3705" i="2"/>
  <c r="T3705" i="2"/>
  <c r="S3705" i="2"/>
  <c r="R3705" i="2"/>
  <c r="Q3705" i="2"/>
  <c r="P3705" i="2"/>
  <c r="O3705" i="2"/>
  <c r="N3705" i="2"/>
  <c r="M3705" i="2"/>
  <c r="L3705" i="2"/>
  <c r="K3705" i="2"/>
  <c r="J3705" i="2"/>
  <c r="I3705" i="2"/>
  <c r="H3705" i="2"/>
  <c r="G3705" i="2"/>
  <c r="F3705" i="2"/>
  <c r="E3705" i="2"/>
  <c r="D3705" i="2"/>
  <c r="C3705" i="2"/>
  <c r="B3705" i="2"/>
  <c r="V3704" i="2"/>
  <c r="U3704" i="2"/>
  <c r="T3704" i="2"/>
  <c r="S3704" i="2"/>
  <c r="R3704" i="2"/>
  <c r="Q3704" i="2"/>
  <c r="P3704" i="2"/>
  <c r="O3704" i="2"/>
  <c r="N3704" i="2"/>
  <c r="M3704" i="2"/>
  <c r="L3704" i="2"/>
  <c r="K3704" i="2"/>
  <c r="J3704" i="2"/>
  <c r="I3704" i="2"/>
  <c r="H3704" i="2"/>
  <c r="G3704" i="2"/>
  <c r="F3704" i="2"/>
  <c r="E3704" i="2"/>
  <c r="D3704" i="2"/>
  <c r="C3704" i="2"/>
  <c r="B3704" i="2"/>
  <c r="V3703" i="2"/>
  <c r="U3703" i="2"/>
  <c r="T3703" i="2"/>
  <c r="S3703" i="2"/>
  <c r="R3703" i="2"/>
  <c r="Q3703" i="2"/>
  <c r="P3703" i="2"/>
  <c r="O3703" i="2"/>
  <c r="N3703" i="2"/>
  <c r="M3703" i="2"/>
  <c r="L3703" i="2"/>
  <c r="K3703" i="2"/>
  <c r="J3703" i="2"/>
  <c r="I3703" i="2"/>
  <c r="H3703" i="2"/>
  <c r="G3703" i="2"/>
  <c r="F3703" i="2"/>
  <c r="E3703" i="2"/>
  <c r="D3703" i="2"/>
  <c r="C3703" i="2"/>
  <c r="B3703" i="2"/>
  <c r="V3702" i="2"/>
  <c r="U3702" i="2"/>
  <c r="T3702" i="2"/>
  <c r="S3702" i="2"/>
  <c r="R3702" i="2"/>
  <c r="Q3702" i="2"/>
  <c r="P3702" i="2"/>
  <c r="O3702" i="2"/>
  <c r="N3702" i="2"/>
  <c r="M3702" i="2"/>
  <c r="L3702" i="2"/>
  <c r="K3702" i="2"/>
  <c r="J3702" i="2"/>
  <c r="I3702" i="2"/>
  <c r="H3702" i="2"/>
  <c r="G3702" i="2"/>
  <c r="F3702" i="2"/>
  <c r="E3702" i="2"/>
  <c r="D3702" i="2"/>
  <c r="C3702" i="2"/>
  <c r="B3702" i="2"/>
  <c r="V3701" i="2"/>
  <c r="U3701" i="2"/>
  <c r="T3701" i="2"/>
  <c r="S3701" i="2"/>
  <c r="R3701" i="2"/>
  <c r="Q3701" i="2"/>
  <c r="P3701" i="2"/>
  <c r="O3701" i="2"/>
  <c r="N3701" i="2"/>
  <c r="M3701" i="2"/>
  <c r="L3701" i="2"/>
  <c r="K3701" i="2"/>
  <c r="J3701" i="2"/>
  <c r="I3701" i="2"/>
  <c r="H3701" i="2"/>
  <c r="G3701" i="2"/>
  <c r="F3701" i="2"/>
  <c r="E3701" i="2"/>
  <c r="D3701" i="2"/>
  <c r="C3701" i="2"/>
  <c r="B3701" i="2"/>
  <c r="V3700" i="2"/>
  <c r="U3700" i="2"/>
  <c r="T3700" i="2"/>
  <c r="S3700" i="2"/>
  <c r="R3700" i="2"/>
  <c r="Q3700" i="2"/>
  <c r="P3700" i="2"/>
  <c r="O3700" i="2"/>
  <c r="N3700" i="2"/>
  <c r="M3700" i="2"/>
  <c r="L3700" i="2"/>
  <c r="K3700" i="2"/>
  <c r="J3700" i="2"/>
  <c r="I3700" i="2"/>
  <c r="H3700" i="2"/>
  <c r="G3700" i="2"/>
  <c r="F3700" i="2"/>
  <c r="E3700" i="2"/>
  <c r="D3700" i="2"/>
  <c r="C3700" i="2"/>
  <c r="B3700" i="2"/>
  <c r="V3699" i="2"/>
  <c r="U3699" i="2"/>
  <c r="T3699" i="2"/>
  <c r="S3699" i="2"/>
  <c r="R3699" i="2"/>
  <c r="Q3699" i="2"/>
  <c r="P3699" i="2"/>
  <c r="O3699" i="2"/>
  <c r="N3699" i="2"/>
  <c r="M3699" i="2"/>
  <c r="L3699" i="2"/>
  <c r="K3699" i="2"/>
  <c r="J3699" i="2"/>
  <c r="I3699" i="2"/>
  <c r="H3699" i="2"/>
  <c r="G3699" i="2"/>
  <c r="F3699" i="2"/>
  <c r="E3699" i="2"/>
  <c r="D3699" i="2"/>
  <c r="C3699" i="2"/>
  <c r="B3699" i="2"/>
  <c r="V3698" i="2"/>
  <c r="U3698" i="2"/>
  <c r="T3698" i="2"/>
  <c r="S3698" i="2"/>
  <c r="R3698" i="2"/>
  <c r="Q3698" i="2"/>
  <c r="P3698" i="2"/>
  <c r="O3698" i="2"/>
  <c r="N3698" i="2"/>
  <c r="M3698" i="2"/>
  <c r="L3698" i="2"/>
  <c r="K3698" i="2"/>
  <c r="J3698" i="2"/>
  <c r="I3698" i="2"/>
  <c r="H3698" i="2"/>
  <c r="G3698" i="2"/>
  <c r="F3698" i="2"/>
  <c r="E3698" i="2"/>
  <c r="D3698" i="2"/>
  <c r="C3698" i="2"/>
  <c r="B3698" i="2"/>
  <c r="V3697" i="2"/>
  <c r="U3697" i="2"/>
  <c r="T3697" i="2"/>
  <c r="S3697" i="2"/>
  <c r="R3697" i="2"/>
  <c r="Q3697" i="2"/>
  <c r="P3697" i="2"/>
  <c r="O3697" i="2"/>
  <c r="N3697" i="2"/>
  <c r="M3697" i="2"/>
  <c r="L3697" i="2"/>
  <c r="K3697" i="2"/>
  <c r="J3697" i="2"/>
  <c r="I3697" i="2"/>
  <c r="H3697" i="2"/>
  <c r="G3697" i="2"/>
  <c r="F3697" i="2"/>
  <c r="E3697" i="2"/>
  <c r="D3697" i="2"/>
  <c r="C3697" i="2"/>
  <c r="B3697" i="2"/>
  <c r="V3696" i="2"/>
  <c r="U3696" i="2"/>
  <c r="T3696" i="2"/>
  <c r="S3696" i="2"/>
  <c r="R3696" i="2"/>
  <c r="Q3696" i="2"/>
  <c r="P3696" i="2"/>
  <c r="O3696" i="2"/>
  <c r="N3696" i="2"/>
  <c r="M3696" i="2"/>
  <c r="L3696" i="2"/>
  <c r="K3696" i="2"/>
  <c r="J3696" i="2"/>
  <c r="I3696" i="2"/>
  <c r="H3696" i="2"/>
  <c r="G3696" i="2"/>
  <c r="F3696" i="2"/>
  <c r="E3696" i="2"/>
  <c r="D3696" i="2"/>
  <c r="C3696" i="2"/>
  <c r="B3696" i="2"/>
  <c r="V3695" i="2"/>
  <c r="U3695" i="2"/>
  <c r="T3695" i="2"/>
  <c r="S3695" i="2"/>
  <c r="R3695" i="2"/>
  <c r="Q3695" i="2"/>
  <c r="P3695" i="2"/>
  <c r="O3695" i="2"/>
  <c r="N3695" i="2"/>
  <c r="M3695" i="2"/>
  <c r="L3695" i="2"/>
  <c r="K3695" i="2"/>
  <c r="J3695" i="2"/>
  <c r="I3695" i="2"/>
  <c r="H3695" i="2"/>
  <c r="G3695" i="2"/>
  <c r="F3695" i="2"/>
  <c r="E3695" i="2"/>
  <c r="D3695" i="2"/>
  <c r="C3695" i="2"/>
  <c r="B3695" i="2"/>
  <c r="V3694" i="2"/>
  <c r="U3694" i="2"/>
  <c r="T3694" i="2"/>
  <c r="S3694" i="2"/>
  <c r="R3694" i="2"/>
  <c r="Q3694" i="2"/>
  <c r="P3694" i="2"/>
  <c r="O3694" i="2"/>
  <c r="N3694" i="2"/>
  <c r="M3694" i="2"/>
  <c r="L3694" i="2"/>
  <c r="K3694" i="2"/>
  <c r="J3694" i="2"/>
  <c r="I3694" i="2"/>
  <c r="H3694" i="2"/>
  <c r="G3694" i="2"/>
  <c r="F3694" i="2"/>
  <c r="E3694" i="2"/>
  <c r="D3694" i="2"/>
  <c r="C3694" i="2"/>
  <c r="B3694" i="2"/>
  <c r="V3693" i="2"/>
  <c r="U3693" i="2"/>
  <c r="T3693" i="2"/>
  <c r="S3693" i="2"/>
  <c r="R3693" i="2"/>
  <c r="Q3693" i="2"/>
  <c r="P3693" i="2"/>
  <c r="O3693" i="2"/>
  <c r="N3693" i="2"/>
  <c r="M3693" i="2"/>
  <c r="L3693" i="2"/>
  <c r="K3693" i="2"/>
  <c r="J3693" i="2"/>
  <c r="I3693" i="2"/>
  <c r="H3693" i="2"/>
  <c r="G3693" i="2"/>
  <c r="F3693" i="2"/>
  <c r="E3693" i="2"/>
  <c r="D3693" i="2"/>
  <c r="C3693" i="2"/>
  <c r="B3693" i="2"/>
  <c r="V3692" i="2"/>
  <c r="U3692" i="2"/>
  <c r="T3692" i="2"/>
  <c r="S3692" i="2"/>
  <c r="R3692" i="2"/>
  <c r="Q3692" i="2"/>
  <c r="P3692" i="2"/>
  <c r="O3692" i="2"/>
  <c r="N3692" i="2"/>
  <c r="M3692" i="2"/>
  <c r="L3692" i="2"/>
  <c r="K3692" i="2"/>
  <c r="J3692" i="2"/>
  <c r="I3692" i="2"/>
  <c r="H3692" i="2"/>
  <c r="G3692" i="2"/>
  <c r="F3692" i="2"/>
  <c r="E3692" i="2"/>
  <c r="D3692" i="2"/>
  <c r="C3692" i="2"/>
  <c r="B3692" i="2"/>
  <c r="V3691" i="2"/>
  <c r="U3691" i="2"/>
  <c r="T3691" i="2"/>
  <c r="S3691" i="2"/>
  <c r="R3691" i="2"/>
  <c r="Q3691" i="2"/>
  <c r="P3691" i="2"/>
  <c r="O3691" i="2"/>
  <c r="N3691" i="2"/>
  <c r="M3691" i="2"/>
  <c r="L3691" i="2"/>
  <c r="K3691" i="2"/>
  <c r="J3691" i="2"/>
  <c r="I3691" i="2"/>
  <c r="H3691" i="2"/>
  <c r="G3691" i="2"/>
  <c r="F3691" i="2"/>
  <c r="E3691" i="2"/>
  <c r="D3691" i="2"/>
  <c r="C3691" i="2"/>
  <c r="B3691" i="2"/>
  <c r="V3690" i="2"/>
  <c r="U3690" i="2"/>
  <c r="T3690" i="2"/>
  <c r="S3690" i="2"/>
  <c r="R3690" i="2"/>
  <c r="Q3690" i="2"/>
  <c r="P3690" i="2"/>
  <c r="O3690" i="2"/>
  <c r="N3690" i="2"/>
  <c r="M3690" i="2"/>
  <c r="L3690" i="2"/>
  <c r="K3690" i="2"/>
  <c r="J3690" i="2"/>
  <c r="I3690" i="2"/>
  <c r="H3690" i="2"/>
  <c r="G3690" i="2"/>
  <c r="F3690" i="2"/>
  <c r="E3690" i="2"/>
  <c r="D3690" i="2"/>
  <c r="C3690" i="2"/>
  <c r="B3690" i="2"/>
  <c r="V3689" i="2"/>
  <c r="U3689" i="2"/>
  <c r="T3689" i="2"/>
  <c r="S3689" i="2"/>
  <c r="R3689" i="2"/>
  <c r="Q3689" i="2"/>
  <c r="P3689" i="2"/>
  <c r="O3689" i="2"/>
  <c r="N3689" i="2"/>
  <c r="M3689" i="2"/>
  <c r="L3689" i="2"/>
  <c r="K3689" i="2"/>
  <c r="J3689" i="2"/>
  <c r="I3689" i="2"/>
  <c r="H3689" i="2"/>
  <c r="G3689" i="2"/>
  <c r="F3689" i="2"/>
  <c r="E3689" i="2"/>
  <c r="D3689" i="2"/>
  <c r="C3689" i="2"/>
  <c r="B3689" i="2"/>
  <c r="V3688" i="2"/>
  <c r="U3688" i="2"/>
  <c r="T3688" i="2"/>
  <c r="S3688" i="2"/>
  <c r="R3688" i="2"/>
  <c r="Q3688" i="2"/>
  <c r="P3688" i="2"/>
  <c r="O3688" i="2"/>
  <c r="N3688" i="2"/>
  <c r="M3688" i="2"/>
  <c r="L3688" i="2"/>
  <c r="K3688" i="2"/>
  <c r="J3688" i="2"/>
  <c r="I3688" i="2"/>
  <c r="H3688" i="2"/>
  <c r="G3688" i="2"/>
  <c r="F3688" i="2"/>
  <c r="E3688" i="2"/>
  <c r="D3688" i="2"/>
  <c r="C3688" i="2"/>
  <c r="B3688" i="2"/>
  <c r="V3687" i="2"/>
  <c r="U3687" i="2"/>
  <c r="T3687" i="2"/>
  <c r="S3687" i="2"/>
  <c r="R3687" i="2"/>
  <c r="Q3687" i="2"/>
  <c r="P3687" i="2"/>
  <c r="O3687" i="2"/>
  <c r="N3687" i="2"/>
  <c r="M3687" i="2"/>
  <c r="L3687" i="2"/>
  <c r="K3687" i="2"/>
  <c r="J3687" i="2"/>
  <c r="I3687" i="2"/>
  <c r="H3687" i="2"/>
  <c r="G3687" i="2"/>
  <c r="F3687" i="2"/>
  <c r="E3687" i="2"/>
  <c r="D3687" i="2"/>
  <c r="C3687" i="2"/>
  <c r="B3687" i="2"/>
  <c r="V3686" i="2"/>
  <c r="U3686" i="2"/>
  <c r="T3686" i="2"/>
  <c r="S3686" i="2"/>
  <c r="R3686" i="2"/>
  <c r="Q3686" i="2"/>
  <c r="P3686" i="2"/>
  <c r="O3686" i="2"/>
  <c r="N3686" i="2"/>
  <c r="M3686" i="2"/>
  <c r="L3686" i="2"/>
  <c r="K3686" i="2"/>
  <c r="J3686" i="2"/>
  <c r="I3686" i="2"/>
  <c r="H3686" i="2"/>
  <c r="G3686" i="2"/>
  <c r="F3686" i="2"/>
  <c r="E3686" i="2"/>
  <c r="D3686" i="2"/>
  <c r="C3686" i="2"/>
  <c r="B3686" i="2"/>
  <c r="V3685" i="2"/>
  <c r="U3685" i="2"/>
  <c r="T3685" i="2"/>
  <c r="S3685" i="2"/>
  <c r="R3685" i="2"/>
  <c r="Q3685" i="2"/>
  <c r="P3685" i="2"/>
  <c r="O3685" i="2"/>
  <c r="N3685" i="2"/>
  <c r="M3685" i="2"/>
  <c r="L3685" i="2"/>
  <c r="K3685" i="2"/>
  <c r="J3685" i="2"/>
  <c r="I3685" i="2"/>
  <c r="H3685" i="2"/>
  <c r="G3685" i="2"/>
  <c r="F3685" i="2"/>
  <c r="E3685" i="2"/>
  <c r="D3685" i="2"/>
  <c r="C3685" i="2"/>
  <c r="B3685" i="2"/>
  <c r="V3684" i="2"/>
  <c r="U3684" i="2"/>
  <c r="T3684" i="2"/>
  <c r="S3684" i="2"/>
  <c r="R3684" i="2"/>
  <c r="Q3684" i="2"/>
  <c r="P3684" i="2"/>
  <c r="O3684" i="2"/>
  <c r="N3684" i="2"/>
  <c r="M3684" i="2"/>
  <c r="L3684" i="2"/>
  <c r="K3684" i="2"/>
  <c r="J3684" i="2"/>
  <c r="I3684" i="2"/>
  <c r="H3684" i="2"/>
  <c r="G3684" i="2"/>
  <c r="F3684" i="2"/>
  <c r="E3684" i="2"/>
  <c r="D3684" i="2"/>
  <c r="C3684" i="2"/>
  <c r="B3684" i="2"/>
  <c r="V3683" i="2"/>
  <c r="U3683" i="2"/>
  <c r="T3683" i="2"/>
  <c r="S3683" i="2"/>
  <c r="R3683" i="2"/>
  <c r="Q3683" i="2"/>
  <c r="P3683" i="2"/>
  <c r="O3683" i="2"/>
  <c r="N3683" i="2"/>
  <c r="M3683" i="2"/>
  <c r="L3683" i="2"/>
  <c r="K3683" i="2"/>
  <c r="J3683" i="2"/>
  <c r="I3683" i="2"/>
  <c r="H3683" i="2"/>
  <c r="G3683" i="2"/>
  <c r="F3683" i="2"/>
  <c r="E3683" i="2"/>
  <c r="D3683" i="2"/>
  <c r="C3683" i="2"/>
  <c r="B3683" i="2"/>
  <c r="V3682" i="2"/>
  <c r="U3682" i="2"/>
  <c r="T3682" i="2"/>
  <c r="S3682" i="2"/>
  <c r="R3682" i="2"/>
  <c r="Q3682" i="2"/>
  <c r="P3682" i="2"/>
  <c r="O3682" i="2"/>
  <c r="N3682" i="2"/>
  <c r="M3682" i="2"/>
  <c r="L3682" i="2"/>
  <c r="K3682" i="2"/>
  <c r="J3682" i="2"/>
  <c r="I3682" i="2"/>
  <c r="H3682" i="2"/>
  <c r="G3682" i="2"/>
  <c r="F3682" i="2"/>
  <c r="E3682" i="2"/>
  <c r="D3682" i="2"/>
  <c r="C3682" i="2"/>
  <c r="B3682" i="2"/>
  <c r="V3681" i="2"/>
  <c r="U3681" i="2"/>
  <c r="T3681" i="2"/>
  <c r="S3681" i="2"/>
  <c r="R3681" i="2"/>
  <c r="Q3681" i="2"/>
  <c r="P3681" i="2"/>
  <c r="O3681" i="2"/>
  <c r="N3681" i="2"/>
  <c r="M3681" i="2"/>
  <c r="L3681" i="2"/>
  <c r="K3681" i="2"/>
  <c r="J3681" i="2"/>
  <c r="I3681" i="2"/>
  <c r="H3681" i="2"/>
  <c r="G3681" i="2"/>
  <c r="F3681" i="2"/>
  <c r="E3681" i="2"/>
  <c r="D3681" i="2"/>
  <c r="C3681" i="2"/>
  <c r="B3681" i="2"/>
  <c r="V3680" i="2"/>
  <c r="U3680" i="2"/>
  <c r="T3680" i="2"/>
  <c r="S3680" i="2"/>
  <c r="R3680" i="2"/>
  <c r="Q3680" i="2"/>
  <c r="P3680" i="2"/>
  <c r="O3680" i="2"/>
  <c r="N3680" i="2"/>
  <c r="M3680" i="2"/>
  <c r="L3680" i="2"/>
  <c r="K3680" i="2"/>
  <c r="J3680" i="2"/>
  <c r="I3680" i="2"/>
  <c r="H3680" i="2"/>
  <c r="G3680" i="2"/>
  <c r="F3680" i="2"/>
  <c r="E3680" i="2"/>
  <c r="D3680" i="2"/>
  <c r="C3680" i="2"/>
  <c r="B3680" i="2"/>
  <c r="V3679" i="2"/>
  <c r="U3679" i="2"/>
  <c r="T3679" i="2"/>
  <c r="S3679" i="2"/>
  <c r="R3679" i="2"/>
  <c r="Q3679" i="2"/>
  <c r="P3679" i="2"/>
  <c r="O3679" i="2"/>
  <c r="N3679" i="2"/>
  <c r="M3679" i="2"/>
  <c r="L3679" i="2"/>
  <c r="K3679" i="2"/>
  <c r="J3679" i="2"/>
  <c r="I3679" i="2"/>
  <c r="H3679" i="2"/>
  <c r="G3679" i="2"/>
  <c r="F3679" i="2"/>
  <c r="E3679" i="2"/>
  <c r="D3679" i="2"/>
  <c r="C3679" i="2"/>
  <c r="B3679" i="2"/>
  <c r="V3678" i="2"/>
  <c r="U3678" i="2"/>
  <c r="T3678" i="2"/>
  <c r="S3678" i="2"/>
  <c r="R3678" i="2"/>
  <c r="Q3678" i="2"/>
  <c r="P3678" i="2"/>
  <c r="O3678" i="2"/>
  <c r="N3678" i="2"/>
  <c r="M3678" i="2"/>
  <c r="L3678" i="2"/>
  <c r="K3678" i="2"/>
  <c r="J3678" i="2"/>
  <c r="I3678" i="2"/>
  <c r="H3678" i="2"/>
  <c r="G3678" i="2"/>
  <c r="F3678" i="2"/>
  <c r="E3678" i="2"/>
  <c r="D3678" i="2"/>
  <c r="C3678" i="2"/>
  <c r="B3678" i="2"/>
  <c r="V3677" i="2"/>
  <c r="U3677" i="2"/>
  <c r="T3677" i="2"/>
  <c r="S3677" i="2"/>
  <c r="R3677" i="2"/>
  <c r="Q3677" i="2"/>
  <c r="P3677" i="2"/>
  <c r="O3677" i="2"/>
  <c r="N3677" i="2"/>
  <c r="M3677" i="2"/>
  <c r="L3677" i="2"/>
  <c r="K3677" i="2"/>
  <c r="J3677" i="2"/>
  <c r="I3677" i="2"/>
  <c r="H3677" i="2"/>
  <c r="G3677" i="2"/>
  <c r="F3677" i="2"/>
  <c r="E3677" i="2"/>
  <c r="D3677" i="2"/>
  <c r="C3677" i="2"/>
  <c r="B3677" i="2"/>
  <c r="V3676" i="2"/>
  <c r="U3676" i="2"/>
  <c r="T3676" i="2"/>
  <c r="S3676" i="2"/>
  <c r="R3676" i="2"/>
  <c r="Q3676" i="2"/>
  <c r="P3676" i="2"/>
  <c r="O3676" i="2"/>
  <c r="N3676" i="2"/>
  <c r="M3676" i="2"/>
  <c r="L3676" i="2"/>
  <c r="K3676" i="2"/>
  <c r="J3676" i="2"/>
  <c r="I3676" i="2"/>
  <c r="H3676" i="2"/>
  <c r="G3676" i="2"/>
  <c r="F3676" i="2"/>
  <c r="E3676" i="2"/>
  <c r="D3676" i="2"/>
  <c r="C3676" i="2"/>
  <c r="B3676" i="2"/>
  <c r="V3675" i="2"/>
  <c r="U3675" i="2"/>
  <c r="T3675" i="2"/>
  <c r="S3675" i="2"/>
  <c r="R3675" i="2"/>
  <c r="Q3675" i="2"/>
  <c r="P3675" i="2"/>
  <c r="O3675" i="2"/>
  <c r="N3675" i="2"/>
  <c r="M3675" i="2"/>
  <c r="L3675" i="2"/>
  <c r="K3675" i="2"/>
  <c r="J3675" i="2"/>
  <c r="I3675" i="2"/>
  <c r="H3675" i="2"/>
  <c r="G3675" i="2"/>
  <c r="F3675" i="2"/>
  <c r="E3675" i="2"/>
  <c r="D3675" i="2"/>
  <c r="C3675" i="2"/>
  <c r="B3675" i="2"/>
  <c r="V3674" i="2"/>
  <c r="U3674" i="2"/>
  <c r="T3674" i="2"/>
  <c r="S3674" i="2"/>
  <c r="R3674" i="2"/>
  <c r="Q3674" i="2"/>
  <c r="P3674" i="2"/>
  <c r="O3674" i="2"/>
  <c r="N3674" i="2"/>
  <c r="M3674" i="2"/>
  <c r="L3674" i="2"/>
  <c r="K3674" i="2"/>
  <c r="J3674" i="2"/>
  <c r="I3674" i="2"/>
  <c r="H3674" i="2"/>
  <c r="G3674" i="2"/>
  <c r="F3674" i="2"/>
  <c r="E3674" i="2"/>
  <c r="D3674" i="2"/>
  <c r="C3674" i="2"/>
  <c r="B3674" i="2"/>
  <c r="V3673" i="2"/>
  <c r="U3673" i="2"/>
  <c r="T3673" i="2"/>
  <c r="S3673" i="2"/>
  <c r="R3673" i="2"/>
  <c r="Q3673" i="2"/>
  <c r="P3673" i="2"/>
  <c r="O3673" i="2"/>
  <c r="N3673" i="2"/>
  <c r="M3673" i="2"/>
  <c r="L3673" i="2"/>
  <c r="K3673" i="2"/>
  <c r="J3673" i="2"/>
  <c r="I3673" i="2"/>
  <c r="H3673" i="2"/>
  <c r="G3673" i="2"/>
  <c r="F3673" i="2"/>
  <c r="E3673" i="2"/>
  <c r="D3673" i="2"/>
  <c r="C3673" i="2"/>
  <c r="B3673" i="2"/>
  <c r="V3672" i="2"/>
  <c r="U3672" i="2"/>
  <c r="T3672" i="2"/>
  <c r="S3672" i="2"/>
  <c r="R3672" i="2"/>
  <c r="Q3672" i="2"/>
  <c r="P3672" i="2"/>
  <c r="O3672" i="2"/>
  <c r="N3672" i="2"/>
  <c r="M3672" i="2"/>
  <c r="L3672" i="2"/>
  <c r="K3672" i="2"/>
  <c r="J3672" i="2"/>
  <c r="I3672" i="2"/>
  <c r="H3672" i="2"/>
  <c r="G3672" i="2"/>
  <c r="F3672" i="2"/>
  <c r="E3672" i="2"/>
  <c r="D3672" i="2"/>
  <c r="C3672" i="2"/>
  <c r="B3672" i="2"/>
  <c r="V3671" i="2"/>
  <c r="U3671" i="2"/>
  <c r="T3671" i="2"/>
  <c r="S3671" i="2"/>
  <c r="R3671" i="2"/>
  <c r="Q3671" i="2"/>
  <c r="P3671" i="2"/>
  <c r="O3671" i="2"/>
  <c r="N3671" i="2"/>
  <c r="M3671" i="2"/>
  <c r="L3671" i="2"/>
  <c r="K3671" i="2"/>
  <c r="J3671" i="2"/>
  <c r="I3671" i="2"/>
  <c r="H3671" i="2"/>
  <c r="G3671" i="2"/>
  <c r="F3671" i="2"/>
  <c r="E3671" i="2"/>
  <c r="D3671" i="2"/>
  <c r="C3671" i="2"/>
  <c r="B3671" i="2"/>
  <c r="V3670" i="2"/>
  <c r="U3670" i="2"/>
  <c r="T3670" i="2"/>
  <c r="S3670" i="2"/>
  <c r="R3670" i="2"/>
  <c r="Q3670" i="2"/>
  <c r="P3670" i="2"/>
  <c r="O3670" i="2"/>
  <c r="N3670" i="2"/>
  <c r="M3670" i="2"/>
  <c r="L3670" i="2"/>
  <c r="K3670" i="2"/>
  <c r="J3670" i="2"/>
  <c r="I3670" i="2"/>
  <c r="H3670" i="2"/>
  <c r="G3670" i="2"/>
  <c r="F3670" i="2"/>
  <c r="E3670" i="2"/>
  <c r="D3670" i="2"/>
  <c r="C3670" i="2"/>
  <c r="B3670" i="2"/>
  <c r="V3669" i="2"/>
  <c r="U3669" i="2"/>
  <c r="T3669" i="2"/>
  <c r="S3669" i="2"/>
  <c r="R3669" i="2"/>
  <c r="Q3669" i="2"/>
  <c r="P3669" i="2"/>
  <c r="O3669" i="2"/>
  <c r="N3669" i="2"/>
  <c r="M3669" i="2"/>
  <c r="L3669" i="2"/>
  <c r="K3669" i="2"/>
  <c r="J3669" i="2"/>
  <c r="I3669" i="2"/>
  <c r="H3669" i="2"/>
  <c r="G3669" i="2"/>
  <c r="F3669" i="2"/>
  <c r="E3669" i="2"/>
  <c r="D3669" i="2"/>
  <c r="C3669" i="2"/>
  <c r="B3669" i="2"/>
  <c r="V3668" i="2"/>
  <c r="U3668" i="2"/>
  <c r="T3668" i="2"/>
  <c r="S3668" i="2"/>
  <c r="R3668" i="2"/>
  <c r="Q3668" i="2"/>
  <c r="P3668" i="2"/>
  <c r="O3668" i="2"/>
  <c r="N3668" i="2"/>
  <c r="M3668" i="2"/>
  <c r="L3668" i="2"/>
  <c r="K3668" i="2"/>
  <c r="J3668" i="2"/>
  <c r="I3668" i="2"/>
  <c r="H3668" i="2"/>
  <c r="G3668" i="2"/>
  <c r="F3668" i="2"/>
  <c r="E3668" i="2"/>
  <c r="D3668" i="2"/>
  <c r="C3668" i="2"/>
  <c r="B3668" i="2"/>
  <c r="V3667" i="2"/>
  <c r="U3667" i="2"/>
  <c r="T3667" i="2"/>
  <c r="S3667" i="2"/>
  <c r="R3667" i="2"/>
  <c r="Q3667" i="2"/>
  <c r="P3667" i="2"/>
  <c r="O3667" i="2"/>
  <c r="N3667" i="2"/>
  <c r="M3667" i="2"/>
  <c r="L3667" i="2"/>
  <c r="K3667" i="2"/>
  <c r="J3667" i="2"/>
  <c r="I3667" i="2"/>
  <c r="H3667" i="2"/>
  <c r="G3667" i="2"/>
  <c r="F3667" i="2"/>
  <c r="E3667" i="2"/>
  <c r="D3667" i="2"/>
  <c r="C3667" i="2"/>
  <c r="B3667" i="2"/>
  <c r="V3666" i="2"/>
  <c r="U3666" i="2"/>
  <c r="T3666" i="2"/>
  <c r="S3666" i="2"/>
  <c r="R3666" i="2"/>
  <c r="Q3666" i="2"/>
  <c r="P3666" i="2"/>
  <c r="O3666" i="2"/>
  <c r="N3666" i="2"/>
  <c r="M3666" i="2"/>
  <c r="L3666" i="2"/>
  <c r="K3666" i="2"/>
  <c r="J3666" i="2"/>
  <c r="I3666" i="2"/>
  <c r="H3666" i="2"/>
  <c r="G3666" i="2"/>
  <c r="F3666" i="2"/>
  <c r="E3666" i="2"/>
  <c r="D3666" i="2"/>
  <c r="C3666" i="2"/>
  <c r="B3666" i="2"/>
  <c r="V3665" i="2"/>
  <c r="U3665" i="2"/>
  <c r="T3665" i="2"/>
  <c r="S3665" i="2"/>
  <c r="R3665" i="2"/>
  <c r="Q3665" i="2"/>
  <c r="P3665" i="2"/>
  <c r="O3665" i="2"/>
  <c r="N3665" i="2"/>
  <c r="M3665" i="2"/>
  <c r="L3665" i="2"/>
  <c r="K3665" i="2"/>
  <c r="J3665" i="2"/>
  <c r="I3665" i="2"/>
  <c r="H3665" i="2"/>
  <c r="G3665" i="2"/>
  <c r="F3665" i="2"/>
  <c r="E3665" i="2"/>
  <c r="D3665" i="2"/>
  <c r="C3665" i="2"/>
  <c r="B3665" i="2"/>
  <c r="V3664" i="2"/>
  <c r="U3664" i="2"/>
  <c r="T3664" i="2"/>
  <c r="S3664" i="2"/>
  <c r="R3664" i="2"/>
  <c r="Q3664" i="2"/>
  <c r="P3664" i="2"/>
  <c r="O3664" i="2"/>
  <c r="N3664" i="2"/>
  <c r="M3664" i="2"/>
  <c r="L3664" i="2"/>
  <c r="K3664" i="2"/>
  <c r="J3664" i="2"/>
  <c r="I3664" i="2"/>
  <c r="H3664" i="2"/>
  <c r="G3664" i="2"/>
  <c r="F3664" i="2"/>
  <c r="E3664" i="2"/>
  <c r="D3664" i="2"/>
  <c r="C3664" i="2"/>
  <c r="B3664" i="2"/>
  <c r="V3663" i="2"/>
  <c r="U3663" i="2"/>
  <c r="T3663" i="2"/>
  <c r="S3663" i="2"/>
  <c r="R3663" i="2"/>
  <c r="Q3663" i="2"/>
  <c r="P3663" i="2"/>
  <c r="O3663" i="2"/>
  <c r="N3663" i="2"/>
  <c r="M3663" i="2"/>
  <c r="L3663" i="2"/>
  <c r="K3663" i="2"/>
  <c r="J3663" i="2"/>
  <c r="I3663" i="2"/>
  <c r="H3663" i="2"/>
  <c r="G3663" i="2"/>
  <c r="F3663" i="2"/>
  <c r="E3663" i="2"/>
  <c r="D3663" i="2"/>
  <c r="C3663" i="2"/>
  <c r="B3663" i="2"/>
  <c r="V3662" i="2"/>
  <c r="U3662" i="2"/>
  <c r="T3662" i="2"/>
  <c r="S3662" i="2"/>
  <c r="R3662" i="2"/>
  <c r="Q3662" i="2"/>
  <c r="P3662" i="2"/>
  <c r="O3662" i="2"/>
  <c r="N3662" i="2"/>
  <c r="M3662" i="2"/>
  <c r="L3662" i="2"/>
  <c r="K3662" i="2"/>
  <c r="J3662" i="2"/>
  <c r="I3662" i="2"/>
  <c r="H3662" i="2"/>
  <c r="G3662" i="2"/>
  <c r="F3662" i="2"/>
  <c r="E3662" i="2"/>
  <c r="D3662" i="2"/>
  <c r="C3662" i="2"/>
  <c r="B3662" i="2"/>
  <c r="V3661" i="2"/>
  <c r="U3661" i="2"/>
  <c r="T3661" i="2"/>
  <c r="S3661" i="2"/>
  <c r="R3661" i="2"/>
  <c r="Q3661" i="2"/>
  <c r="P3661" i="2"/>
  <c r="O3661" i="2"/>
  <c r="N3661" i="2"/>
  <c r="M3661" i="2"/>
  <c r="L3661" i="2"/>
  <c r="K3661" i="2"/>
  <c r="J3661" i="2"/>
  <c r="I3661" i="2"/>
  <c r="H3661" i="2"/>
  <c r="G3661" i="2"/>
  <c r="F3661" i="2"/>
  <c r="E3661" i="2"/>
  <c r="D3661" i="2"/>
  <c r="C3661" i="2"/>
  <c r="B3661" i="2"/>
  <c r="V3660" i="2"/>
  <c r="U3660" i="2"/>
  <c r="T3660" i="2"/>
  <c r="S3660" i="2"/>
  <c r="R3660" i="2"/>
  <c r="Q3660" i="2"/>
  <c r="P3660" i="2"/>
  <c r="O3660" i="2"/>
  <c r="N3660" i="2"/>
  <c r="M3660" i="2"/>
  <c r="L3660" i="2"/>
  <c r="K3660" i="2"/>
  <c r="J3660" i="2"/>
  <c r="I3660" i="2"/>
  <c r="H3660" i="2"/>
  <c r="G3660" i="2"/>
  <c r="F3660" i="2"/>
  <c r="E3660" i="2"/>
  <c r="D3660" i="2"/>
  <c r="C3660" i="2"/>
  <c r="B3660" i="2"/>
  <c r="V3659" i="2"/>
  <c r="U3659" i="2"/>
  <c r="T3659" i="2"/>
  <c r="S3659" i="2"/>
  <c r="R3659" i="2"/>
  <c r="Q3659" i="2"/>
  <c r="P3659" i="2"/>
  <c r="O3659" i="2"/>
  <c r="N3659" i="2"/>
  <c r="M3659" i="2"/>
  <c r="L3659" i="2"/>
  <c r="K3659" i="2"/>
  <c r="J3659" i="2"/>
  <c r="I3659" i="2"/>
  <c r="H3659" i="2"/>
  <c r="G3659" i="2"/>
  <c r="F3659" i="2"/>
  <c r="E3659" i="2"/>
  <c r="D3659" i="2"/>
  <c r="C3659" i="2"/>
  <c r="B3659" i="2"/>
  <c r="V3658" i="2"/>
  <c r="U3658" i="2"/>
  <c r="T3658" i="2"/>
  <c r="S3658" i="2"/>
  <c r="R3658" i="2"/>
  <c r="Q3658" i="2"/>
  <c r="P3658" i="2"/>
  <c r="O3658" i="2"/>
  <c r="N3658" i="2"/>
  <c r="M3658" i="2"/>
  <c r="L3658" i="2"/>
  <c r="K3658" i="2"/>
  <c r="J3658" i="2"/>
  <c r="I3658" i="2"/>
  <c r="H3658" i="2"/>
  <c r="G3658" i="2"/>
  <c r="F3658" i="2"/>
  <c r="E3658" i="2"/>
  <c r="D3658" i="2"/>
  <c r="C3658" i="2"/>
  <c r="B3658" i="2"/>
  <c r="V3657" i="2"/>
  <c r="U3657" i="2"/>
  <c r="T3657" i="2"/>
  <c r="S3657" i="2"/>
  <c r="R3657" i="2"/>
  <c r="Q3657" i="2"/>
  <c r="P3657" i="2"/>
  <c r="O3657" i="2"/>
  <c r="N3657" i="2"/>
  <c r="M3657" i="2"/>
  <c r="L3657" i="2"/>
  <c r="K3657" i="2"/>
  <c r="J3657" i="2"/>
  <c r="I3657" i="2"/>
  <c r="H3657" i="2"/>
  <c r="G3657" i="2"/>
  <c r="F3657" i="2"/>
  <c r="E3657" i="2"/>
  <c r="D3657" i="2"/>
  <c r="C3657" i="2"/>
  <c r="B3657" i="2"/>
  <c r="V3656" i="2"/>
  <c r="U3656" i="2"/>
  <c r="T3656" i="2"/>
  <c r="S3656" i="2"/>
  <c r="R3656" i="2"/>
  <c r="Q3656" i="2"/>
  <c r="P3656" i="2"/>
  <c r="O3656" i="2"/>
  <c r="N3656" i="2"/>
  <c r="M3656" i="2"/>
  <c r="L3656" i="2"/>
  <c r="K3656" i="2"/>
  <c r="J3656" i="2"/>
  <c r="I3656" i="2"/>
  <c r="H3656" i="2"/>
  <c r="G3656" i="2"/>
  <c r="F3656" i="2"/>
  <c r="E3656" i="2"/>
  <c r="D3656" i="2"/>
  <c r="C3656" i="2"/>
  <c r="B3656" i="2"/>
  <c r="V3655" i="2"/>
  <c r="U3655" i="2"/>
  <c r="T3655" i="2"/>
  <c r="S3655" i="2"/>
  <c r="R3655" i="2"/>
  <c r="Q3655" i="2"/>
  <c r="P3655" i="2"/>
  <c r="O3655" i="2"/>
  <c r="N3655" i="2"/>
  <c r="M3655" i="2"/>
  <c r="L3655" i="2"/>
  <c r="K3655" i="2"/>
  <c r="J3655" i="2"/>
  <c r="I3655" i="2"/>
  <c r="H3655" i="2"/>
  <c r="G3655" i="2"/>
  <c r="F3655" i="2"/>
  <c r="E3655" i="2"/>
  <c r="D3655" i="2"/>
  <c r="C3655" i="2"/>
  <c r="B3655" i="2"/>
  <c r="V3654" i="2"/>
  <c r="U3654" i="2"/>
  <c r="T3654" i="2"/>
  <c r="S3654" i="2"/>
  <c r="R3654" i="2"/>
  <c r="Q3654" i="2"/>
  <c r="P3654" i="2"/>
  <c r="O3654" i="2"/>
  <c r="N3654" i="2"/>
  <c r="M3654" i="2"/>
  <c r="L3654" i="2"/>
  <c r="K3654" i="2"/>
  <c r="J3654" i="2"/>
  <c r="I3654" i="2"/>
  <c r="H3654" i="2"/>
  <c r="G3654" i="2"/>
  <c r="F3654" i="2"/>
  <c r="E3654" i="2"/>
  <c r="D3654" i="2"/>
  <c r="C3654" i="2"/>
  <c r="B3654" i="2"/>
  <c r="V3653" i="2"/>
  <c r="U3653" i="2"/>
  <c r="T3653" i="2"/>
  <c r="S3653" i="2"/>
  <c r="R3653" i="2"/>
  <c r="Q3653" i="2"/>
  <c r="P3653" i="2"/>
  <c r="O3653" i="2"/>
  <c r="N3653" i="2"/>
  <c r="M3653" i="2"/>
  <c r="L3653" i="2"/>
  <c r="K3653" i="2"/>
  <c r="J3653" i="2"/>
  <c r="I3653" i="2"/>
  <c r="H3653" i="2"/>
  <c r="G3653" i="2"/>
  <c r="F3653" i="2"/>
  <c r="E3653" i="2"/>
  <c r="D3653" i="2"/>
  <c r="C3653" i="2"/>
  <c r="B3653" i="2"/>
  <c r="V3652" i="2"/>
  <c r="U3652" i="2"/>
  <c r="T3652" i="2"/>
  <c r="S3652" i="2"/>
  <c r="R3652" i="2"/>
  <c r="Q3652" i="2"/>
  <c r="P3652" i="2"/>
  <c r="O3652" i="2"/>
  <c r="N3652" i="2"/>
  <c r="M3652" i="2"/>
  <c r="L3652" i="2"/>
  <c r="K3652" i="2"/>
  <c r="J3652" i="2"/>
  <c r="I3652" i="2"/>
  <c r="H3652" i="2"/>
  <c r="G3652" i="2"/>
  <c r="F3652" i="2"/>
  <c r="E3652" i="2"/>
  <c r="D3652" i="2"/>
  <c r="C3652" i="2"/>
  <c r="B3652" i="2"/>
  <c r="V3651" i="2"/>
  <c r="U3651" i="2"/>
  <c r="T3651" i="2"/>
  <c r="S3651" i="2"/>
  <c r="R3651" i="2"/>
  <c r="Q3651" i="2"/>
  <c r="P3651" i="2"/>
  <c r="O3651" i="2"/>
  <c r="N3651" i="2"/>
  <c r="M3651" i="2"/>
  <c r="L3651" i="2"/>
  <c r="K3651" i="2"/>
  <c r="J3651" i="2"/>
  <c r="I3651" i="2"/>
  <c r="H3651" i="2"/>
  <c r="G3651" i="2"/>
  <c r="F3651" i="2"/>
  <c r="E3651" i="2"/>
  <c r="D3651" i="2"/>
  <c r="C3651" i="2"/>
  <c r="B3651" i="2"/>
  <c r="V3650" i="2"/>
  <c r="U3650" i="2"/>
  <c r="T3650" i="2"/>
  <c r="S3650" i="2"/>
  <c r="R3650" i="2"/>
  <c r="Q3650" i="2"/>
  <c r="P3650" i="2"/>
  <c r="O3650" i="2"/>
  <c r="N3650" i="2"/>
  <c r="M3650" i="2"/>
  <c r="L3650" i="2"/>
  <c r="K3650" i="2"/>
  <c r="J3650" i="2"/>
  <c r="I3650" i="2"/>
  <c r="H3650" i="2"/>
  <c r="G3650" i="2"/>
  <c r="F3650" i="2"/>
  <c r="E3650" i="2"/>
  <c r="D3650" i="2"/>
  <c r="C3650" i="2"/>
  <c r="B3650" i="2"/>
  <c r="V3649" i="2"/>
  <c r="U3649" i="2"/>
  <c r="T3649" i="2"/>
  <c r="S3649" i="2"/>
  <c r="R3649" i="2"/>
  <c r="Q3649" i="2"/>
  <c r="P3649" i="2"/>
  <c r="O3649" i="2"/>
  <c r="N3649" i="2"/>
  <c r="M3649" i="2"/>
  <c r="L3649" i="2"/>
  <c r="K3649" i="2"/>
  <c r="J3649" i="2"/>
  <c r="I3649" i="2"/>
  <c r="H3649" i="2"/>
  <c r="G3649" i="2"/>
  <c r="F3649" i="2"/>
  <c r="E3649" i="2"/>
  <c r="D3649" i="2"/>
  <c r="C3649" i="2"/>
  <c r="B3649" i="2"/>
  <c r="V3648" i="2"/>
  <c r="U3648" i="2"/>
  <c r="T3648" i="2"/>
  <c r="S3648" i="2"/>
  <c r="R3648" i="2"/>
  <c r="Q3648" i="2"/>
  <c r="P3648" i="2"/>
  <c r="O3648" i="2"/>
  <c r="N3648" i="2"/>
  <c r="M3648" i="2"/>
  <c r="L3648" i="2"/>
  <c r="K3648" i="2"/>
  <c r="J3648" i="2"/>
  <c r="I3648" i="2"/>
  <c r="H3648" i="2"/>
  <c r="G3648" i="2"/>
  <c r="F3648" i="2"/>
  <c r="E3648" i="2"/>
  <c r="D3648" i="2"/>
  <c r="C3648" i="2"/>
  <c r="B3648" i="2"/>
  <c r="V3647" i="2"/>
  <c r="U3647" i="2"/>
  <c r="T3647" i="2"/>
  <c r="S3647" i="2"/>
  <c r="R3647" i="2"/>
  <c r="Q3647" i="2"/>
  <c r="P3647" i="2"/>
  <c r="O3647" i="2"/>
  <c r="N3647" i="2"/>
  <c r="M3647" i="2"/>
  <c r="L3647" i="2"/>
  <c r="K3647" i="2"/>
  <c r="J3647" i="2"/>
  <c r="I3647" i="2"/>
  <c r="H3647" i="2"/>
  <c r="G3647" i="2"/>
  <c r="F3647" i="2"/>
  <c r="E3647" i="2"/>
  <c r="D3647" i="2"/>
  <c r="C3647" i="2"/>
  <c r="B3647" i="2"/>
  <c r="V3646" i="2"/>
  <c r="U3646" i="2"/>
  <c r="T3646" i="2"/>
  <c r="S3646" i="2"/>
  <c r="R3646" i="2"/>
  <c r="Q3646" i="2"/>
  <c r="P3646" i="2"/>
  <c r="O3646" i="2"/>
  <c r="N3646" i="2"/>
  <c r="M3646" i="2"/>
  <c r="L3646" i="2"/>
  <c r="K3646" i="2"/>
  <c r="J3646" i="2"/>
  <c r="I3646" i="2"/>
  <c r="H3646" i="2"/>
  <c r="G3646" i="2"/>
  <c r="F3646" i="2"/>
  <c r="E3646" i="2"/>
  <c r="D3646" i="2"/>
  <c r="C3646" i="2"/>
  <c r="B3646" i="2"/>
  <c r="V3645" i="2"/>
  <c r="U3645" i="2"/>
  <c r="T3645" i="2"/>
  <c r="S3645" i="2"/>
  <c r="R3645" i="2"/>
  <c r="Q3645" i="2"/>
  <c r="P3645" i="2"/>
  <c r="O3645" i="2"/>
  <c r="N3645" i="2"/>
  <c r="M3645" i="2"/>
  <c r="L3645" i="2"/>
  <c r="K3645" i="2"/>
  <c r="J3645" i="2"/>
  <c r="I3645" i="2"/>
  <c r="H3645" i="2"/>
  <c r="G3645" i="2"/>
  <c r="F3645" i="2"/>
  <c r="E3645" i="2"/>
  <c r="D3645" i="2"/>
  <c r="C3645" i="2"/>
  <c r="B3645" i="2"/>
  <c r="V3644" i="2"/>
  <c r="U3644" i="2"/>
  <c r="T3644" i="2"/>
  <c r="S3644" i="2"/>
  <c r="R3644" i="2"/>
  <c r="Q3644" i="2"/>
  <c r="P3644" i="2"/>
  <c r="O3644" i="2"/>
  <c r="N3644" i="2"/>
  <c r="M3644" i="2"/>
  <c r="L3644" i="2"/>
  <c r="K3644" i="2"/>
  <c r="J3644" i="2"/>
  <c r="I3644" i="2"/>
  <c r="H3644" i="2"/>
  <c r="G3644" i="2"/>
  <c r="F3644" i="2"/>
  <c r="E3644" i="2"/>
  <c r="D3644" i="2"/>
  <c r="C3644" i="2"/>
  <c r="B3644" i="2"/>
  <c r="V3643" i="2"/>
  <c r="U3643" i="2"/>
  <c r="T3643" i="2"/>
  <c r="S3643" i="2"/>
  <c r="R3643" i="2"/>
  <c r="Q3643" i="2"/>
  <c r="P3643" i="2"/>
  <c r="O3643" i="2"/>
  <c r="N3643" i="2"/>
  <c r="M3643" i="2"/>
  <c r="L3643" i="2"/>
  <c r="K3643" i="2"/>
  <c r="J3643" i="2"/>
  <c r="I3643" i="2"/>
  <c r="H3643" i="2"/>
  <c r="G3643" i="2"/>
  <c r="F3643" i="2"/>
  <c r="E3643" i="2"/>
  <c r="D3643" i="2"/>
  <c r="C3643" i="2"/>
  <c r="B3643" i="2"/>
  <c r="V3642" i="2"/>
  <c r="U3642" i="2"/>
  <c r="T3642" i="2"/>
  <c r="S3642" i="2"/>
  <c r="R3642" i="2"/>
  <c r="Q3642" i="2"/>
  <c r="P3642" i="2"/>
  <c r="O3642" i="2"/>
  <c r="N3642" i="2"/>
  <c r="M3642" i="2"/>
  <c r="L3642" i="2"/>
  <c r="K3642" i="2"/>
  <c r="J3642" i="2"/>
  <c r="I3642" i="2"/>
  <c r="H3642" i="2"/>
  <c r="G3642" i="2"/>
  <c r="F3642" i="2"/>
  <c r="E3642" i="2"/>
  <c r="D3642" i="2"/>
  <c r="C3642" i="2"/>
  <c r="B3642" i="2"/>
  <c r="V3641" i="2"/>
  <c r="U3641" i="2"/>
  <c r="T3641" i="2"/>
  <c r="S3641" i="2"/>
  <c r="R3641" i="2"/>
  <c r="Q3641" i="2"/>
  <c r="P3641" i="2"/>
  <c r="O3641" i="2"/>
  <c r="N3641" i="2"/>
  <c r="M3641" i="2"/>
  <c r="L3641" i="2"/>
  <c r="K3641" i="2"/>
  <c r="J3641" i="2"/>
  <c r="I3641" i="2"/>
  <c r="H3641" i="2"/>
  <c r="G3641" i="2"/>
  <c r="F3641" i="2"/>
  <c r="E3641" i="2"/>
  <c r="D3641" i="2"/>
  <c r="C3641" i="2"/>
  <c r="B3641" i="2"/>
  <c r="V3640" i="2"/>
  <c r="U3640" i="2"/>
  <c r="T3640" i="2"/>
  <c r="S3640" i="2"/>
  <c r="R3640" i="2"/>
  <c r="Q3640" i="2"/>
  <c r="P3640" i="2"/>
  <c r="O3640" i="2"/>
  <c r="N3640" i="2"/>
  <c r="M3640" i="2"/>
  <c r="L3640" i="2"/>
  <c r="K3640" i="2"/>
  <c r="J3640" i="2"/>
  <c r="I3640" i="2"/>
  <c r="H3640" i="2"/>
  <c r="G3640" i="2"/>
  <c r="F3640" i="2"/>
  <c r="E3640" i="2"/>
  <c r="D3640" i="2"/>
  <c r="C3640" i="2"/>
  <c r="B3640" i="2"/>
  <c r="V3639" i="2"/>
  <c r="U3639" i="2"/>
  <c r="T3639" i="2"/>
  <c r="S3639" i="2"/>
  <c r="R3639" i="2"/>
  <c r="Q3639" i="2"/>
  <c r="P3639" i="2"/>
  <c r="O3639" i="2"/>
  <c r="N3639" i="2"/>
  <c r="M3639" i="2"/>
  <c r="L3639" i="2"/>
  <c r="K3639" i="2"/>
  <c r="J3639" i="2"/>
  <c r="I3639" i="2"/>
  <c r="H3639" i="2"/>
  <c r="G3639" i="2"/>
  <c r="F3639" i="2"/>
  <c r="E3639" i="2"/>
  <c r="D3639" i="2"/>
  <c r="C3639" i="2"/>
  <c r="B3639" i="2"/>
  <c r="V3638" i="2"/>
  <c r="U3638" i="2"/>
  <c r="T3638" i="2"/>
  <c r="S3638" i="2"/>
  <c r="R3638" i="2"/>
  <c r="Q3638" i="2"/>
  <c r="P3638" i="2"/>
  <c r="O3638" i="2"/>
  <c r="N3638" i="2"/>
  <c r="M3638" i="2"/>
  <c r="L3638" i="2"/>
  <c r="K3638" i="2"/>
  <c r="J3638" i="2"/>
  <c r="I3638" i="2"/>
  <c r="H3638" i="2"/>
  <c r="G3638" i="2"/>
  <c r="F3638" i="2"/>
  <c r="E3638" i="2"/>
  <c r="D3638" i="2"/>
  <c r="C3638" i="2"/>
  <c r="B3638" i="2"/>
  <c r="V3637" i="2"/>
  <c r="U3637" i="2"/>
  <c r="T3637" i="2"/>
  <c r="S3637" i="2"/>
  <c r="R3637" i="2"/>
  <c r="Q3637" i="2"/>
  <c r="P3637" i="2"/>
  <c r="O3637" i="2"/>
  <c r="N3637" i="2"/>
  <c r="M3637" i="2"/>
  <c r="L3637" i="2"/>
  <c r="K3637" i="2"/>
  <c r="J3637" i="2"/>
  <c r="I3637" i="2"/>
  <c r="H3637" i="2"/>
  <c r="G3637" i="2"/>
  <c r="F3637" i="2"/>
  <c r="E3637" i="2"/>
  <c r="D3637" i="2"/>
  <c r="C3637" i="2"/>
  <c r="B3637" i="2"/>
  <c r="V3636" i="2"/>
  <c r="U3636" i="2"/>
  <c r="T3636" i="2"/>
  <c r="S3636" i="2"/>
  <c r="R3636" i="2"/>
  <c r="Q3636" i="2"/>
  <c r="P3636" i="2"/>
  <c r="O3636" i="2"/>
  <c r="N3636" i="2"/>
  <c r="M3636" i="2"/>
  <c r="L3636" i="2"/>
  <c r="K3636" i="2"/>
  <c r="J3636" i="2"/>
  <c r="I3636" i="2"/>
  <c r="H3636" i="2"/>
  <c r="G3636" i="2"/>
  <c r="F3636" i="2"/>
  <c r="E3636" i="2"/>
  <c r="D3636" i="2"/>
  <c r="C3636" i="2"/>
  <c r="B3636" i="2"/>
  <c r="V3635" i="2"/>
  <c r="U3635" i="2"/>
  <c r="T3635" i="2"/>
  <c r="S3635" i="2"/>
  <c r="R3635" i="2"/>
  <c r="Q3635" i="2"/>
  <c r="P3635" i="2"/>
  <c r="O3635" i="2"/>
  <c r="N3635" i="2"/>
  <c r="M3635" i="2"/>
  <c r="L3635" i="2"/>
  <c r="K3635" i="2"/>
  <c r="J3635" i="2"/>
  <c r="I3635" i="2"/>
  <c r="H3635" i="2"/>
  <c r="G3635" i="2"/>
  <c r="F3635" i="2"/>
  <c r="E3635" i="2"/>
  <c r="D3635" i="2"/>
  <c r="C3635" i="2"/>
  <c r="B3635" i="2"/>
  <c r="V3634" i="2"/>
  <c r="U3634" i="2"/>
  <c r="T3634" i="2"/>
  <c r="S3634" i="2"/>
  <c r="R3634" i="2"/>
  <c r="Q3634" i="2"/>
  <c r="P3634" i="2"/>
  <c r="O3634" i="2"/>
  <c r="N3634" i="2"/>
  <c r="M3634" i="2"/>
  <c r="L3634" i="2"/>
  <c r="K3634" i="2"/>
  <c r="J3634" i="2"/>
  <c r="I3634" i="2"/>
  <c r="H3634" i="2"/>
  <c r="G3634" i="2"/>
  <c r="F3634" i="2"/>
  <c r="E3634" i="2"/>
  <c r="D3634" i="2"/>
  <c r="C3634" i="2"/>
  <c r="B3634" i="2"/>
  <c r="V3633" i="2"/>
  <c r="U3633" i="2"/>
  <c r="T3633" i="2"/>
  <c r="S3633" i="2"/>
  <c r="R3633" i="2"/>
  <c r="Q3633" i="2"/>
  <c r="P3633" i="2"/>
  <c r="O3633" i="2"/>
  <c r="N3633" i="2"/>
  <c r="M3633" i="2"/>
  <c r="L3633" i="2"/>
  <c r="K3633" i="2"/>
  <c r="J3633" i="2"/>
  <c r="I3633" i="2"/>
  <c r="H3633" i="2"/>
  <c r="G3633" i="2"/>
  <c r="F3633" i="2"/>
  <c r="E3633" i="2"/>
  <c r="D3633" i="2"/>
  <c r="C3633" i="2"/>
  <c r="B3633" i="2"/>
  <c r="V3632" i="2"/>
  <c r="U3632" i="2"/>
  <c r="T3632" i="2"/>
  <c r="S3632" i="2"/>
  <c r="R3632" i="2"/>
  <c r="Q3632" i="2"/>
  <c r="P3632" i="2"/>
  <c r="O3632" i="2"/>
  <c r="N3632" i="2"/>
  <c r="M3632" i="2"/>
  <c r="L3632" i="2"/>
  <c r="K3632" i="2"/>
  <c r="J3632" i="2"/>
  <c r="I3632" i="2"/>
  <c r="H3632" i="2"/>
  <c r="G3632" i="2"/>
  <c r="F3632" i="2"/>
  <c r="E3632" i="2"/>
  <c r="D3632" i="2"/>
  <c r="C3632" i="2"/>
  <c r="B3632" i="2"/>
  <c r="V3631" i="2"/>
  <c r="U3631" i="2"/>
  <c r="T3631" i="2"/>
  <c r="S3631" i="2"/>
  <c r="R3631" i="2"/>
  <c r="Q3631" i="2"/>
  <c r="P3631" i="2"/>
  <c r="O3631" i="2"/>
  <c r="N3631" i="2"/>
  <c r="M3631" i="2"/>
  <c r="L3631" i="2"/>
  <c r="K3631" i="2"/>
  <c r="J3631" i="2"/>
  <c r="I3631" i="2"/>
  <c r="H3631" i="2"/>
  <c r="G3631" i="2"/>
  <c r="F3631" i="2"/>
  <c r="E3631" i="2"/>
  <c r="D3631" i="2"/>
  <c r="C3631" i="2"/>
  <c r="B3631" i="2"/>
  <c r="V3630" i="2"/>
  <c r="U3630" i="2"/>
  <c r="T3630" i="2"/>
  <c r="S3630" i="2"/>
  <c r="R3630" i="2"/>
  <c r="Q3630" i="2"/>
  <c r="P3630" i="2"/>
  <c r="O3630" i="2"/>
  <c r="N3630" i="2"/>
  <c r="M3630" i="2"/>
  <c r="L3630" i="2"/>
  <c r="K3630" i="2"/>
  <c r="J3630" i="2"/>
  <c r="I3630" i="2"/>
  <c r="H3630" i="2"/>
  <c r="G3630" i="2"/>
  <c r="F3630" i="2"/>
  <c r="E3630" i="2"/>
  <c r="D3630" i="2"/>
  <c r="C3630" i="2"/>
  <c r="B3630" i="2"/>
  <c r="V3629" i="2"/>
  <c r="U3629" i="2"/>
  <c r="T3629" i="2"/>
  <c r="S3629" i="2"/>
  <c r="R3629" i="2"/>
  <c r="Q3629" i="2"/>
  <c r="P3629" i="2"/>
  <c r="O3629" i="2"/>
  <c r="N3629" i="2"/>
  <c r="M3629" i="2"/>
  <c r="L3629" i="2"/>
  <c r="K3629" i="2"/>
  <c r="J3629" i="2"/>
  <c r="I3629" i="2"/>
  <c r="H3629" i="2"/>
  <c r="G3629" i="2"/>
  <c r="F3629" i="2"/>
  <c r="E3629" i="2"/>
  <c r="D3629" i="2"/>
  <c r="C3629" i="2"/>
  <c r="B3629" i="2"/>
  <c r="V3628" i="2"/>
  <c r="U3628" i="2"/>
  <c r="T3628" i="2"/>
  <c r="S3628" i="2"/>
  <c r="R3628" i="2"/>
  <c r="Q3628" i="2"/>
  <c r="P3628" i="2"/>
  <c r="O3628" i="2"/>
  <c r="N3628" i="2"/>
  <c r="M3628" i="2"/>
  <c r="L3628" i="2"/>
  <c r="K3628" i="2"/>
  <c r="J3628" i="2"/>
  <c r="I3628" i="2"/>
  <c r="H3628" i="2"/>
  <c r="G3628" i="2"/>
  <c r="F3628" i="2"/>
  <c r="E3628" i="2"/>
  <c r="D3628" i="2"/>
  <c r="C3628" i="2"/>
  <c r="B3628" i="2"/>
  <c r="V3627" i="2"/>
  <c r="U3627" i="2"/>
  <c r="T3627" i="2"/>
  <c r="S3627" i="2"/>
  <c r="R3627" i="2"/>
  <c r="Q3627" i="2"/>
  <c r="P3627" i="2"/>
  <c r="O3627" i="2"/>
  <c r="N3627" i="2"/>
  <c r="M3627" i="2"/>
  <c r="L3627" i="2"/>
  <c r="K3627" i="2"/>
  <c r="J3627" i="2"/>
  <c r="I3627" i="2"/>
  <c r="H3627" i="2"/>
  <c r="G3627" i="2"/>
  <c r="F3627" i="2"/>
  <c r="E3627" i="2"/>
  <c r="D3627" i="2"/>
  <c r="C3627" i="2"/>
  <c r="B3627" i="2"/>
  <c r="V3626" i="2"/>
  <c r="U3626" i="2"/>
  <c r="T3626" i="2"/>
  <c r="S3626" i="2"/>
  <c r="R3626" i="2"/>
  <c r="Q3626" i="2"/>
  <c r="P3626" i="2"/>
  <c r="O3626" i="2"/>
  <c r="N3626" i="2"/>
  <c r="M3626" i="2"/>
  <c r="L3626" i="2"/>
  <c r="K3626" i="2"/>
  <c r="J3626" i="2"/>
  <c r="I3626" i="2"/>
  <c r="H3626" i="2"/>
  <c r="G3626" i="2"/>
  <c r="F3626" i="2"/>
  <c r="E3626" i="2"/>
  <c r="D3626" i="2"/>
  <c r="C3626" i="2"/>
  <c r="B3626" i="2"/>
  <c r="V3625" i="2"/>
  <c r="U3625" i="2"/>
  <c r="T3625" i="2"/>
  <c r="S3625" i="2"/>
  <c r="R3625" i="2"/>
  <c r="Q3625" i="2"/>
  <c r="P3625" i="2"/>
  <c r="O3625" i="2"/>
  <c r="N3625" i="2"/>
  <c r="M3625" i="2"/>
  <c r="L3625" i="2"/>
  <c r="K3625" i="2"/>
  <c r="J3625" i="2"/>
  <c r="I3625" i="2"/>
  <c r="H3625" i="2"/>
  <c r="G3625" i="2"/>
  <c r="F3625" i="2"/>
  <c r="E3625" i="2"/>
  <c r="D3625" i="2"/>
  <c r="C3625" i="2"/>
  <c r="B3625" i="2"/>
  <c r="V3624" i="2"/>
  <c r="U3624" i="2"/>
  <c r="T3624" i="2"/>
  <c r="S3624" i="2"/>
  <c r="R3624" i="2"/>
  <c r="Q3624" i="2"/>
  <c r="P3624" i="2"/>
  <c r="O3624" i="2"/>
  <c r="N3624" i="2"/>
  <c r="M3624" i="2"/>
  <c r="L3624" i="2"/>
  <c r="K3624" i="2"/>
  <c r="J3624" i="2"/>
  <c r="I3624" i="2"/>
  <c r="H3624" i="2"/>
  <c r="G3624" i="2"/>
  <c r="F3624" i="2"/>
  <c r="E3624" i="2"/>
  <c r="D3624" i="2"/>
  <c r="C3624" i="2"/>
  <c r="B3624" i="2"/>
  <c r="V3623" i="2"/>
  <c r="U3623" i="2"/>
  <c r="T3623" i="2"/>
  <c r="S3623" i="2"/>
  <c r="R3623" i="2"/>
  <c r="Q3623" i="2"/>
  <c r="P3623" i="2"/>
  <c r="O3623" i="2"/>
  <c r="N3623" i="2"/>
  <c r="M3623" i="2"/>
  <c r="L3623" i="2"/>
  <c r="K3623" i="2"/>
  <c r="J3623" i="2"/>
  <c r="I3623" i="2"/>
  <c r="H3623" i="2"/>
  <c r="G3623" i="2"/>
  <c r="F3623" i="2"/>
  <c r="E3623" i="2"/>
  <c r="D3623" i="2"/>
  <c r="C3623" i="2"/>
  <c r="B3623" i="2"/>
  <c r="V3622" i="2"/>
  <c r="U3622" i="2"/>
  <c r="T3622" i="2"/>
  <c r="S3622" i="2"/>
  <c r="R3622" i="2"/>
  <c r="Q3622" i="2"/>
  <c r="P3622" i="2"/>
  <c r="O3622" i="2"/>
  <c r="N3622" i="2"/>
  <c r="M3622" i="2"/>
  <c r="L3622" i="2"/>
  <c r="K3622" i="2"/>
  <c r="J3622" i="2"/>
  <c r="I3622" i="2"/>
  <c r="H3622" i="2"/>
  <c r="G3622" i="2"/>
  <c r="F3622" i="2"/>
  <c r="E3622" i="2"/>
  <c r="D3622" i="2"/>
  <c r="C3622" i="2"/>
  <c r="B3622" i="2"/>
  <c r="V3621" i="2"/>
  <c r="U3621" i="2"/>
  <c r="T3621" i="2"/>
  <c r="S3621" i="2"/>
  <c r="R3621" i="2"/>
  <c r="Q3621" i="2"/>
  <c r="P3621" i="2"/>
  <c r="O3621" i="2"/>
  <c r="N3621" i="2"/>
  <c r="M3621" i="2"/>
  <c r="L3621" i="2"/>
  <c r="K3621" i="2"/>
  <c r="J3621" i="2"/>
  <c r="I3621" i="2"/>
  <c r="H3621" i="2"/>
  <c r="G3621" i="2"/>
  <c r="F3621" i="2"/>
  <c r="E3621" i="2"/>
  <c r="D3621" i="2"/>
  <c r="C3621" i="2"/>
  <c r="B3621" i="2"/>
  <c r="V3620" i="2"/>
  <c r="U3620" i="2"/>
  <c r="T3620" i="2"/>
  <c r="S3620" i="2"/>
  <c r="R3620" i="2"/>
  <c r="Q3620" i="2"/>
  <c r="P3620" i="2"/>
  <c r="O3620" i="2"/>
  <c r="N3620" i="2"/>
  <c r="M3620" i="2"/>
  <c r="L3620" i="2"/>
  <c r="K3620" i="2"/>
  <c r="J3620" i="2"/>
  <c r="I3620" i="2"/>
  <c r="H3620" i="2"/>
  <c r="G3620" i="2"/>
  <c r="F3620" i="2"/>
  <c r="E3620" i="2"/>
  <c r="D3620" i="2"/>
  <c r="C3620" i="2"/>
  <c r="B3620" i="2"/>
  <c r="V3619" i="2"/>
  <c r="U3619" i="2"/>
  <c r="T3619" i="2"/>
  <c r="S3619" i="2"/>
  <c r="R3619" i="2"/>
  <c r="Q3619" i="2"/>
  <c r="P3619" i="2"/>
  <c r="O3619" i="2"/>
  <c r="N3619" i="2"/>
  <c r="M3619" i="2"/>
  <c r="L3619" i="2"/>
  <c r="K3619" i="2"/>
  <c r="J3619" i="2"/>
  <c r="I3619" i="2"/>
  <c r="H3619" i="2"/>
  <c r="G3619" i="2"/>
  <c r="F3619" i="2"/>
  <c r="E3619" i="2"/>
  <c r="D3619" i="2"/>
  <c r="C3619" i="2"/>
  <c r="B3619" i="2"/>
  <c r="V3618" i="2"/>
  <c r="U3618" i="2"/>
  <c r="T3618" i="2"/>
  <c r="S3618" i="2"/>
  <c r="R3618" i="2"/>
  <c r="Q3618" i="2"/>
  <c r="P3618" i="2"/>
  <c r="O3618" i="2"/>
  <c r="N3618" i="2"/>
  <c r="M3618" i="2"/>
  <c r="L3618" i="2"/>
  <c r="K3618" i="2"/>
  <c r="J3618" i="2"/>
  <c r="I3618" i="2"/>
  <c r="H3618" i="2"/>
  <c r="G3618" i="2"/>
  <c r="F3618" i="2"/>
  <c r="E3618" i="2"/>
  <c r="D3618" i="2"/>
  <c r="C3618" i="2"/>
  <c r="B3618" i="2"/>
  <c r="V3617" i="2"/>
  <c r="U3617" i="2"/>
  <c r="T3617" i="2"/>
  <c r="S3617" i="2"/>
  <c r="R3617" i="2"/>
  <c r="Q3617" i="2"/>
  <c r="P3617" i="2"/>
  <c r="O3617" i="2"/>
  <c r="N3617" i="2"/>
  <c r="M3617" i="2"/>
  <c r="L3617" i="2"/>
  <c r="K3617" i="2"/>
  <c r="J3617" i="2"/>
  <c r="I3617" i="2"/>
  <c r="H3617" i="2"/>
  <c r="G3617" i="2"/>
  <c r="F3617" i="2"/>
  <c r="E3617" i="2"/>
  <c r="D3617" i="2"/>
  <c r="C3617" i="2"/>
  <c r="B3617" i="2"/>
  <c r="V3616" i="2"/>
  <c r="U3616" i="2"/>
  <c r="T3616" i="2"/>
  <c r="S3616" i="2"/>
  <c r="R3616" i="2"/>
  <c r="Q3616" i="2"/>
  <c r="P3616" i="2"/>
  <c r="O3616" i="2"/>
  <c r="N3616" i="2"/>
  <c r="M3616" i="2"/>
  <c r="L3616" i="2"/>
  <c r="K3616" i="2"/>
  <c r="J3616" i="2"/>
  <c r="I3616" i="2"/>
  <c r="H3616" i="2"/>
  <c r="G3616" i="2"/>
  <c r="F3616" i="2"/>
  <c r="E3616" i="2"/>
  <c r="D3616" i="2"/>
  <c r="C3616" i="2"/>
  <c r="B3616" i="2"/>
  <c r="V3615" i="2"/>
  <c r="U3615" i="2"/>
  <c r="T3615" i="2"/>
  <c r="S3615" i="2"/>
  <c r="R3615" i="2"/>
  <c r="Q3615" i="2"/>
  <c r="P3615" i="2"/>
  <c r="O3615" i="2"/>
  <c r="N3615" i="2"/>
  <c r="M3615" i="2"/>
  <c r="L3615" i="2"/>
  <c r="K3615" i="2"/>
  <c r="J3615" i="2"/>
  <c r="I3615" i="2"/>
  <c r="H3615" i="2"/>
  <c r="G3615" i="2"/>
  <c r="F3615" i="2"/>
  <c r="E3615" i="2"/>
  <c r="D3615" i="2"/>
  <c r="C3615" i="2"/>
  <c r="B3615" i="2"/>
  <c r="V3614" i="2"/>
  <c r="U3614" i="2"/>
  <c r="T3614" i="2"/>
  <c r="S3614" i="2"/>
  <c r="R3614" i="2"/>
  <c r="Q3614" i="2"/>
  <c r="P3614" i="2"/>
  <c r="O3614" i="2"/>
  <c r="N3614" i="2"/>
  <c r="M3614" i="2"/>
  <c r="L3614" i="2"/>
  <c r="K3614" i="2"/>
  <c r="J3614" i="2"/>
  <c r="I3614" i="2"/>
  <c r="H3614" i="2"/>
  <c r="G3614" i="2"/>
  <c r="F3614" i="2"/>
  <c r="E3614" i="2"/>
  <c r="D3614" i="2"/>
  <c r="C3614" i="2"/>
  <c r="B3614" i="2"/>
  <c r="V3613" i="2"/>
  <c r="U3613" i="2"/>
  <c r="T3613" i="2"/>
  <c r="S3613" i="2"/>
  <c r="R3613" i="2"/>
  <c r="Q3613" i="2"/>
  <c r="P3613" i="2"/>
  <c r="O3613" i="2"/>
  <c r="N3613" i="2"/>
  <c r="M3613" i="2"/>
  <c r="L3613" i="2"/>
  <c r="K3613" i="2"/>
  <c r="J3613" i="2"/>
  <c r="I3613" i="2"/>
  <c r="H3613" i="2"/>
  <c r="G3613" i="2"/>
  <c r="F3613" i="2"/>
  <c r="E3613" i="2"/>
  <c r="D3613" i="2"/>
  <c r="C3613" i="2"/>
  <c r="B3613" i="2"/>
  <c r="V3612" i="2"/>
  <c r="U3612" i="2"/>
  <c r="T3612" i="2"/>
  <c r="S3612" i="2"/>
  <c r="R3612" i="2"/>
  <c r="Q3612" i="2"/>
  <c r="P3612" i="2"/>
  <c r="O3612" i="2"/>
  <c r="N3612" i="2"/>
  <c r="M3612" i="2"/>
  <c r="L3612" i="2"/>
  <c r="K3612" i="2"/>
  <c r="J3612" i="2"/>
  <c r="I3612" i="2"/>
  <c r="H3612" i="2"/>
  <c r="G3612" i="2"/>
  <c r="F3612" i="2"/>
  <c r="E3612" i="2"/>
  <c r="D3612" i="2"/>
  <c r="C3612" i="2"/>
  <c r="B3612" i="2"/>
  <c r="V3611" i="2"/>
  <c r="U3611" i="2"/>
  <c r="T3611" i="2"/>
  <c r="S3611" i="2"/>
  <c r="R3611" i="2"/>
  <c r="Q3611" i="2"/>
  <c r="P3611" i="2"/>
  <c r="O3611" i="2"/>
  <c r="N3611" i="2"/>
  <c r="M3611" i="2"/>
  <c r="L3611" i="2"/>
  <c r="K3611" i="2"/>
  <c r="J3611" i="2"/>
  <c r="I3611" i="2"/>
  <c r="H3611" i="2"/>
  <c r="G3611" i="2"/>
  <c r="F3611" i="2"/>
  <c r="E3611" i="2"/>
  <c r="D3611" i="2"/>
  <c r="C3611" i="2"/>
  <c r="B3611" i="2"/>
  <c r="V3610" i="2"/>
  <c r="U3610" i="2"/>
  <c r="T3610" i="2"/>
  <c r="S3610" i="2"/>
  <c r="R3610" i="2"/>
  <c r="Q3610" i="2"/>
  <c r="P3610" i="2"/>
  <c r="O3610" i="2"/>
  <c r="N3610" i="2"/>
  <c r="M3610" i="2"/>
  <c r="L3610" i="2"/>
  <c r="K3610" i="2"/>
  <c r="J3610" i="2"/>
  <c r="I3610" i="2"/>
  <c r="H3610" i="2"/>
  <c r="G3610" i="2"/>
  <c r="F3610" i="2"/>
  <c r="E3610" i="2"/>
  <c r="D3610" i="2"/>
  <c r="C3610" i="2"/>
  <c r="B3610" i="2"/>
  <c r="V3609" i="2"/>
  <c r="U3609" i="2"/>
  <c r="T3609" i="2"/>
  <c r="S3609" i="2"/>
  <c r="R3609" i="2"/>
  <c r="Q3609" i="2"/>
  <c r="P3609" i="2"/>
  <c r="O3609" i="2"/>
  <c r="N3609" i="2"/>
  <c r="M3609" i="2"/>
  <c r="L3609" i="2"/>
  <c r="K3609" i="2"/>
  <c r="J3609" i="2"/>
  <c r="I3609" i="2"/>
  <c r="H3609" i="2"/>
  <c r="G3609" i="2"/>
  <c r="F3609" i="2"/>
  <c r="E3609" i="2"/>
  <c r="D3609" i="2"/>
  <c r="C3609" i="2"/>
  <c r="B3609" i="2"/>
  <c r="V3608" i="2"/>
  <c r="U3608" i="2"/>
  <c r="T3608" i="2"/>
  <c r="S3608" i="2"/>
  <c r="R3608" i="2"/>
  <c r="Q3608" i="2"/>
  <c r="P3608" i="2"/>
  <c r="O3608" i="2"/>
  <c r="N3608" i="2"/>
  <c r="M3608" i="2"/>
  <c r="L3608" i="2"/>
  <c r="K3608" i="2"/>
  <c r="J3608" i="2"/>
  <c r="I3608" i="2"/>
  <c r="H3608" i="2"/>
  <c r="G3608" i="2"/>
  <c r="F3608" i="2"/>
  <c r="E3608" i="2"/>
  <c r="D3608" i="2"/>
  <c r="C3608" i="2"/>
  <c r="B3608" i="2"/>
  <c r="V3607" i="2"/>
  <c r="U3607" i="2"/>
  <c r="T3607" i="2"/>
  <c r="S3607" i="2"/>
  <c r="R3607" i="2"/>
  <c r="Q3607" i="2"/>
  <c r="P3607" i="2"/>
  <c r="O3607" i="2"/>
  <c r="N3607" i="2"/>
  <c r="M3607" i="2"/>
  <c r="L3607" i="2"/>
  <c r="K3607" i="2"/>
  <c r="J3607" i="2"/>
  <c r="I3607" i="2"/>
  <c r="H3607" i="2"/>
  <c r="G3607" i="2"/>
  <c r="F3607" i="2"/>
  <c r="E3607" i="2"/>
  <c r="D3607" i="2"/>
  <c r="C3607" i="2"/>
  <c r="B3607" i="2"/>
  <c r="V3606" i="2"/>
  <c r="U3606" i="2"/>
  <c r="T3606" i="2"/>
  <c r="S3606" i="2"/>
  <c r="R3606" i="2"/>
  <c r="Q3606" i="2"/>
  <c r="P3606" i="2"/>
  <c r="O3606" i="2"/>
  <c r="N3606" i="2"/>
  <c r="M3606" i="2"/>
  <c r="L3606" i="2"/>
  <c r="K3606" i="2"/>
  <c r="J3606" i="2"/>
  <c r="I3606" i="2"/>
  <c r="H3606" i="2"/>
  <c r="G3606" i="2"/>
  <c r="F3606" i="2"/>
  <c r="E3606" i="2"/>
  <c r="D3606" i="2"/>
  <c r="C3606" i="2"/>
  <c r="B3606" i="2"/>
  <c r="V3605" i="2"/>
  <c r="U3605" i="2"/>
  <c r="T3605" i="2"/>
  <c r="S3605" i="2"/>
  <c r="R3605" i="2"/>
  <c r="Q3605" i="2"/>
  <c r="P3605" i="2"/>
  <c r="O3605" i="2"/>
  <c r="N3605" i="2"/>
  <c r="M3605" i="2"/>
  <c r="L3605" i="2"/>
  <c r="K3605" i="2"/>
  <c r="J3605" i="2"/>
  <c r="I3605" i="2"/>
  <c r="H3605" i="2"/>
  <c r="G3605" i="2"/>
  <c r="F3605" i="2"/>
  <c r="E3605" i="2"/>
  <c r="D3605" i="2"/>
  <c r="C3605" i="2"/>
  <c r="B3605" i="2"/>
  <c r="V3604" i="2"/>
  <c r="U3604" i="2"/>
  <c r="T3604" i="2"/>
  <c r="S3604" i="2"/>
  <c r="R3604" i="2"/>
  <c r="Q3604" i="2"/>
  <c r="P3604" i="2"/>
  <c r="O3604" i="2"/>
  <c r="N3604" i="2"/>
  <c r="M3604" i="2"/>
  <c r="L3604" i="2"/>
  <c r="K3604" i="2"/>
  <c r="J3604" i="2"/>
  <c r="I3604" i="2"/>
  <c r="H3604" i="2"/>
  <c r="G3604" i="2"/>
  <c r="F3604" i="2"/>
  <c r="E3604" i="2"/>
  <c r="D3604" i="2"/>
  <c r="C3604" i="2"/>
  <c r="B3604" i="2"/>
  <c r="V3603" i="2"/>
  <c r="U3603" i="2"/>
  <c r="T3603" i="2"/>
  <c r="S3603" i="2"/>
  <c r="R3603" i="2"/>
  <c r="Q3603" i="2"/>
  <c r="P3603" i="2"/>
  <c r="O3603" i="2"/>
  <c r="N3603" i="2"/>
  <c r="M3603" i="2"/>
  <c r="L3603" i="2"/>
  <c r="K3603" i="2"/>
  <c r="J3603" i="2"/>
  <c r="I3603" i="2"/>
  <c r="H3603" i="2"/>
  <c r="G3603" i="2"/>
  <c r="F3603" i="2"/>
  <c r="E3603" i="2"/>
  <c r="D3603" i="2"/>
  <c r="C3603" i="2"/>
  <c r="B3603" i="2"/>
  <c r="V3602" i="2"/>
  <c r="U3602" i="2"/>
  <c r="T3602" i="2"/>
  <c r="S3602" i="2"/>
  <c r="R3602" i="2"/>
  <c r="Q3602" i="2"/>
  <c r="P3602" i="2"/>
  <c r="O3602" i="2"/>
  <c r="N3602" i="2"/>
  <c r="M3602" i="2"/>
  <c r="L3602" i="2"/>
  <c r="K3602" i="2"/>
  <c r="J3602" i="2"/>
  <c r="I3602" i="2"/>
  <c r="H3602" i="2"/>
  <c r="G3602" i="2"/>
  <c r="F3602" i="2"/>
  <c r="E3602" i="2"/>
  <c r="D3602" i="2"/>
  <c r="C3602" i="2"/>
  <c r="B3602" i="2"/>
  <c r="V3601" i="2"/>
  <c r="U3601" i="2"/>
  <c r="T3601" i="2"/>
  <c r="S3601" i="2"/>
  <c r="R3601" i="2"/>
  <c r="Q3601" i="2"/>
  <c r="P3601" i="2"/>
  <c r="O3601" i="2"/>
  <c r="N3601" i="2"/>
  <c r="M3601" i="2"/>
  <c r="L3601" i="2"/>
  <c r="K3601" i="2"/>
  <c r="J3601" i="2"/>
  <c r="I3601" i="2"/>
  <c r="H3601" i="2"/>
  <c r="G3601" i="2"/>
  <c r="F3601" i="2"/>
  <c r="E3601" i="2"/>
  <c r="D3601" i="2"/>
  <c r="C3601" i="2"/>
  <c r="B3601" i="2"/>
  <c r="V3600" i="2"/>
  <c r="U3600" i="2"/>
  <c r="T3600" i="2"/>
  <c r="S3600" i="2"/>
  <c r="R3600" i="2"/>
  <c r="Q3600" i="2"/>
  <c r="P3600" i="2"/>
  <c r="O3600" i="2"/>
  <c r="N3600" i="2"/>
  <c r="M3600" i="2"/>
  <c r="L3600" i="2"/>
  <c r="K3600" i="2"/>
  <c r="J3600" i="2"/>
  <c r="I3600" i="2"/>
  <c r="H3600" i="2"/>
  <c r="G3600" i="2"/>
  <c r="F3600" i="2"/>
  <c r="E3600" i="2"/>
  <c r="D3600" i="2"/>
  <c r="C3600" i="2"/>
  <c r="B3600" i="2"/>
  <c r="V3599" i="2"/>
  <c r="U3599" i="2"/>
  <c r="T3599" i="2"/>
  <c r="S3599" i="2"/>
  <c r="R3599" i="2"/>
  <c r="Q3599" i="2"/>
  <c r="P3599" i="2"/>
  <c r="O3599" i="2"/>
  <c r="N3599" i="2"/>
  <c r="M3599" i="2"/>
  <c r="L3599" i="2"/>
  <c r="K3599" i="2"/>
  <c r="J3599" i="2"/>
  <c r="I3599" i="2"/>
  <c r="H3599" i="2"/>
  <c r="G3599" i="2"/>
  <c r="F3599" i="2"/>
  <c r="E3599" i="2"/>
  <c r="D3599" i="2"/>
  <c r="C3599" i="2"/>
  <c r="B3599" i="2"/>
  <c r="V3598" i="2"/>
  <c r="U3598" i="2"/>
  <c r="T3598" i="2"/>
  <c r="S3598" i="2"/>
  <c r="R3598" i="2"/>
  <c r="Q3598" i="2"/>
  <c r="P3598" i="2"/>
  <c r="O3598" i="2"/>
  <c r="N3598" i="2"/>
  <c r="M3598" i="2"/>
  <c r="L3598" i="2"/>
  <c r="K3598" i="2"/>
  <c r="J3598" i="2"/>
  <c r="I3598" i="2"/>
  <c r="H3598" i="2"/>
  <c r="G3598" i="2"/>
  <c r="F3598" i="2"/>
  <c r="E3598" i="2"/>
  <c r="D3598" i="2"/>
  <c r="C3598" i="2"/>
  <c r="B3598" i="2"/>
  <c r="V3597" i="2"/>
  <c r="U3597" i="2"/>
  <c r="T3597" i="2"/>
  <c r="S3597" i="2"/>
  <c r="R3597" i="2"/>
  <c r="Q3597" i="2"/>
  <c r="P3597" i="2"/>
  <c r="O3597" i="2"/>
  <c r="N3597" i="2"/>
  <c r="M3597" i="2"/>
  <c r="L3597" i="2"/>
  <c r="K3597" i="2"/>
  <c r="J3597" i="2"/>
  <c r="I3597" i="2"/>
  <c r="H3597" i="2"/>
  <c r="G3597" i="2"/>
  <c r="F3597" i="2"/>
  <c r="E3597" i="2"/>
  <c r="D3597" i="2"/>
  <c r="C3597" i="2"/>
  <c r="B3597" i="2"/>
  <c r="V3596" i="2"/>
  <c r="U3596" i="2"/>
  <c r="T3596" i="2"/>
  <c r="S3596" i="2"/>
  <c r="R3596" i="2"/>
  <c r="Q3596" i="2"/>
  <c r="P3596" i="2"/>
  <c r="O3596" i="2"/>
  <c r="N3596" i="2"/>
  <c r="M3596" i="2"/>
  <c r="L3596" i="2"/>
  <c r="K3596" i="2"/>
  <c r="J3596" i="2"/>
  <c r="I3596" i="2"/>
  <c r="H3596" i="2"/>
  <c r="G3596" i="2"/>
  <c r="F3596" i="2"/>
  <c r="E3596" i="2"/>
  <c r="D3596" i="2"/>
  <c r="C3596" i="2"/>
  <c r="B3596" i="2"/>
  <c r="V3595" i="2"/>
  <c r="U3595" i="2"/>
  <c r="T3595" i="2"/>
  <c r="S3595" i="2"/>
  <c r="R3595" i="2"/>
  <c r="Q3595" i="2"/>
  <c r="P3595" i="2"/>
  <c r="O3595" i="2"/>
  <c r="N3595" i="2"/>
  <c r="M3595" i="2"/>
  <c r="L3595" i="2"/>
  <c r="K3595" i="2"/>
  <c r="J3595" i="2"/>
  <c r="I3595" i="2"/>
  <c r="H3595" i="2"/>
  <c r="G3595" i="2"/>
  <c r="F3595" i="2"/>
  <c r="E3595" i="2"/>
  <c r="D3595" i="2"/>
  <c r="C3595" i="2"/>
  <c r="B3595" i="2"/>
  <c r="V3594" i="2"/>
  <c r="U3594" i="2"/>
  <c r="T3594" i="2"/>
  <c r="S3594" i="2"/>
  <c r="R3594" i="2"/>
  <c r="Q3594" i="2"/>
  <c r="P3594" i="2"/>
  <c r="O3594" i="2"/>
  <c r="N3594" i="2"/>
  <c r="M3594" i="2"/>
  <c r="L3594" i="2"/>
  <c r="K3594" i="2"/>
  <c r="J3594" i="2"/>
  <c r="I3594" i="2"/>
  <c r="H3594" i="2"/>
  <c r="G3594" i="2"/>
  <c r="F3594" i="2"/>
  <c r="E3594" i="2"/>
  <c r="D3594" i="2"/>
  <c r="C3594" i="2"/>
  <c r="B3594" i="2"/>
  <c r="V3593" i="2"/>
  <c r="U3593" i="2"/>
  <c r="T3593" i="2"/>
  <c r="S3593" i="2"/>
  <c r="R3593" i="2"/>
  <c r="Q3593" i="2"/>
  <c r="P3593" i="2"/>
  <c r="O3593" i="2"/>
  <c r="N3593" i="2"/>
  <c r="M3593" i="2"/>
  <c r="L3593" i="2"/>
  <c r="K3593" i="2"/>
  <c r="J3593" i="2"/>
  <c r="I3593" i="2"/>
  <c r="H3593" i="2"/>
  <c r="G3593" i="2"/>
  <c r="F3593" i="2"/>
  <c r="E3593" i="2"/>
  <c r="D3593" i="2"/>
  <c r="C3593" i="2"/>
  <c r="B3593" i="2"/>
  <c r="V3592" i="2"/>
  <c r="U3592" i="2"/>
  <c r="T3592" i="2"/>
  <c r="S3592" i="2"/>
  <c r="R3592" i="2"/>
  <c r="Q3592" i="2"/>
  <c r="P3592" i="2"/>
  <c r="O3592" i="2"/>
  <c r="N3592" i="2"/>
  <c r="M3592" i="2"/>
  <c r="L3592" i="2"/>
  <c r="K3592" i="2"/>
  <c r="J3592" i="2"/>
  <c r="I3592" i="2"/>
  <c r="H3592" i="2"/>
  <c r="G3592" i="2"/>
  <c r="F3592" i="2"/>
  <c r="E3592" i="2"/>
  <c r="D3592" i="2"/>
  <c r="C3592" i="2"/>
  <c r="B3592" i="2"/>
  <c r="V3591" i="2"/>
  <c r="U3591" i="2"/>
  <c r="T3591" i="2"/>
  <c r="S3591" i="2"/>
  <c r="R3591" i="2"/>
  <c r="Q3591" i="2"/>
  <c r="P3591" i="2"/>
  <c r="O3591" i="2"/>
  <c r="N3591" i="2"/>
  <c r="M3591" i="2"/>
  <c r="L3591" i="2"/>
  <c r="K3591" i="2"/>
  <c r="J3591" i="2"/>
  <c r="I3591" i="2"/>
  <c r="H3591" i="2"/>
  <c r="G3591" i="2"/>
  <c r="F3591" i="2"/>
  <c r="E3591" i="2"/>
  <c r="D3591" i="2"/>
  <c r="C3591" i="2"/>
  <c r="B3591" i="2"/>
  <c r="V3590" i="2"/>
  <c r="U3590" i="2"/>
  <c r="T3590" i="2"/>
  <c r="S3590" i="2"/>
  <c r="R3590" i="2"/>
  <c r="Q3590" i="2"/>
  <c r="P3590" i="2"/>
  <c r="O3590" i="2"/>
  <c r="N3590" i="2"/>
  <c r="M3590" i="2"/>
  <c r="L3590" i="2"/>
  <c r="K3590" i="2"/>
  <c r="J3590" i="2"/>
  <c r="I3590" i="2"/>
  <c r="H3590" i="2"/>
  <c r="G3590" i="2"/>
  <c r="F3590" i="2"/>
  <c r="E3590" i="2"/>
  <c r="D3590" i="2"/>
  <c r="C3590" i="2"/>
  <c r="B3590" i="2"/>
  <c r="V3589" i="2"/>
  <c r="U3589" i="2"/>
  <c r="T3589" i="2"/>
  <c r="S3589" i="2"/>
  <c r="R3589" i="2"/>
  <c r="Q3589" i="2"/>
  <c r="P3589" i="2"/>
  <c r="O3589" i="2"/>
  <c r="N3589" i="2"/>
  <c r="M3589" i="2"/>
  <c r="L3589" i="2"/>
  <c r="K3589" i="2"/>
  <c r="J3589" i="2"/>
  <c r="I3589" i="2"/>
  <c r="H3589" i="2"/>
  <c r="G3589" i="2"/>
  <c r="F3589" i="2"/>
  <c r="E3589" i="2"/>
  <c r="D3589" i="2"/>
  <c r="C3589" i="2"/>
  <c r="B3589" i="2"/>
  <c r="V3588" i="2"/>
  <c r="U3588" i="2"/>
  <c r="T3588" i="2"/>
  <c r="S3588" i="2"/>
  <c r="R3588" i="2"/>
  <c r="Q3588" i="2"/>
  <c r="P3588" i="2"/>
  <c r="O3588" i="2"/>
  <c r="N3588" i="2"/>
  <c r="M3588" i="2"/>
  <c r="L3588" i="2"/>
  <c r="K3588" i="2"/>
  <c r="J3588" i="2"/>
  <c r="I3588" i="2"/>
  <c r="H3588" i="2"/>
  <c r="G3588" i="2"/>
  <c r="F3588" i="2"/>
  <c r="E3588" i="2"/>
  <c r="D3588" i="2"/>
  <c r="C3588" i="2"/>
  <c r="B3588" i="2"/>
  <c r="V3587" i="2"/>
  <c r="U3587" i="2"/>
  <c r="T3587" i="2"/>
  <c r="S3587" i="2"/>
  <c r="R3587" i="2"/>
  <c r="Q3587" i="2"/>
  <c r="P3587" i="2"/>
  <c r="O3587" i="2"/>
  <c r="N3587" i="2"/>
  <c r="M3587" i="2"/>
  <c r="L3587" i="2"/>
  <c r="K3587" i="2"/>
  <c r="J3587" i="2"/>
  <c r="I3587" i="2"/>
  <c r="H3587" i="2"/>
  <c r="G3587" i="2"/>
  <c r="F3587" i="2"/>
  <c r="E3587" i="2"/>
  <c r="D3587" i="2"/>
  <c r="C3587" i="2"/>
  <c r="B3587" i="2"/>
  <c r="V3586" i="2"/>
  <c r="U3586" i="2"/>
  <c r="T3586" i="2"/>
  <c r="S3586" i="2"/>
  <c r="R3586" i="2"/>
  <c r="Q3586" i="2"/>
  <c r="P3586" i="2"/>
  <c r="O3586" i="2"/>
  <c r="N3586" i="2"/>
  <c r="M3586" i="2"/>
  <c r="L3586" i="2"/>
  <c r="K3586" i="2"/>
  <c r="J3586" i="2"/>
  <c r="I3586" i="2"/>
  <c r="H3586" i="2"/>
  <c r="G3586" i="2"/>
  <c r="F3586" i="2"/>
  <c r="E3586" i="2"/>
  <c r="D3586" i="2"/>
  <c r="C3586" i="2"/>
  <c r="B3586" i="2"/>
  <c r="V3585" i="2"/>
  <c r="U3585" i="2"/>
  <c r="T3585" i="2"/>
  <c r="S3585" i="2"/>
  <c r="R3585" i="2"/>
  <c r="Q3585" i="2"/>
  <c r="P3585" i="2"/>
  <c r="O3585" i="2"/>
  <c r="N3585" i="2"/>
  <c r="M3585" i="2"/>
  <c r="L3585" i="2"/>
  <c r="K3585" i="2"/>
  <c r="J3585" i="2"/>
  <c r="I3585" i="2"/>
  <c r="H3585" i="2"/>
  <c r="G3585" i="2"/>
  <c r="F3585" i="2"/>
  <c r="E3585" i="2"/>
  <c r="D3585" i="2"/>
  <c r="C3585" i="2"/>
  <c r="B3585" i="2"/>
  <c r="V3584" i="2"/>
  <c r="U3584" i="2"/>
  <c r="T3584" i="2"/>
  <c r="S3584" i="2"/>
  <c r="R3584" i="2"/>
  <c r="Q3584" i="2"/>
  <c r="P3584" i="2"/>
  <c r="O3584" i="2"/>
  <c r="N3584" i="2"/>
  <c r="M3584" i="2"/>
  <c r="L3584" i="2"/>
  <c r="K3584" i="2"/>
  <c r="J3584" i="2"/>
  <c r="I3584" i="2"/>
  <c r="H3584" i="2"/>
  <c r="G3584" i="2"/>
  <c r="F3584" i="2"/>
  <c r="E3584" i="2"/>
  <c r="D3584" i="2"/>
  <c r="C3584" i="2"/>
  <c r="B3584" i="2"/>
  <c r="V3583" i="2"/>
  <c r="U3583" i="2"/>
  <c r="T3583" i="2"/>
  <c r="S3583" i="2"/>
  <c r="R3583" i="2"/>
  <c r="Q3583" i="2"/>
  <c r="P3583" i="2"/>
  <c r="O3583" i="2"/>
  <c r="N3583" i="2"/>
  <c r="M3583" i="2"/>
  <c r="L3583" i="2"/>
  <c r="K3583" i="2"/>
  <c r="J3583" i="2"/>
  <c r="I3583" i="2"/>
  <c r="H3583" i="2"/>
  <c r="G3583" i="2"/>
  <c r="F3583" i="2"/>
  <c r="E3583" i="2"/>
  <c r="D3583" i="2"/>
  <c r="C3583" i="2"/>
  <c r="B3583" i="2"/>
  <c r="V3582" i="2"/>
  <c r="U3582" i="2"/>
  <c r="T3582" i="2"/>
  <c r="S3582" i="2"/>
  <c r="R3582" i="2"/>
  <c r="Q3582" i="2"/>
  <c r="P3582" i="2"/>
  <c r="O3582" i="2"/>
  <c r="N3582" i="2"/>
  <c r="M3582" i="2"/>
  <c r="L3582" i="2"/>
  <c r="K3582" i="2"/>
  <c r="J3582" i="2"/>
  <c r="I3582" i="2"/>
  <c r="H3582" i="2"/>
  <c r="G3582" i="2"/>
  <c r="F3582" i="2"/>
  <c r="E3582" i="2"/>
  <c r="D3582" i="2"/>
  <c r="C3582" i="2"/>
  <c r="B3582" i="2"/>
  <c r="V3581" i="2"/>
  <c r="U3581" i="2"/>
  <c r="T3581" i="2"/>
  <c r="S3581" i="2"/>
  <c r="R3581" i="2"/>
  <c r="Q3581" i="2"/>
  <c r="P3581" i="2"/>
  <c r="O3581" i="2"/>
  <c r="N3581" i="2"/>
  <c r="M3581" i="2"/>
  <c r="L3581" i="2"/>
  <c r="K3581" i="2"/>
  <c r="J3581" i="2"/>
  <c r="I3581" i="2"/>
  <c r="H3581" i="2"/>
  <c r="G3581" i="2"/>
  <c r="F3581" i="2"/>
  <c r="E3581" i="2"/>
  <c r="D3581" i="2"/>
  <c r="C3581" i="2"/>
  <c r="B3581" i="2"/>
  <c r="V3580" i="2"/>
  <c r="U3580" i="2"/>
  <c r="T3580" i="2"/>
  <c r="S3580" i="2"/>
  <c r="R3580" i="2"/>
  <c r="Q3580" i="2"/>
  <c r="P3580" i="2"/>
  <c r="O3580" i="2"/>
  <c r="N3580" i="2"/>
  <c r="M3580" i="2"/>
  <c r="L3580" i="2"/>
  <c r="K3580" i="2"/>
  <c r="J3580" i="2"/>
  <c r="I3580" i="2"/>
  <c r="H3580" i="2"/>
  <c r="G3580" i="2"/>
  <c r="F3580" i="2"/>
  <c r="E3580" i="2"/>
  <c r="D3580" i="2"/>
  <c r="C3580" i="2"/>
  <c r="B3580" i="2"/>
  <c r="V3579" i="2"/>
  <c r="U3579" i="2"/>
  <c r="T3579" i="2"/>
  <c r="S3579" i="2"/>
  <c r="R3579" i="2"/>
  <c r="Q3579" i="2"/>
  <c r="P3579" i="2"/>
  <c r="O3579" i="2"/>
  <c r="N3579" i="2"/>
  <c r="M3579" i="2"/>
  <c r="L3579" i="2"/>
  <c r="K3579" i="2"/>
  <c r="J3579" i="2"/>
  <c r="I3579" i="2"/>
  <c r="H3579" i="2"/>
  <c r="G3579" i="2"/>
  <c r="F3579" i="2"/>
  <c r="E3579" i="2"/>
  <c r="D3579" i="2"/>
  <c r="C3579" i="2"/>
  <c r="B3579" i="2"/>
  <c r="V3578" i="2"/>
  <c r="U3578" i="2"/>
  <c r="T3578" i="2"/>
  <c r="S3578" i="2"/>
  <c r="R3578" i="2"/>
  <c r="Q3578" i="2"/>
  <c r="P3578" i="2"/>
  <c r="O3578" i="2"/>
  <c r="N3578" i="2"/>
  <c r="M3578" i="2"/>
  <c r="L3578" i="2"/>
  <c r="K3578" i="2"/>
  <c r="J3578" i="2"/>
  <c r="I3578" i="2"/>
  <c r="H3578" i="2"/>
  <c r="G3578" i="2"/>
  <c r="F3578" i="2"/>
  <c r="E3578" i="2"/>
  <c r="D3578" i="2"/>
  <c r="C3578" i="2"/>
  <c r="B3578" i="2"/>
  <c r="V3577" i="2"/>
  <c r="U3577" i="2"/>
  <c r="T3577" i="2"/>
  <c r="S3577" i="2"/>
  <c r="R3577" i="2"/>
  <c r="Q3577" i="2"/>
  <c r="P3577" i="2"/>
  <c r="O3577" i="2"/>
  <c r="N3577" i="2"/>
  <c r="M3577" i="2"/>
  <c r="L3577" i="2"/>
  <c r="K3577" i="2"/>
  <c r="J3577" i="2"/>
  <c r="I3577" i="2"/>
  <c r="H3577" i="2"/>
  <c r="G3577" i="2"/>
  <c r="F3577" i="2"/>
  <c r="E3577" i="2"/>
  <c r="D3577" i="2"/>
  <c r="C3577" i="2"/>
  <c r="B3577" i="2"/>
  <c r="V3576" i="2"/>
  <c r="U3576" i="2"/>
  <c r="T3576" i="2"/>
  <c r="S3576" i="2"/>
  <c r="R3576" i="2"/>
  <c r="Q3576" i="2"/>
  <c r="P3576" i="2"/>
  <c r="O3576" i="2"/>
  <c r="N3576" i="2"/>
  <c r="M3576" i="2"/>
  <c r="L3576" i="2"/>
  <c r="K3576" i="2"/>
  <c r="J3576" i="2"/>
  <c r="I3576" i="2"/>
  <c r="H3576" i="2"/>
  <c r="G3576" i="2"/>
  <c r="F3576" i="2"/>
  <c r="E3576" i="2"/>
  <c r="D3576" i="2"/>
  <c r="C3576" i="2"/>
  <c r="B3576" i="2"/>
  <c r="V3575" i="2"/>
  <c r="U3575" i="2"/>
  <c r="T3575" i="2"/>
  <c r="S3575" i="2"/>
  <c r="R3575" i="2"/>
  <c r="Q3575" i="2"/>
  <c r="P3575" i="2"/>
  <c r="O3575" i="2"/>
  <c r="N3575" i="2"/>
  <c r="M3575" i="2"/>
  <c r="L3575" i="2"/>
  <c r="K3575" i="2"/>
  <c r="J3575" i="2"/>
  <c r="I3575" i="2"/>
  <c r="H3575" i="2"/>
  <c r="G3575" i="2"/>
  <c r="F3575" i="2"/>
  <c r="E3575" i="2"/>
  <c r="D3575" i="2"/>
  <c r="C3575" i="2"/>
  <c r="B3575" i="2"/>
  <c r="V3574" i="2"/>
  <c r="U3574" i="2"/>
  <c r="T3574" i="2"/>
  <c r="S3574" i="2"/>
  <c r="R3574" i="2"/>
  <c r="Q3574" i="2"/>
  <c r="P3574" i="2"/>
  <c r="O3574" i="2"/>
  <c r="N3574" i="2"/>
  <c r="M3574" i="2"/>
  <c r="L3574" i="2"/>
  <c r="K3574" i="2"/>
  <c r="J3574" i="2"/>
  <c r="I3574" i="2"/>
  <c r="H3574" i="2"/>
  <c r="G3574" i="2"/>
  <c r="F3574" i="2"/>
  <c r="E3574" i="2"/>
  <c r="D3574" i="2"/>
  <c r="C3574" i="2"/>
  <c r="B3574" i="2"/>
  <c r="V3573" i="2"/>
  <c r="U3573" i="2"/>
  <c r="T3573" i="2"/>
  <c r="S3573" i="2"/>
  <c r="R3573" i="2"/>
  <c r="Q3573" i="2"/>
  <c r="P3573" i="2"/>
  <c r="O3573" i="2"/>
  <c r="N3573" i="2"/>
  <c r="M3573" i="2"/>
  <c r="L3573" i="2"/>
  <c r="K3573" i="2"/>
  <c r="J3573" i="2"/>
  <c r="I3573" i="2"/>
  <c r="H3573" i="2"/>
  <c r="G3573" i="2"/>
  <c r="F3573" i="2"/>
  <c r="E3573" i="2"/>
  <c r="D3573" i="2"/>
  <c r="C3573" i="2"/>
  <c r="B3573" i="2"/>
  <c r="V3572" i="2"/>
  <c r="U3572" i="2"/>
  <c r="T3572" i="2"/>
  <c r="S3572" i="2"/>
  <c r="R3572" i="2"/>
  <c r="Q3572" i="2"/>
  <c r="P3572" i="2"/>
  <c r="O3572" i="2"/>
  <c r="N3572" i="2"/>
  <c r="M3572" i="2"/>
  <c r="L3572" i="2"/>
  <c r="K3572" i="2"/>
  <c r="J3572" i="2"/>
  <c r="I3572" i="2"/>
  <c r="H3572" i="2"/>
  <c r="G3572" i="2"/>
  <c r="F3572" i="2"/>
  <c r="E3572" i="2"/>
  <c r="D3572" i="2"/>
  <c r="C3572" i="2"/>
  <c r="B3572" i="2"/>
  <c r="V3571" i="2"/>
  <c r="U3571" i="2"/>
  <c r="T3571" i="2"/>
  <c r="S3571" i="2"/>
  <c r="R3571" i="2"/>
  <c r="Q3571" i="2"/>
  <c r="P3571" i="2"/>
  <c r="O3571" i="2"/>
  <c r="N3571" i="2"/>
  <c r="M3571" i="2"/>
  <c r="L3571" i="2"/>
  <c r="K3571" i="2"/>
  <c r="J3571" i="2"/>
  <c r="I3571" i="2"/>
  <c r="H3571" i="2"/>
  <c r="G3571" i="2"/>
  <c r="F3571" i="2"/>
  <c r="E3571" i="2"/>
  <c r="D3571" i="2"/>
  <c r="C3571" i="2"/>
  <c r="B3571" i="2"/>
  <c r="V3570" i="2"/>
  <c r="U3570" i="2"/>
  <c r="T3570" i="2"/>
  <c r="S3570" i="2"/>
  <c r="R3570" i="2"/>
  <c r="Q3570" i="2"/>
  <c r="P3570" i="2"/>
  <c r="O3570" i="2"/>
  <c r="N3570" i="2"/>
  <c r="M3570" i="2"/>
  <c r="L3570" i="2"/>
  <c r="K3570" i="2"/>
  <c r="J3570" i="2"/>
  <c r="I3570" i="2"/>
  <c r="H3570" i="2"/>
  <c r="G3570" i="2"/>
  <c r="F3570" i="2"/>
  <c r="E3570" i="2"/>
  <c r="D3570" i="2"/>
  <c r="C3570" i="2"/>
  <c r="B3570" i="2"/>
  <c r="V3569" i="2"/>
  <c r="U3569" i="2"/>
  <c r="T3569" i="2"/>
  <c r="S3569" i="2"/>
  <c r="R3569" i="2"/>
  <c r="Q3569" i="2"/>
  <c r="P3569" i="2"/>
  <c r="O3569" i="2"/>
  <c r="N3569" i="2"/>
  <c r="M3569" i="2"/>
  <c r="L3569" i="2"/>
  <c r="K3569" i="2"/>
  <c r="J3569" i="2"/>
  <c r="I3569" i="2"/>
  <c r="H3569" i="2"/>
  <c r="G3569" i="2"/>
  <c r="F3569" i="2"/>
  <c r="E3569" i="2"/>
  <c r="D3569" i="2"/>
  <c r="C3569" i="2"/>
  <c r="B3569" i="2"/>
  <c r="V3568" i="2"/>
  <c r="U3568" i="2"/>
  <c r="T3568" i="2"/>
  <c r="S3568" i="2"/>
  <c r="R3568" i="2"/>
  <c r="Q3568" i="2"/>
  <c r="P3568" i="2"/>
  <c r="O3568" i="2"/>
  <c r="N3568" i="2"/>
  <c r="M3568" i="2"/>
  <c r="L3568" i="2"/>
  <c r="K3568" i="2"/>
  <c r="J3568" i="2"/>
  <c r="I3568" i="2"/>
  <c r="H3568" i="2"/>
  <c r="G3568" i="2"/>
  <c r="F3568" i="2"/>
  <c r="E3568" i="2"/>
  <c r="D3568" i="2"/>
  <c r="C3568" i="2"/>
  <c r="B3568" i="2"/>
  <c r="V3567" i="2"/>
  <c r="U3567" i="2"/>
  <c r="T3567" i="2"/>
  <c r="S3567" i="2"/>
  <c r="R3567" i="2"/>
  <c r="Q3567" i="2"/>
  <c r="P3567" i="2"/>
  <c r="O3567" i="2"/>
  <c r="N3567" i="2"/>
  <c r="M3567" i="2"/>
  <c r="L3567" i="2"/>
  <c r="K3567" i="2"/>
  <c r="J3567" i="2"/>
  <c r="I3567" i="2"/>
  <c r="H3567" i="2"/>
  <c r="G3567" i="2"/>
  <c r="F3567" i="2"/>
  <c r="E3567" i="2"/>
  <c r="D3567" i="2"/>
  <c r="C3567" i="2"/>
  <c r="B3567" i="2"/>
  <c r="V3566" i="2"/>
  <c r="U3566" i="2"/>
  <c r="T3566" i="2"/>
  <c r="S3566" i="2"/>
  <c r="R3566" i="2"/>
  <c r="Q3566" i="2"/>
  <c r="P3566" i="2"/>
  <c r="O3566" i="2"/>
  <c r="N3566" i="2"/>
  <c r="M3566" i="2"/>
  <c r="L3566" i="2"/>
  <c r="K3566" i="2"/>
  <c r="J3566" i="2"/>
  <c r="I3566" i="2"/>
  <c r="H3566" i="2"/>
  <c r="G3566" i="2"/>
  <c r="F3566" i="2"/>
  <c r="E3566" i="2"/>
  <c r="D3566" i="2"/>
  <c r="C3566" i="2"/>
  <c r="B3566" i="2"/>
  <c r="V3565" i="2"/>
  <c r="U3565" i="2"/>
  <c r="T3565" i="2"/>
  <c r="S3565" i="2"/>
  <c r="R3565" i="2"/>
  <c r="Q3565" i="2"/>
  <c r="P3565" i="2"/>
  <c r="O3565" i="2"/>
  <c r="N3565" i="2"/>
  <c r="M3565" i="2"/>
  <c r="L3565" i="2"/>
  <c r="K3565" i="2"/>
  <c r="J3565" i="2"/>
  <c r="I3565" i="2"/>
  <c r="H3565" i="2"/>
  <c r="G3565" i="2"/>
  <c r="F3565" i="2"/>
  <c r="E3565" i="2"/>
  <c r="D3565" i="2"/>
  <c r="C3565" i="2"/>
  <c r="B3565" i="2"/>
  <c r="V3564" i="2"/>
  <c r="U3564" i="2"/>
  <c r="T3564" i="2"/>
  <c r="S3564" i="2"/>
  <c r="R3564" i="2"/>
  <c r="Q3564" i="2"/>
  <c r="P3564" i="2"/>
  <c r="O3564" i="2"/>
  <c r="N3564" i="2"/>
  <c r="M3564" i="2"/>
  <c r="L3564" i="2"/>
  <c r="K3564" i="2"/>
  <c r="J3564" i="2"/>
  <c r="I3564" i="2"/>
  <c r="H3564" i="2"/>
  <c r="G3564" i="2"/>
  <c r="F3564" i="2"/>
  <c r="E3564" i="2"/>
  <c r="D3564" i="2"/>
  <c r="C3564" i="2"/>
  <c r="B3564" i="2"/>
  <c r="V3563" i="2"/>
  <c r="U3563" i="2"/>
  <c r="T3563" i="2"/>
  <c r="S3563" i="2"/>
  <c r="R3563" i="2"/>
  <c r="Q3563" i="2"/>
  <c r="P3563" i="2"/>
  <c r="O3563" i="2"/>
  <c r="N3563" i="2"/>
  <c r="M3563" i="2"/>
  <c r="L3563" i="2"/>
  <c r="K3563" i="2"/>
  <c r="J3563" i="2"/>
  <c r="I3563" i="2"/>
  <c r="H3563" i="2"/>
  <c r="G3563" i="2"/>
  <c r="F3563" i="2"/>
  <c r="E3563" i="2"/>
  <c r="D3563" i="2"/>
  <c r="C3563" i="2"/>
  <c r="B3563" i="2"/>
  <c r="V3562" i="2"/>
  <c r="U3562" i="2"/>
  <c r="T3562" i="2"/>
  <c r="S3562" i="2"/>
  <c r="R3562" i="2"/>
  <c r="Q3562" i="2"/>
  <c r="P3562" i="2"/>
  <c r="O3562" i="2"/>
  <c r="N3562" i="2"/>
  <c r="M3562" i="2"/>
  <c r="L3562" i="2"/>
  <c r="K3562" i="2"/>
  <c r="J3562" i="2"/>
  <c r="I3562" i="2"/>
  <c r="H3562" i="2"/>
  <c r="G3562" i="2"/>
  <c r="F3562" i="2"/>
  <c r="E3562" i="2"/>
  <c r="D3562" i="2"/>
  <c r="C3562" i="2"/>
  <c r="B3562" i="2"/>
  <c r="V3561" i="2"/>
  <c r="U3561" i="2"/>
  <c r="T3561" i="2"/>
  <c r="S3561" i="2"/>
  <c r="R3561" i="2"/>
  <c r="Q3561" i="2"/>
  <c r="P3561" i="2"/>
  <c r="O3561" i="2"/>
  <c r="N3561" i="2"/>
  <c r="M3561" i="2"/>
  <c r="L3561" i="2"/>
  <c r="K3561" i="2"/>
  <c r="J3561" i="2"/>
  <c r="I3561" i="2"/>
  <c r="H3561" i="2"/>
  <c r="G3561" i="2"/>
  <c r="F3561" i="2"/>
  <c r="E3561" i="2"/>
  <c r="D3561" i="2"/>
  <c r="C3561" i="2"/>
  <c r="B3561" i="2"/>
  <c r="V3560" i="2"/>
  <c r="U3560" i="2"/>
  <c r="T3560" i="2"/>
  <c r="S3560" i="2"/>
  <c r="R3560" i="2"/>
  <c r="Q3560" i="2"/>
  <c r="P3560" i="2"/>
  <c r="O3560" i="2"/>
  <c r="N3560" i="2"/>
  <c r="M3560" i="2"/>
  <c r="L3560" i="2"/>
  <c r="K3560" i="2"/>
  <c r="J3560" i="2"/>
  <c r="I3560" i="2"/>
  <c r="H3560" i="2"/>
  <c r="G3560" i="2"/>
  <c r="F3560" i="2"/>
  <c r="E3560" i="2"/>
  <c r="D3560" i="2"/>
  <c r="C3560" i="2"/>
  <c r="B3560" i="2"/>
  <c r="V3559" i="2"/>
  <c r="U3559" i="2"/>
  <c r="T3559" i="2"/>
  <c r="S3559" i="2"/>
  <c r="R3559" i="2"/>
  <c r="Q3559" i="2"/>
  <c r="P3559" i="2"/>
  <c r="O3559" i="2"/>
  <c r="N3559" i="2"/>
  <c r="M3559" i="2"/>
  <c r="L3559" i="2"/>
  <c r="K3559" i="2"/>
  <c r="J3559" i="2"/>
  <c r="I3559" i="2"/>
  <c r="H3559" i="2"/>
  <c r="G3559" i="2"/>
  <c r="F3559" i="2"/>
  <c r="E3559" i="2"/>
  <c r="D3559" i="2"/>
  <c r="C3559" i="2"/>
  <c r="B3559" i="2"/>
  <c r="V3558" i="2"/>
  <c r="U3558" i="2"/>
  <c r="T3558" i="2"/>
  <c r="S3558" i="2"/>
  <c r="R3558" i="2"/>
  <c r="Q3558" i="2"/>
  <c r="P3558" i="2"/>
  <c r="O3558" i="2"/>
  <c r="N3558" i="2"/>
  <c r="M3558" i="2"/>
  <c r="L3558" i="2"/>
  <c r="K3558" i="2"/>
  <c r="J3558" i="2"/>
  <c r="I3558" i="2"/>
  <c r="H3558" i="2"/>
  <c r="G3558" i="2"/>
  <c r="F3558" i="2"/>
  <c r="E3558" i="2"/>
  <c r="D3558" i="2"/>
  <c r="C3558" i="2"/>
  <c r="B3558" i="2"/>
  <c r="V3557" i="2"/>
  <c r="U3557" i="2"/>
  <c r="T3557" i="2"/>
  <c r="S3557" i="2"/>
  <c r="R3557" i="2"/>
  <c r="Q3557" i="2"/>
  <c r="P3557" i="2"/>
  <c r="O3557" i="2"/>
  <c r="N3557" i="2"/>
  <c r="M3557" i="2"/>
  <c r="L3557" i="2"/>
  <c r="K3557" i="2"/>
  <c r="J3557" i="2"/>
  <c r="I3557" i="2"/>
  <c r="H3557" i="2"/>
  <c r="G3557" i="2"/>
  <c r="F3557" i="2"/>
  <c r="E3557" i="2"/>
  <c r="D3557" i="2"/>
  <c r="C3557" i="2"/>
  <c r="B3557" i="2"/>
  <c r="V3556" i="2"/>
  <c r="U3556" i="2"/>
  <c r="T3556" i="2"/>
  <c r="S3556" i="2"/>
  <c r="R3556" i="2"/>
  <c r="Q3556" i="2"/>
  <c r="P3556" i="2"/>
  <c r="O3556" i="2"/>
  <c r="N3556" i="2"/>
  <c r="M3556" i="2"/>
  <c r="L3556" i="2"/>
  <c r="K3556" i="2"/>
  <c r="J3556" i="2"/>
  <c r="I3556" i="2"/>
  <c r="H3556" i="2"/>
  <c r="G3556" i="2"/>
  <c r="F3556" i="2"/>
  <c r="E3556" i="2"/>
  <c r="D3556" i="2"/>
  <c r="C3556" i="2"/>
  <c r="B3556" i="2"/>
  <c r="V3555" i="2"/>
  <c r="U3555" i="2"/>
  <c r="T3555" i="2"/>
  <c r="S3555" i="2"/>
  <c r="R3555" i="2"/>
  <c r="Q3555" i="2"/>
  <c r="P3555" i="2"/>
  <c r="O3555" i="2"/>
  <c r="N3555" i="2"/>
  <c r="M3555" i="2"/>
  <c r="L3555" i="2"/>
  <c r="K3555" i="2"/>
  <c r="J3555" i="2"/>
  <c r="I3555" i="2"/>
  <c r="H3555" i="2"/>
  <c r="G3555" i="2"/>
  <c r="F3555" i="2"/>
  <c r="E3555" i="2"/>
  <c r="D3555" i="2"/>
  <c r="C3555" i="2"/>
  <c r="B3555" i="2"/>
  <c r="V3554" i="2"/>
  <c r="U3554" i="2"/>
  <c r="T3554" i="2"/>
  <c r="S3554" i="2"/>
  <c r="R3554" i="2"/>
  <c r="Q3554" i="2"/>
  <c r="P3554" i="2"/>
  <c r="O3554" i="2"/>
  <c r="N3554" i="2"/>
  <c r="M3554" i="2"/>
  <c r="L3554" i="2"/>
  <c r="K3554" i="2"/>
  <c r="J3554" i="2"/>
  <c r="I3554" i="2"/>
  <c r="H3554" i="2"/>
  <c r="G3554" i="2"/>
  <c r="F3554" i="2"/>
  <c r="E3554" i="2"/>
  <c r="D3554" i="2"/>
  <c r="C3554" i="2"/>
  <c r="B3554" i="2"/>
  <c r="V3553" i="2"/>
  <c r="U3553" i="2"/>
  <c r="T3553" i="2"/>
  <c r="S3553" i="2"/>
  <c r="R3553" i="2"/>
  <c r="Q3553" i="2"/>
  <c r="P3553" i="2"/>
  <c r="O3553" i="2"/>
  <c r="N3553" i="2"/>
  <c r="M3553" i="2"/>
  <c r="L3553" i="2"/>
  <c r="K3553" i="2"/>
  <c r="J3553" i="2"/>
  <c r="I3553" i="2"/>
  <c r="H3553" i="2"/>
  <c r="G3553" i="2"/>
  <c r="F3553" i="2"/>
  <c r="E3553" i="2"/>
  <c r="D3553" i="2"/>
  <c r="C3553" i="2"/>
  <c r="B3553" i="2"/>
  <c r="V3552" i="2"/>
  <c r="U3552" i="2"/>
  <c r="T3552" i="2"/>
  <c r="S3552" i="2"/>
  <c r="R3552" i="2"/>
  <c r="Q3552" i="2"/>
  <c r="P3552" i="2"/>
  <c r="O3552" i="2"/>
  <c r="N3552" i="2"/>
  <c r="M3552" i="2"/>
  <c r="L3552" i="2"/>
  <c r="K3552" i="2"/>
  <c r="J3552" i="2"/>
  <c r="I3552" i="2"/>
  <c r="H3552" i="2"/>
  <c r="G3552" i="2"/>
  <c r="F3552" i="2"/>
  <c r="E3552" i="2"/>
  <c r="D3552" i="2"/>
  <c r="C3552" i="2"/>
  <c r="B3552" i="2"/>
  <c r="V3551" i="2"/>
  <c r="U3551" i="2"/>
  <c r="T3551" i="2"/>
  <c r="S3551" i="2"/>
  <c r="R3551" i="2"/>
  <c r="Q3551" i="2"/>
  <c r="P3551" i="2"/>
  <c r="O3551" i="2"/>
  <c r="N3551" i="2"/>
  <c r="M3551" i="2"/>
  <c r="L3551" i="2"/>
  <c r="K3551" i="2"/>
  <c r="J3551" i="2"/>
  <c r="I3551" i="2"/>
  <c r="H3551" i="2"/>
  <c r="G3551" i="2"/>
  <c r="F3551" i="2"/>
  <c r="E3551" i="2"/>
  <c r="D3551" i="2"/>
  <c r="C3551" i="2"/>
  <c r="B3551" i="2"/>
  <c r="V3550" i="2"/>
  <c r="U3550" i="2"/>
  <c r="T3550" i="2"/>
  <c r="S3550" i="2"/>
  <c r="R3550" i="2"/>
  <c r="Q3550" i="2"/>
  <c r="P3550" i="2"/>
  <c r="O3550" i="2"/>
  <c r="N3550" i="2"/>
  <c r="M3550" i="2"/>
  <c r="L3550" i="2"/>
  <c r="K3550" i="2"/>
  <c r="J3550" i="2"/>
  <c r="I3550" i="2"/>
  <c r="H3550" i="2"/>
  <c r="G3550" i="2"/>
  <c r="F3550" i="2"/>
  <c r="E3550" i="2"/>
  <c r="D3550" i="2"/>
  <c r="C3550" i="2"/>
  <c r="B3550" i="2"/>
  <c r="V3549" i="2"/>
  <c r="U3549" i="2"/>
  <c r="T3549" i="2"/>
  <c r="S3549" i="2"/>
  <c r="R3549" i="2"/>
  <c r="Q3549" i="2"/>
  <c r="P3549" i="2"/>
  <c r="O3549" i="2"/>
  <c r="N3549" i="2"/>
  <c r="M3549" i="2"/>
  <c r="L3549" i="2"/>
  <c r="K3549" i="2"/>
  <c r="J3549" i="2"/>
  <c r="I3549" i="2"/>
  <c r="H3549" i="2"/>
  <c r="G3549" i="2"/>
  <c r="F3549" i="2"/>
  <c r="E3549" i="2"/>
  <c r="D3549" i="2"/>
  <c r="C3549" i="2"/>
  <c r="B3549" i="2"/>
  <c r="V3548" i="2"/>
  <c r="U3548" i="2"/>
  <c r="T3548" i="2"/>
  <c r="S3548" i="2"/>
  <c r="R3548" i="2"/>
  <c r="Q3548" i="2"/>
  <c r="P3548" i="2"/>
  <c r="O3548" i="2"/>
  <c r="N3548" i="2"/>
  <c r="M3548" i="2"/>
  <c r="L3548" i="2"/>
  <c r="K3548" i="2"/>
  <c r="J3548" i="2"/>
  <c r="I3548" i="2"/>
  <c r="H3548" i="2"/>
  <c r="G3548" i="2"/>
  <c r="F3548" i="2"/>
  <c r="E3548" i="2"/>
  <c r="D3548" i="2"/>
  <c r="C3548" i="2"/>
  <c r="B3548" i="2"/>
  <c r="V3547" i="2"/>
  <c r="U3547" i="2"/>
  <c r="T3547" i="2"/>
  <c r="S3547" i="2"/>
  <c r="R3547" i="2"/>
  <c r="Q3547" i="2"/>
  <c r="P3547" i="2"/>
  <c r="O3547" i="2"/>
  <c r="N3547" i="2"/>
  <c r="M3547" i="2"/>
  <c r="L3547" i="2"/>
  <c r="K3547" i="2"/>
  <c r="J3547" i="2"/>
  <c r="I3547" i="2"/>
  <c r="H3547" i="2"/>
  <c r="G3547" i="2"/>
  <c r="F3547" i="2"/>
  <c r="E3547" i="2"/>
  <c r="D3547" i="2"/>
  <c r="C3547" i="2"/>
  <c r="B3547" i="2"/>
  <c r="V3546" i="2"/>
  <c r="U3546" i="2"/>
  <c r="T3546" i="2"/>
  <c r="S3546" i="2"/>
  <c r="R3546" i="2"/>
  <c r="Q3546" i="2"/>
  <c r="P3546" i="2"/>
  <c r="O3546" i="2"/>
  <c r="N3546" i="2"/>
  <c r="M3546" i="2"/>
  <c r="L3546" i="2"/>
  <c r="K3546" i="2"/>
  <c r="J3546" i="2"/>
  <c r="I3546" i="2"/>
  <c r="H3546" i="2"/>
  <c r="G3546" i="2"/>
  <c r="F3546" i="2"/>
  <c r="E3546" i="2"/>
  <c r="D3546" i="2"/>
  <c r="C3546" i="2"/>
  <c r="B3546" i="2"/>
  <c r="V3545" i="2"/>
  <c r="U3545" i="2"/>
  <c r="T3545" i="2"/>
  <c r="S3545" i="2"/>
  <c r="R3545" i="2"/>
  <c r="Q3545" i="2"/>
  <c r="P3545" i="2"/>
  <c r="O3545" i="2"/>
  <c r="N3545" i="2"/>
  <c r="M3545" i="2"/>
  <c r="L3545" i="2"/>
  <c r="K3545" i="2"/>
  <c r="J3545" i="2"/>
  <c r="I3545" i="2"/>
  <c r="H3545" i="2"/>
  <c r="G3545" i="2"/>
  <c r="F3545" i="2"/>
  <c r="E3545" i="2"/>
  <c r="D3545" i="2"/>
  <c r="C3545" i="2"/>
  <c r="B3545" i="2"/>
  <c r="V3544" i="2"/>
  <c r="U3544" i="2"/>
  <c r="T3544" i="2"/>
  <c r="S3544" i="2"/>
  <c r="R3544" i="2"/>
  <c r="Q3544" i="2"/>
  <c r="P3544" i="2"/>
  <c r="O3544" i="2"/>
  <c r="N3544" i="2"/>
  <c r="M3544" i="2"/>
  <c r="L3544" i="2"/>
  <c r="K3544" i="2"/>
  <c r="J3544" i="2"/>
  <c r="I3544" i="2"/>
  <c r="H3544" i="2"/>
  <c r="G3544" i="2"/>
  <c r="F3544" i="2"/>
  <c r="E3544" i="2"/>
  <c r="D3544" i="2"/>
  <c r="C3544" i="2"/>
  <c r="B3544" i="2"/>
  <c r="V3543" i="2"/>
  <c r="U3543" i="2"/>
  <c r="T3543" i="2"/>
  <c r="S3543" i="2"/>
  <c r="R3543" i="2"/>
  <c r="Q3543" i="2"/>
  <c r="P3543" i="2"/>
  <c r="O3543" i="2"/>
  <c r="N3543" i="2"/>
  <c r="M3543" i="2"/>
  <c r="L3543" i="2"/>
  <c r="K3543" i="2"/>
  <c r="J3543" i="2"/>
  <c r="I3543" i="2"/>
  <c r="H3543" i="2"/>
  <c r="G3543" i="2"/>
  <c r="F3543" i="2"/>
  <c r="E3543" i="2"/>
  <c r="D3543" i="2"/>
  <c r="C3543" i="2"/>
  <c r="B3543" i="2"/>
  <c r="V3542" i="2"/>
  <c r="U3542" i="2"/>
  <c r="T3542" i="2"/>
  <c r="S3542" i="2"/>
  <c r="R3542" i="2"/>
  <c r="Q3542" i="2"/>
  <c r="P3542" i="2"/>
  <c r="O3542" i="2"/>
  <c r="N3542" i="2"/>
  <c r="M3542" i="2"/>
  <c r="L3542" i="2"/>
  <c r="K3542" i="2"/>
  <c r="J3542" i="2"/>
  <c r="I3542" i="2"/>
  <c r="H3542" i="2"/>
  <c r="G3542" i="2"/>
  <c r="F3542" i="2"/>
  <c r="E3542" i="2"/>
  <c r="D3542" i="2"/>
  <c r="C3542" i="2"/>
  <c r="B3542" i="2"/>
  <c r="V3541" i="2"/>
  <c r="U3541" i="2"/>
  <c r="T3541" i="2"/>
  <c r="S3541" i="2"/>
  <c r="R3541" i="2"/>
  <c r="Q3541" i="2"/>
  <c r="P3541" i="2"/>
  <c r="O3541" i="2"/>
  <c r="N3541" i="2"/>
  <c r="M3541" i="2"/>
  <c r="L3541" i="2"/>
  <c r="K3541" i="2"/>
  <c r="J3541" i="2"/>
  <c r="I3541" i="2"/>
  <c r="H3541" i="2"/>
  <c r="G3541" i="2"/>
  <c r="F3541" i="2"/>
  <c r="E3541" i="2"/>
  <c r="D3541" i="2"/>
  <c r="C3541" i="2"/>
  <c r="B3541" i="2"/>
  <c r="V3540" i="2"/>
  <c r="U3540" i="2"/>
  <c r="T3540" i="2"/>
  <c r="S3540" i="2"/>
  <c r="R3540" i="2"/>
  <c r="Q3540" i="2"/>
  <c r="P3540" i="2"/>
  <c r="O3540" i="2"/>
  <c r="N3540" i="2"/>
  <c r="M3540" i="2"/>
  <c r="L3540" i="2"/>
  <c r="K3540" i="2"/>
  <c r="J3540" i="2"/>
  <c r="I3540" i="2"/>
  <c r="H3540" i="2"/>
  <c r="G3540" i="2"/>
  <c r="F3540" i="2"/>
  <c r="E3540" i="2"/>
  <c r="D3540" i="2"/>
  <c r="C3540" i="2"/>
  <c r="B3540" i="2"/>
  <c r="V3539" i="2"/>
  <c r="U3539" i="2"/>
  <c r="T3539" i="2"/>
  <c r="S3539" i="2"/>
  <c r="R3539" i="2"/>
  <c r="Q3539" i="2"/>
  <c r="P3539" i="2"/>
  <c r="O3539" i="2"/>
  <c r="N3539" i="2"/>
  <c r="M3539" i="2"/>
  <c r="L3539" i="2"/>
  <c r="K3539" i="2"/>
  <c r="J3539" i="2"/>
  <c r="I3539" i="2"/>
  <c r="H3539" i="2"/>
  <c r="G3539" i="2"/>
  <c r="F3539" i="2"/>
  <c r="E3539" i="2"/>
  <c r="D3539" i="2"/>
  <c r="C3539" i="2"/>
  <c r="B3539" i="2"/>
  <c r="V3538" i="2"/>
  <c r="U3538" i="2"/>
  <c r="T3538" i="2"/>
  <c r="S3538" i="2"/>
  <c r="R3538" i="2"/>
  <c r="Q3538" i="2"/>
  <c r="P3538" i="2"/>
  <c r="O3538" i="2"/>
  <c r="N3538" i="2"/>
  <c r="M3538" i="2"/>
  <c r="L3538" i="2"/>
  <c r="K3538" i="2"/>
  <c r="J3538" i="2"/>
  <c r="I3538" i="2"/>
  <c r="H3538" i="2"/>
  <c r="G3538" i="2"/>
  <c r="F3538" i="2"/>
  <c r="E3538" i="2"/>
  <c r="D3538" i="2"/>
  <c r="C3538" i="2"/>
  <c r="B3538" i="2"/>
  <c r="V3537" i="2"/>
  <c r="U3537" i="2"/>
  <c r="T3537" i="2"/>
  <c r="S3537" i="2"/>
  <c r="R3537" i="2"/>
  <c r="Q3537" i="2"/>
  <c r="P3537" i="2"/>
  <c r="O3537" i="2"/>
  <c r="N3537" i="2"/>
  <c r="M3537" i="2"/>
  <c r="L3537" i="2"/>
  <c r="K3537" i="2"/>
  <c r="J3537" i="2"/>
  <c r="I3537" i="2"/>
  <c r="H3537" i="2"/>
  <c r="G3537" i="2"/>
  <c r="F3537" i="2"/>
  <c r="E3537" i="2"/>
  <c r="D3537" i="2"/>
  <c r="C3537" i="2"/>
  <c r="B3537" i="2"/>
  <c r="V3536" i="2"/>
  <c r="U3536" i="2"/>
  <c r="T3536" i="2"/>
  <c r="S3536" i="2"/>
  <c r="R3536" i="2"/>
  <c r="Q3536" i="2"/>
  <c r="P3536" i="2"/>
  <c r="O3536" i="2"/>
  <c r="N3536" i="2"/>
  <c r="M3536" i="2"/>
  <c r="L3536" i="2"/>
  <c r="K3536" i="2"/>
  <c r="J3536" i="2"/>
  <c r="I3536" i="2"/>
  <c r="H3536" i="2"/>
  <c r="G3536" i="2"/>
  <c r="F3536" i="2"/>
  <c r="E3536" i="2"/>
  <c r="D3536" i="2"/>
  <c r="C3536" i="2"/>
  <c r="B3536" i="2"/>
  <c r="V3535" i="2"/>
  <c r="U3535" i="2"/>
  <c r="T3535" i="2"/>
  <c r="S3535" i="2"/>
  <c r="R3535" i="2"/>
  <c r="Q3535" i="2"/>
  <c r="P3535" i="2"/>
  <c r="O3535" i="2"/>
  <c r="N3535" i="2"/>
  <c r="M3535" i="2"/>
  <c r="L3535" i="2"/>
  <c r="K3535" i="2"/>
  <c r="J3535" i="2"/>
  <c r="I3535" i="2"/>
  <c r="H3535" i="2"/>
  <c r="G3535" i="2"/>
  <c r="F3535" i="2"/>
  <c r="E3535" i="2"/>
  <c r="D3535" i="2"/>
  <c r="C3535" i="2"/>
  <c r="B3535" i="2"/>
  <c r="V3534" i="2"/>
  <c r="U3534" i="2"/>
  <c r="T3534" i="2"/>
  <c r="S3534" i="2"/>
  <c r="R3534" i="2"/>
  <c r="Q3534" i="2"/>
  <c r="P3534" i="2"/>
  <c r="O3534" i="2"/>
  <c r="N3534" i="2"/>
  <c r="M3534" i="2"/>
  <c r="L3534" i="2"/>
  <c r="K3534" i="2"/>
  <c r="J3534" i="2"/>
  <c r="I3534" i="2"/>
  <c r="H3534" i="2"/>
  <c r="G3534" i="2"/>
  <c r="F3534" i="2"/>
  <c r="E3534" i="2"/>
  <c r="D3534" i="2"/>
  <c r="C3534" i="2"/>
  <c r="B3534" i="2"/>
  <c r="V3533" i="2"/>
  <c r="U3533" i="2"/>
  <c r="T3533" i="2"/>
  <c r="S3533" i="2"/>
  <c r="R3533" i="2"/>
  <c r="Q3533" i="2"/>
  <c r="P3533" i="2"/>
  <c r="O3533" i="2"/>
  <c r="N3533" i="2"/>
  <c r="M3533" i="2"/>
  <c r="L3533" i="2"/>
  <c r="K3533" i="2"/>
  <c r="J3533" i="2"/>
  <c r="I3533" i="2"/>
  <c r="H3533" i="2"/>
  <c r="G3533" i="2"/>
  <c r="F3533" i="2"/>
  <c r="E3533" i="2"/>
  <c r="D3533" i="2"/>
  <c r="C3533" i="2"/>
  <c r="B3533" i="2"/>
  <c r="V3532" i="2"/>
  <c r="U3532" i="2"/>
  <c r="T3532" i="2"/>
  <c r="S3532" i="2"/>
  <c r="R3532" i="2"/>
  <c r="Q3532" i="2"/>
  <c r="P3532" i="2"/>
  <c r="O3532" i="2"/>
  <c r="N3532" i="2"/>
  <c r="M3532" i="2"/>
  <c r="L3532" i="2"/>
  <c r="K3532" i="2"/>
  <c r="J3532" i="2"/>
  <c r="I3532" i="2"/>
  <c r="H3532" i="2"/>
  <c r="G3532" i="2"/>
  <c r="F3532" i="2"/>
  <c r="E3532" i="2"/>
  <c r="D3532" i="2"/>
  <c r="C3532" i="2"/>
  <c r="B3532" i="2"/>
  <c r="V3531" i="2"/>
  <c r="U3531" i="2"/>
  <c r="T3531" i="2"/>
  <c r="S3531" i="2"/>
  <c r="R3531" i="2"/>
  <c r="Q3531" i="2"/>
  <c r="P3531" i="2"/>
  <c r="O3531" i="2"/>
  <c r="N3531" i="2"/>
  <c r="M3531" i="2"/>
  <c r="L3531" i="2"/>
  <c r="K3531" i="2"/>
  <c r="J3531" i="2"/>
  <c r="I3531" i="2"/>
  <c r="H3531" i="2"/>
  <c r="G3531" i="2"/>
  <c r="F3531" i="2"/>
  <c r="E3531" i="2"/>
  <c r="D3531" i="2"/>
  <c r="C3531" i="2"/>
  <c r="B3531" i="2"/>
  <c r="V3530" i="2"/>
  <c r="U3530" i="2"/>
  <c r="T3530" i="2"/>
  <c r="S3530" i="2"/>
  <c r="R3530" i="2"/>
  <c r="Q3530" i="2"/>
  <c r="P3530" i="2"/>
  <c r="O3530" i="2"/>
  <c r="N3530" i="2"/>
  <c r="M3530" i="2"/>
  <c r="L3530" i="2"/>
  <c r="K3530" i="2"/>
  <c r="J3530" i="2"/>
  <c r="I3530" i="2"/>
  <c r="H3530" i="2"/>
  <c r="G3530" i="2"/>
  <c r="F3530" i="2"/>
  <c r="E3530" i="2"/>
  <c r="D3530" i="2"/>
  <c r="C3530" i="2"/>
  <c r="B3530" i="2"/>
  <c r="V3529" i="2"/>
  <c r="U3529" i="2"/>
  <c r="T3529" i="2"/>
  <c r="S3529" i="2"/>
  <c r="R3529" i="2"/>
  <c r="Q3529" i="2"/>
  <c r="P3529" i="2"/>
  <c r="O3529" i="2"/>
  <c r="N3529" i="2"/>
  <c r="M3529" i="2"/>
  <c r="L3529" i="2"/>
  <c r="K3529" i="2"/>
  <c r="J3529" i="2"/>
  <c r="I3529" i="2"/>
  <c r="H3529" i="2"/>
  <c r="G3529" i="2"/>
  <c r="F3529" i="2"/>
  <c r="E3529" i="2"/>
  <c r="D3529" i="2"/>
  <c r="C3529" i="2"/>
  <c r="B3529" i="2"/>
  <c r="V3528" i="2"/>
  <c r="U3528" i="2"/>
  <c r="T3528" i="2"/>
  <c r="S3528" i="2"/>
  <c r="R3528" i="2"/>
  <c r="Q3528" i="2"/>
  <c r="P3528" i="2"/>
  <c r="O3528" i="2"/>
  <c r="N3528" i="2"/>
  <c r="M3528" i="2"/>
  <c r="L3528" i="2"/>
  <c r="K3528" i="2"/>
  <c r="J3528" i="2"/>
  <c r="I3528" i="2"/>
  <c r="H3528" i="2"/>
  <c r="G3528" i="2"/>
  <c r="F3528" i="2"/>
  <c r="E3528" i="2"/>
  <c r="D3528" i="2"/>
  <c r="C3528" i="2"/>
  <c r="B3528" i="2"/>
  <c r="V3527" i="2"/>
  <c r="U3527" i="2"/>
  <c r="T3527" i="2"/>
  <c r="S3527" i="2"/>
  <c r="R3527" i="2"/>
  <c r="Q3527" i="2"/>
  <c r="P3527" i="2"/>
  <c r="O3527" i="2"/>
  <c r="N3527" i="2"/>
  <c r="M3527" i="2"/>
  <c r="L3527" i="2"/>
  <c r="K3527" i="2"/>
  <c r="J3527" i="2"/>
  <c r="I3527" i="2"/>
  <c r="H3527" i="2"/>
  <c r="G3527" i="2"/>
  <c r="F3527" i="2"/>
  <c r="E3527" i="2"/>
  <c r="D3527" i="2"/>
  <c r="C3527" i="2"/>
  <c r="B3527" i="2"/>
  <c r="V3526" i="2"/>
  <c r="U3526" i="2"/>
  <c r="T3526" i="2"/>
  <c r="S3526" i="2"/>
  <c r="R3526" i="2"/>
  <c r="Q3526" i="2"/>
  <c r="P3526" i="2"/>
  <c r="O3526" i="2"/>
  <c r="N3526" i="2"/>
  <c r="M3526" i="2"/>
  <c r="L3526" i="2"/>
  <c r="K3526" i="2"/>
  <c r="J3526" i="2"/>
  <c r="I3526" i="2"/>
  <c r="H3526" i="2"/>
  <c r="G3526" i="2"/>
  <c r="F3526" i="2"/>
  <c r="E3526" i="2"/>
  <c r="D3526" i="2"/>
  <c r="C3526" i="2"/>
  <c r="B3526" i="2"/>
  <c r="V3525" i="2"/>
  <c r="U3525" i="2"/>
  <c r="T3525" i="2"/>
  <c r="S3525" i="2"/>
  <c r="R3525" i="2"/>
  <c r="Q3525" i="2"/>
  <c r="P3525" i="2"/>
  <c r="O3525" i="2"/>
  <c r="N3525" i="2"/>
  <c r="M3525" i="2"/>
  <c r="L3525" i="2"/>
  <c r="K3525" i="2"/>
  <c r="J3525" i="2"/>
  <c r="I3525" i="2"/>
  <c r="H3525" i="2"/>
  <c r="G3525" i="2"/>
  <c r="F3525" i="2"/>
  <c r="E3525" i="2"/>
  <c r="D3525" i="2"/>
  <c r="C3525" i="2"/>
  <c r="B3525" i="2"/>
  <c r="V3524" i="2"/>
  <c r="U3524" i="2"/>
  <c r="T3524" i="2"/>
  <c r="S3524" i="2"/>
  <c r="R3524" i="2"/>
  <c r="Q3524" i="2"/>
  <c r="P3524" i="2"/>
  <c r="O3524" i="2"/>
  <c r="N3524" i="2"/>
  <c r="M3524" i="2"/>
  <c r="L3524" i="2"/>
  <c r="K3524" i="2"/>
  <c r="J3524" i="2"/>
  <c r="I3524" i="2"/>
  <c r="H3524" i="2"/>
  <c r="G3524" i="2"/>
  <c r="F3524" i="2"/>
  <c r="E3524" i="2"/>
  <c r="D3524" i="2"/>
  <c r="C3524" i="2"/>
  <c r="B3524" i="2"/>
  <c r="V3523" i="2"/>
  <c r="U3523" i="2"/>
  <c r="T3523" i="2"/>
  <c r="S3523" i="2"/>
  <c r="R3523" i="2"/>
  <c r="Q3523" i="2"/>
  <c r="P3523" i="2"/>
  <c r="O3523" i="2"/>
  <c r="N3523" i="2"/>
  <c r="M3523" i="2"/>
  <c r="L3523" i="2"/>
  <c r="K3523" i="2"/>
  <c r="J3523" i="2"/>
  <c r="I3523" i="2"/>
  <c r="H3523" i="2"/>
  <c r="G3523" i="2"/>
  <c r="F3523" i="2"/>
  <c r="E3523" i="2"/>
  <c r="D3523" i="2"/>
  <c r="C3523" i="2"/>
  <c r="B3523" i="2"/>
  <c r="V3522" i="2"/>
  <c r="U3522" i="2"/>
  <c r="T3522" i="2"/>
  <c r="S3522" i="2"/>
  <c r="R3522" i="2"/>
  <c r="Q3522" i="2"/>
  <c r="P3522" i="2"/>
  <c r="O3522" i="2"/>
  <c r="N3522" i="2"/>
  <c r="M3522" i="2"/>
  <c r="L3522" i="2"/>
  <c r="K3522" i="2"/>
  <c r="J3522" i="2"/>
  <c r="I3522" i="2"/>
  <c r="H3522" i="2"/>
  <c r="G3522" i="2"/>
  <c r="F3522" i="2"/>
  <c r="E3522" i="2"/>
  <c r="D3522" i="2"/>
  <c r="C3522" i="2"/>
  <c r="B3522" i="2"/>
  <c r="V3521" i="2"/>
  <c r="U3521" i="2"/>
  <c r="T3521" i="2"/>
  <c r="S3521" i="2"/>
  <c r="R3521" i="2"/>
  <c r="Q3521" i="2"/>
  <c r="P3521" i="2"/>
  <c r="O3521" i="2"/>
  <c r="N3521" i="2"/>
  <c r="M3521" i="2"/>
  <c r="L3521" i="2"/>
  <c r="K3521" i="2"/>
  <c r="J3521" i="2"/>
  <c r="I3521" i="2"/>
  <c r="H3521" i="2"/>
  <c r="G3521" i="2"/>
  <c r="F3521" i="2"/>
  <c r="E3521" i="2"/>
  <c r="D3521" i="2"/>
  <c r="C3521" i="2"/>
  <c r="B3521" i="2"/>
  <c r="V3520" i="2"/>
  <c r="U3520" i="2"/>
  <c r="T3520" i="2"/>
  <c r="S3520" i="2"/>
  <c r="R3520" i="2"/>
  <c r="Q3520" i="2"/>
  <c r="P3520" i="2"/>
  <c r="O3520" i="2"/>
  <c r="N3520" i="2"/>
  <c r="M3520" i="2"/>
  <c r="L3520" i="2"/>
  <c r="K3520" i="2"/>
  <c r="J3520" i="2"/>
  <c r="I3520" i="2"/>
  <c r="H3520" i="2"/>
  <c r="G3520" i="2"/>
  <c r="F3520" i="2"/>
  <c r="E3520" i="2"/>
  <c r="D3520" i="2"/>
  <c r="C3520" i="2"/>
  <c r="B3520" i="2"/>
  <c r="V3519" i="2"/>
  <c r="U3519" i="2"/>
  <c r="T3519" i="2"/>
  <c r="S3519" i="2"/>
  <c r="R3519" i="2"/>
  <c r="Q3519" i="2"/>
  <c r="P3519" i="2"/>
  <c r="O3519" i="2"/>
  <c r="N3519" i="2"/>
  <c r="M3519" i="2"/>
  <c r="L3519" i="2"/>
  <c r="K3519" i="2"/>
  <c r="J3519" i="2"/>
  <c r="I3519" i="2"/>
  <c r="H3519" i="2"/>
  <c r="G3519" i="2"/>
  <c r="F3519" i="2"/>
  <c r="E3519" i="2"/>
  <c r="D3519" i="2"/>
  <c r="C3519" i="2"/>
  <c r="B3519" i="2"/>
  <c r="V3518" i="2"/>
  <c r="U3518" i="2"/>
  <c r="T3518" i="2"/>
  <c r="S3518" i="2"/>
  <c r="R3518" i="2"/>
  <c r="Q3518" i="2"/>
  <c r="P3518" i="2"/>
  <c r="O3518" i="2"/>
  <c r="N3518" i="2"/>
  <c r="M3518" i="2"/>
  <c r="L3518" i="2"/>
  <c r="K3518" i="2"/>
  <c r="J3518" i="2"/>
  <c r="I3518" i="2"/>
  <c r="H3518" i="2"/>
  <c r="G3518" i="2"/>
  <c r="F3518" i="2"/>
  <c r="E3518" i="2"/>
  <c r="D3518" i="2"/>
  <c r="C3518" i="2"/>
  <c r="B3518" i="2"/>
  <c r="V3517" i="2"/>
  <c r="U3517" i="2"/>
  <c r="T3517" i="2"/>
  <c r="S3517" i="2"/>
  <c r="R3517" i="2"/>
  <c r="Q3517" i="2"/>
  <c r="P3517" i="2"/>
  <c r="O3517" i="2"/>
  <c r="N3517" i="2"/>
  <c r="M3517" i="2"/>
  <c r="L3517" i="2"/>
  <c r="K3517" i="2"/>
  <c r="J3517" i="2"/>
  <c r="I3517" i="2"/>
  <c r="H3517" i="2"/>
  <c r="G3517" i="2"/>
  <c r="F3517" i="2"/>
  <c r="E3517" i="2"/>
  <c r="D3517" i="2"/>
  <c r="C3517" i="2"/>
  <c r="B3517" i="2"/>
  <c r="V3516" i="2"/>
  <c r="U3516" i="2"/>
  <c r="T3516" i="2"/>
  <c r="S3516" i="2"/>
  <c r="R3516" i="2"/>
  <c r="Q3516" i="2"/>
  <c r="P3516" i="2"/>
  <c r="O3516" i="2"/>
  <c r="N3516" i="2"/>
  <c r="M3516" i="2"/>
  <c r="L3516" i="2"/>
  <c r="K3516" i="2"/>
  <c r="J3516" i="2"/>
  <c r="I3516" i="2"/>
  <c r="H3516" i="2"/>
  <c r="G3516" i="2"/>
  <c r="F3516" i="2"/>
  <c r="E3516" i="2"/>
  <c r="D3516" i="2"/>
  <c r="C3516" i="2"/>
  <c r="B3516" i="2"/>
  <c r="V3515" i="2"/>
  <c r="U3515" i="2"/>
  <c r="T3515" i="2"/>
  <c r="S3515" i="2"/>
  <c r="R3515" i="2"/>
  <c r="Q3515" i="2"/>
  <c r="P3515" i="2"/>
  <c r="O3515" i="2"/>
  <c r="N3515" i="2"/>
  <c r="M3515" i="2"/>
  <c r="L3515" i="2"/>
  <c r="K3515" i="2"/>
  <c r="J3515" i="2"/>
  <c r="I3515" i="2"/>
  <c r="H3515" i="2"/>
  <c r="G3515" i="2"/>
  <c r="F3515" i="2"/>
  <c r="E3515" i="2"/>
  <c r="D3515" i="2"/>
  <c r="C3515" i="2"/>
  <c r="B3515" i="2"/>
  <c r="V3514" i="2"/>
  <c r="U3514" i="2"/>
  <c r="T3514" i="2"/>
  <c r="S3514" i="2"/>
  <c r="R3514" i="2"/>
  <c r="Q3514" i="2"/>
  <c r="P3514" i="2"/>
  <c r="O3514" i="2"/>
  <c r="N3514" i="2"/>
  <c r="M3514" i="2"/>
  <c r="L3514" i="2"/>
  <c r="K3514" i="2"/>
  <c r="J3514" i="2"/>
  <c r="I3514" i="2"/>
  <c r="H3514" i="2"/>
  <c r="G3514" i="2"/>
  <c r="F3514" i="2"/>
  <c r="E3514" i="2"/>
  <c r="D3514" i="2"/>
  <c r="C3514" i="2"/>
  <c r="B3514" i="2"/>
  <c r="V3513" i="2"/>
  <c r="U3513" i="2"/>
  <c r="T3513" i="2"/>
  <c r="S3513" i="2"/>
  <c r="R3513" i="2"/>
  <c r="Q3513" i="2"/>
  <c r="P3513" i="2"/>
  <c r="O3513" i="2"/>
  <c r="N3513" i="2"/>
  <c r="M3513" i="2"/>
  <c r="L3513" i="2"/>
  <c r="K3513" i="2"/>
  <c r="J3513" i="2"/>
  <c r="I3513" i="2"/>
  <c r="H3513" i="2"/>
  <c r="G3513" i="2"/>
  <c r="F3513" i="2"/>
  <c r="E3513" i="2"/>
  <c r="D3513" i="2"/>
  <c r="C3513" i="2"/>
  <c r="B3513" i="2"/>
  <c r="V3512" i="2"/>
  <c r="U3512" i="2"/>
  <c r="T3512" i="2"/>
  <c r="S3512" i="2"/>
  <c r="R3512" i="2"/>
  <c r="Q3512" i="2"/>
  <c r="P3512" i="2"/>
  <c r="O3512" i="2"/>
  <c r="N3512" i="2"/>
  <c r="M3512" i="2"/>
  <c r="L3512" i="2"/>
  <c r="K3512" i="2"/>
  <c r="J3512" i="2"/>
  <c r="I3512" i="2"/>
  <c r="H3512" i="2"/>
  <c r="G3512" i="2"/>
  <c r="F3512" i="2"/>
  <c r="E3512" i="2"/>
  <c r="D3512" i="2"/>
  <c r="C3512" i="2"/>
  <c r="B3512" i="2"/>
  <c r="V3511" i="2"/>
  <c r="U3511" i="2"/>
  <c r="T3511" i="2"/>
  <c r="S3511" i="2"/>
  <c r="R3511" i="2"/>
  <c r="Q3511" i="2"/>
  <c r="P3511" i="2"/>
  <c r="O3511" i="2"/>
  <c r="N3511" i="2"/>
  <c r="M3511" i="2"/>
  <c r="L3511" i="2"/>
  <c r="K3511" i="2"/>
  <c r="J3511" i="2"/>
  <c r="I3511" i="2"/>
  <c r="H3511" i="2"/>
  <c r="G3511" i="2"/>
  <c r="F3511" i="2"/>
  <c r="E3511" i="2"/>
  <c r="D3511" i="2"/>
  <c r="C3511" i="2"/>
  <c r="B3511" i="2"/>
  <c r="V3510" i="2"/>
  <c r="U3510" i="2"/>
  <c r="T3510" i="2"/>
  <c r="S3510" i="2"/>
  <c r="R3510" i="2"/>
  <c r="Q3510" i="2"/>
  <c r="P3510" i="2"/>
  <c r="O3510" i="2"/>
  <c r="N3510" i="2"/>
  <c r="M3510" i="2"/>
  <c r="L3510" i="2"/>
  <c r="K3510" i="2"/>
  <c r="J3510" i="2"/>
  <c r="I3510" i="2"/>
  <c r="H3510" i="2"/>
  <c r="G3510" i="2"/>
  <c r="F3510" i="2"/>
  <c r="E3510" i="2"/>
  <c r="D3510" i="2"/>
  <c r="C3510" i="2"/>
  <c r="B3510" i="2"/>
  <c r="V3509" i="2"/>
  <c r="U3509" i="2"/>
  <c r="T3509" i="2"/>
  <c r="S3509" i="2"/>
  <c r="R3509" i="2"/>
  <c r="Q3509" i="2"/>
  <c r="P3509" i="2"/>
  <c r="O3509" i="2"/>
  <c r="N3509" i="2"/>
  <c r="M3509" i="2"/>
  <c r="L3509" i="2"/>
  <c r="K3509" i="2"/>
  <c r="J3509" i="2"/>
  <c r="I3509" i="2"/>
  <c r="H3509" i="2"/>
  <c r="G3509" i="2"/>
  <c r="F3509" i="2"/>
  <c r="E3509" i="2"/>
  <c r="D3509" i="2"/>
  <c r="C3509" i="2"/>
  <c r="B3509" i="2"/>
  <c r="V3508" i="2"/>
  <c r="U3508" i="2"/>
  <c r="T3508" i="2"/>
  <c r="S3508" i="2"/>
  <c r="R3508" i="2"/>
  <c r="Q3508" i="2"/>
  <c r="P3508" i="2"/>
  <c r="O3508" i="2"/>
  <c r="N3508" i="2"/>
  <c r="M3508" i="2"/>
  <c r="L3508" i="2"/>
  <c r="K3508" i="2"/>
  <c r="J3508" i="2"/>
  <c r="I3508" i="2"/>
  <c r="H3508" i="2"/>
  <c r="G3508" i="2"/>
  <c r="F3508" i="2"/>
  <c r="E3508" i="2"/>
  <c r="D3508" i="2"/>
  <c r="C3508" i="2"/>
  <c r="B3508" i="2"/>
  <c r="V3507" i="2"/>
  <c r="U3507" i="2"/>
  <c r="T3507" i="2"/>
  <c r="S3507" i="2"/>
  <c r="R3507" i="2"/>
  <c r="Q3507" i="2"/>
  <c r="P3507" i="2"/>
  <c r="O3507" i="2"/>
  <c r="N3507" i="2"/>
  <c r="M3507" i="2"/>
  <c r="L3507" i="2"/>
  <c r="K3507" i="2"/>
  <c r="J3507" i="2"/>
  <c r="I3507" i="2"/>
  <c r="H3507" i="2"/>
  <c r="G3507" i="2"/>
  <c r="F3507" i="2"/>
  <c r="E3507" i="2"/>
  <c r="D3507" i="2"/>
  <c r="C3507" i="2"/>
  <c r="B3507" i="2"/>
  <c r="V3506" i="2"/>
  <c r="U3506" i="2"/>
  <c r="T3506" i="2"/>
  <c r="S3506" i="2"/>
  <c r="R3506" i="2"/>
  <c r="Q3506" i="2"/>
  <c r="P3506" i="2"/>
  <c r="O3506" i="2"/>
  <c r="N3506" i="2"/>
  <c r="M3506" i="2"/>
  <c r="L3506" i="2"/>
  <c r="K3506" i="2"/>
  <c r="J3506" i="2"/>
  <c r="I3506" i="2"/>
  <c r="H3506" i="2"/>
  <c r="G3506" i="2"/>
  <c r="F3506" i="2"/>
  <c r="E3506" i="2"/>
  <c r="D3506" i="2"/>
  <c r="C3506" i="2"/>
  <c r="B3506" i="2"/>
  <c r="V3505" i="2"/>
  <c r="U3505" i="2"/>
  <c r="T3505" i="2"/>
  <c r="S3505" i="2"/>
  <c r="R3505" i="2"/>
  <c r="Q3505" i="2"/>
  <c r="P3505" i="2"/>
  <c r="O3505" i="2"/>
  <c r="N3505" i="2"/>
  <c r="M3505" i="2"/>
  <c r="L3505" i="2"/>
  <c r="K3505" i="2"/>
  <c r="J3505" i="2"/>
  <c r="I3505" i="2"/>
  <c r="H3505" i="2"/>
  <c r="G3505" i="2"/>
  <c r="F3505" i="2"/>
  <c r="E3505" i="2"/>
  <c r="D3505" i="2"/>
  <c r="C3505" i="2"/>
  <c r="B3505" i="2"/>
  <c r="V3504" i="2"/>
  <c r="U3504" i="2"/>
  <c r="T3504" i="2"/>
  <c r="S3504" i="2"/>
  <c r="R3504" i="2"/>
  <c r="Q3504" i="2"/>
  <c r="P3504" i="2"/>
  <c r="O3504" i="2"/>
  <c r="N3504" i="2"/>
  <c r="M3504" i="2"/>
  <c r="L3504" i="2"/>
  <c r="K3504" i="2"/>
  <c r="J3504" i="2"/>
  <c r="I3504" i="2"/>
  <c r="H3504" i="2"/>
  <c r="G3504" i="2"/>
  <c r="F3504" i="2"/>
  <c r="E3504" i="2"/>
  <c r="D3504" i="2"/>
  <c r="C3504" i="2"/>
  <c r="B3504" i="2"/>
  <c r="V3503" i="2"/>
  <c r="U3503" i="2"/>
  <c r="T3503" i="2"/>
  <c r="S3503" i="2"/>
  <c r="R3503" i="2"/>
  <c r="Q3503" i="2"/>
  <c r="P3503" i="2"/>
  <c r="O3503" i="2"/>
  <c r="N3503" i="2"/>
  <c r="M3503" i="2"/>
  <c r="L3503" i="2"/>
  <c r="K3503" i="2"/>
  <c r="J3503" i="2"/>
  <c r="I3503" i="2"/>
  <c r="H3503" i="2"/>
  <c r="G3503" i="2"/>
  <c r="F3503" i="2"/>
  <c r="E3503" i="2"/>
  <c r="D3503" i="2"/>
  <c r="C3503" i="2"/>
  <c r="B3503" i="2"/>
  <c r="V3502" i="2"/>
  <c r="U3502" i="2"/>
  <c r="T3502" i="2"/>
  <c r="S3502" i="2"/>
  <c r="R3502" i="2"/>
  <c r="Q3502" i="2"/>
  <c r="P3502" i="2"/>
  <c r="O3502" i="2"/>
  <c r="N3502" i="2"/>
  <c r="M3502" i="2"/>
  <c r="L3502" i="2"/>
  <c r="K3502" i="2"/>
  <c r="J3502" i="2"/>
  <c r="I3502" i="2"/>
  <c r="H3502" i="2"/>
  <c r="G3502" i="2"/>
  <c r="F3502" i="2"/>
  <c r="E3502" i="2"/>
  <c r="D3502" i="2"/>
  <c r="C3502" i="2"/>
  <c r="B3502" i="2"/>
  <c r="V3501" i="2"/>
  <c r="U3501" i="2"/>
  <c r="T3501" i="2"/>
  <c r="S3501" i="2"/>
  <c r="R3501" i="2"/>
  <c r="Q3501" i="2"/>
  <c r="P3501" i="2"/>
  <c r="O3501" i="2"/>
  <c r="N3501" i="2"/>
  <c r="M3501" i="2"/>
  <c r="L3501" i="2"/>
  <c r="K3501" i="2"/>
  <c r="J3501" i="2"/>
  <c r="I3501" i="2"/>
  <c r="H3501" i="2"/>
  <c r="G3501" i="2"/>
  <c r="F3501" i="2"/>
  <c r="E3501" i="2"/>
  <c r="D3501" i="2"/>
  <c r="C3501" i="2"/>
  <c r="B3501" i="2"/>
  <c r="V3500" i="2"/>
  <c r="U3500" i="2"/>
  <c r="T3500" i="2"/>
  <c r="S3500" i="2"/>
  <c r="R3500" i="2"/>
  <c r="Q3500" i="2"/>
  <c r="P3500" i="2"/>
  <c r="O3500" i="2"/>
  <c r="N3500" i="2"/>
  <c r="M3500" i="2"/>
  <c r="L3500" i="2"/>
  <c r="K3500" i="2"/>
  <c r="J3500" i="2"/>
  <c r="I3500" i="2"/>
  <c r="H3500" i="2"/>
  <c r="G3500" i="2"/>
  <c r="F3500" i="2"/>
  <c r="E3500" i="2"/>
  <c r="D3500" i="2"/>
  <c r="C3500" i="2"/>
  <c r="B3500" i="2"/>
  <c r="V3499" i="2"/>
  <c r="U3499" i="2"/>
  <c r="T3499" i="2"/>
  <c r="S3499" i="2"/>
  <c r="R3499" i="2"/>
  <c r="Q3499" i="2"/>
  <c r="P3499" i="2"/>
  <c r="O3499" i="2"/>
  <c r="N3499" i="2"/>
  <c r="M3499" i="2"/>
  <c r="L3499" i="2"/>
  <c r="K3499" i="2"/>
  <c r="J3499" i="2"/>
  <c r="I3499" i="2"/>
  <c r="H3499" i="2"/>
  <c r="G3499" i="2"/>
  <c r="F3499" i="2"/>
  <c r="E3499" i="2"/>
  <c r="D3499" i="2"/>
  <c r="C3499" i="2"/>
  <c r="B3499" i="2"/>
  <c r="V3498" i="2"/>
  <c r="U3498" i="2"/>
  <c r="T3498" i="2"/>
  <c r="S3498" i="2"/>
  <c r="R3498" i="2"/>
  <c r="Q3498" i="2"/>
  <c r="P3498" i="2"/>
  <c r="O3498" i="2"/>
  <c r="N3498" i="2"/>
  <c r="M3498" i="2"/>
  <c r="L3498" i="2"/>
  <c r="K3498" i="2"/>
  <c r="J3498" i="2"/>
  <c r="I3498" i="2"/>
  <c r="H3498" i="2"/>
  <c r="G3498" i="2"/>
  <c r="F3498" i="2"/>
  <c r="E3498" i="2"/>
  <c r="D3498" i="2"/>
  <c r="C3498" i="2"/>
  <c r="B3498" i="2"/>
  <c r="V3497" i="2"/>
  <c r="U3497" i="2"/>
  <c r="T3497" i="2"/>
  <c r="S3497" i="2"/>
  <c r="R3497" i="2"/>
  <c r="Q3497" i="2"/>
  <c r="P3497" i="2"/>
  <c r="O3497" i="2"/>
  <c r="N3497" i="2"/>
  <c r="M3497" i="2"/>
  <c r="L3497" i="2"/>
  <c r="K3497" i="2"/>
  <c r="J3497" i="2"/>
  <c r="I3497" i="2"/>
  <c r="H3497" i="2"/>
  <c r="G3497" i="2"/>
  <c r="F3497" i="2"/>
  <c r="E3497" i="2"/>
  <c r="D3497" i="2"/>
  <c r="C3497" i="2"/>
  <c r="B3497" i="2"/>
  <c r="V3496" i="2"/>
  <c r="U3496" i="2"/>
  <c r="T3496" i="2"/>
  <c r="S3496" i="2"/>
  <c r="R3496" i="2"/>
  <c r="Q3496" i="2"/>
  <c r="P3496" i="2"/>
  <c r="O3496" i="2"/>
  <c r="N3496" i="2"/>
  <c r="M3496" i="2"/>
  <c r="L3496" i="2"/>
  <c r="K3496" i="2"/>
  <c r="J3496" i="2"/>
  <c r="I3496" i="2"/>
  <c r="H3496" i="2"/>
  <c r="G3496" i="2"/>
  <c r="F3496" i="2"/>
  <c r="E3496" i="2"/>
  <c r="D3496" i="2"/>
  <c r="C3496" i="2"/>
  <c r="B3496" i="2"/>
  <c r="V3495" i="2"/>
  <c r="U3495" i="2"/>
  <c r="T3495" i="2"/>
  <c r="S3495" i="2"/>
  <c r="R3495" i="2"/>
  <c r="Q3495" i="2"/>
  <c r="P3495" i="2"/>
  <c r="O3495" i="2"/>
  <c r="N3495" i="2"/>
  <c r="M3495" i="2"/>
  <c r="L3495" i="2"/>
  <c r="K3495" i="2"/>
  <c r="J3495" i="2"/>
  <c r="I3495" i="2"/>
  <c r="H3495" i="2"/>
  <c r="G3495" i="2"/>
  <c r="F3495" i="2"/>
  <c r="E3495" i="2"/>
  <c r="D3495" i="2"/>
  <c r="C3495" i="2"/>
  <c r="B3495" i="2"/>
  <c r="V3494" i="2"/>
  <c r="U3494" i="2"/>
  <c r="T3494" i="2"/>
  <c r="S3494" i="2"/>
  <c r="R3494" i="2"/>
  <c r="Q3494" i="2"/>
  <c r="P3494" i="2"/>
  <c r="O3494" i="2"/>
  <c r="N3494" i="2"/>
  <c r="M3494" i="2"/>
  <c r="L3494" i="2"/>
  <c r="K3494" i="2"/>
  <c r="J3494" i="2"/>
  <c r="I3494" i="2"/>
  <c r="H3494" i="2"/>
  <c r="G3494" i="2"/>
  <c r="F3494" i="2"/>
  <c r="E3494" i="2"/>
  <c r="D3494" i="2"/>
  <c r="C3494" i="2"/>
  <c r="B3494" i="2"/>
  <c r="V3493" i="2"/>
  <c r="U3493" i="2"/>
  <c r="T3493" i="2"/>
  <c r="S3493" i="2"/>
  <c r="R3493" i="2"/>
  <c r="Q3493" i="2"/>
  <c r="P3493" i="2"/>
  <c r="O3493" i="2"/>
  <c r="N3493" i="2"/>
  <c r="M3493" i="2"/>
  <c r="L3493" i="2"/>
  <c r="K3493" i="2"/>
  <c r="J3493" i="2"/>
  <c r="I3493" i="2"/>
  <c r="H3493" i="2"/>
  <c r="G3493" i="2"/>
  <c r="F3493" i="2"/>
  <c r="E3493" i="2"/>
  <c r="D3493" i="2"/>
  <c r="C3493" i="2"/>
  <c r="B3493" i="2"/>
  <c r="V3492" i="2"/>
  <c r="U3492" i="2"/>
  <c r="T3492" i="2"/>
  <c r="S3492" i="2"/>
  <c r="R3492" i="2"/>
  <c r="Q3492" i="2"/>
  <c r="P3492" i="2"/>
  <c r="O3492" i="2"/>
  <c r="N3492" i="2"/>
  <c r="M3492" i="2"/>
  <c r="L3492" i="2"/>
  <c r="K3492" i="2"/>
  <c r="J3492" i="2"/>
  <c r="I3492" i="2"/>
  <c r="H3492" i="2"/>
  <c r="G3492" i="2"/>
  <c r="F3492" i="2"/>
  <c r="E3492" i="2"/>
  <c r="D3492" i="2"/>
  <c r="C3492" i="2"/>
  <c r="B3492" i="2"/>
  <c r="V3491" i="2"/>
  <c r="U3491" i="2"/>
  <c r="T3491" i="2"/>
  <c r="S3491" i="2"/>
  <c r="R3491" i="2"/>
  <c r="Q3491" i="2"/>
  <c r="P3491" i="2"/>
  <c r="O3491" i="2"/>
  <c r="N3491" i="2"/>
  <c r="M3491" i="2"/>
  <c r="L3491" i="2"/>
  <c r="K3491" i="2"/>
  <c r="J3491" i="2"/>
  <c r="I3491" i="2"/>
  <c r="H3491" i="2"/>
  <c r="G3491" i="2"/>
  <c r="F3491" i="2"/>
  <c r="E3491" i="2"/>
  <c r="D3491" i="2"/>
  <c r="C3491" i="2"/>
  <c r="B3491" i="2"/>
  <c r="V3490" i="2"/>
  <c r="U3490" i="2"/>
  <c r="T3490" i="2"/>
  <c r="S3490" i="2"/>
  <c r="R3490" i="2"/>
  <c r="Q3490" i="2"/>
  <c r="P3490" i="2"/>
  <c r="O3490" i="2"/>
  <c r="N3490" i="2"/>
  <c r="M3490" i="2"/>
  <c r="L3490" i="2"/>
  <c r="K3490" i="2"/>
  <c r="J3490" i="2"/>
  <c r="I3490" i="2"/>
  <c r="H3490" i="2"/>
  <c r="G3490" i="2"/>
  <c r="F3490" i="2"/>
  <c r="E3490" i="2"/>
  <c r="D3490" i="2"/>
  <c r="C3490" i="2"/>
  <c r="B3490" i="2"/>
  <c r="V3489" i="2"/>
  <c r="U3489" i="2"/>
  <c r="T3489" i="2"/>
  <c r="S3489" i="2"/>
  <c r="R3489" i="2"/>
  <c r="Q3489" i="2"/>
  <c r="P3489" i="2"/>
  <c r="O3489" i="2"/>
  <c r="N3489" i="2"/>
  <c r="M3489" i="2"/>
  <c r="L3489" i="2"/>
  <c r="K3489" i="2"/>
  <c r="J3489" i="2"/>
  <c r="I3489" i="2"/>
  <c r="H3489" i="2"/>
  <c r="G3489" i="2"/>
  <c r="F3489" i="2"/>
  <c r="E3489" i="2"/>
  <c r="D3489" i="2"/>
  <c r="C3489" i="2"/>
  <c r="B3489" i="2"/>
  <c r="V3488" i="2"/>
  <c r="U3488" i="2"/>
  <c r="T3488" i="2"/>
  <c r="S3488" i="2"/>
  <c r="R3488" i="2"/>
  <c r="Q3488" i="2"/>
  <c r="P3488" i="2"/>
  <c r="O3488" i="2"/>
  <c r="N3488" i="2"/>
  <c r="M3488" i="2"/>
  <c r="L3488" i="2"/>
  <c r="K3488" i="2"/>
  <c r="J3488" i="2"/>
  <c r="I3488" i="2"/>
  <c r="H3488" i="2"/>
  <c r="G3488" i="2"/>
  <c r="F3488" i="2"/>
  <c r="E3488" i="2"/>
  <c r="D3488" i="2"/>
  <c r="C3488" i="2"/>
  <c r="B3488" i="2"/>
  <c r="V3487" i="2"/>
  <c r="U3487" i="2"/>
  <c r="T3487" i="2"/>
  <c r="S3487" i="2"/>
  <c r="R3487" i="2"/>
  <c r="Q3487" i="2"/>
  <c r="P3487" i="2"/>
  <c r="O3487" i="2"/>
  <c r="N3487" i="2"/>
  <c r="M3487" i="2"/>
  <c r="L3487" i="2"/>
  <c r="K3487" i="2"/>
  <c r="J3487" i="2"/>
  <c r="I3487" i="2"/>
  <c r="H3487" i="2"/>
  <c r="G3487" i="2"/>
  <c r="F3487" i="2"/>
  <c r="E3487" i="2"/>
  <c r="D3487" i="2"/>
  <c r="C3487" i="2"/>
  <c r="B3487" i="2"/>
  <c r="V3486" i="2"/>
  <c r="U3486" i="2"/>
  <c r="T3486" i="2"/>
  <c r="S3486" i="2"/>
  <c r="R3486" i="2"/>
  <c r="Q3486" i="2"/>
  <c r="P3486" i="2"/>
  <c r="O3486" i="2"/>
  <c r="N3486" i="2"/>
  <c r="M3486" i="2"/>
  <c r="L3486" i="2"/>
  <c r="K3486" i="2"/>
  <c r="J3486" i="2"/>
  <c r="I3486" i="2"/>
  <c r="H3486" i="2"/>
  <c r="G3486" i="2"/>
  <c r="F3486" i="2"/>
  <c r="E3486" i="2"/>
  <c r="D3486" i="2"/>
  <c r="C3486" i="2"/>
  <c r="B3486" i="2"/>
  <c r="V3485" i="2"/>
  <c r="U3485" i="2"/>
  <c r="T3485" i="2"/>
  <c r="S3485" i="2"/>
  <c r="R3485" i="2"/>
  <c r="Q3485" i="2"/>
  <c r="P3485" i="2"/>
  <c r="O3485" i="2"/>
  <c r="N3485" i="2"/>
  <c r="M3485" i="2"/>
  <c r="L3485" i="2"/>
  <c r="K3485" i="2"/>
  <c r="J3485" i="2"/>
  <c r="I3485" i="2"/>
  <c r="H3485" i="2"/>
  <c r="G3485" i="2"/>
  <c r="F3485" i="2"/>
  <c r="E3485" i="2"/>
  <c r="D3485" i="2"/>
  <c r="C3485" i="2"/>
  <c r="B3485" i="2"/>
  <c r="V3484" i="2"/>
  <c r="U3484" i="2"/>
  <c r="T3484" i="2"/>
  <c r="S3484" i="2"/>
  <c r="R3484" i="2"/>
  <c r="Q3484" i="2"/>
  <c r="P3484" i="2"/>
  <c r="O3484" i="2"/>
  <c r="N3484" i="2"/>
  <c r="M3484" i="2"/>
  <c r="L3484" i="2"/>
  <c r="K3484" i="2"/>
  <c r="J3484" i="2"/>
  <c r="I3484" i="2"/>
  <c r="H3484" i="2"/>
  <c r="G3484" i="2"/>
  <c r="F3484" i="2"/>
  <c r="E3484" i="2"/>
  <c r="D3484" i="2"/>
  <c r="C3484" i="2"/>
  <c r="B3484" i="2"/>
  <c r="V3483" i="2"/>
  <c r="U3483" i="2"/>
  <c r="T3483" i="2"/>
  <c r="S3483" i="2"/>
  <c r="R3483" i="2"/>
  <c r="Q3483" i="2"/>
  <c r="P3483" i="2"/>
  <c r="O3483" i="2"/>
  <c r="N3483" i="2"/>
  <c r="M3483" i="2"/>
  <c r="L3483" i="2"/>
  <c r="K3483" i="2"/>
  <c r="J3483" i="2"/>
  <c r="I3483" i="2"/>
  <c r="H3483" i="2"/>
  <c r="G3483" i="2"/>
  <c r="F3483" i="2"/>
  <c r="E3483" i="2"/>
  <c r="D3483" i="2"/>
  <c r="C3483" i="2"/>
  <c r="B3483" i="2"/>
  <c r="V3482" i="2"/>
  <c r="U3482" i="2"/>
  <c r="T3482" i="2"/>
  <c r="S3482" i="2"/>
  <c r="R3482" i="2"/>
  <c r="Q3482" i="2"/>
  <c r="P3482" i="2"/>
  <c r="O3482" i="2"/>
  <c r="N3482" i="2"/>
  <c r="M3482" i="2"/>
  <c r="L3482" i="2"/>
  <c r="K3482" i="2"/>
  <c r="J3482" i="2"/>
  <c r="I3482" i="2"/>
  <c r="H3482" i="2"/>
  <c r="G3482" i="2"/>
  <c r="F3482" i="2"/>
  <c r="E3482" i="2"/>
  <c r="D3482" i="2"/>
  <c r="C3482" i="2"/>
  <c r="B3482" i="2"/>
  <c r="V3481" i="2"/>
  <c r="U3481" i="2"/>
  <c r="T3481" i="2"/>
  <c r="S3481" i="2"/>
  <c r="R3481" i="2"/>
  <c r="Q3481" i="2"/>
  <c r="P3481" i="2"/>
  <c r="O3481" i="2"/>
  <c r="N3481" i="2"/>
  <c r="M3481" i="2"/>
  <c r="L3481" i="2"/>
  <c r="K3481" i="2"/>
  <c r="J3481" i="2"/>
  <c r="I3481" i="2"/>
  <c r="H3481" i="2"/>
  <c r="G3481" i="2"/>
  <c r="F3481" i="2"/>
  <c r="E3481" i="2"/>
  <c r="D3481" i="2"/>
  <c r="C3481" i="2"/>
  <c r="B3481" i="2"/>
  <c r="V3480" i="2"/>
  <c r="U3480" i="2"/>
  <c r="T3480" i="2"/>
  <c r="S3480" i="2"/>
  <c r="R3480" i="2"/>
  <c r="Q3480" i="2"/>
  <c r="P3480" i="2"/>
  <c r="O3480" i="2"/>
  <c r="N3480" i="2"/>
  <c r="M3480" i="2"/>
  <c r="L3480" i="2"/>
  <c r="K3480" i="2"/>
  <c r="J3480" i="2"/>
  <c r="I3480" i="2"/>
  <c r="H3480" i="2"/>
  <c r="G3480" i="2"/>
  <c r="F3480" i="2"/>
  <c r="E3480" i="2"/>
  <c r="D3480" i="2"/>
  <c r="C3480" i="2"/>
  <c r="B3480" i="2"/>
  <c r="V3479" i="2"/>
  <c r="U3479" i="2"/>
  <c r="T3479" i="2"/>
  <c r="S3479" i="2"/>
  <c r="R3479" i="2"/>
  <c r="Q3479" i="2"/>
  <c r="P3479" i="2"/>
  <c r="O3479" i="2"/>
  <c r="N3479" i="2"/>
  <c r="M3479" i="2"/>
  <c r="L3479" i="2"/>
  <c r="K3479" i="2"/>
  <c r="J3479" i="2"/>
  <c r="I3479" i="2"/>
  <c r="H3479" i="2"/>
  <c r="G3479" i="2"/>
  <c r="F3479" i="2"/>
  <c r="E3479" i="2"/>
  <c r="D3479" i="2"/>
  <c r="C3479" i="2"/>
  <c r="B3479" i="2"/>
  <c r="V3478" i="2"/>
  <c r="U3478" i="2"/>
  <c r="T3478" i="2"/>
  <c r="S3478" i="2"/>
  <c r="R3478" i="2"/>
  <c r="Q3478" i="2"/>
  <c r="P3478" i="2"/>
  <c r="O3478" i="2"/>
  <c r="N3478" i="2"/>
  <c r="M3478" i="2"/>
  <c r="L3478" i="2"/>
  <c r="K3478" i="2"/>
  <c r="J3478" i="2"/>
  <c r="I3478" i="2"/>
  <c r="H3478" i="2"/>
  <c r="G3478" i="2"/>
  <c r="F3478" i="2"/>
  <c r="E3478" i="2"/>
  <c r="D3478" i="2"/>
  <c r="C3478" i="2"/>
  <c r="B3478" i="2"/>
  <c r="V3477" i="2"/>
  <c r="U3477" i="2"/>
  <c r="T3477" i="2"/>
  <c r="S3477" i="2"/>
  <c r="R3477" i="2"/>
  <c r="Q3477" i="2"/>
  <c r="P3477" i="2"/>
  <c r="O3477" i="2"/>
  <c r="N3477" i="2"/>
  <c r="M3477" i="2"/>
  <c r="L3477" i="2"/>
  <c r="K3477" i="2"/>
  <c r="J3477" i="2"/>
  <c r="I3477" i="2"/>
  <c r="H3477" i="2"/>
  <c r="G3477" i="2"/>
  <c r="F3477" i="2"/>
  <c r="E3477" i="2"/>
  <c r="D3477" i="2"/>
  <c r="C3477" i="2"/>
  <c r="B3477" i="2"/>
  <c r="V3476" i="2"/>
  <c r="U3476" i="2"/>
  <c r="T3476" i="2"/>
  <c r="S3476" i="2"/>
  <c r="R3476" i="2"/>
  <c r="Q3476" i="2"/>
  <c r="P3476" i="2"/>
  <c r="O3476" i="2"/>
  <c r="N3476" i="2"/>
  <c r="M3476" i="2"/>
  <c r="L3476" i="2"/>
  <c r="K3476" i="2"/>
  <c r="J3476" i="2"/>
  <c r="I3476" i="2"/>
  <c r="H3476" i="2"/>
  <c r="G3476" i="2"/>
  <c r="F3476" i="2"/>
  <c r="E3476" i="2"/>
  <c r="D3476" i="2"/>
  <c r="C3476" i="2"/>
  <c r="B3476" i="2"/>
  <c r="V3475" i="2"/>
  <c r="U3475" i="2"/>
  <c r="T3475" i="2"/>
  <c r="S3475" i="2"/>
  <c r="R3475" i="2"/>
  <c r="Q3475" i="2"/>
  <c r="P3475" i="2"/>
  <c r="O3475" i="2"/>
  <c r="N3475" i="2"/>
  <c r="M3475" i="2"/>
  <c r="L3475" i="2"/>
  <c r="K3475" i="2"/>
  <c r="J3475" i="2"/>
  <c r="I3475" i="2"/>
  <c r="H3475" i="2"/>
  <c r="G3475" i="2"/>
  <c r="F3475" i="2"/>
  <c r="E3475" i="2"/>
  <c r="D3475" i="2"/>
  <c r="C3475" i="2"/>
  <c r="B3475" i="2"/>
  <c r="V3474" i="2"/>
  <c r="U3474" i="2"/>
  <c r="T3474" i="2"/>
  <c r="S3474" i="2"/>
  <c r="R3474" i="2"/>
  <c r="Q3474" i="2"/>
  <c r="P3474" i="2"/>
  <c r="O3474" i="2"/>
  <c r="N3474" i="2"/>
  <c r="M3474" i="2"/>
  <c r="L3474" i="2"/>
  <c r="K3474" i="2"/>
  <c r="J3474" i="2"/>
  <c r="I3474" i="2"/>
  <c r="H3474" i="2"/>
  <c r="G3474" i="2"/>
  <c r="F3474" i="2"/>
  <c r="E3474" i="2"/>
  <c r="D3474" i="2"/>
  <c r="C3474" i="2"/>
  <c r="B3474" i="2"/>
  <c r="V3473" i="2"/>
  <c r="U3473" i="2"/>
  <c r="T3473" i="2"/>
  <c r="S3473" i="2"/>
  <c r="R3473" i="2"/>
  <c r="Q3473" i="2"/>
  <c r="P3473" i="2"/>
  <c r="O3473" i="2"/>
  <c r="N3473" i="2"/>
  <c r="M3473" i="2"/>
  <c r="L3473" i="2"/>
  <c r="K3473" i="2"/>
  <c r="J3473" i="2"/>
  <c r="I3473" i="2"/>
  <c r="H3473" i="2"/>
  <c r="G3473" i="2"/>
  <c r="F3473" i="2"/>
  <c r="E3473" i="2"/>
  <c r="D3473" i="2"/>
  <c r="C3473" i="2"/>
  <c r="B3473" i="2"/>
  <c r="V3472" i="2"/>
  <c r="U3472" i="2"/>
  <c r="T3472" i="2"/>
  <c r="S3472" i="2"/>
  <c r="R3472" i="2"/>
  <c r="Q3472" i="2"/>
  <c r="P3472" i="2"/>
  <c r="O3472" i="2"/>
  <c r="N3472" i="2"/>
  <c r="M3472" i="2"/>
  <c r="L3472" i="2"/>
  <c r="K3472" i="2"/>
  <c r="J3472" i="2"/>
  <c r="I3472" i="2"/>
  <c r="H3472" i="2"/>
  <c r="G3472" i="2"/>
  <c r="F3472" i="2"/>
  <c r="E3472" i="2"/>
  <c r="D3472" i="2"/>
  <c r="C3472" i="2"/>
  <c r="B3472" i="2"/>
  <c r="V3471" i="2"/>
  <c r="U3471" i="2"/>
  <c r="T3471" i="2"/>
  <c r="S3471" i="2"/>
  <c r="R3471" i="2"/>
  <c r="Q3471" i="2"/>
  <c r="P3471" i="2"/>
  <c r="O3471" i="2"/>
  <c r="N3471" i="2"/>
  <c r="M3471" i="2"/>
  <c r="L3471" i="2"/>
  <c r="K3471" i="2"/>
  <c r="J3471" i="2"/>
  <c r="I3471" i="2"/>
  <c r="H3471" i="2"/>
  <c r="G3471" i="2"/>
  <c r="F3471" i="2"/>
  <c r="E3471" i="2"/>
  <c r="D3471" i="2"/>
  <c r="C3471" i="2"/>
  <c r="B3471" i="2"/>
  <c r="V3470" i="2"/>
  <c r="U3470" i="2"/>
  <c r="T3470" i="2"/>
  <c r="S3470" i="2"/>
  <c r="R3470" i="2"/>
  <c r="Q3470" i="2"/>
  <c r="P3470" i="2"/>
  <c r="O3470" i="2"/>
  <c r="N3470" i="2"/>
  <c r="M3470" i="2"/>
  <c r="L3470" i="2"/>
  <c r="K3470" i="2"/>
  <c r="J3470" i="2"/>
  <c r="I3470" i="2"/>
  <c r="H3470" i="2"/>
  <c r="G3470" i="2"/>
  <c r="F3470" i="2"/>
  <c r="E3470" i="2"/>
  <c r="D3470" i="2"/>
  <c r="C3470" i="2"/>
  <c r="B3470" i="2"/>
  <c r="V3469" i="2"/>
  <c r="U3469" i="2"/>
  <c r="T3469" i="2"/>
  <c r="S3469" i="2"/>
  <c r="R3469" i="2"/>
  <c r="Q3469" i="2"/>
  <c r="P3469" i="2"/>
  <c r="O3469" i="2"/>
  <c r="N3469" i="2"/>
  <c r="M3469" i="2"/>
  <c r="L3469" i="2"/>
  <c r="K3469" i="2"/>
  <c r="J3469" i="2"/>
  <c r="I3469" i="2"/>
  <c r="H3469" i="2"/>
  <c r="G3469" i="2"/>
  <c r="F3469" i="2"/>
  <c r="E3469" i="2"/>
  <c r="D3469" i="2"/>
  <c r="C3469" i="2"/>
  <c r="B3469" i="2"/>
  <c r="V3468" i="2"/>
  <c r="U3468" i="2"/>
  <c r="T3468" i="2"/>
  <c r="S3468" i="2"/>
  <c r="R3468" i="2"/>
  <c r="Q3468" i="2"/>
  <c r="P3468" i="2"/>
  <c r="O3468" i="2"/>
  <c r="N3468" i="2"/>
  <c r="M3468" i="2"/>
  <c r="L3468" i="2"/>
  <c r="K3468" i="2"/>
  <c r="J3468" i="2"/>
  <c r="I3468" i="2"/>
  <c r="H3468" i="2"/>
  <c r="G3468" i="2"/>
  <c r="F3468" i="2"/>
  <c r="E3468" i="2"/>
  <c r="D3468" i="2"/>
  <c r="C3468" i="2"/>
  <c r="B3468" i="2"/>
  <c r="V3467" i="2"/>
  <c r="U3467" i="2"/>
  <c r="T3467" i="2"/>
  <c r="S3467" i="2"/>
  <c r="R3467" i="2"/>
  <c r="Q3467" i="2"/>
  <c r="P3467" i="2"/>
  <c r="O3467" i="2"/>
  <c r="N3467" i="2"/>
  <c r="M3467" i="2"/>
  <c r="L3467" i="2"/>
  <c r="K3467" i="2"/>
  <c r="J3467" i="2"/>
  <c r="I3467" i="2"/>
  <c r="H3467" i="2"/>
  <c r="G3467" i="2"/>
  <c r="F3467" i="2"/>
  <c r="E3467" i="2"/>
  <c r="D3467" i="2"/>
  <c r="C3467" i="2"/>
  <c r="B3467" i="2"/>
  <c r="V3466" i="2"/>
  <c r="U3466" i="2"/>
  <c r="T3466" i="2"/>
  <c r="S3466" i="2"/>
  <c r="R3466" i="2"/>
  <c r="Q3466" i="2"/>
  <c r="P3466" i="2"/>
  <c r="O3466" i="2"/>
  <c r="N3466" i="2"/>
  <c r="M3466" i="2"/>
  <c r="L3466" i="2"/>
  <c r="K3466" i="2"/>
  <c r="J3466" i="2"/>
  <c r="I3466" i="2"/>
  <c r="H3466" i="2"/>
  <c r="G3466" i="2"/>
  <c r="F3466" i="2"/>
  <c r="E3466" i="2"/>
  <c r="D3466" i="2"/>
  <c r="C3466" i="2"/>
  <c r="B3466" i="2"/>
  <c r="V3465" i="2"/>
  <c r="U3465" i="2"/>
  <c r="T3465" i="2"/>
  <c r="S3465" i="2"/>
  <c r="R3465" i="2"/>
  <c r="Q3465" i="2"/>
  <c r="P3465" i="2"/>
  <c r="O3465" i="2"/>
  <c r="N3465" i="2"/>
  <c r="M3465" i="2"/>
  <c r="L3465" i="2"/>
  <c r="K3465" i="2"/>
  <c r="J3465" i="2"/>
  <c r="I3465" i="2"/>
  <c r="H3465" i="2"/>
  <c r="G3465" i="2"/>
  <c r="F3465" i="2"/>
  <c r="E3465" i="2"/>
  <c r="D3465" i="2"/>
  <c r="C3465" i="2"/>
  <c r="B3465" i="2"/>
  <c r="V3464" i="2"/>
  <c r="U3464" i="2"/>
  <c r="T3464" i="2"/>
  <c r="S3464" i="2"/>
  <c r="R3464" i="2"/>
  <c r="Q3464" i="2"/>
  <c r="P3464" i="2"/>
  <c r="O3464" i="2"/>
  <c r="N3464" i="2"/>
  <c r="M3464" i="2"/>
  <c r="L3464" i="2"/>
  <c r="K3464" i="2"/>
  <c r="J3464" i="2"/>
  <c r="I3464" i="2"/>
  <c r="H3464" i="2"/>
  <c r="G3464" i="2"/>
  <c r="F3464" i="2"/>
  <c r="E3464" i="2"/>
  <c r="D3464" i="2"/>
  <c r="C3464" i="2"/>
  <c r="B3464" i="2"/>
  <c r="V3463" i="2"/>
  <c r="U3463" i="2"/>
  <c r="T3463" i="2"/>
  <c r="S3463" i="2"/>
  <c r="R3463" i="2"/>
  <c r="Q3463" i="2"/>
  <c r="P3463" i="2"/>
  <c r="O3463" i="2"/>
  <c r="N3463" i="2"/>
  <c r="M3463" i="2"/>
  <c r="L3463" i="2"/>
  <c r="K3463" i="2"/>
  <c r="J3463" i="2"/>
  <c r="I3463" i="2"/>
  <c r="H3463" i="2"/>
  <c r="G3463" i="2"/>
  <c r="F3463" i="2"/>
  <c r="E3463" i="2"/>
  <c r="D3463" i="2"/>
  <c r="C3463" i="2"/>
  <c r="B3463" i="2"/>
  <c r="V3462" i="2"/>
  <c r="U3462" i="2"/>
  <c r="T3462" i="2"/>
  <c r="S3462" i="2"/>
  <c r="R3462" i="2"/>
  <c r="Q3462" i="2"/>
  <c r="P3462" i="2"/>
  <c r="O3462" i="2"/>
  <c r="N3462" i="2"/>
  <c r="M3462" i="2"/>
  <c r="L3462" i="2"/>
  <c r="K3462" i="2"/>
  <c r="J3462" i="2"/>
  <c r="I3462" i="2"/>
  <c r="H3462" i="2"/>
  <c r="G3462" i="2"/>
  <c r="F3462" i="2"/>
  <c r="E3462" i="2"/>
  <c r="D3462" i="2"/>
  <c r="C3462" i="2"/>
  <c r="B3462" i="2"/>
  <c r="V3461" i="2"/>
  <c r="U3461" i="2"/>
  <c r="T3461" i="2"/>
  <c r="S3461" i="2"/>
  <c r="R3461" i="2"/>
  <c r="Q3461" i="2"/>
  <c r="P3461" i="2"/>
  <c r="O3461" i="2"/>
  <c r="N3461" i="2"/>
  <c r="M3461" i="2"/>
  <c r="L3461" i="2"/>
  <c r="K3461" i="2"/>
  <c r="J3461" i="2"/>
  <c r="I3461" i="2"/>
  <c r="H3461" i="2"/>
  <c r="G3461" i="2"/>
  <c r="F3461" i="2"/>
  <c r="E3461" i="2"/>
  <c r="D3461" i="2"/>
  <c r="C3461" i="2"/>
  <c r="B3461" i="2"/>
  <c r="V3460" i="2"/>
  <c r="U3460" i="2"/>
  <c r="T3460" i="2"/>
  <c r="S3460" i="2"/>
  <c r="R3460" i="2"/>
  <c r="Q3460" i="2"/>
  <c r="P3460" i="2"/>
  <c r="O3460" i="2"/>
  <c r="N3460" i="2"/>
  <c r="M3460" i="2"/>
  <c r="L3460" i="2"/>
  <c r="K3460" i="2"/>
  <c r="J3460" i="2"/>
  <c r="I3460" i="2"/>
  <c r="H3460" i="2"/>
  <c r="G3460" i="2"/>
  <c r="F3460" i="2"/>
  <c r="E3460" i="2"/>
  <c r="D3460" i="2"/>
  <c r="C3460" i="2"/>
  <c r="B3460" i="2"/>
  <c r="V3459" i="2"/>
  <c r="U3459" i="2"/>
  <c r="T3459" i="2"/>
  <c r="S3459" i="2"/>
  <c r="R3459" i="2"/>
  <c r="Q3459" i="2"/>
  <c r="P3459" i="2"/>
  <c r="O3459" i="2"/>
  <c r="N3459" i="2"/>
  <c r="M3459" i="2"/>
  <c r="L3459" i="2"/>
  <c r="K3459" i="2"/>
  <c r="J3459" i="2"/>
  <c r="I3459" i="2"/>
  <c r="H3459" i="2"/>
  <c r="G3459" i="2"/>
  <c r="F3459" i="2"/>
  <c r="E3459" i="2"/>
  <c r="D3459" i="2"/>
  <c r="C3459" i="2"/>
  <c r="B3459" i="2"/>
  <c r="V3458" i="2"/>
  <c r="U3458" i="2"/>
  <c r="T3458" i="2"/>
  <c r="S3458" i="2"/>
  <c r="R3458" i="2"/>
  <c r="Q3458" i="2"/>
  <c r="P3458" i="2"/>
  <c r="O3458" i="2"/>
  <c r="N3458" i="2"/>
  <c r="M3458" i="2"/>
  <c r="L3458" i="2"/>
  <c r="K3458" i="2"/>
  <c r="J3458" i="2"/>
  <c r="I3458" i="2"/>
  <c r="H3458" i="2"/>
  <c r="G3458" i="2"/>
  <c r="F3458" i="2"/>
  <c r="E3458" i="2"/>
  <c r="D3458" i="2"/>
  <c r="C3458" i="2"/>
  <c r="B3458" i="2"/>
  <c r="V3457" i="2"/>
  <c r="U3457" i="2"/>
  <c r="T3457" i="2"/>
  <c r="S3457" i="2"/>
  <c r="R3457" i="2"/>
  <c r="Q3457" i="2"/>
  <c r="P3457" i="2"/>
  <c r="O3457" i="2"/>
  <c r="N3457" i="2"/>
  <c r="M3457" i="2"/>
  <c r="L3457" i="2"/>
  <c r="K3457" i="2"/>
  <c r="J3457" i="2"/>
  <c r="I3457" i="2"/>
  <c r="H3457" i="2"/>
  <c r="G3457" i="2"/>
  <c r="F3457" i="2"/>
  <c r="E3457" i="2"/>
  <c r="D3457" i="2"/>
  <c r="C3457" i="2"/>
  <c r="B3457" i="2"/>
  <c r="V3456" i="2"/>
  <c r="U3456" i="2"/>
  <c r="T3456" i="2"/>
  <c r="S3456" i="2"/>
  <c r="R3456" i="2"/>
  <c r="Q3456" i="2"/>
  <c r="P3456" i="2"/>
  <c r="O3456" i="2"/>
  <c r="N3456" i="2"/>
  <c r="M3456" i="2"/>
  <c r="L3456" i="2"/>
  <c r="K3456" i="2"/>
  <c r="J3456" i="2"/>
  <c r="I3456" i="2"/>
  <c r="H3456" i="2"/>
  <c r="G3456" i="2"/>
  <c r="F3456" i="2"/>
  <c r="E3456" i="2"/>
  <c r="D3456" i="2"/>
  <c r="C3456" i="2"/>
  <c r="B3456" i="2"/>
  <c r="V3455" i="2"/>
  <c r="U3455" i="2"/>
  <c r="T3455" i="2"/>
  <c r="S3455" i="2"/>
  <c r="R3455" i="2"/>
  <c r="Q3455" i="2"/>
  <c r="P3455" i="2"/>
  <c r="O3455" i="2"/>
  <c r="N3455" i="2"/>
  <c r="M3455" i="2"/>
  <c r="L3455" i="2"/>
  <c r="K3455" i="2"/>
  <c r="J3455" i="2"/>
  <c r="I3455" i="2"/>
  <c r="H3455" i="2"/>
  <c r="G3455" i="2"/>
  <c r="F3455" i="2"/>
  <c r="E3455" i="2"/>
  <c r="D3455" i="2"/>
  <c r="C3455" i="2"/>
  <c r="B3455" i="2"/>
  <c r="V3454" i="2"/>
  <c r="U3454" i="2"/>
  <c r="T3454" i="2"/>
  <c r="S3454" i="2"/>
  <c r="R3454" i="2"/>
  <c r="Q3454" i="2"/>
  <c r="P3454" i="2"/>
  <c r="O3454" i="2"/>
  <c r="N3454" i="2"/>
  <c r="M3454" i="2"/>
  <c r="L3454" i="2"/>
  <c r="K3454" i="2"/>
  <c r="J3454" i="2"/>
  <c r="I3454" i="2"/>
  <c r="H3454" i="2"/>
  <c r="G3454" i="2"/>
  <c r="F3454" i="2"/>
  <c r="E3454" i="2"/>
  <c r="D3454" i="2"/>
  <c r="C3454" i="2"/>
  <c r="B3454" i="2"/>
  <c r="V3453" i="2"/>
  <c r="U3453" i="2"/>
  <c r="T3453" i="2"/>
  <c r="S3453" i="2"/>
  <c r="R3453" i="2"/>
  <c r="Q3453" i="2"/>
  <c r="P3453" i="2"/>
  <c r="O3453" i="2"/>
  <c r="N3453" i="2"/>
  <c r="M3453" i="2"/>
  <c r="L3453" i="2"/>
  <c r="K3453" i="2"/>
  <c r="J3453" i="2"/>
  <c r="I3453" i="2"/>
  <c r="H3453" i="2"/>
  <c r="G3453" i="2"/>
  <c r="F3453" i="2"/>
  <c r="E3453" i="2"/>
  <c r="D3453" i="2"/>
  <c r="C3453" i="2"/>
  <c r="B3453" i="2"/>
  <c r="V3452" i="2"/>
  <c r="U3452" i="2"/>
  <c r="T3452" i="2"/>
  <c r="S3452" i="2"/>
  <c r="R3452" i="2"/>
  <c r="Q3452" i="2"/>
  <c r="P3452" i="2"/>
  <c r="O3452" i="2"/>
  <c r="N3452" i="2"/>
  <c r="M3452" i="2"/>
  <c r="L3452" i="2"/>
  <c r="K3452" i="2"/>
  <c r="J3452" i="2"/>
  <c r="I3452" i="2"/>
  <c r="H3452" i="2"/>
  <c r="G3452" i="2"/>
  <c r="F3452" i="2"/>
  <c r="E3452" i="2"/>
  <c r="D3452" i="2"/>
  <c r="C3452" i="2"/>
  <c r="B3452" i="2"/>
  <c r="V3451" i="2"/>
  <c r="U3451" i="2"/>
  <c r="T3451" i="2"/>
  <c r="S3451" i="2"/>
  <c r="R3451" i="2"/>
  <c r="Q3451" i="2"/>
  <c r="P3451" i="2"/>
  <c r="O3451" i="2"/>
  <c r="N3451" i="2"/>
  <c r="M3451" i="2"/>
  <c r="L3451" i="2"/>
  <c r="K3451" i="2"/>
  <c r="J3451" i="2"/>
  <c r="I3451" i="2"/>
  <c r="H3451" i="2"/>
  <c r="G3451" i="2"/>
  <c r="F3451" i="2"/>
  <c r="E3451" i="2"/>
  <c r="D3451" i="2"/>
  <c r="C3451" i="2"/>
  <c r="B3451" i="2"/>
  <c r="V3450" i="2"/>
  <c r="U3450" i="2"/>
  <c r="T3450" i="2"/>
  <c r="S3450" i="2"/>
  <c r="R3450" i="2"/>
  <c r="Q3450" i="2"/>
  <c r="P3450" i="2"/>
  <c r="O3450" i="2"/>
  <c r="N3450" i="2"/>
  <c r="M3450" i="2"/>
  <c r="L3450" i="2"/>
  <c r="K3450" i="2"/>
  <c r="J3450" i="2"/>
  <c r="I3450" i="2"/>
  <c r="H3450" i="2"/>
  <c r="G3450" i="2"/>
  <c r="F3450" i="2"/>
  <c r="E3450" i="2"/>
  <c r="D3450" i="2"/>
  <c r="C3450" i="2"/>
  <c r="B3450" i="2"/>
  <c r="V3449" i="2"/>
  <c r="U3449" i="2"/>
  <c r="T3449" i="2"/>
  <c r="S3449" i="2"/>
  <c r="R3449" i="2"/>
  <c r="Q3449" i="2"/>
  <c r="P3449" i="2"/>
  <c r="O3449" i="2"/>
  <c r="N3449" i="2"/>
  <c r="M3449" i="2"/>
  <c r="L3449" i="2"/>
  <c r="K3449" i="2"/>
  <c r="J3449" i="2"/>
  <c r="I3449" i="2"/>
  <c r="H3449" i="2"/>
  <c r="G3449" i="2"/>
  <c r="F3449" i="2"/>
  <c r="E3449" i="2"/>
  <c r="D3449" i="2"/>
  <c r="C3449" i="2"/>
  <c r="B3449" i="2"/>
  <c r="V3448" i="2"/>
  <c r="U3448" i="2"/>
  <c r="T3448" i="2"/>
  <c r="S3448" i="2"/>
  <c r="R3448" i="2"/>
  <c r="Q3448" i="2"/>
  <c r="P3448" i="2"/>
  <c r="O3448" i="2"/>
  <c r="N3448" i="2"/>
  <c r="M3448" i="2"/>
  <c r="L3448" i="2"/>
  <c r="K3448" i="2"/>
  <c r="J3448" i="2"/>
  <c r="I3448" i="2"/>
  <c r="H3448" i="2"/>
  <c r="G3448" i="2"/>
  <c r="F3448" i="2"/>
  <c r="E3448" i="2"/>
  <c r="D3448" i="2"/>
  <c r="C3448" i="2"/>
  <c r="B3448" i="2"/>
  <c r="V3447" i="2"/>
  <c r="U3447" i="2"/>
  <c r="T3447" i="2"/>
  <c r="S3447" i="2"/>
  <c r="R3447" i="2"/>
  <c r="Q3447" i="2"/>
  <c r="P3447" i="2"/>
  <c r="O3447" i="2"/>
  <c r="N3447" i="2"/>
  <c r="M3447" i="2"/>
  <c r="L3447" i="2"/>
  <c r="K3447" i="2"/>
  <c r="J3447" i="2"/>
  <c r="I3447" i="2"/>
  <c r="H3447" i="2"/>
  <c r="G3447" i="2"/>
  <c r="F3447" i="2"/>
  <c r="E3447" i="2"/>
  <c r="D3447" i="2"/>
  <c r="C3447" i="2"/>
  <c r="B3447" i="2"/>
  <c r="V3446" i="2"/>
  <c r="U3446" i="2"/>
  <c r="T3446" i="2"/>
  <c r="S3446" i="2"/>
  <c r="R3446" i="2"/>
  <c r="Q3446" i="2"/>
  <c r="P3446" i="2"/>
  <c r="O3446" i="2"/>
  <c r="N3446" i="2"/>
  <c r="M3446" i="2"/>
  <c r="L3446" i="2"/>
  <c r="K3446" i="2"/>
  <c r="J3446" i="2"/>
  <c r="I3446" i="2"/>
  <c r="H3446" i="2"/>
  <c r="G3446" i="2"/>
  <c r="F3446" i="2"/>
  <c r="E3446" i="2"/>
  <c r="D3446" i="2"/>
  <c r="C3446" i="2"/>
  <c r="B3446" i="2"/>
  <c r="V3445" i="2"/>
  <c r="U3445" i="2"/>
  <c r="T3445" i="2"/>
  <c r="S3445" i="2"/>
  <c r="R3445" i="2"/>
  <c r="Q3445" i="2"/>
  <c r="P3445" i="2"/>
  <c r="O3445" i="2"/>
  <c r="N3445" i="2"/>
  <c r="M3445" i="2"/>
  <c r="L3445" i="2"/>
  <c r="K3445" i="2"/>
  <c r="J3445" i="2"/>
  <c r="I3445" i="2"/>
  <c r="H3445" i="2"/>
  <c r="G3445" i="2"/>
  <c r="F3445" i="2"/>
  <c r="E3445" i="2"/>
  <c r="D3445" i="2"/>
  <c r="C3445" i="2"/>
  <c r="B3445" i="2"/>
  <c r="V3444" i="2"/>
  <c r="U3444" i="2"/>
  <c r="T3444" i="2"/>
  <c r="S3444" i="2"/>
  <c r="R3444" i="2"/>
  <c r="Q3444" i="2"/>
  <c r="P3444" i="2"/>
  <c r="O3444" i="2"/>
  <c r="N3444" i="2"/>
  <c r="M3444" i="2"/>
  <c r="L3444" i="2"/>
  <c r="K3444" i="2"/>
  <c r="J3444" i="2"/>
  <c r="I3444" i="2"/>
  <c r="H3444" i="2"/>
  <c r="G3444" i="2"/>
  <c r="F3444" i="2"/>
  <c r="E3444" i="2"/>
  <c r="D3444" i="2"/>
  <c r="C3444" i="2"/>
  <c r="B3444" i="2"/>
  <c r="V3443" i="2"/>
  <c r="U3443" i="2"/>
  <c r="T3443" i="2"/>
  <c r="S3443" i="2"/>
  <c r="R3443" i="2"/>
  <c r="Q3443" i="2"/>
  <c r="P3443" i="2"/>
  <c r="O3443" i="2"/>
  <c r="N3443" i="2"/>
  <c r="M3443" i="2"/>
  <c r="L3443" i="2"/>
  <c r="K3443" i="2"/>
  <c r="J3443" i="2"/>
  <c r="I3443" i="2"/>
  <c r="H3443" i="2"/>
  <c r="G3443" i="2"/>
  <c r="F3443" i="2"/>
  <c r="E3443" i="2"/>
  <c r="D3443" i="2"/>
  <c r="C3443" i="2"/>
  <c r="B3443" i="2"/>
  <c r="V3442" i="2"/>
  <c r="U3442" i="2"/>
  <c r="T3442" i="2"/>
  <c r="S3442" i="2"/>
  <c r="R3442" i="2"/>
  <c r="Q3442" i="2"/>
  <c r="P3442" i="2"/>
  <c r="O3442" i="2"/>
  <c r="N3442" i="2"/>
  <c r="M3442" i="2"/>
  <c r="L3442" i="2"/>
  <c r="K3442" i="2"/>
  <c r="J3442" i="2"/>
  <c r="I3442" i="2"/>
  <c r="H3442" i="2"/>
  <c r="G3442" i="2"/>
  <c r="F3442" i="2"/>
  <c r="E3442" i="2"/>
  <c r="D3442" i="2"/>
  <c r="C3442" i="2"/>
  <c r="B3442" i="2"/>
  <c r="V3441" i="2"/>
  <c r="U3441" i="2"/>
  <c r="T3441" i="2"/>
  <c r="S3441" i="2"/>
  <c r="R3441" i="2"/>
  <c r="Q3441" i="2"/>
  <c r="P3441" i="2"/>
  <c r="O3441" i="2"/>
  <c r="N3441" i="2"/>
  <c r="M3441" i="2"/>
  <c r="L3441" i="2"/>
  <c r="K3441" i="2"/>
  <c r="J3441" i="2"/>
  <c r="I3441" i="2"/>
  <c r="H3441" i="2"/>
  <c r="G3441" i="2"/>
  <c r="F3441" i="2"/>
  <c r="E3441" i="2"/>
  <c r="D3441" i="2"/>
  <c r="C3441" i="2"/>
  <c r="B3441" i="2"/>
  <c r="V3440" i="2"/>
  <c r="U3440" i="2"/>
  <c r="T3440" i="2"/>
  <c r="S3440" i="2"/>
  <c r="R3440" i="2"/>
  <c r="Q3440" i="2"/>
  <c r="P3440" i="2"/>
  <c r="O3440" i="2"/>
  <c r="N3440" i="2"/>
  <c r="M3440" i="2"/>
  <c r="L3440" i="2"/>
  <c r="K3440" i="2"/>
  <c r="J3440" i="2"/>
  <c r="I3440" i="2"/>
  <c r="H3440" i="2"/>
  <c r="G3440" i="2"/>
  <c r="F3440" i="2"/>
  <c r="E3440" i="2"/>
  <c r="D3440" i="2"/>
  <c r="C3440" i="2"/>
  <c r="B3440" i="2"/>
  <c r="V3439" i="2"/>
  <c r="U3439" i="2"/>
  <c r="T3439" i="2"/>
  <c r="S3439" i="2"/>
  <c r="R3439" i="2"/>
  <c r="Q3439" i="2"/>
  <c r="P3439" i="2"/>
  <c r="O3439" i="2"/>
  <c r="N3439" i="2"/>
  <c r="M3439" i="2"/>
  <c r="L3439" i="2"/>
  <c r="K3439" i="2"/>
  <c r="J3439" i="2"/>
  <c r="I3439" i="2"/>
  <c r="H3439" i="2"/>
  <c r="G3439" i="2"/>
  <c r="F3439" i="2"/>
  <c r="E3439" i="2"/>
  <c r="D3439" i="2"/>
  <c r="C3439" i="2"/>
  <c r="B3439" i="2"/>
  <c r="V3438" i="2"/>
  <c r="U3438" i="2"/>
  <c r="T3438" i="2"/>
  <c r="S3438" i="2"/>
  <c r="R3438" i="2"/>
  <c r="Q3438" i="2"/>
  <c r="P3438" i="2"/>
  <c r="O3438" i="2"/>
  <c r="N3438" i="2"/>
  <c r="M3438" i="2"/>
  <c r="L3438" i="2"/>
  <c r="K3438" i="2"/>
  <c r="J3438" i="2"/>
  <c r="I3438" i="2"/>
  <c r="H3438" i="2"/>
  <c r="G3438" i="2"/>
  <c r="F3438" i="2"/>
  <c r="E3438" i="2"/>
  <c r="D3438" i="2"/>
  <c r="C3438" i="2"/>
  <c r="B3438" i="2"/>
  <c r="V3437" i="2"/>
  <c r="U3437" i="2"/>
  <c r="T3437" i="2"/>
  <c r="S3437" i="2"/>
  <c r="R3437" i="2"/>
  <c r="Q3437" i="2"/>
  <c r="P3437" i="2"/>
  <c r="O3437" i="2"/>
  <c r="N3437" i="2"/>
  <c r="M3437" i="2"/>
  <c r="L3437" i="2"/>
  <c r="K3437" i="2"/>
  <c r="J3437" i="2"/>
  <c r="I3437" i="2"/>
  <c r="H3437" i="2"/>
  <c r="G3437" i="2"/>
  <c r="F3437" i="2"/>
  <c r="E3437" i="2"/>
  <c r="D3437" i="2"/>
  <c r="C3437" i="2"/>
  <c r="B3437" i="2"/>
  <c r="V3436" i="2"/>
  <c r="U3436" i="2"/>
  <c r="T3436" i="2"/>
  <c r="S3436" i="2"/>
  <c r="R3436" i="2"/>
  <c r="Q3436" i="2"/>
  <c r="P3436" i="2"/>
  <c r="O3436" i="2"/>
  <c r="N3436" i="2"/>
  <c r="M3436" i="2"/>
  <c r="L3436" i="2"/>
  <c r="K3436" i="2"/>
  <c r="J3436" i="2"/>
  <c r="I3436" i="2"/>
  <c r="H3436" i="2"/>
  <c r="G3436" i="2"/>
  <c r="F3436" i="2"/>
  <c r="E3436" i="2"/>
  <c r="D3436" i="2"/>
  <c r="C3436" i="2"/>
  <c r="B3436" i="2"/>
  <c r="V3435" i="2"/>
  <c r="U3435" i="2"/>
  <c r="T3435" i="2"/>
  <c r="S3435" i="2"/>
  <c r="R3435" i="2"/>
  <c r="Q3435" i="2"/>
  <c r="P3435" i="2"/>
  <c r="O3435" i="2"/>
  <c r="N3435" i="2"/>
  <c r="M3435" i="2"/>
  <c r="L3435" i="2"/>
  <c r="K3435" i="2"/>
  <c r="J3435" i="2"/>
  <c r="I3435" i="2"/>
  <c r="H3435" i="2"/>
  <c r="G3435" i="2"/>
  <c r="F3435" i="2"/>
  <c r="E3435" i="2"/>
  <c r="D3435" i="2"/>
  <c r="C3435" i="2"/>
  <c r="B3435" i="2"/>
  <c r="V3434" i="2"/>
  <c r="U3434" i="2"/>
  <c r="T3434" i="2"/>
  <c r="S3434" i="2"/>
  <c r="R3434" i="2"/>
  <c r="Q3434" i="2"/>
  <c r="P3434" i="2"/>
  <c r="O3434" i="2"/>
  <c r="N3434" i="2"/>
  <c r="M3434" i="2"/>
  <c r="L3434" i="2"/>
  <c r="K3434" i="2"/>
  <c r="J3434" i="2"/>
  <c r="I3434" i="2"/>
  <c r="H3434" i="2"/>
  <c r="G3434" i="2"/>
  <c r="F3434" i="2"/>
  <c r="E3434" i="2"/>
  <c r="D3434" i="2"/>
  <c r="C3434" i="2"/>
  <c r="B3434" i="2"/>
  <c r="V3433" i="2"/>
  <c r="U3433" i="2"/>
  <c r="T3433" i="2"/>
  <c r="S3433" i="2"/>
  <c r="R3433" i="2"/>
  <c r="Q3433" i="2"/>
  <c r="P3433" i="2"/>
  <c r="O3433" i="2"/>
  <c r="N3433" i="2"/>
  <c r="M3433" i="2"/>
  <c r="L3433" i="2"/>
  <c r="K3433" i="2"/>
  <c r="J3433" i="2"/>
  <c r="I3433" i="2"/>
  <c r="H3433" i="2"/>
  <c r="G3433" i="2"/>
  <c r="F3433" i="2"/>
  <c r="E3433" i="2"/>
  <c r="D3433" i="2"/>
  <c r="C3433" i="2"/>
  <c r="B3433" i="2"/>
  <c r="V3432" i="2"/>
  <c r="U3432" i="2"/>
  <c r="T3432" i="2"/>
  <c r="S3432" i="2"/>
  <c r="R3432" i="2"/>
  <c r="Q3432" i="2"/>
  <c r="P3432" i="2"/>
  <c r="O3432" i="2"/>
  <c r="N3432" i="2"/>
  <c r="M3432" i="2"/>
  <c r="L3432" i="2"/>
  <c r="K3432" i="2"/>
  <c r="J3432" i="2"/>
  <c r="I3432" i="2"/>
  <c r="H3432" i="2"/>
  <c r="G3432" i="2"/>
  <c r="F3432" i="2"/>
  <c r="E3432" i="2"/>
  <c r="D3432" i="2"/>
  <c r="C3432" i="2"/>
  <c r="B3432" i="2"/>
  <c r="V3431" i="2"/>
  <c r="U3431" i="2"/>
  <c r="T3431" i="2"/>
  <c r="S3431" i="2"/>
  <c r="R3431" i="2"/>
  <c r="Q3431" i="2"/>
  <c r="P3431" i="2"/>
  <c r="O3431" i="2"/>
  <c r="N3431" i="2"/>
  <c r="M3431" i="2"/>
  <c r="L3431" i="2"/>
  <c r="K3431" i="2"/>
  <c r="J3431" i="2"/>
  <c r="I3431" i="2"/>
  <c r="H3431" i="2"/>
  <c r="G3431" i="2"/>
  <c r="F3431" i="2"/>
  <c r="E3431" i="2"/>
  <c r="D3431" i="2"/>
  <c r="C3431" i="2"/>
  <c r="B3431" i="2"/>
  <c r="V3430" i="2"/>
  <c r="U3430" i="2"/>
  <c r="T3430" i="2"/>
  <c r="S3430" i="2"/>
  <c r="R3430" i="2"/>
  <c r="Q3430" i="2"/>
  <c r="P3430" i="2"/>
  <c r="O3430" i="2"/>
  <c r="N3430" i="2"/>
  <c r="M3430" i="2"/>
  <c r="L3430" i="2"/>
  <c r="K3430" i="2"/>
  <c r="J3430" i="2"/>
  <c r="I3430" i="2"/>
  <c r="H3430" i="2"/>
  <c r="G3430" i="2"/>
  <c r="F3430" i="2"/>
  <c r="E3430" i="2"/>
  <c r="D3430" i="2"/>
  <c r="C3430" i="2"/>
  <c r="B3430" i="2"/>
  <c r="V3429" i="2"/>
  <c r="U3429" i="2"/>
  <c r="T3429" i="2"/>
  <c r="S3429" i="2"/>
  <c r="R3429" i="2"/>
  <c r="Q3429" i="2"/>
  <c r="P3429" i="2"/>
  <c r="O3429" i="2"/>
  <c r="N3429" i="2"/>
  <c r="M3429" i="2"/>
  <c r="L3429" i="2"/>
  <c r="K3429" i="2"/>
  <c r="J3429" i="2"/>
  <c r="I3429" i="2"/>
  <c r="H3429" i="2"/>
  <c r="G3429" i="2"/>
  <c r="F3429" i="2"/>
  <c r="E3429" i="2"/>
  <c r="D3429" i="2"/>
  <c r="C3429" i="2"/>
  <c r="B3429" i="2"/>
  <c r="V3428" i="2"/>
  <c r="U3428" i="2"/>
  <c r="T3428" i="2"/>
  <c r="S3428" i="2"/>
  <c r="R3428" i="2"/>
  <c r="Q3428" i="2"/>
  <c r="P3428" i="2"/>
  <c r="O3428" i="2"/>
  <c r="N3428" i="2"/>
  <c r="M3428" i="2"/>
  <c r="L3428" i="2"/>
  <c r="K3428" i="2"/>
  <c r="J3428" i="2"/>
  <c r="I3428" i="2"/>
  <c r="H3428" i="2"/>
  <c r="G3428" i="2"/>
  <c r="F3428" i="2"/>
  <c r="E3428" i="2"/>
  <c r="D3428" i="2"/>
  <c r="C3428" i="2"/>
  <c r="B3428" i="2"/>
  <c r="V3427" i="2"/>
  <c r="U3427" i="2"/>
  <c r="T3427" i="2"/>
  <c r="S3427" i="2"/>
  <c r="R3427" i="2"/>
  <c r="Q3427" i="2"/>
  <c r="P3427" i="2"/>
  <c r="O3427" i="2"/>
  <c r="N3427" i="2"/>
  <c r="M3427" i="2"/>
  <c r="L3427" i="2"/>
  <c r="K3427" i="2"/>
  <c r="J3427" i="2"/>
  <c r="I3427" i="2"/>
  <c r="H3427" i="2"/>
  <c r="G3427" i="2"/>
  <c r="F3427" i="2"/>
  <c r="E3427" i="2"/>
  <c r="D3427" i="2"/>
  <c r="C3427" i="2"/>
  <c r="B3427" i="2"/>
  <c r="V3426" i="2"/>
  <c r="U3426" i="2"/>
  <c r="T3426" i="2"/>
  <c r="S3426" i="2"/>
  <c r="R3426" i="2"/>
  <c r="Q3426" i="2"/>
  <c r="P3426" i="2"/>
  <c r="O3426" i="2"/>
  <c r="N3426" i="2"/>
  <c r="M3426" i="2"/>
  <c r="L3426" i="2"/>
  <c r="K3426" i="2"/>
  <c r="J3426" i="2"/>
  <c r="I3426" i="2"/>
  <c r="H3426" i="2"/>
  <c r="G3426" i="2"/>
  <c r="F3426" i="2"/>
  <c r="E3426" i="2"/>
  <c r="D3426" i="2"/>
  <c r="C3426" i="2"/>
  <c r="B3426" i="2"/>
  <c r="V3425" i="2"/>
  <c r="U3425" i="2"/>
  <c r="T3425" i="2"/>
  <c r="S3425" i="2"/>
  <c r="R3425" i="2"/>
  <c r="Q3425" i="2"/>
  <c r="P3425" i="2"/>
  <c r="O3425" i="2"/>
  <c r="N3425" i="2"/>
  <c r="M3425" i="2"/>
  <c r="L3425" i="2"/>
  <c r="K3425" i="2"/>
  <c r="J3425" i="2"/>
  <c r="I3425" i="2"/>
  <c r="H3425" i="2"/>
  <c r="G3425" i="2"/>
  <c r="F3425" i="2"/>
  <c r="E3425" i="2"/>
  <c r="D3425" i="2"/>
  <c r="C3425" i="2"/>
  <c r="B3425" i="2"/>
  <c r="V3424" i="2"/>
  <c r="U3424" i="2"/>
  <c r="T3424" i="2"/>
  <c r="S3424" i="2"/>
  <c r="R3424" i="2"/>
  <c r="Q3424" i="2"/>
  <c r="P3424" i="2"/>
  <c r="O3424" i="2"/>
  <c r="N3424" i="2"/>
  <c r="M3424" i="2"/>
  <c r="L3424" i="2"/>
  <c r="K3424" i="2"/>
  <c r="J3424" i="2"/>
  <c r="I3424" i="2"/>
  <c r="H3424" i="2"/>
  <c r="G3424" i="2"/>
  <c r="F3424" i="2"/>
  <c r="E3424" i="2"/>
  <c r="D3424" i="2"/>
  <c r="C3424" i="2"/>
  <c r="B3424" i="2"/>
  <c r="V3423" i="2"/>
  <c r="U3423" i="2"/>
  <c r="T3423" i="2"/>
  <c r="S3423" i="2"/>
  <c r="R3423" i="2"/>
  <c r="Q3423" i="2"/>
  <c r="P3423" i="2"/>
  <c r="O3423" i="2"/>
  <c r="N3423" i="2"/>
  <c r="M3423" i="2"/>
  <c r="L3423" i="2"/>
  <c r="K3423" i="2"/>
  <c r="J3423" i="2"/>
  <c r="I3423" i="2"/>
  <c r="H3423" i="2"/>
  <c r="G3423" i="2"/>
  <c r="F3423" i="2"/>
  <c r="E3423" i="2"/>
  <c r="D3423" i="2"/>
  <c r="C3423" i="2"/>
  <c r="B3423" i="2"/>
  <c r="V3422" i="2"/>
  <c r="U3422" i="2"/>
  <c r="T3422" i="2"/>
  <c r="S3422" i="2"/>
  <c r="R3422" i="2"/>
  <c r="Q3422" i="2"/>
  <c r="P3422" i="2"/>
  <c r="O3422" i="2"/>
  <c r="N3422" i="2"/>
  <c r="M3422" i="2"/>
  <c r="L3422" i="2"/>
  <c r="K3422" i="2"/>
  <c r="J3422" i="2"/>
  <c r="I3422" i="2"/>
  <c r="H3422" i="2"/>
  <c r="G3422" i="2"/>
  <c r="F3422" i="2"/>
  <c r="E3422" i="2"/>
  <c r="D3422" i="2"/>
  <c r="C3422" i="2"/>
  <c r="B3422" i="2"/>
  <c r="V3421" i="2"/>
  <c r="U3421" i="2"/>
  <c r="T3421" i="2"/>
  <c r="S3421" i="2"/>
  <c r="R3421" i="2"/>
  <c r="Q3421" i="2"/>
  <c r="P3421" i="2"/>
  <c r="O3421" i="2"/>
  <c r="N3421" i="2"/>
  <c r="M3421" i="2"/>
  <c r="L3421" i="2"/>
  <c r="K3421" i="2"/>
  <c r="J3421" i="2"/>
  <c r="I3421" i="2"/>
  <c r="H3421" i="2"/>
  <c r="G3421" i="2"/>
  <c r="F3421" i="2"/>
  <c r="E3421" i="2"/>
  <c r="D3421" i="2"/>
  <c r="C3421" i="2"/>
  <c r="B3421" i="2"/>
  <c r="V3420" i="2"/>
  <c r="U3420" i="2"/>
  <c r="T3420" i="2"/>
  <c r="S3420" i="2"/>
  <c r="R3420" i="2"/>
  <c r="Q3420" i="2"/>
  <c r="P3420" i="2"/>
  <c r="O3420" i="2"/>
  <c r="N3420" i="2"/>
  <c r="M3420" i="2"/>
  <c r="L3420" i="2"/>
  <c r="K3420" i="2"/>
  <c r="J3420" i="2"/>
  <c r="I3420" i="2"/>
  <c r="H3420" i="2"/>
  <c r="G3420" i="2"/>
  <c r="F3420" i="2"/>
  <c r="E3420" i="2"/>
  <c r="D3420" i="2"/>
  <c r="C3420" i="2"/>
  <c r="B3420" i="2"/>
  <c r="V3419" i="2"/>
  <c r="U3419" i="2"/>
  <c r="T3419" i="2"/>
  <c r="S3419" i="2"/>
  <c r="R3419" i="2"/>
  <c r="Q3419" i="2"/>
  <c r="P3419" i="2"/>
  <c r="O3419" i="2"/>
  <c r="N3419" i="2"/>
  <c r="M3419" i="2"/>
  <c r="L3419" i="2"/>
  <c r="K3419" i="2"/>
  <c r="J3419" i="2"/>
  <c r="I3419" i="2"/>
  <c r="H3419" i="2"/>
  <c r="G3419" i="2"/>
  <c r="F3419" i="2"/>
  <c r="E3419" i="2"/>
  <c r="D3419" i="2"/>
  <c r="C3419" i="2"/>
  <c r="B3419" i="2"/>
  <c r="V3418" i="2"/>
  <c r="U3418" i="2"/>
  <c r="T3418" i="2"/>
  <c r="S3418" i="2"/>
  <c r="R3418" i="2"/>
  <c r="Q3418" i="2"/>
  <c r="P3418" i="2"/>
  <c r="O3418" i="2"/>
  <c r="N3418" i="2"/>
  <c r="M3418" i="2"/>
  <c r="L3418" i="2"/>
  <c r="K3418" i="2"/>
  <c r="J3418" i="2"/>
  <c r="I3418" i="2"/>
  <c r="H3418" i="2"/>
  <c r="G3418" i="2"/>
  <c r="F3418" i="2"/>
  <c r="E3418" i="2"/>
  <c r="D3418" i="2"/>
  <c r="C3418" i="2"/>
  <c r="B3418" i="2"/>
  <c r="V3417" i="2"/>
  <c r="U3417" i="2"/>
  <c r="T3417" i="2"/>
  <c r="S3417" i="2"/>
  <c r="R3417" i="2"/>
  <c r="Q3417" i="2"/>
  <c r="P3417" i="2"/>
  <c r="O3417" i="2"/>
  <c r="N3417" i="2"/>
  <c r="M3417" i="2"/>
  <c r="L3417" i="2"/>
  <c r="K3417" i="2"/>
  <c r="J3417" i="2"/>
  <c r="I3417" i="2"/>
  <c r="H3417" i="2"/>
  <c r="G3417" i="2"/>
  <c r="F3417" i="2"/>
  <c r="E3417" i="2"/>
  <c r="D3417" i="2"/>
  <c r="C3417" i="2"/>
  <c r="B3417" i="2"/>
  <c r="V3416" i="2"/>
  <c r="U3416" i="2"/>
  <c r="T3416" i="2"/>
  <c r="S3416" i="2"/>
  <c r="R3416" i="2"/>
  <c r="Q3416" i="2"/>
  <c r="P3416" i="2"/>
  <c r="O3416" i="2"/>
  <c r="N3416" i="2"/>
  <c r="M3416" i="2"/>
  <c r="L3416" i="2"/>
  <c r="K3416" i="2"/>
  <c r="J3416" i="2"/>
  <c r="I3416" i="2"/>
  <c r="H3416" i="2"/>
  <c r="G3416" i="2"/>
  <c r="F3416" i="2"/>
  <c r="E3416" i="2"/>
  <c r="D3416" i="2"/>
  <c r="C3416" i="2"/>
  <c r="B3416" i="2"/>
  <c r="V3415" i="2"/>
  <c r="U3415" i="2"/>
  <c r="T3415" i="2"/>
  <c r="S3415" i="2"/>
  <c r="R3415" i="2"/>
  <c r="Q3415" i="2"/>
  <c r="P3415" i="2"/>
  <c r="O3415" i="2"/>
  <c r="N3415" i="2"/>
  <c r="M3415" i="2"/>
  <c r="L3415" i="2"/>
  <c r="K3415" i="2"/>
  <c r="J3415" i="2"/>
  <c r="I3415" i="2"/>
  <c r="H3415" i="2"/>
  <c r="G3415" i="2"/>
  <c r="F3415" i="2"/>
  <c r="E3415" i="2"/>
  <c r="D3415" i="2"/>
  <c r="C3415" i="2"/>
  <c r="B3415" i="2"/>
  <c r="V3414" i="2"/>
  <c r="U3414" i="2"/>
  <c r="T3414" i="2"/>
  <c r="S3414" i="2"/>
  <c r="R3414" i="2"/>
  <c r="Q3414" i="2"/>
  <c r="P3414" i="2"/>
  <c r="O3414" i="2"/>
  <c r="N3414" i="2"/>
  <c r="M3414" i="2"/>
  <c r="L3414" i="2"/>
  <c r="K3414" i="2"/>
  <c r="J3414" i="2"/>
  <c r="I3414" i="2"/>
  <c r="H3414" i="2"/>
  <c r="G3414" i="2"/>
  <c r="F3414" i="2"/>
  <c r="E3414" i="2"/>
  <c r="D3414" i="2"/>
  <c r="C3414" i="2"/>
  <c r="B3414" i="2"/>
  <c r="V3413" i="2"/>
  <c r="U3413" i="2"/>
  <c r="T3413" i="2"/>
  <c r="S3413" i="2"/>
  <c r="R3413" i="2"/>
  <c r="Q3413" i="2"/>
  <c r="P3413" i="2"/>
  <c r="O3413" i="2"/>
  <c r="N3413" i="2"/>
  <c r="M3413" i="2"/>
  <c r="L3413" i="2"/>
  <c r="K3413" i="2"/>
  <c r="J3413" i="2"/>
  <c r="I3413" i="2"/>
  <c r="H3413" i="2"/>
  <c r="G3413" i="2"/>
  <c r="F3413" i="2"/>
  <c r="E3413" i="2"/>
  <c r="D3413" i="2"/>
  <c r="C3413" i="2"/>
  <c r="B3413" i="2"/>
  <c r="V3412" i="2"/>
  <c r="U3412" i="2"/>
  <c r="T3412" i="2"/>
  <c r="S3412" i="2"/>
  <c r="R3412" i="2"/>
  <c r="Q3412" i="2"/>
  <c r="P3412" i="2"/>
  <c r="O3412" i="2"/>
  <c r="N3412" i="2"/>
  <c r="M3412" i="2"/>
  <c r="L3412" i="2"/>
  <c r="K3412" i="2"/>
  <c r="J3412" i="2"/>
  <c r="I3412" i="2"/>
  <c r="H3412" i="2"/>
  <c r="G3412" i="2"/>
  <c r="F3412" i="2"/>
  <c r="E3412" i="2"/>
  <c r="D3412" i="2"/>
  <c r="C3412" i="2"/>
  <c r="B3412" i="2"/>
  <c r="V3411" i="2"/>
  <c r="U3411" i="2"/>
  <c r="T3411" i="2"/>
  <c r="S3411" i="2"/>
  <c r="R3411" i="2"/>
  <c r="Q3411" i="2"/>
  <c r="P3411" i="2"/>
  <c r="O3411" i="2"/>
  <c r="N3411" i="2"/>
  <c r="M3411" i="2"/>
  <c r="L3411" i="2"/>
  <c r="K3411" i="2"/>
  <c r="J3411" i="2"/>
  <c r="I3411" i="2"/>
  <c r="H3411" i="2"/>
  <c r="G3411" i="2"/>
  <c r="F3411" i="2"/>
  <c r="E3411" i="2"/>
  <c r="D3411" i="2"/>
  <c r="C3411" i="2"/>
  <c r="B3411" i="2"/>
  <c r="V3410" i="2"/>
  <c r="U3410" i="2"/>
  <c r="T3410" i="2"/>
  <c r="S3410" i="2"/>
  <c r="R3410" i="2"/>
  <c r="Q3410" i="2"/>
  <c r="P3410" i="2"/>
  <c r="O3410" i="2"/>
  <c r="N3410" i="2"/>
  <c r="M3410" i="2"/>
  <c r="L3410" i="2"/>
  <c r="K3410" i="2"/>
  <c r="J3410" i="2"/>
  <c r="I3410" i="2"/>
  <c r="H3410" i="2"/>
  <c r="G3410" i="2"/>
  <c r="F3410" i="2"/>
  <c r="E3410" i="2"/>
  <c r="D3410" i="2"/>
  <c r="C3410" i="2"/>
  <c r="B3410" i="2"/>
  <c r="V3409" i="2"/>
  <c r="U3409" i="2"/>
  <c r="T3409" i="2"/>
  <c r="S3409" i="2"/>
  <c r="R3409" i="2"/>
  <c r="Q3409" i="2"/>
  <c r="P3409" i="2"/>
  <c r="O3409" i="2"/>
  <c r="N3409" i="2"/>
  <c r="M3409" i="2"/>
  <c r="L3409" i="2"/>
  <c r="K3409" i="2"/>
  <c r="J3409" i="2"/>
  <c r="I3409" i="2"/>
  <c r="H3409" i="2"/>
  <c r="G3409" i="2"/>
  <c r="F3409" i="2"/>
  <c r="E3409" i="2"/>
  <c r="D3409" i="2"/>
  <c r="C3409" i="2"/>
  <c r="B3409" i="2"/>
  <c r="V3408" i="2"/>
  <c r="U3408" i="2"/>
  <c r="T3408" i="2"/>
  <c r="S3408" i="2"/>
  <c r="R3408" i="2"/>
  <c r="Q3408" i="2"/>
  <c r="P3408" i="2"/>
  <c r="O3408" i="2"/>
  <c r="N3408" i="2"/>
  <c r="M3408" i="2"/>
  <c r="L3408" i="2"/>
  <c r="K3408" i="2"/>
  <c r="J3408" i="2"/>
  <c r="I3408" i="2"/>
  <c r="H3408" i="2"/>
  <c r="G3408" i="2"/>
  <c r="F3408" i="2"/>
  <c r="E3408" i="2"/>
  <c r="D3408" i="2"/>
  <c r="C3408" i="2"/>
  <c r="B3408" i="2"/>
  <c r="V3407" i="2"/>
  <c r="U3407" i="2"/>
  <c r="T3407" i="2"/>
  <c r="S3407" i="2"/>
  <c r="R3407" i="2"/>
  <c r="Q3407" i="2"/>
  <c r="P3407" i="2"/>
  <c r="O3407" i="2"/>
  <c r="N3407" i="2"/>
  <c r="M3407" i="2"/>
  <c r="L3407" i="2"/>
  <c r="K3407" i="2"/>
  <c r="J3407" i="2"/>
  <c r="I3407" i="2"/>
  <c r="H3407" i="2"/>
  <c r="G3407" i="2"/>
  <c r="F3407" i="2"/>
  <c r="E3407" i="2"/>
  <c r="D3407" i="2"/>
  <c r="C3407" i="2"/>
  <c r="B3407" i="2"/>
  <c r="V3406" i="2"/>
  <c r="U3406" i="2"/>
  <c r="T3406" i="2"/>
  <c r="S3406" i="2"/>
  <c r="R3406" i="2"/>
  <c r="Q3406" i="2"/>
  <c r="P3406" i="2"/>
  <c r="O3406" i="2"/>
  <c r="N3406" i="2"/>
  <c r="M3406" i="2"/>
  <c r="L3406" i="2"/>
  <c r="K3406" i="2"/>
  <c r="J3406" i="2"/>
  <c r="I3406" i="2"/>
  <c r="H3406" i="2"/>
  <c r="G3406" i="2"/>
  <c r="F3406" i="2"/>
  <c r="E3406" i="2"/>
  <c r="D3406" i="2"/>
  <c r="C3406" i="2"/>
  <c r="B3406" i="2"/>
  <c r="V3405" i="2"/>
  <c r="U3405" i="2"/>
  <c r="T3405" i="2"/>
  <c r="S3405" i="2"/>
  <c r="R3405" i="2"/>
  <c r="Q3405" i="2"/>
  <c r="P3405" i="2"/>
  <c r="O3405" i="2"/>
  <c r="N3405" i="2"/>
  <c r="M3405" i="2"/>
  <c r="L3405" i="2"/>
  <c r="K3405" i="2"/>
  <c r="J3405" i="2"/>
  <c r="I3405" i="2"/>
  <c r="H3405" i="2"/>
  <c r="G3405" i="2"/>
  <c r="F3405" i="2"/>
  <c r="E3405" i="2"/>
  <c r="D3405" i="2"/>
  <c r="C3405" i="2"/>
  <c r="B3405" i="2"/>
  <c r="V3404" i="2"/>
  <c r="U3404" i="2"/>
  <c r="T3404" i="2"/>
  <c r="S3404" i="2"/>
  <c r="R3404" i="2"/>
  <c r="Q3404" i="2"/>
  <c r="P3404" i="2"/>
  <c r="O3404" i="2"/>
  <c r="N3404" i="2"/>
  <c r="M3404" i="2"/>
  <c r="L3404" i="2"/>
  <c r="K3404" i="2"/>
  <c r="J3404" i="2"/>
  <c r="I3404" i="2"/>
  <c r="H3404" i="2"/>
  <c r="G3404" i="2"/>
  <c r="F3404" i="2"/>
  <c r="E3404" i="2"/>
  <c r="D3404" i="2"/>
  <c r="C3404" i="2"/>
  <c r="B3404" i="2"/>
  <c r="V3403" i="2"/>
  <c r="U3403" i="2"/>
  <c r="T3403" i="2"/>
  <c r="S3403" i="2"/>
  <c r="R3403" i="2"/>
  <c r="Q3403" i="2"/>
  <c r="P3403" i="2"/>
  <c r="O3403" i="2"/>
  <c r="N3403" i="2"/>
  <c r="M3403" i="2"/>
  <c r="L3403" i="2"/>
  <c r="K3403" i="2"/>
  <c r="J3403" i="2"/>
  <c r="I3403" i="2"/>
  <c r="H3403" i="2"/>
  <c r="G3403" i="2"/>
  <c r="F3403" i="2"/>
  <c r="E3403" i="2"/>
  <c r="D3403" i="2"/>
  <c r="C3403" i="2"/>
  <c r="B3403" i="2"/>
  <c r="V3402" i="2"/>
  <c r="U3402" i="2"/>
  <c r="T3402" i="2"/>
  <c r="S3402" i="2"/>
  <c r="R3402" i="2"/>
  <c r="Q3402" i="2"/>
  <c r="P3402" i="2"/>
  <c r="O3402" i="2"/>
  <c r="N3402" i="2"/>
  <c r="M3402" i="2"/>
  <c r="L3402" i="2"/>
  <c r="K3402" i="2"/>
  <c r="J3402" i="2"/>
  <c r="I3402" i="2"/>
  <c r="H3402" i="2"/>
  <c r="G3402" i="2"/>
  <c r="F3402" i="2"/>
  <c r="E3402" i="2"/>
  <c r="D3402" i="2"/>
  <c r="C3402" i="2"/>
  <c r="B3402" i="2"/>
  <c r="V3401" i="2"/>
  <c r="U3401" i="2"/>
  <c r="T3401" i="2"/>
  <c r="S3401" i="2"/>
  <c r="R3401" i="2"/>
  <c r="Q3401" i="2"/>
  <c r="P3401" i="2"/>
  <c r="O3401" i="2"/>
  <c r="N3401" i="2"/>
  <c r="M3401" i="2"/>
  <c r="L3401" i="2"/>
  <c r="K3401" i="2"/>
  <c r="J3401" i="2"/>
  <c r="I3401" i="2"/>
  <c r="H3401" i="2"/>
  <c r="G3401" i="2"/>
  <c r="F3401" i="2"/>
  <c r="E3401" i="2"/>
  <c r="D3401" i="2"/>
  <c r="C3401" i="2"/>
  <c r="B3401" i="2"/>
  <c r="V3400" i="2"/>
  <c r="U3400" i="2"/>
  <c r="T3400" i="2"/>
  <c r="S3400" i="2"/>
  <c r="R3400" i="2"/>
  <c r="Q3400" i="2"/>
  <c r="P3400" i="2"/>
  <c r="O3400" i="2"/>
  <c r="N3400" i="2"/>
  <c r="M3400" i="2"/>
  <c r="L3400" i="2"/>
  <c r="K3400" i="2"/>
  <c r="J3400" i="2"/>
  <c r="I3400" i="2"/>
  <c r="H3400" i="2"/>
  <c r="G3400" i="2"/>
  <c r="F3400" i="2"/>
  <c r="E3400" i="2"/>
  <c r="D3400" i="2"/>
  <c r="C3400" i="2"/>
  <c r="B3400" i="2"/>
  <c r="V3399" i="2"/>
  <c r="U3399" i="2"/>
  <c r="T3399" i="2"/>
  <c r="S3399" i="2"/>
  <c r="R3399" i="2"/>
  <c r="Q3399" i="2"/>
  <c r="P3399" i="2"/>
  <c r="O3399" i="2"/>
  <c r="N3399" i="2"/>
  <c r="M3399" i="2"/>
  <c r="L3399" i="2"/>
  <c r="K3399" i="2"/>
  <c r="J3399" i="2"/>
  <c r="I3399" i="2"/>
  <c r="H3399" i="2"/>
  <c r="G3399" i="2"/>
  <c r="F3399" i="2"/>
  <c r="E3399" i="2"/>
  <c r="D3399" i="2"/>
  <c r="C3399" i="2"/>
  <c r="B3399" i="2"/>
  <c r="V3398" i="2"/>
  <c r="U3398" i="2"/>
  <c r="T3398" i="2"/>
  <c r="S3398" i="2"/>
  <c r="R3398" i="2"/>
  <c r="Q3398" i="2"/>
  <c r="P3398" i="2"/>
  <c r="O3398" i="2"/>
  <c r="N3398" i="2"/>
  <c r="M3398" i="2"/>
  <c r="L3398" i="2"/>
  <c r="K3398" i="2"/>
  <c r="J3398" i="2"/>
  <c r="I3398" i="2"/>
  <c r="H3398" i="2"/>
  <c r="G3398" i="2"/>
  <c r="F3398" i="2"/>
  <c r="E3398" i="2"/>
  <c r="D3398" i="2"/>
  <c r="C3398" i="2"/>
  <c r="B3398" i="2"/>
  <c r="V3397" i="2"/>
  <c r="U3397" i="2"/>
  <c r="T3397" i="2"/>
  <c r="S3397" i="2"/>
  <c r="R3397" i="2"/>
  <c r="Q3397" i="2"/>
  <c r="P3397" i="2"/>
  <c r="O3397" i="2"/>
  <c r="N3397" i="2"/>
  <c r="M3397" i="2"/>
  <c r="L3397" i="2"/>
  <c r="K3397" i="2"/>
  <c r="J3397" i="2"/>
  <c r="I3397" i="2"/>
  <c r="H3397" i="2"/>
  <c r="G3397" i="2"/>
  <c r="F3397" i="2"/>
  <c r="E3397" i="2"/>
  <c r="D3397" i="2"/>
  <c r="C3397" i="2"/>
  <c r="B3397" i="2"/>
  <c r="V3396" i="2"/>
  <c r="U3396" i="2"/>
  <c r="T3396" i="2"/>
  <c r="S3396" i="2"/>
  <c r="R3396" i="2"/>
  <c r="Q3396" i="2"/>
  <c r="P3396" i="2"/>
  <c r="O3396" i="2"/>
  <c r="N3396" i="2"/>
  <c r="M3396" i="2"/>
  <c r="L3396" i="2"/>
  <c r="K3396" i="2"/>
  <c r="J3396" i="2"/>
  <c r="I3396" i="2"/>
  <c r="H3396" i="2"/>
  <c r="G3396" i="2"/>
  <c r="F3396" i="2"/>
  <c r="E3396" i="2"/>
  <c r="D3396" i="2"/>
  <c r="C3396" i="2"/>
  <c r="B3396" i="2"/>
  <c r="V3395" i="2"/>
  <c r="U3395" i="2"/>
  <c r="T3395" i="2"/>
  <c r="S3395" i="2"/>
  <c r="R3395" i="2"/>
  <c r="Q3395" i="2"/>
  <c r="P3395" i="2"/>
  <c r="O3395" i="2"/>
  <c r="N3395" i="2"/>
  <c r="M3395" i="2"/>
  <c r="L3395" i="2"/>
  <c r="K3395" i="2"/>
  <c r="J3395" i="2"/>
  <c r="I3395" i="2"/>
  <c r="H3395" i="2"/>
  <c r="G3395" i="2"/>
  <c r="F3395" i="2"/>
  <c r="E3395" i="2"/>
  <c r="D3395" i="2"/>
  <c r="C3395" i="2"/>
  <c r="B3395" i="2"/>
  <c r="V3394" i="2"/>
  <c r="U3394" i="2"/>
  <c r="T3394" i="2"/>
  <c r="S3394" i="2"/>
  <c r="R3394" i="2"/>
  <c r="Q3394" i="2"/>
  <c r="P3394" i="2"/>
  <c r="O3394" i="2"/>
  <c r="N3394" i="2"/>
  <c r="M3394" i="2"/>
  <c r="L3394" i="2"/>
  <c r="K3394" i="2"/>
  <c r="J3394" i="2"/>
  <c r="I3394" i="2"/>
  <c r="H3394" i="2"/>
  <c r="G3394" i="2"/>
  <c r="F3394" i="2"/>
  <c r="E3394" i="2"/>
  <c r="D3394" i="2"/>
  <c r="C3394" i="2"/>
  <c r="B3394" i="2"/>
  <c r="V3393" i="2"/>
  <c r="U3393" i="2"/>
  <c r="T3393" i="2"/>
  <c r="S3393" i="2"/>
  <c r="R3393" i="2"/>
  <c r="Q3393" i="2"/>
  <c r="P3393" i="2"/>
  <c r="O3393" i="2"/>
  <c r="N3393" i="2"/>
  <c r="M3393" i="2"/>
  <c r="L3393" i="2"/>
  <c r="K3393" i="2"/>
  <c r="J3393" i="2"/>
  <c r="I3393" i="2"/>
  <c r="H3393" i="2"/>
  <c r="G3393" i="2"/>
  <c r="F3393" i="2"/>
  <c r="E3393" i="2"/>
  <c r="D3393" i="2"/>
  <c r="C3393" i="2"/>
  <c r="B3393" i="2"/>
  <c r="V3392" i="2"/>
  <c r="U3392" i="2"/>
  <c r="T3392" i="2"/>
  <c r="S3392" i="2"/>
  <c r="R3392" i="2"/>
  <c r="Q3392" i="2"/>
  <c r="P3392" i="2"/>
  <c r="O3392" i="2"/>
  <c r="N3392" i="2"/>
  <c r="M3392" i="2"/>
  <c r="L3392" i="2"/>
  <c r="K3392" i="2"/>
  <c r="J3392" i="2"/>
  <c r="I3392" i="2"/>
  <c r="H3392" i="2"/>
  <c r="G3392" i="2"/>
  <c r="F3392" i="2"/>
  <c r="E3392" i="2"/>
  <c r="D3392" i="2"/>
  <c r="C3392" i="2"/>
  <c r="B3392" i="2"/>
  <c r="V3391" i="2"/>
  <c r="U3391" i="2"/>
  <c r="T3391" i="2"/>
  <c r="S3391" i="2"/>
  <c r="R3391" i="2"/>
  <c r="Q3391" i="2"/>
  <c r="P3391" i="2"/>
  <c r="O3391" i="2"/>
  <c r="N3391" i="2"/>
  <c r="M3391" i="2"/>
  <c r="L3391" i="2"/>
  <c r="K3391" i="2"/>
  <c r="J3391" i="2"/>
  <c r="I3391" i="2"/>
  <c r="H3391" i="2"/>
  <c r="G3391" i="2"/>
  <c r="F3391" i="2"/>
  <c r="E3391" i="2"/>
  <c r="D3391" i="2"/>
  <c r="C3391" i="2"/>
  <c r="B3391" i="2"/>
  <c r="V3390" i="2"/>
  <c r="U3390" i="2"/>
  <c r="T3390" i="2"/>
  <c r="S3390" i="2"/>
  <c r="R3390" i="2"/>
  <c r="Q3390" i="2"/>
  <c r="P3390" i="2"/>
  <c r="O3390" i="2"/>
  <c r="N3390" i="2"/>
  <c r="M3390" i="2"/>
  <c r="L3390" i="2"/>
  <c r="K3390" i="2"/>
  <c r="J3390" i="2"/>
  <c r="I3390" i="2"/>
  <c r="H3390" i="2"/>
  <c r="G3390" i="2"/>
  <c r="F3390" i="2"/>
  <c r="E3390" i="2"/>
  <c r="D3390" i="2"/>
  <c r="C3390" i="2"/>
  <c r="B3390" i="2"/>
  <c r="V3389" i="2"/>
  <c r="U3389" i="2"/>
  <c r="T3389" i="2"/>
  <c r="S3389" i="2"/>
  <c r="R3389" i="2"/>
  <c r="Q3389" i="2"/>
  <c r="P3389" i="2"/>
  <c r="O3389" i="2"/>
  <c r="N3389" i="2"/>
  <c r="M3389" i="2"/>
  <c r="L3389" i="2"/>
  <c r="K3389" i="2"/>
  <c r="J3389" i="2"/>
  <c r="I3389" i="2"/>
  <c r="H3389" i="2"/>
  <c r="G3389" i="2"/>
  <c r="F3389" i="2"/>
  <c r="E3389" i="2"/>
  <c r="D3389" i="2"/>
  <c r="C3389" i="2"/>
  <c r="B3389" i="2"/>
  <c r="V3388" i="2"/>
  <c r="U3388" i="2"/>
  <c r="T3388" i="2"/>
  <c r="S3388" i="2"/>
  <c r="R3388" i="2"/>
  <c r="Q3388" i="2"/>
  <c r="P3388" i="2"/>
  <c r="O3388" i="2"/>
  <c r="N3388" i="2"/>
  <c r="M3388" i="2"/>
  <c r="L3388" i="2"/>
  <c r="K3388" i="2"/>
  <c r="J3388" i="2"/>
  <c r="I3388" i="2"/>
  <c r="H3388" i="2"/>
  <c r="G3388" i="2"/>
  <c r="F3388" i="2"/>
  <c r="E3388" i="2"/>
  <c r="D3388" i="2"/>
  <c r="C3388" i="2"/>
  <c r="B3388" i="2"/>
  <c r="V3387" i="2"/>
  <c r="U3387" i="2"/>
  <c r="T3387" i="2"/>
  <c r="S3387" i="2"/>
  <c r="R3387" i="2"/>
  <c r="Q3387" i="2"/>
  <c r="P3387" i="2"/>
  <c r="O3387" i="2"/>
  <c r="N3387" i="2"/>
  <c r="M3387" i="2"/>
  <c r="L3387" i="2"/>
  <c r="K3387" i="2"/>
  <c r="J3387" i="2"/>
  <c r="I3387" i="2"/>
  <c r="H3387" i="2"/>
  <c r="G3387" i="2"/>
  <c r="F3387" i="2"/>
  <c r="E3387" i="2"/>
  <c r="D3387" i="2"/>
  <c r="C3387" i="2"/>
  <c r="B3387" i="2"/>
  <c r="V3386" i="2"/>
  <c r="U3386" i="2"/>
  <c r="T3386" i="2"/>
  <c r="S3386" i="2"/>
  <c r="R3386" i="2"/>
  <c r="Q3386" i="2"/>
  <c r="P3386" i="2"/>
  <c r="O3386" i="2"/>
  <c r="N3386" i="2"/>
  <c r="M3386" i="2"/>
  <c r="L3386" i="2"/>
  <c r="K3386" i="2"/>
  <c r="J3386" i="2"/>
  <c r="I3386" i="2"/>
  <c r="H3386" i="2"/>
  <c r="G3386" i="2"/>
  <c r="F3386" i="2"/>
  <c r="E3386" i="2"/>
  <c r="D3386" i="2"/>
  <c r="C3386" i="2"/>
  <c r="B3386" i="2"/>
  <c r="V3385" i="2"/>
  <c r="U3385" i="2"/>
  <c r="T3385" i="2"/>
  <c r="S3385" i="2"/>
  <c r="R3385" i="2"/>
  <c r="Q3385" i="2"/>
  <c r="P3385" i="2"/>
  <c r="O3385" i="2"/>
  <c r="N3385" i="2"/>
  <c r="M3385" i="2"/>
  <c r="L3385" i="2"/>
  <c r="K3385" i="2"/>
  <c r="J3385" i="2"/>
  <c r="I3385" i="2"/>
  <c r="H3385" i="2"/>
  <c r="G3385" i="2"/>
  <c r="F3385" i="2"/>
  <c r="E3385" i="2"/>
  <c r="D3385" i="2"/>
  <c r="C3385" i="2"/>
  <c r="B3385" i="2"/>
  <c r="V3384" i="2"/>
  <c r="U3384" i="2"/>
  <c r="T3384" i="2"/>
  <c r="S3384" i="2"/>
  <c r="R3384" i="2"/>
  <c r="Q3384" i="2"/>
  <c r="P3384" i="2"/>
  <c r="O3384" i="2"/>
  <c r="N3384" i="2"/>
  <c r="M3384" i="2"/>
  <c r="L3384" i="2"/>
  <c r="K3384" i="2"/>
  <c r="J3384" i="2"/>
  <c r="I3384" i="2"/>
  <c r="H3384" i="2"/>
  <c r="G3384" i="2"/>
  <c r="F3384" i="2"/>
  <c r="E3384" i="2"/>
  <c r="D3384" i="2"/>
  <c r="C3384" i="2"/>
  <c r="B3384" i="2"/>
  <c r="V3383" i="2"/>
  <c r="U3383" i="2"/>
  <c r="T3383" i="2"/>
  <c r="S3383" i="2"/>
  <c r="R3383" i="2"/>
  <c r="Q3383" i="2"/>
  <c r="P3383" i="2"/>
  <c r="O3383" i="2"/>
  <c r="N3383" i="2"/>
  <c r="M3383" i="2"/>
  <c r="L3383" i="2"/>
  <c r="K3383" i="2"/>
  <c r="J3383" i="2"/>
  <c r="I3383" i="2"/>
  <c r="H3383" i="2"/>
  <c r="G3383" i="2"/>
  <c r="F3383" i="2"/>
  <c r="E3383" i="2"/>
  <c r="D3383" i="2"/>
  <c r="C3383" i="2"/>
  <c r="B3383" i="2"/>
  <c r="V3382" i="2"/>
  <c r="U3382" i="2"/>
  <c r="T3382" i="2"/>
  <c r="S3382" i="2"/>
  <c r="R3382" i="2"/>
  <c r="Q3382" i="2"/>
  <c r="P3382" i="2"/>
  <c r="O3382" i="2"/>
  <c r="N3382" i="2"/>
  <c r="M3382" i="2"/>
  <c r="L3382" i="2"/>
  <c r="K3382" i="2"/>
  <c r="J3382" i="2"/>
  <c r="I3382" i="2"/>
  <c r="H3382" i="2"/>
  <c r="G3382" i="2"/>
  <c r="F3382" i="2"/>
  <c r="E3382" i="2"/>
  <c r="D3382" i="2"/>
  <c r="C3382" i="2"/>
  <c r="B3382" i="2"/>
  <c r="V3381" i="2"/>
  <c r="U3381" i="2"/>
  <c r="T3381" i="2"/>
  <c r="S3381" i="2"/>
  <c r="R3381" i="2"/>
  <c r="Q3381" i="2"/>
  <c r="P3381" i="2"/>
  <c r="O3381" i="2"/>
  <c r="N3381" i="2"/>
  <c r="M3381" i="2"/>
  <c r="L3381" i="2"/>
  <c r="K3381" i="2"/>
  <c r="J3381" i="2"/>
  <c r="I3381" i="2"/>
  <c r="H3381" i="2"/>
  <c r="G3381" i="2"/>
  <c r="F3381" i="2"/>
  <c r="E3381" i="2"/>
  <c r="D3381" i="2"/>
  <c r="C3381" i="2"/>
  <c r="B3381" i="2"/>
  <c r="V3380" i="2"/>
  <c r="U3380" i="2"/>
  <c r="T3380" i="2"/>
  <c r="S3380" i="2"/>
  <c r="R3380" i="2"/>
  <c r="Q3380" i="2"/>
  <c r="P3380" i="2"/>
  <c r="O3380" i="2"/>
  <c r="N3380" i="2"/>
  <c r="M3380" i="2"/>
  <c r="L3380" i="2"/>
  <c r="K3380" i="2"/>
  <c r="J3380" i="2"/>
  <c r="I3380" i="2"/>
  <c r="H3380" i="2"/>
  <c r="G3380" i="2"/>
  <c r="F3380" i="2"/>
  <c r="E3380" i="2"/>
  <c r="D3380" i="2"/>
  <c r="C3380" i="2"/>
  <c r="B3380" i="2"/>
  <c r="V3379" i="2"/>
  <c r="U3379" i="2"/>
  <c r="T3379" i="2"/>
  <c r="S3379" i="2"/>
  <c r="R3379" i="2"/>
  <c r="Q3379" i="2"/>
  <c r="P3379" i="2"/>
  <c r="O3379" i="2"/>
  <c r="N3379" i="2"/>
  <c r="M3379" i="2"/>
  <c r="L3379" i="2"/>
  <c r="K3379" i="2"/>
  <c r="J3379" i="2"/>
  <c r="I3379" i="2"/>
  <c r="H3379" i="2"/>
  <c r="G3379" i="2"/>
  <c r="F3379" i="2"/>
  <c r="E3379" i="2"/>
  <c r="D3379" i="2"/>
  <c r="C3379" i="2"/>
  <c r="B3379" i="2"/>
  <c r="V3378" i="2"/>
  <c r="U3378" i="2"/>
  <c r="T3378" i="2"/>
  <c r="S3378" i="2"/>
  <c r="R3378" i="2"/>
  <c r="Q3378" i="2"/>
  <c r="P3378" i="2"/>
  <c r="O3378" i="2"/>
  <c r="N3378" i="2"/>
  <c r="M3378" i="2"/>
  <c r="L3378" i="2"/>
  <c r="K3378" i="2"/>
  <c r="J3378" i="2"/>
  <c r="I3378" i="2"/>
  <c r="H3378" i="2"/>
  <c r="G3378" i="2"/>
  <c r="F3378" i="2"/>
  <c r="E3378" i="2"/>
  <c r="D3378" i="2"/>
  <c r="C3378" i="2"/>
  <c r="B3378" i="2"/>
  <c r="V3377" i="2"/>
  <c r="U3377" i="2"/>
  <c r="T3377" i="2"/>
  <c r="S3377" i="2"/>
  <c r="R3377" i="2"/>
  <c r="Q3377" i="2"/>
  <c r="P3377" i="2"/>
  <c r="O3377" i="2"/>
  <c r="N3377" i="2"/>
  <c r="M3377" i="2"/>
  <c r="L3377" i="2"/>
  <c r="K3377" i="2"/>
  <c r="J3377" i="2"/>
  <c r="I3377" i="2"/>
  <c r="H3377" i="2"/>
  <c r="G3377" i="2"/>
  <c r="F3377" i="2"/>
  <c r="E3377" i="2"/>
  <c r="D3377" i="2"/>
  <c r="C3377" i="2"/>
  <c r="B3377" i="2"/>
  <c r="V3376" i="2"/>
  <c r="U3376" i="2"/>
  <c r="T3376" i="2"/>
  <c r="S3376" i="2"/>
  <c r="R3376" i="2"/>
  <c r="Q3376" i="2"/>
  <c r="P3376" i="2"/>
  <c r="O3376" i="2"/>
  <c r="N3376" i="2"/>
  <c r="M3376" i="2"/>
  <c r="L3376" i="2"/>
  <c r="K3376" i="2"/>
  <c r="J3376" i="2"/>
  <c r="I3376" i="2"/>
  <c r="H3376" i="2"/>
  <c r="G3376" i="2"/>
  <c r="F3376" i="2"/>
  <c r="E3376" i="2"/>
  <c r="D3376" i="2"/>
  <c r="C3376" i="2"/>
  <c r="B3376" i="2"/>
  <c r="V3375" i="2"/>
  <c r="U3375" i="2"/>
  <c r="T3375" i="2"/>
  <c r="S3375" i="2"/>
  <c r="R3375" i="2"/>
  <c r="Q3375" i="2"/>
  <c r="P3375" i="2"/>
  <c r="O3375" i="2"/>
  <c r="N3375" i="2"/>
  <c r="M3375" i="2"/>
  <c r="L3375" i="2"/>
  <c r="K3375" i="2"/>
  <c r="J3375" i="2"/>
  <c r="I3375" i="2"/>
  <c r="H3375" i="2"/>
  <c r="G3375" i="2"/>
  <c r="F3375" i="2"/>
  <c r="E3375" i="2"/>
  <c r="D3375" i="2"/>
  <c r="C3375" i="2"/>
  <c r="B3375" i="2"/>
  <c r="V3374" i="2"/>
  <c r="U3374" i="2"/>
  <c r="T3374" i="2"/>
  <c r="S3374" i="2"/>
  <c r="R3374" i="2"/>
  <c r="Q3374" i="2"/>
  <c r="P3374" i="2"/>
  <c r="O3374" i="2"/>
  <c r="N3374" i="2"/>
  <c r="M3374" i="2"/>
  <c r="L3374" i="2"/>
  <c r="K3374" i="2"/>
  <c r="J3374" i="2"/>
  <c r="I3374" i="2"/>
  <c r="H3374" i="2"/>
  <c r="G3374" i="2"/>
  <c r="F3374" i="2"/>
  <c r="E3374" i="2"/>
  <c r="D3374" i="2"/>
  <c r="C3374" i="2"/>
  <c r="B3374" i="2"/>
  <c r="V3373" i="2"/>
  <c r="U3373" i="2"/>
  <c r="T3373" i="2"/>
  <c r="S3373" i="2"/>
  <c r="R3373" i="2"/>
  <c r="Q3373" i="2"/>
  <c r="P3373" i="2"/>
  <c r="O3373" i="2"/>
  <c r="N3373" i="2"/>
  <c r="M3373" i="2"/>
  <c r="L3373" i="2"/>
  <c r="K3373" i="2"/>
  <c r="J3373" i="2"/>
  <c r="I3373" i="2"/>
  <c r="H3373" i="2"/>
  <c r="G3373" i="2"/>
  <c r="F3373" i="2"/>
  <c r="E3373" i="2"/>
  <c r="D3373" i="2"/>
  <c r="C3373" i="2"/>
  <c r="B3373" i="2"/>
  <c r="V3372" i="2"/>
  <c r="U3372" i="2"/>
  <c r="T3372" i="2"/>
  <c r="S3372" i="2"/>
  <c r="R3372" i="2"/>
  <c r="Q3372" i="2"/>
  <c r="P3372" i="2"/>
  <c r="O3372" i="2"/>
  <c r="N3372" i="2"/>
  <c r="M3372" i="2"/>
  <c r="L3372" i="2"/>
  <c r="K3372" i="2"/>
  <c r="J3372" i="2"/>
  <c r="I3372" i="2"/>
  <c r="H3372" i="2"/>
  <c r="G3372" i="2"/>
  <c r="F3372" i="2"/>
  <c r="E3372" i="2"/>
  <c r="D3372" i="2"/>
  <c r="C3372" i="2"/>
  <c r="B3372" i="2"/>
  <c r="V3371" i="2"/>
  <c r="U3371" i="2"/>
  <c r="T3371" i="2"/>
  <c r="S3371" i="2"/>
  <c r="R3371" i="2"/>
  <c r="Q3371" i="2"/>
  <c r="P3371" i="2"/>
  <c r="O3371" i="2"/>
  <c r="N3371" i="2"/>
  <c r="M3371" i="2"/>
  <c r="L3371" i="2"/>
  <c r="K3371" i="2"/>
  <c r="J3371" i="2"/>
  <c r="I3371" i="2"/>
  <c r="H3371" i="2"/>
  <c r="G3371" i="2"/>
  <c r="F3371" i="2"/>
  <c r="E3371" i="2"/>
  <c r="D3371" i="2"/>
  <c r="C3371" i="2"/>
  <c r="B3371" i="2"/>
  <c r="V3370" i="2"/>
  <c r="U3370" i="2"/>
  <c r="T3370" i="2"/>
  <c r="S3370" i="2"/>
  <c r="R3370" i="2"/>
  <c r="Q3370" i="2"/>
  <c r="P3370" i="2"/>
  <c r="O3370" i="2"/>
  <c r="N3370" i="2"/>
  <c r="M3370" i="2"/>
  <c r="L3370" i="2"/>
  <c r="K3370" i="2"/>
  <c r="J3370" i="2"/>
  <c r="I3370" i="2"/>
  <c r="H3370" i="2"/>
  <c r="G3370" i="2"/>
  <c r="F3370" i="2"/>
  <c r="E3370" i="2"/>
  <c r="D3370" i="2"/>
  <c r="C3370" i="2"/>
  <c r="B3370" i="2"/>
  <c r="V3369" i="2"/>
  <c r="U3369" i="2"/>
  <c r="T3369" i="2"/>
  <c r="S3369" i="2"/>
  <c r="R3369" i="2"/>
  <c r="Q3369" i="2"/>
  <c r="P3369" i="2"/>
  <c r="O3369" i="2"/>
  <c r="N3369" i="2"/>
  <c r="M3369" i="2"/>
  <c r="L3369" i="2"/>
  <c r="K3369" i="2"/>
  <c r="J3369" i="2"/>
  <c r="I3369" i="2"/>
  <c r="H3369" i="2"/>
  <c r="G3369" i="2"/>
  <c r="F3369" i="2"/>
  <c r="E3369" i="2"/>
  <c r="D3369" i="2"/>
  <c r="C3369" i="2"/>
  <c r="B3369" i="2"/>
  <c r="V3368" i="2"/>
  <c r="U3368" i="2"/>
  <c r="T3368" i="2"/>
  <c r="S3368" i="2"/>
  <c r="R3368" i="2"/>
  <c r="Q3368" i="2"/>
  <c r="P3368" i="2"/>
  <c r="O3368" i="2"/>
  <c r="N3368" i="2"/>
  <c r="M3368" i="2"/>
  <c r="L3368" i="2"/>
  <c r="K3368" i="2"/>
  <c r="J3368" i="2"/>
  <c r="I3368" i="2"/>
  <c r="H3368" i="2"/>
  <c r="G3368" i="2"/>
  <c r="F3368" i="2"/>
  <c r="E3368" i="2"/>
  <c r="D3368" i="2"/>
  <c r="C3368" i="2"/>
  <c r="B3368" i="2"/>
  <c r="V3367" i="2"/>
  <c r="U3367" i="2"/>
  <c r="T3367" i="2"/>
  <c r="S3367" i="2"/>
  <c r="R3367" i="2"/>
  <c r="Q3367" i="2"/>
  <c r="P3367" i="2"/>
  <c r="O3367" i="2"/>
  <c r="N3367" i="2"/>
  <c r="M3367" i="2"/>
  <c r="L3367" i="2"/>
  <c r="K3367" i="2"/>
  <c r="J3367" i="2"/>
  <c r="I3367" i="2"/>
  <c r="H3367" i="2"/>
  <c r="G3367" i="2"/>
  <c r="F3367" i="2"/>
  <c r="E3367" i="2"/>
  <c r="D3367" i="2"/>
  <c r="C3367" i="2"/>
  <c r="B3367" i="2"/>
  <c r="V3366" i="2"/>
  <c r="U3366" i="2"/>
  <c r="T3366" i="2"/>
  <c r="S3366" i="2"/>
  <c r="R3366" i="2"/>
  <c r="Q3366" i="2"/>
  <c r="P3366" i="2"/>
  <c r="O3366" i="2"/>
  <c r="N3366" i="2"/>
  <c r="M3366" i="2"/>
  <c r="L3366" i="2"/>
  <c r="K3366" i="2"/>
  <c r="J3366" i="2"/>
  <c r="I3366" i="2"/>
  <c r="H3366" i="2"/>
  <c r="G3366" i="2"/>
  <c r="F3366" i="2"/>
  <c r="E3366" i="2"/>
  <c r="D3366" i="2"/>
  <c r="C3366" i="2"/>
  <c r="B3366" i="2"/>
  <c r="V3365" i="2"/>
  <c r="U3365" i="2"/>
  <c r="T3365" i="2"/>
  <c r="S3365" i="2"/>
  <c r="R3365" i="2"/>
  <c r="Q3365" i="2"/>
  <c r="P3365" i="2"/>
  <c r="O3365" i="2"/>
  <c r="N3365" i="2"/>
  <c r="M3365" i="2"/>
  <c r="L3365" i="2"/>
  <c r="K3365" i="2"/>
  <c r="J3365" i="2"/>
  <c r="I3365" i="2"/>
  <c r="H3365" i="2"/>
  <c r="G3365" i="2"/>
  <c r="F3365" i="2"/>
  <c r="E3365" i="2"/>
  <c r="D3365" i="2"/>
  <c r="C3365" i="2"/>
  <c r="B3365" i="2"/>
  <c r="V3364" i="2"/>
  <c r="U3364" i="2"/>
  <c r="T3364" i="2"/>
  <c r="S3364" i="2"/>
  <c r="R3364" i="2"/>
  <c r="Q3364" i="2"/>
  <c r="P3364" i="2"/>
  <c r="O3364" i="2"/>
  <c r="N3364" i="2"/>
  <c r="M3364" i="2"/>
  <c r="L3364" i="2"/>
  <c r="K3364" i="2"/>
  <c r="J3364" i="2"/>
  <c r="I3364" i="2"/>
  <c r="H3364" i="2"/>
  <c r="G3364" i="2"/>
  <c r="F3364" i="2"/>
  <c r="E3364" i="2"/>
  <c r="D3364" i="2"/>
  <c r="C3364" i="2"/>
  <c r="B3364" i="2"/>
  <c r="V3363" i="2"/>
  <c r="U3363" i="2"/>
  <c r="T3363" i="2"/>
  <c r="S3363" i="2"/>
  <c r="R3363" i="2"/>
  <c r="Q3363" i="2"/>
  <c r="P3363" i="2"/>
  <c r="O3363" i="2"/>
  <c r="N3363" i="2"/>
  <c r="M3363" i="2"/>
  <c r="L3363" i="2"/>
  <c r="K3363" i="2"/>
  <c r="J3363" i="2"/>
  <c r="I3363" i="2"/>
  <c r="H3363" i="2"/>
  <c r="G3363" i="2"/>
  <c r="F3363" i="2"/>
  <c r="E3363" i="2"/>
  <c r="D3363" i="2"/>
  <c r="C3363" i="2"/>
  <c r="B3363" i="2"/>
  <c r="V3362" i="2"/>
  <c r="U3362" i="2"/>
  <c r="T3362" i="2"/>
  <c r="S3362" i="2"/>
  <c r="R3362" i="2"/>
  <c r="Q3362" i="2"/>
  <c r="P3362" i="2"/>
  <c r="O3362" i="2"/>
  <c r="N3362" i="2"/>
  <c r="M3362" i="2"/>
  <c r="L3362" i="2"/>
  <c r="K3362" i="2"/>
  <c r="J3362" i="2"/>
  <c r="I3362" i="2"/>
  <c r="H3362" i="2"/>
  <c r="G3362" i="2"/>
  <c r="F3362" i="2"/>
  <c r="E3362" i="2"/>
  <c r="D3362" i="2"/>
  <c r="C3362" i="2"/>
  <c r="B3362" i="2"/>
  <c r="V3361" i="2"/>
  <c r="U3361" i="2"/>
  <c r="T3361" i="2"/>
  <c r="S3361" i="2"/>
  <c r="R3361" i="2"/>
  <c r="Q3361" i="2"/>
  <c r="P3361" i="2"/>
  <c r="O3361" i="2"/>
  <c r="N3361" i="2"/>
  <c r="M3361" i="2"/>
  <c r="L3361" i="2"/>
  <c r="K3361" i="2"/>
  <c r="J3361" i="2"/>
  <c r="I3361" i="2"/>
  <c r="H3361" i="2"/>
  <c r="G3361" i="2"/>
  <c r="F3361" i="2"/>
  <c r="E3361" i="2"/>
  <c r="D3361" i="2"/>
  <c r="C3361" i="2"/>
  <c r="B3361" i="2"/>
  <c r="V3360" i="2"/>
  <c r="U3360" i="2"/>
  <c r="T3360" i="2"/>
  <c r="S3360" i="2"/>
  <c r="R3360" i="2"/>
  <c r="Q3360" i="2"/>
  <c r="P3360" i="2"/>
  <c r="O3360" i="2"/>
  <c r="N3360" i="2"/>
  <c r="M3360" i="2"/>
  <c r="L3360" i="2"/>
  <c r="K3360" i="2"/>
  <c r="J3360" i="2"/>
  <c r="I3360" i="2"/>
  <c r="H3360" i="2"/>
  <c r="G3360" i="2"/>
  <c r="F3360" i="2"/>
  <c r="E3360" i="2"/>
  <c r="D3360" i="2"/>
  <c r="C3360" i="2"/>
  <c r="B3360" i="2"/>
  <c r="V3359" i="2"/>
  <c r="U3359" i="2"/>
  <c r="T3359" i="2"/>
  <c r="S3359" i="2"/>
  <c r="R3359" i="2"/>
  <c r="Q3359" i="2"/>
  <c r="P3359" i="2"/>
  <c r="O3359" i="2"/>
  <c r="N3359" i="2"/>
  <c r="M3359" i="2"/>
  <c r="L3359" i="2"/>
  <c r="K3359" i="2"/>
  <c r="J3359" i="2"/>
  <c r="I3359" i="2"/>
  <c r="H3359" i="2"/>
  <c r="G3359" i="2"/>
  <c r="F3359" i="2"/>
  <c r="E3359" i="2"/>
  <c r="D3359" i="2"/>
  <c r="C3359" i="2"/>
  <c r="B3359" i="2"/>
  <c r="V3358" i="2"/>
  <c r="U3358" i="2"/>
  <c r="T3358" i="2"/>
  <c r="S3358" i="2"/>
  <c r="R3358" i="2"/>
  <c r="Q3358" i="2"/>
  <c r="P3358" i="2"/>
  <c r="O3358" i="2"/>
  <c r="N3358" i="2"/>
  <c r="M3358" i="2"/>
  <c r="L3358" i="2"/>
  <c r="K3358" i="2"/>
  <c r="J3358" i="2"/>
  <c r="I3358" i="2"/>
  <c r="H3358" i="2"/>
  <c r="G3358" i="2"/>
  <c r="F3358" i="2"/>
  <c r="E3358" i="2"/>
  <c r="D3358" i="2"/>
  <c r="C3358" i="2"/>
  <c r="B3358" i="2"/>
  <c r="V3357" i="2"/>
  <c r="U3357" i="2"/>
  <c r="T3357" i="2"/>
  <c r="S3357" i="2"/>
  <c r="R3357" i="2"/>
  <c r="Q3357" i="2"/>
  <c r="P3357" i="2"/>
  <c r="O3357" i="2"/>
  <c r="N3357" i="2"/>
  <c r="M3357" i="2"/>
  <c r="L3357" i="2"/>
  <c r="K3357" i="2"/>
  <c r="J3357" i="2"/>
  <c r="I3357" i="2"/>
  <c r="H3357" i="2"/>
  <c r="G3357" i="2"/>
  <c r="F3357" i="2"/>
  <c r="E3357" i="2"/>
  <c r="D3357" i="2"/>
  <c r="C3357" i="2"/>
  <c r="B3357" i="2"/>
  <c r="V3356" i="2"/>
  <c r="U3356" i="2"/>
  <c r="T3356" i="2"/>
  <c r="S3356" i="2"/>
  <c r="R3356" i="2"/>
  <c r="Q3356" i="2"/>
  <c r="P3356" i="2"/>
  <c r="O3356" i="2"/>
  <c r="N3356" i="2"/>
  <c r="M3356" i="2"/>
  <c r="L3356" i="2"/>
  <c r="K3356" i="2"/>
  <c r="J3356" i="2"/>
  <c r="I3356" i="2"/>
  <c r="H3356" i="2"/>
  <c r="G3356" i="2"/>
  <c r="F3356" i="2"/>
  <c r="E3356" i="2"/>
  <c r="D3356" i="2"/>
  <c r="C3356" i="2"/>
  <c r="B3356" i="2"/>
  <c r="V3355" i="2"/>
  <c r="U3355" i="2"/>
  <c r="T3355" i="2"/>
  <c r="S3355" i="2"/>
  <c r="R3355" i="2"/>
  <c r="Q3355" i="2"/>
  <c r="P3355" i="2"/>
  <c r="O3355" i="2"/>
  <c r="N3355" i="2"/>
  <c r="M3355" i="2"/>
  <c r="L3355" i="2"/>
  <c r="K3355" i="2"/>
  <c r="J3355" i="2"/>
  <c r="I3355" i="2"/>
  <c r="H3355" i="2"/>
  <c r="G3355" i="2"/>
  <c r="F3355" i="2"/>
  <c r="E3355" i="2"/>
  <c r="D3355" i="2"/>
  <c r="C3355" i="2"/>
  <c r="B3355" i="2"/>
  <c r="V3354" i="2"/>
  <c r="U3354" i="2"/>
  <c r="T3354" i="2"/>
  <c r="S3354" i="2"/>
  <c r="R3354" i="2"/>
  <c r="Q3354" i="2"/>
  <c r="P3354" i="2"/>
  <c r="O3354" i="2"/>
  <c r="N3354" i="2"/>
  <c r="M3354" i="2"/>
  <c r="L3354" i="2"/>
  <c r="K3354" i="2"/>
  <c r="J3354" i="2"/>
  <c r="I3354" i="2"/>
  <c r="H3354" i="2"/>
  <c r="G3354" i="2"/>
  <c r="F3354" i="2"/>
  <c r="E3354" i="2"/>
  <c r="D3354" i="2"/>
  <c r="C3354" i="2"/>
  <c r="B3354" i="2"/>
  <c r="V3353" i="2"/>
  <c r="U3353" i="2"/>
  <c r="T3353" i="2"/>
  <c r="S3353" i="2"/>
  <c r="R3353" i="2"/>
  <c r="Q3353" i="2"/>
  <c r="P3353" i="2"/>
  <c r="O3353" i="2"/>
  <c r="N3353" i="2"/>
  <c r="M3353" i="2"/>
  <c r="L3353" i="2"/>
  <c r="K3353" i="2"/>
  <c r="J3353" i="2"/>
  <c r="I3353" i="2"/>
  <c r="H3353" i="2"/>
  <c r="G3353" i="2"/>
  <c r="F3353" i="2"/>
  <c r="E3353" i="2"/>
  <c r="D3353" i="2"/>
  <c r="C3353" i="2"/>
  <c r="B3353" i="2"/>
  <c r="V3352" i="2"/>
  <c r="U3352" i="2"/>
  <c r="T3352" i="2"/>
  <c r="S3352" i="2"/>
  <c r="R3352" i="2"/>
  <c r="Q3352" i="2"/>
  <c r="P3352" i="2"/>
  <c r="O3352" i="2"/>
  <c r="N3352" i="2"/>
  <c r="M3352" i="2"/>
  <c r="L3352" i="2"/>
  <c r="K3352" i="2"/>
  <c r="J3352" i="2"/>
  <c r="I3352" i="2"/>
  <c r="H3352" i="2"/>
  <c r="G3352" i="2"/>
  <c r="F3352" i="2"/>
  <c r="E3352" i="2"/>
  <c r="D3352" i="2"/>
  <c r="C3352" i="2"/>
  <c r="B3352" i="2"/>
  <c r="V3351" i="2"/>
  <c r="U3351" i="2"/>
  <c r="T3351" i="2"/>
  <c r="S3351" i="2"/>
  <c r="R3351" i="2"/>
  <c r="Q3351" i="2"/>
  <c r="P3351" i="2"/>
  <c r="O3351" i="2"/>
  <c r="N3351" i="2"/>
  <c r="M3351" i="2"/>
  <c r="L3351" i="2"/>
  <c r="K3351" i="2"/>
  <c r="J3351" i="2"/>
  <c r="I3351" i="2"/>
  <c r="H3351" i="2"/>
  <c r="G3351" i="2"/>
  <c r="F3351" i="2"/>
  <c r="E3351" i="2"/>
  <c r="D3351" i="2"/>
  <c r="C3351" i="2"/>
  <c r="B3351" i="2"/>
  <c r="V3350" i="2"/>
  <c r="U3350" i="2"/>
  <c r="T3350" i="2"/>
  <c r="S3350" i="2"/>
  <c r="R3350" i="2"/>
  <c r="Q3350" i="2"/>
  <c r="P3350" i="2"/>
  <c r="O3350" i="2"/>
  <c r="N3350" i="2"/>
  <c r="M3350" i="2"/>
  <c r="L3350" i="2"/>
  <c r="K3350" i="2"/>
  <c r="J3350" i="2"/>
  <c r="I3350" i="2"/>
  <c r="H3350" i="2"/>
  <c r="G3350" i="2"/>
  <c r="F3350" i="2"/>
  <c r="E3350" i="2"/>
  <c r="D3350" i="2"/>
  <c r="C3350" i="2"/>
  <c r="B3350" i="2"/>
  <c r="V3349" i="2"/>
  <c r="U3349" i="2"/>
  <c r="T3349" i="2"/>
  <c r="S3349" i="2"/>
  <c r="R3349" i="2"/>
  <c r="Q3349" i="2"/>
  <c r="P3349" i="2"/>
  <c r="O3349" i="2"/>
  <c r="N3349" i="2"/>
  <c r="M3349" i="2"/>
  <c r="L3349" i="2"/>
  <c r="K3349" i="2"/>
  <c r="J3349" i="2"/>
  <c r="I3349" i="2"/>
  <c r="H3349" i="2"/>
  <c r="G3349" i="2"/>
  <c r="F3349" i="2"/>
  <c r="E3349" i="2"/>
  <c r="D3349" i="2"/>
  <c r="C3349" i="2"/>
  <c r="B3349" i="2"/>
  <c r="V3348" i="2"/>
  <c r="U3348" i="2"/>
  <c r="T3348" i="2"/>
  <c r="S3348" i="2"/>
  <c r="R3348" i="2"/>
  <c r="Q3348" i="2"/>
  <c r="P3348" i="2"/>
  <c r="O3348" i="2"/>
  <c r="N3348" i="2"/>
  <c r="M3348" i="2"/>
  <c r="L3348" i="2"/>
  <c r="K3348" i="2"/>
  <c r="J3348" i="2"/>
  <c r="I3348" i="2"/>
  <c r="H3348" i="2"/>
  <c r="G3348" i="2"/>
  <c r="F3348" i="2"/>
  <c r="E3348" i="2"/>
  <c r="D3348" i="2"/>
  <c r="C3348" i="2"/>
  <c r="B3348" i="2"/>
  <c r="V3347" i="2"/>
  <c r="U3347" i="2"/>
  <c r="T3347" i="2"/>
  <c r="S3347" i="2"/>
  <c r="R3347" i="2"/>
  <c r="Q3347" i="2"/>
  <c r="P3347" i="2"/>
  <c r="O3347" i="2"/>
  <c r="N3347" i="2"/>
  <c r="M3347" i="2"/>
  <c r="L3347" i="2"/>
  <c r="K3347" i="2"/>
  <c r="J3347" i="2"/>
  <c r="I3347" i="2"/>
  <c r="H3347" i="2"/>
  <c r="G3347" i="2"/>
  <c r="F3347" i="2"/>
  <c r="E3347" i="2"/>
  <c r="D3347" i="2"/>
  <c r="C3347" i="2"/>
  <c r="B3347" i="2"/>
  <c r="V3346" i="2"/>
  <c r="U3346" i="2"/>
  <c r="T3346" i="2"/>
  <c r="S3346" i="2"/>
  <c r="R3346" i="2"/>
  <c r="Q3346" i="2"/>
  <c r="P3346" i="2"/>
  <c r="O3346" i="2"/>
  <c r="N3346" i="2"/>
  <c r="M3346" i="2"/>
  <c r="L3346" i="2"/>
  <c r="K3346" i="2"/>
  <c r="J3346" i="2"/>
  <c r="I3346" i="2"/>
  <c r="H3346" i="2"/>
  <c r="G3346" i="2"/>
  <c r="F3346" i="2"/>
  <c r="E3346" i="2"/>
  <c r="D3346" i="2"/>
  <c r="C3346" i="2"/>
  <c r="B3346" i="2"/>
  <c r="V3345" i="2"/>
  <c r="U3345" i="2"/>
  <c r="T3345" i="2"/>
  <c r="S3345" i="2"/>
  <c r="R3345" i="2"/>
  <c r="Q3345" i="2"/>
  <c r="P3345" i="2"/>
  <c r="O3345" i="2"/>
  <c r="N3345" i="2"/>
  <c r="M3345" i="2"/>
  <c r="L3345" i="2"/>
  <c r="K3345" i="2"/>
  <c r="J3345" i="2"/>
  <c r="I3345" i="2"/>
  <c r="H3345" i="2"/>
  <c r="G3345" i="2"/>
  <c r="F3345" i="2"/>
  <c r="E3345" i="2"/>
  <c r="D3345" i="2"/>
  <c r="C3345" i="2"/>
  <c r="B3345" i="2"/>
  <c r="V3344" i="2"/>
  <c r="U3344" i="2"/>
  <c r="T3344" i="2"/>
  <c r="S3344" i="2"/>
  <c r="R3344" i="2"/>
  <c r="Q3344" i="2"/>
  <c r="P3344" i="2"/>
  <c r="O3344" i="2"/>
  <c r="N3344" i="2"/>
  <c r="M3344" i="2"/>
  <c r="L3344" i="2"/>
  <c r="K3344" i="2"/>
  <c r="J3344" i="2"/>
  <c r="I3344" i="2"/>
  <c r="H3344" i="2"/>
  <c r="G3344" i="2"/>
  <c r="F3344" i="2"/>
  <c r="E3344" i="2"/>
  <c r="D3344" i="2"/>
  <c r="C3344" i="2"/>
  <c r="B3344" i="2"/>
  <c r="V3343" i="2"/>
  <c r="U3343" i="2"/>
  <c r="T3343" i="2"/>
  <c r="S3343" i="2"/>
  <c r="R3343" i="2"/>
  <c r="Q3343" i="2"/>
  <c r="P3343" i="2"/>
  <c r="O3343" i="2"/>
  <c r="N3343" i="2"/>
  <c r="M3343" i="2"/>
  <c r="L3343" i="2"/>
  <c r="K3343" i="2"/>
  <c r="J3343" i="2"/>
  <c r="I3343" i="2"/>
  <c r="H3343" i="2"/>
  <c r="G3343" i="2"/>
  <c r="F3343" i="2"/>
  <c r="E3343" i="2"/>
  <c r="D3343" i="2"/>
  <c r="C3343" i="2"/>
  <c r="B3343" i="2"/>
  <c r="V3342" i="2"/>
  <c r="U3342" i="2"/>
  <c r="T3342" i="2"/>
  <c r="S3342" i="2"/>
  <c r="R3342" i="2"/>
  <c r="Q3342" i="2"/>
  <c r="P3342" i="2"/>
  <c r="O3342" i="2"/>
  <c r="N3342" i="2"/>
  <c r="M3342" i="2"/>
  <c r="L3342" i="2"/>
  <c r="K3342" i="2"/>
  <c r="J3342" i="2"/>
  <c r="I3342" i="2"/>
  <c r="H3342" i="2"/>
  <c r="G3342" i="2"/>
  <c r="F3342" i="2"/>
  <c r="E3342" i="2"/>
  <c r="D3342" i="2"/>
  <c r="C3342" i="2"/>
  <c r="B3342" i="2"/>
  <c r="V3341" i="2"/>
  <c r="U3341" i="2"/>
  <c r="T3341" i="2"/>
  <c r="S3341" i="2"/>
  <c r="R3341" i="2"/>
  <c r="Q3341" i="2"/>
  <c r="P3341" i="2"/>
  <c r="O3341" i="2"/>
  <c r="N3341" i="2"/>
  <c r="M3341" i="2"/>
  <c r="L3341" i="2"/>
  <c r="K3341" i="2"/>
  <c r="J3341" i="2"/>
  <c r="I3341" i="2"/>
  <c r="H3341" i="2"/>
  <c r="G3341" i="2"/>
  <c r="F3341" i="2"/>
  <c r="E3341" i="2"/>
  <c r="D3341" i="2"/>
  <c r="C3341" i="2"/>
  <c r="B3341" i="2"/>
  <c r="V3340" i="2"/>
  <c r="U3340" i="2"/>
  <c r="T3340" i="2"/>
  <c r="S3340" i="2"/>
  <c r="R3340" i="2"/>
  <c r="Q3340" i="2"/>
  <c r="P3340" i="2"/>
  <c r="O3340" i="2"/>
  <c r="N3340" i="2"/>
  <c r="M3340" i="2"/>
  <c r="L3340" i="2"/>
  <c r="K3340" i="2"/>
  <c r="J3340" i="2"/>
  <c r="I3340" i="2"/>
  <c r="H3340" i="2"/>
  <c r="G3340" i="2"/>
  <c r="F3340" i="2"/>
  <c r="E3340" i="2"/>
  <c r="D3340" i="2"/>
  <c r="C3340" i="2"/>
  <c r="B3340" i="2"/>
  <c r="V3339" i="2"/>
  <c r="U3339" i="2"/>
  <c r="T3339" i="2"/>
  <c r="S3339" i="2"/>
  <c r="R3339" i="2"/>
  <c r="Q3339" i="2"/>
  <c r="P3339" i="2"/>
  <c r="O3339" i="2"/>
  <c r="N3339" i="2"/>
  <c r="M3339" i="2"/>
  <c r="L3339" i="2"/>
  <c r="K3339" i="2"/>
  <c r="J3339" i="2"/>
  <c r="I3339" i="2"/>
  <c r="H3339" i="2"/>
  <c r="G3339" i="2"/>
  <c r="F3339" i="2"/>
  <c r="E3339" i="2"/>
  <c r="D3339" i="2"/>
  <c r="C3339" i="2"/>
  <c r="B3339" i="2"/>
  <c r="V3338" i="2"/>
  <c r="U3338" i="2"/>
  <c r="T3338" i="2"/>
  <c r="S3338" i="2"/>
  <c r="R3338" i="2"/>
  <c r="Q3338" i="2"/>
  <c r="P3338" i="2"/>
  <c r="O3338" i="2"/>
  <c r="N3338" i="2"/>
  <c r="M3338" i="2"/>
  <c r="L3338" i="2"/>
  <c r="K3338" i="2"/>
  <c r="J3338" i="2"/>
  <c r="I3338" i="2"/>
  <c r="H3338" i="2"/>
  <c r="G3338" i="2"/>
  <c r="F3338" i="2"/>
  <c r="E3338" i="2"/>
  <c r="D3338" i="2"/>
  <c r="C3338" i="2"/>
  <c r="B3338" i="2"/>
  <c r="V3337" i="2"/>
  <c r="U3337" i="2"/>
  <c r="T3337" i="2"/>
  <c r="S3337" i="2"/>
  <c r="R3337" i="2"/>
  <c r="Q3337" i="2"/>
  <c r="P3337" i="2"/>
  <c r="O3337" i="2"/>
  <c r="N3337" i="2"/>
  <c r="M3337" i="2"/>
  <c r="L3337" i="2"/>
  <c r="K3337" i="2"/>
  <c r="J3337" i="2"/>
  <c r="I3337" i="2"/>
  <c r="H3337" i="2"/>
  <c r="G3337" i="2"/>
  <c r="F3337" i="2"/>
  <c r="E3337" i="2"/>
  <c r="D3337" i="2"/>
  <c r="C3337" i="2"/>
  <c r="B3337" i="2"/>
  <c r="V3336" i="2"/>
  <c r="U3336" i="2"/>
  <c r="T3336" i="2"/>
  <c r="S3336" i="2"/>
  <c r="R3336" i="2"/>
  <c r="Q3336" i="2"/>
  <c r="P3336" i="2"/>
  <c r="O3336" i="2"/>
  <c r="N3336" i="2"/>
  <c r="M3336" i="2"/>
  <c r="L3336" i="2"/>
  <c r="K3336" i="2"/>
  <c r="J3336" i="2"/>
  <c r="I3336" i="2"/>
  <c r="H3336" i="2"/>
  <c r="G3336" i="2"/>
  <c r="F3336" i="2"/>
  <c r="E3336" i="2"/>
  <c r="D3336" i="2"/>
  <c r="C3336" i="2"/>
  <c r="B3336" i="2"/>
  <c r="V3335" i="2"/>
  <c r="U3335" i="2"/>
  <c r="T3335" i="2"/>
  <c r="S3335" i="2"/>
  <c r="R3335" i="2"/>
  <c r="Q3335" i="2"/>
  <c r="P3335" i="2"/>
  <c r="O3335" i="2"/>
  <c r="N3335" i="2"/>
  <c r="M3335" i="2"/>
  <c r="L3335" i="2"/>
  <c r="K3335" i="2"/>
  <c r="J3335" i="2"/>
  <c r="I3335" i="2"/>
  <c r="H3335" i="2"/>
  <c r="G3335" i="2"/>
  <c r="F3335" i="2"/>
  <c r="E3335" i="2"/>
  <c r="D3335" i="2"/>
  <c r="C3335" i="2"/>
  <c r="B3335" i="2"/>
  <c r="V3334" i="2"/>
  <c r="U3334" i="2"/>
  <c r="T3334" i="2"/>
  <c r="S3334" i="2"/>
  <c r="R3334" i="2"/>
  <c r="Q3334" i="2"/>
  <c r="P3334" i="2"/>
  <c r="O3334" i="2"/>
  <c r="N3334" i="2"/>
  <c r="M3334" i="2"/>
  <c r="L3334" i="2"/>
  <c r="K3334" i="2"/>
  <c r="J3334" i="2"/>
  <c r="I3334" i="2"/>
  <c r="H3334" i="2"/>
  <c r="G3334" i="2"/>
  <c r="F3334" i="2"/>
  <c r="E3334" i="2"/>
  <c r="D3334" i="2"/>
  <c r="C3334" i="2"/>
  <c r="B3334" i="2"/>
  <c r="V3333" i="2"/>
  <c r="U3333" i="2"/>
  <c r="T3333" i="2"/>
  <c r="S3333" i="2"/>
  <c r="R3333" i="2"/>
  <c r="Q3333" i="2"/>
  <c r="P3333" i="2"/>
  <c r="O3333" i="2"/>
  <c r="N3333" i="2"/>
  <c r="M3333" i="2"/>
  <c r="L3333" i="2"/>
  <c r="K3333" i="2"/>
  <c r="J3333" i="2"/>
  <c r="I3333" i="2"/>
  <c r="H3333" i="2"/>
  <c r="G3333" i="2"/>
  <c r="F3333" i="2"/>
  <c r="E3333" i="2"/>
  <c r="D3333" i="2"/>
  <c r="C3333" i="2"/>
  <c r="B3333" i="2"/>
  <c r="V3332" i="2"/>
  <c r="U3332" i="2"/>
  <c r="T3332" i="2"/>
  <c r="S3332" i="2"/>
  <c r="R3332" i="2"/>
  <c r="Q3332" i="2"/>
  <c r="P3332" i="2"/>
  <c r="O3332" i="2"/>
  <c r="N3332" i="2"/>
  <c r="M3332" i="2"/>
  <c r="L3332" i="2"/>
  <c r="K3332" i="2"/>
  <c r="J3332" i="2"/>
  <c r="I3332" i="2"/>
  <c r="H3332" i="2"/>
  <c r="G3332" i="2"/>
  <c r="F3332" i="2"/>
  <c r="E3332" i="2"/>
  <c r="D3332" i="2"/>
  <c r="C3332" i="2"/>
  <c r="B3332" i="2"/>
  <c r="V3331" i="2"/>
  <c r="U3331" i="2"/>
  <c r="T3331" i="2"/>
  <c r="S3331" i="2"/>
  <c r="R3331" i="2"/>
  <c r="Q3331" i="2"/>
  <c r="P3331" i="2"/>
  <c r="O3331" i="2"/>
  <c r="N3331" i="2"/>
  <c r="M3331" i="2"/>
  <c r="L3331" i="2"/>
  <c r="K3331" i="2"/>
  <c r="J3331" i="2"/>
  <c r="I3331" i="2"/>
  <c r="H3331" i="2"/>
  <c r="G3331" i="2"/>
  <c r="F3331" i="2"/>
  <c r="E3331" i="2"/>
  <c r="D3331" i="2"/>
  <c r="C3331" i="2"/>
  <c r="B3331" i="2"/>
  <c r="V3330" i="2"/>
  <c r="U3330" i="2"/>
  <c r="T3330" i="2"/>
  <c r="S3330" i="2"/>
  <c r="R3330" i="2"/>
  <c r="Q3330" i="2"/>
  <c r="P3330" i="2"/>
  <c r="O3330" i="2"/>
  <c r="N3330" i="2"/>
  <c r="M3330" i="2"/>
  <c r="L3330" i="2"/>
  <c r="K3330" i="2"/>
  <c r="J3330" i="2"/>
  <c r="I3330" i="2"/>
  <c r="H3330" i="2"/>
  <c r="G3330" i="2"/>
  <c r="F3330" i="2"/>
  <c r="E3330" i="2"/>
  <c r="D3330" i="2"/>
  <c r="C3330" i="2"/>
  <c r="B3330" i="2"/>
  <c r="V3329" i="2"/>
  <c r="U3329" i="2"/>
  <c r="T3329" i="2"/>
  <c r="S3329" i="2"/>
  <c r="R3329" i="2"/>
  <c r="Q3329" i="2"/>
  <c r="P3329" i="2"/>
  <c r="O3329" i="2"/>
  <c r="N3329" i="2"/>
  <c r="M3329" i="2"/>
  <c r="L3329" i="2"/>
  <c r="K3329" i="2"/>
  <c r="J3329" i="2"/>
  <c r="I3329" i="2"/>
  <c r="H3329" i="2"/>
  <c r="G3329" i="2"/>
  <c r="F3329" i="2"/>
  <c r="E3329" i="2"/>
  <c r="D3329" i="2"/>
  <c r="C3329" i="2"/>
  <c r="B3329" i="2"/>
  <c r="V3328" i="2"/>
  <c r="U3328" i="2"/>
  <c r="T3328" i="2"/>
  <c r="S3328" i="2"/>
  <c r="R3328" i="2"/>
  <c r="Q3328" i="2"/>
  <c r="P3328" i="2"/>
  <c r="O3328" i="2"/>
  <c r="N3328" i="2"/>
  <c r="M3328" i="2"/>
  <c r="L3328" i="2"/>
  <c r="K3328" i="2"/>
  <c r="J3328" i="2"/>
  <c r="I3328" i="2"/>
  <c r="H3328" i="2"/>
  <c r="G3328" i="2"/>
  <c r="F3328" i="2"/>
  <c r="E3328" i="2"/>
  <c r="D3328" i="2"/>
  <c r="C3328" i="2"/>
  <c r="B3328" i="2"/>
  <c r="V3327" i="2"/>
  <c r="U3327" i="2"/>
  <c r="T3327" i="2"/>
  <c r="S3327" i="2"/>
  <c r="R3327" i="2"/>
  <c r="Q3327" i="2"/>
  <c r="P3327" i="2"/>
  <c r="O3327" i="2"/>
  <c r="N3327" i="2"/>
  <c r="M3327" i="2"/>
  <c r="L3327" i="2"/>
  <c r="K3327" i="2"/>
  <c r="J3327" i="2"/>
  <c r="I3327" i="2"/>
  <c r="H3327" i="2"/>
  <c r="G3327" i="2"/>
  <c r="F3327" i="2"/>
  <c r="E3327" i="2"/>
  <c r="D3327" i="2"/>
  <c r="C3327" i="2"/>
  <c r="B3327" i="2"/>
  <c r="V3326" i="2"/>
  <c r="U3326" i="2"/>
  <c r="T3326" i="2"/>
  <c r="S3326" i="2"/>
  <c r="R3326" i="2"/>
  <c r="Q3326" i="2"/>
  <c r="P3326" i="2"/>
  <c r="O3326" i="2"/>
  <c r="N3326" i="2"/>
  <c r="M3326" i="2"/>
  <c r="L3326" i="2"/>
  <c r="K3326" i="2"/>
  <c r="J3326" i="2"/>
  <c r="I3326" i="2"/>
  <c r="H3326" i="2"/>
  <c r="G3326" i="2"/>
  <c r="F3326" i="2"/>
  <c r="E3326" i="2"/>
  <c r="D3326" i="2"/>
  <c r="C3326" i="2"/>
  <c r="B3326" i="2"/>
  <c r="V3325" i="2"/>
  <c r="U3325" i="2"/>
  <c r="T3325" i="2"/>
  <c r="S3325" i="2"/>
  <c r="R3325" i="2"/>
  <c r="Q3325" i="2"/>
  <c r="P3325" i="2"/>
  <c r="O3325" i="2"/>
  <c r="N3325" i="2"/>
  <c r="M3325" i="2"/>
  <c r="L3325" i="2"/>
  <c r="K3325" i="2"/>
  <c r="J3325" i="2"/>
  <c r="I3325" i="2"/>
  <c r="H3325" i="2"/>
  <c r="G3325" i="2"/>
  <c r="F3325" i="2"/>
  <c r="E3325" i="2"/>
  <c r="D3325" i="2"/>
  <c r="C3325" i="2"/>
  <c r="B3325" i="2"/>
  <c r="V3324" i="2"/>
  <c r="U3324" i="2"/>
  <c r="T3324" i="2"/>
  <c r="S3324" i="2"/>
  <c r="R3324" i="2"/>
  <c r="Q3324" i="2"/>
  <c r="P3324" i="2"/>
  <c r="O3324" i="2"/>
  <c r="N3324" i="2"/>
  <c r="M3324" i="2"/>
  <c r="L3324" i="2"/>
  <c r="K3324" i="2"/>
  <c r="J3324" i="2"/>
  <c r="I3324" i="2"/>
  <c r="H3324" i="2"/>
  <c r="G3324" i="2"/>
  <c r="F3324" i="2"/>
  <c r="E3324" i="2"/>
  <c r="D3324" i="2"/>
  <c r="C3324" i="2"/>
  <c r="B3324" i="2"/>
  <c r="V3323" i="2"/>
  <c r="U3323" i="2"/>
  <c r="T3323" i="2"/>
  <c r="S3323" i="2"/>
  <c r="R3323" i="2"/>
  <c r="Q3323" i="2"/>
  <c r="P3323" i="2"/>
  <c r="O3323" i="2"/>
  <c r="N3323" i="2"/>
  <c r="M3323" i="2"/>
  <c r="L3323" i="2"/>
  <c r="K3323" i="2"/>
  <c r="J3323" i="2"/>
  <c r="I3323" i="2"/>
  <c r="H3323" i="2"/>
  <c r="G3323" i="2"/>
  <c r="F3323" i="2"/>
  <c r="E3323" i="2"/>
  <c r="D3323" i="2"/>
  <c r="C3323" i="2"/>
  <c r="B3323" i="2"/>
  <c r="V3322" i="2"/>
  <c r="U3322" i="2"/>
  <c r="T3322" i="2"/>
  <c r="S3322" i="2"/>
  <c r="R3322" i="2"/>
  <c r="Q3322" i="2"/>
  <c r="P3322" i="2"/>
  <c r="O3322" i="2"/>
  <c r="N3322" i="2"/>
  <c r="M3322" i="2"/>
  <c r="L3322" i="2"/>
  <c r="K3322" i="2"/>
  <c r="J3322" i="2"/>
  <c r="I3322" i="2"/>
  <c r="H3322" i="2"/>
  <c r="G3322" i="2"/>
  <c r="F3322" i="2"/>
  <c r="E3322" i="2"/>
  <c r="D3322" i="2"/>
  <c r="C3322" i="2"/>
  <c r="B3322" i="2"/>
  <c r="V3321" i="2"/>
  <c r="U3321" i="2"/>
  <c r="T3321" i="2"/>
  <c r="S3321" i="2"/>
  <c r="R3321" i="2"/>
  <c r="Q3321" i="2"/>
  <c r="P3321" i="2"/>
  <c r="O3321" i="2"/>
  <c r="N3321" i="2"/>
  <c r="M3321" i="2"/>
  <c r="L3321" i="2"/>
  <c r="K3321" i="2"/>
  <c r="J3321" i="2"/>
  <c r="I3321" i="2"/>
  <c r="H3321" i="2"/>
  <c r="G3321" i="2"/>
  <c r="F3321" i="2"/>
  <c r="E3321" i="2"/>
  <c r="D3321" i="2"/>
  <c r="C3321" i="2"/>
  <c r="B3321" i="2"/>
  <c r="V3320" i="2"/>
  <c r="U3320" i="2"/>
  <c r="T3320" i="2"/>
  <c r="S3320" i="2"/>
  <c r="R3320" i="2"/>
  <c r="Q3320" i="2"/>
  <c r="P3320" i="2"/>
  <c r="O3320" i="2"/>
  <c r="N3320" i="2"/>
  <c r="M3320" i="2"/>
  <c r="L3320" i="2"/>
  <c r="K3320" i="2"/>
  <c r="J3320" i="2"/>
  <c r="I3320" i="2"/>
  <c r="H3320" i="2"/>
  <c r="G3320" i="2"/>
  <c r="F3320" i="2"/>
  <c r="E3320" i="2"/>
  <c r="D3320" i="2"/>
  <c r="C3320" i="2"/>
  <c r="B3320" i="2"/>
  <c r="V3319" i="2"/>
  <c r="U3319" i="2"/>
  <c r="T3319" i="2"/>
  <c r="S3319" i="2"/>
  <c r="R3319" i="2"/>
  <c r="Q3319" i="2"/>
  <c r="P3319" i="2"/>
  <c r="O3319" i="2"/>
  <c r="N3319" i="2"/>
  <c r="M3319" i="2"/>
  <c r="L3319" i="2"/>
  <c r="K3319" i="2"/>
  <c r="J3319" i="2"/>
  <c r="I3319" i="2"/>
  <c r="H3319" i="2"/>
  <c r="G3319" i="2"/>
  <c r="F3319" i="2"/>
  <c r="E3319" i="2"/>
  <c r="D3319" i="2"/>
  <c r="C3319" i="2"/>
  <c r="B3319" i="2"/>
  <c r="V3318" i="2"/>
  <c r="U3318" i="2"/>
  <c r="T3318" i="2"/>
  <c r="S3318" i="2"/>
  <c r="R3318" i="2"/>
  <c r="Q3318" i="2"/>
  <c r="P3318" i="2"/>
  <c r="O3318" i="2"/>
  <c r="N3318" i="2"/>
  <c r="M3318" i="2"/>
  <c r="L3318" i="2"/>
  <c r="K3318" i="2"/>
  <c r="J3318" i="2"/>
  <c r="I3318" i="2"/>
  <c r="H3318" i="2"/>
  <c r="G3318" i="2"/>
  <c r="F3318" i="2"/>
  <c r="E3318" i="2"/>
  <c r="D3318" i="2"/>
  <c r="C3318" i="2"/>
  <c r="B3318" i="2"/>
  <c r="V3317" i="2"/>
  <c r="U3317" i="2"/>
  <c r="T3317" i="2"/>
  <c r="S3317" i="2"/>
  <c r="R3317" i="2"/>
  <c r="Q3317" i="2"/>
  <c r="P3317" i="2"/>
  <c r="O3317" i="2"/>
  <c r="N3317" i="2"/>
  <c r="M3317" i="2"/>
  <c r="L3317" i="2"/>
  <c r="K3317" i="2"/>
  <c r="J3317" i="2"/>
  <c r="I3317" i="2"/>
  <c r="H3317" i="2"/>
  <c r="G3317" i="2"/>
  <c r="F3317" i="2"/>
  <c r="E3317" i="2"/>
  <c r="D3317" i="2"/>
  <c r="C3317" i="2"/>
  <c r="B3317" i="2"/>
  <c r="V3316" i="2"/>
  <c r="U3316" i="2"/>
  <c r="T3316" i="2"/>
  <c r="S3316" i="2"/>
  <c r="R3316" i="2"/>
  <c r="Q3316" i="2"/>
  <c r="P3316" i="2"/>
  <c r="O3316" i="2"/>
  <c r="N3316" i="2"/>
  <c r="M3316" i="2"/>
  <c r="L3316" i="2"/>
  <c r="K3316" i="2"/>
  <c r="J3316" i="2"/>
  <c r="I3316" i="2"/>
  <c r="H3316" i="2"/>
  <c r="G3316" i="2"/>
  <c r="F3316" i="2"/>
  <c r="E3316" i="2"/>
  <c r="D3316" i="2"/>
  <c r="C3316" i="2"/>
  <c r="B3316" i="2"/>
  <c r="V3315" i="2"/>
  <c r="U3315" i="2"/>
  <c r="T3315" i="2"/>
  <c r="S3315" i="2"/>
  <c r="R3315" i="2"/>
  <c r="Q3315" i="2"/>
  <c r="P3315" i="2"/>
  <c r="O3315" i="2"/>
  <c r="N3315" i="2"/>
  <c r="M3315" i="2"/>
  <c r="L3315" i="2"/>
  <c r="K3315" i="2"/>
  <c r="J3315" i="2"/>
  <c r="I3315" i="2"/>
  <c r="H3315" i="2"/>
  <c r="G3315" i="2"/>
  <c r="F3315" i="2"/>
  <c r="E3315" i="2"/>
  <c r="D3315" i="2"/>
  <c r="C3315" i="2"/>
  <c r="B3315" i="2"/>
  <c r="V3314" i="2"/>
  <c r="U3314" i="2"/>
  <c r="T3314" i="2"/>
  <c r="S3314" i="2"/>
  <c r="R3314" i="2"/>
  <c r="Q3314" i="2"/>
  <c r="P3314" i="2"/>
  <c r="O3314" i="2"/>
  <c r="N3314" i="2"/>
  <c r="M3314" i="2"/>
  <c r="L3314" i="2"/>
  <c r="K3314" i="2"/>
  <c r="J3314" i="2"/>
  <c r="I3314" i="2"/>
  <c r="H3314" i="2"/>
  <c r="G3314" i="2"/>
  <c r="F3314" i="2"/>
  <c r="E3314" i="2"/>
  <c r="D3314" i="2"/>
  <c r="C3314" i="2"/>
  <c r="B3314" i="2"/>
  <c r="V3313" i="2"/>
  <c r="U3313" i="2"/>
  <c r="T3313" i="2"/>
  <c r="S3313" i="2"/>
  <c r="R3313" i="2"/>
  <c r="Q3313" i="2"/>
  <c r="P3313" i="2"/>
  <c r="O3313" i="2"/>
  <c r="N3313" i="2"/>
  <c r="M3313" i="2"/>
  <c r="L3313" i="2"/>
  <c r="K3313" i="2"/>
  <c r="J3313" i="2"/>
  <c r="I3313" i="2"/>
  <c r="H3313" i="2"/>
  <c r="G3313" i="2"/>
  <c r="F3313" i="2"/>
  <c r="E3313" i="2"/>
  <c r="D3313" i="2"/>
  <c r="C3313" i="2"/>
  <c r="B3313" i="2"/>
  <c r="V3312" i="2"/>
  <c r="U3312" i="2"/>
  <c r="T3312" i="2"/>
  <c r="S3312" i="2"/>
  <c r="R3312" i="2"/>
  <c r="Q3312" i="2"/>
  <c r="P3312" i="2"/>
  <c r="O3312" i="2"/>
  <c r="N3312" i="2"/>
  <c r="M3312" i="2"/>
  <c r="L3312" i="2"/>
  <c r="K3312" i="2"/>
  <c r="J3312" i="2"/>
  <c r="I3312" i="2"/>
  <c r="H3312" i="2"/>
  <c r="G3312" i="2"/>
  <c r="F3312" i="2"/>
  <c r="E3312" i="2"/>
  <c r="D3312" i="2"/>
  <c r="C3312" i="2"/>
  <c r="B3312" i="2"/>
  <c r="V3311" i="2"/>
  <c r="U3311" i="2"/>
  <c r="T3311" i="2"/>
  <c r="S3311" i="2"/>
  <c r="R3311" i="2"/>
  <c r="Q3311" i="2"/>
  <c r="P3311" i="2"/>
  <c r="O3311" i="2"/>
  <c r="N3311" i="2"/>
  <c r="M3311" i="2"/>
  <c r="L3311" i="2"/>
  <c r="K3311" i="2"/>
  <c r="J3311" i="2"/>
  <c r="I3311" i="2"/>
  <c r="H3311" i="2"/>
  <c r="G3311" i="2"/>
  <c r="F3311" i="2"/>
  <c r="E3311" i="2"/>
  <c r="D3311" i="2"/>
  <c r="C3311" i="2"/>
  <c r="B3311" i="2"/>
  <c r="V3310" i="2"/>
  <c r="U3310" i="2"/>
  <c r="T3310" i="2"/>
  <c r="S3310" i="2"/>
  <c r="R3310" i="2"/>
  <c r="Q3310" i="2"/>
  <c r="P3310" i="2"/>
  <c r="O3310" i="2"/>
  <c r="N3310" i="2"/>
  <c r="M3310" i="2"/>
  <c r="L3310" i="2"/>
  <c r="K3310" i="2"/>
  <c r="J3310" i="2"/>
  <c r="I3310" i="2"/>
  <c r="H3310" i="2"/>
  <c r="G3310" i="2"/>
  <c r="F3310" i="2"/>
  <c r="E3310" i="2"/>
  <c r="D3310" i="2"/>
  <c r="C3310" i="2"/>
  <c r="B3310" i="2"/>
  <c r="V3309" i="2"/>
  <c r="U3309" i="2"/>
  <c r="T3309" i="2"/>
  <c r="S3309" i="2"/>
  <c r="R3309" i="2"/>
  <c r="Q3309" i="2"/>
  <c r="P3309" i="2"/>
  <c r="O3309" i="2"/>
  <c r="N3309" i="2"/>
  <c r="M3309" i="2"/>
  <c r="L3309" i="2"/>
  <c r="K3309" i="2"/>
  <c r="J3309" i="2"/>
  <c r="I3309" i="2"/>
  <c r="H3309" i="2"/>
  <c r="G3309" i="2"/>
  <c r="F3309" i="2"/>
  <c r="E3309" i="2"/>
  <c r="D3309" i="2"/>
  <c r="C3309" i="2"/>
  <c r="B3309" i="2"/>
  <c r="V3308" i="2"/>
  <c r="U3308" i="2"/>
  <c r="T3308" i="2"/>
  <c r="S3308" i="2"/>
  <c r="R3308" i="2"/>
  <c r="Q3308" i="2"/>
  <c r="P3308" i="2"/>
  <c r="O3308" i="2"/>
  <c r="N3308" i="2"/>
  <c r="M3308" i="2"/>
  <c r="L3308" i="2"/>
  <c r="K3308" i="2"/>
  <c r="J3308" i="2"/>
  <c r="I3308" i="2"/>
  <c r="H3308" i="2"/>
  <c r="G3308" i="2"/>
  <c r="F3308" i="2"/>
  <c r="E3308" i="2"/>
  <c r="D3308" i="2"/>
  <c r="C3308" i="2"/>
  <c r="B3308" i="2"/>
  <c r="V3307" i="2"/>
  <c r="U3307" i="2"/>
  <c r="T3307" i="2"/>
  <c r="S3307" i="2"/>
  <c r="R3307" i="2"/>
  <c r="Q3307" i="2"/>
  <c r="P3307" i="2"/>
  <c r="O3307" i="2"/>
  <c r="N3307" i="2"/>
  <c r="M3307" i="2"/>
  <c r="L3307" i="2"/>
  <c r="K3307" i="2"/>
  <c r="J3307" i="2"/>
  <c r="I3307" i="2"/>
  <c r="H3307" i="2"/>
  <c r="G3307" i="2"/>
  <c r="F3307" i="2"/>
  <c r="E3307" i="2"/>
  <c r="D3307" i="2"/>
  <c r="C3307" i="2"/>
  <c r="B3307" i="2"/>
  <c r="V3306" i="2"/>
  <c r="U3306" i="2"/>
  <c r="T3306" i="2"/>
  <c r="S3306" i="2"/>
  <c r="R3306" i="2"/>
  <c r="Q3306" i="2"/>
  <c r="P3306" i="2"/>
  <c r="O3306" i="2"/>
  <c r="N3306" i="2"/>
  <c r="M3306" i="2"/>
  <c r="L3306" i="2"/>
  <c r="K3306" i="2"/>
  <c r="J3306" i="2"/>
  <c r="I3306" i="2"/>
  <c r="H3306" i="2"/>
  <c r="G3306" i="2"/>
  <c r="F3306" i="2"/>
  <c r="E3306" i="2"/>
  <c r="D3306" i="2"/>
  <c r="C3306" i="2"/>
  <c r="B3306" i="2"/>
  <c r="V3305" i="2"/>
  <c r="U3305" i="2"/>
  <c r="T3305" i="2"/>
  <c r="S3305" i="2"/>
  <c r="R3305" i="2"/>
  <c r="Q3305" i="2"/>
  <c r="P3305" i="2"/>
  <c r="O3305" i="2"/>
  <c r="N3305" i="2"/>
  <c r="M3305" i="2"/>
  <c r="L3305" i="2"/>
  <c r="K3305" i="2"/>
  <c r="J3305" i="2"/>
  <c r="I3305" i="2"/>
  <c r="H3305" i="2"/>
  <c r="G3305" i="2"/>
  <c r="F3305" i="2"/>
  <c r="E3305" i="2"/>
  <c r="D3305" i="2"/>
  <c r="C3305" i="2"/>
  <c r="B3305" i="2"/>
  <c r="V3304" i="2"/>
  <c r="U3304" i="2"/>
  <c r="T3304" i="2"/>
  <c r="S3304" i="2"/>
  <c r="R3304" i="2"/>
  <c r="Q3304" i="2"/>
  <c r="P3304" i="2"/>
  <c r="O3304" i="2"/>
  <c r="N3304" i="2"/>
  <c r="M3304" i="2"/>
  <c r="L3304" i="2"/>
  <c r="K3304" i="2"/>
  <c r="J3304" i="2"/>
  <c r="I3304" i="2"/>
  <c r="H3304" i="2"/>
  <c r="G3304" i="2"/>
  <c r="F3304" i="2"/>
  <c r="E3304" i="2"/>
  <c r="D3304" i="2"/>
  <c r="C3304" i="2"/>
  <c r="B3304" i="2"/>
  <c r="V3303" i="2"/>
  <c r="U3303" i="2"/>
  <c r="T3303" i="2"/>
  <c r="S3303" i="2"/>
  <c r="R3303" i="2"/>
  <c r="Q3303" i="2"/>
  <c r="P3303" i="2"/>
  <c r="O3303" i="2"/>
  <c r="N3303" i="2"/>
  <c r="M3303" i="2"/>
  <c r="L3303" i="2"/>
  <c r="K3303" i="2"/>
  <c r="J3303" i="2"/>
  <c r="I3303" i="2"/>
  <c r="H3303" i="2"/>
  <c r="G3303" i="2"/>
  <c r="F3303" i="2"/>
  <c r="E3303" i="2"/>
  <c r="D3303" i="2"/>
  <c r="C3303" i="2"/>
  <c r="B3303" i="2"/>
  <c r="V3302" i="2"/>
  <c r="U3302" i="2"/>
  <c r="T3302" i="2"/>
  <c r="S3302" i="2"/>
  <c r="R3302" i="2"/>
  <c r="Q3302" i="2"/>
  <c r="P3302" i="2"/>
  <c r="O3302" i="2"/>
  <c r="N3302" i="2"/>
  <c r="M3302" i="2"/>
  <c r="L3302" i="2"/>
  <c r="K3302" i="2"/>
  <c r="J3302" i="2"/>
  <c r="I3302" i="2"/>
  <c r="H3302" i="2"/>
  <c r="G3302" i="2"/>
  <c r="F3302" i="2"/>
  <c r="E3302" i="2"/>
  <c r="D3302" i="2"/>
  <c r="C3302" i="2"/>
  <c r="B3302" i="2"/>
  <c r="V3301" i="2"/>
  <c r="U3301" i="2"/>
  <c r="T3301" i="2"/>
  <c r="S3301" i="2"/>
  <c r="R3301" i="2"/>
  <c r="Q3301" i="2"/>
  <c r="P3301" i="2"/>
  <c r="O3301" i="2"/>
  <c r="N3301" i="2"/>
  <c r="M3301" i="2"/>
  <c r="L3301" i="2"/>
  <c r="K3301" i="2"/>
  <c r="J3301" i="2"/>
  <c r="I3301" i="2"/>
  <c r="H3301" i="2"/>
  <c r="G3301" i="2"/>
  <c r="F3301" i="2"/>
  <c r="E3301" i="2"/>
  <c r="D3301" i="2"/>
  <c r="C3301" i="2"/>
  <c r="B3301" i="2"/>
  <c r="V3300" i="2"/>
  <c r="U3300" i="2"/>
  <c r="T3300" i="2"/>
  <c r="S3300" i="2"/>
  <c r="R3300" i="2"/>
  <c r="Q3300" i="2"/>
  <c r="P3300" i="2"/>
  <c r="O3300" i="2"/>
  <c r="N3300" i="2"/>
  <c r="M3300" i="2"/>
  <c r="L3300" i="2"/>
  <c r="K3300" i="2"/>
  <c r="J3300" i="2"/>
  <c r="I3300" i="2"/>
  <c r="H3300" i="2"/>
  <c r="G3300" i="2"/>
  <c r="F3300" i="2"/>
  <c r="E3300" i="2"/>
  <c r="D3300" i="2"/>
  <c r="C3300" i="2"/>
  <c r="B3300" i="2"/>
  <c r="V3299" i="2"/>
  <c r="U3299" i="2"/>
  <c r="T3299" i="2"/>
  <c r="S3299" i="2"/>
  <c r="R3299" i="2"/>
  <c r="Q3299" i="2"/>
  <c r="P3299" i="2"/>
  <c r="O3299" i="2"/>
  <c r="N3299" i="2"/>
  <c r="M3299" i="2"/>
  <c r="L3299" i="2"/>
  <c r="K3299" i="2"/>
  <c r="J3299" i="2"/>
  <c r="I3299" i="2"/>
  <c r="H3299" i="2"/>
  <c r="G3299" i="2"/>
  <c r="F3299" i="2"/>
  <c r="E3299" i="2"/>
  <c r="D3299" i="2"/>
  <c r="C3299" i="2"/>
  <c r="B3299" i="2"/>
  <c r="V3298" i="2"/>
  <c r="U3298" i="2"/>
  <c r="T3298" i="2"/>
  <c r="S3298" i="2"/>
  <c r="R3298" i="2"/>
  <c r="Q3298" i="2"/>
  <c r="P3298" i="2"/>
  <c r="O3298" i="2"/>
  <c r="N3298" i="2"/>
  <c r="M3298" i="2"/>
  <c r="L3298" i="2"/>
  <c r="K3298" i="2"/>
  <c r="J3298" i="2"/>
  <c r="I3298" i="2"/>
  <c r="H3298" i="2"/>
  <c r="G3298" i="2"/>
  <c r="F3298" i="2"/>
  <c r="E3298" i="2"/>
  <c r="D3298" i="2"/>
  <c r="C3298" i="2"/>
  <c r="B3298" i="2"/>
  <c r="V3297" i="2"/>
  <c r="U3297" i="2"/>
  <c r="T3297" i="2"/>
  <c r="S3297" i="2"/>
  <c r="R3297" i="2"/>
  <c r="Q3297" i="2"/>
  <c r="P3297" i="2"/>
  <c r="O3297" i="2"/>
  <c r="N3297" i="2"/>
  <c r="M3297" i="2"/>
  <c r="L3297" i="2"/>
  <c r="K3297" i="2"/>
  <c r="J3297" i="2"/>
  <c r="I3297" i="2"/>
  <c r="H3297" i="2"/>
  <c r="G3297" i="2"/>
  <c r="F3297" i="2"/>
  <c r="E3297" i="2"/>
  <c r="D3297" i="2"/>
  <c r="C3297" i="2"/>
  <c r="B3297" i="2"/>
  <c r="V3296" i="2"/>
  <c r="U3296" i="2"/>
  <c r="T3296" i="2"/>
  <c r="S3296" i="2"/>
  <c r="R3296" i="2"/>
  <c r="Q3296" i="2"/>
  <c r="P3296" i="2"/>
  <c r="O3296" i="2"/>
  <c r="N3296" i="2"/>
  <c r="M3296" i="2"/>
  <c r="L3296" i="2"/>
  <c r="K3296" i="2"/>
  <c r="J3296" i="2"/>
  <c r="I3296" i="2"/>
  <c r="H3296" i="2"/>
  <c r="G3296" i="2"/>
  <c r="F3296" i="2"/>
  <c r="E3296" i="2"/>
  <c r="D3296" i="2"/>
  <c r="C3296" i="2"/>
  <c r="B3296" i="2"/>
  <c r="V3295" i="2"/>
  <c r="U3295" i="2"/>
  <c r="T3295" i="2"/>
  <c r="S3295" i="2"/>
  <c r="R3295" i="2"/>
  <c r="Q3295" i="2"/>
  <c r="P3295" i="2"/>
  <c r="O3295" i="2"/>
  <c r="N3295" i="2"/>
  <c r="M3295" i="2"/>
  <c r="L3295" i="2"/>
  <c r="K3295" i="2"/>
  <c r="J3295" i="2"/>
  <c r="I3295" i="2"/>
  <c r="H3295" i="2"/>
  <c r="G3295" i="2"/>
  <c r="F3295" i="2"/>
  <c r="E3295" i="2"/>
  <c r="D3295" i="2"/>
  <c r="C3295" i="2"/>
  <c r="B3295" i="2"/>
  <c r="V3294" i="2"/>
  <c r="U3294" i="2"/>
  <c r="T3294" i="2"/>
  <c r="S3294" i="2"/>
  <c r="R3294" i="2"/>
  <c r="Q3294" i="2"/>
  <c r="P3294" i="2"/>
  <c r="O3294" i="2"/>
  <c r="N3294" i="2"/>
  <c r="M3294" i="2"/>
  <c r="L3294" i="2"/>
  <c r="K3294" i="2"/>
  <c r="J3294" i="2"/>
  <c r="I3294" i="2"/>
  <c r="H3294" i="2"/>
  <c r="G3294" i="2"/>
  <c r="F3294" i="2"/>
  <c r="E3294" i="2"/>
  <c r="D3294" i="2"/>
  <c r="C3294" i="2"/>
  <c r="B3294" i="2"/>
  <c r="V3293" i="2"/>
  <c r="U3293" i="2"/>
  <c r="T3293" i="2"/>
  <c r="S3293" i="2"/>
  <c r="R3293" i="2"/>
  <c r="Q3293" i="2"/>
  <c r="P3293" i="2"/>
  <c r="O3293" i="2"/>
  <c r="N3293" i="2"/>
  <c r="M3293" i="2"/>
  <c r="L3293" i="2"/>
  <c r="K3293" i="2"/>
  <c r="J3293" i="2"/>
  <c r="I3293" i="2"/>
  <c r="H3293" i="2"/>
  <c r="G3293" i="2"/>
  <c r="F3293" i="2"/>
  <c r="E3293" i="2"/>
  <c r="D3293" i="2"/>
  <c r="C3293" i="2"/>
  <c r="B3293" i="2"/>
  <c r="V3292" i="2"/>
  <c r="U3292" i="2"/>
  <c r="T3292" i="2"/>
  <c r="S3292" i="2"/>
  <c r="R3292" i="2"/>
  <c r="Q3292" i="2"/>
  <c r="P3292" i="2"/>
  <c r="O3292" i="2"/>
  <c r="N3292" i="2"/>
  <c r="M3292" i="2"/>
  <c r="L3292" i="2"/>
  <c r="K3292" i="2"/>
  <c r="J3292" i="2"/>
  <c r="I3292" i="2"/>
  <c r="H3292" i="2"/>
  <c r="G3292" i="2"/>
  <c r="F3292" i="2"/>
  <c r="E3292" i="2"/>
  <c r="D3292" i="2"/>
  <c r="C3292" i="2"/>
  <c r="B3292" i="2"/>
  <c r="V3291" i="2"/>
  <c r="U3291" i="2"/>
  <c r="T3291" i="2"/>
  <c r="S3291" i="2"/>
  <c r="R3291" i="2"/>
  <c r="Q3291" i="2"/>
  <c r="P3291" i="2"/>
  <c r="O3291" i="2"/>
  <c r="N3291" i="2"/>
  <c r="M3291" i="2"/>
  <c r="L3291" i="2"/>
  <c r="K3291" i="2"/>
  <c r="J3291" i="2"/>
  <c r="I3291" i="2"/>
  <c r="H3291" i="2"/>
  <c r="G3291" i="2"/>
  <c r="F3291" i="2"/>
  <c r="E3291" i="2"/>
  <c r="D3291" i="2"/>
  <c r="C3291" i="2"/>
  <c r="B3291" i="2"/>
  <c r="V3290" i="2"/>
  <c r="U3290" i="2"/>
  <c r="T3290" i="2"/>
  <c r="S3290" i="2"/>
  <c r="R3290" i="2"/>
  <c r="Q3290" i="2"/>
  <c r="P3290" i="2"/>
  <c r="O3290" i="2"/>
  <c r="N3290" i="2"/>
  <c r="M3290" i="2"/>
  <c r="L3290" i="2"/>
  <c r="K3290" i="2"/>
  <c r="J3290" i="2"/>
  <c r="I3290" i="2"/>
  <c r="H3290" i="2"/>
  <c r="G3290" i="2"/>
  <c r="F3290" i="2"/>
  <c r="E3290" i="2"/>
  <c r="D3290" i="2"/>
  <c r="C3290" i="2"/>
  <c r="B3290" i="2"/>
  <c r="V3289" i="2"/>
  <c r="U3289" i="2"/>
  <c r="T3289" i="2"/>
  <c r="S3289" i="2"/>
  <c r="R3289" i="2"/>
  <c r="Q3289" i="2"/>
  <c r="P3289" i="2"/>
  <c r="O3289" i="2"/>
  <c r="N3289" i="2"/>
  <c r="M3289" i="2"/>
  <c r="L3289" i="2"/>
  <c r="K3289" i="2"/>
  <c r="J3289" i="2"/>
  <c r="I3289" i="2"/>
  <c r="H3289" i="2"/>
  <c r="G3289" i="2"/>
  <c r="F3289" i="2"/>
  <c r="E3289" i="2"/>
  <c r="D3289" i="2"/>
  <c r="C3289" i="2"/>
  <c r="B3289" i="2"/>
  <c r="V3288" i="2"/>
  <c r="U3288" i="2"/>
  <c r="T3288" i="2"/>
  <c r="S3288" i="2"/>
  <c r="R3288" i="2"/>
  <c r="Q3288" i="2"/>
  <c r="P3288" i="2"/>
  <c r="O3288" i="2"/>
  <c r="N3288" i="2"/>
  <c r="M3288" i="2"/>
  <c r="L3288" i="2"/>
  <c r="K3288" i="2"/>
  <c r="J3288" i="2"/>
  <c r="I3288" i="2"/>
  <c r="H3288" i="2"/>
  <c r="G3288" i="2"/>
  <c r="F3288" i="2"/>
  <c r="E3288" i="2"/>
  <c r="D3288" i="2"/>
  <c r="C3288" i="2"/>
  <c r="B3288" i="2"/>
  <c r="V3287" i="2"/>
  <c r="U3287" i="2"/>
  <c r="T3287" i="2"/>
  <c r="S3287" i="2"/>
  <c r="R3287" i="2"/>
  <c r="Q3287" i="2"/>
  <c r="P3287" i="2"/>
  <c r="O3287" i="2"/>
  <c r="N3287" i="2"/>
  <c r="M3287" i="2"/>
  <c r="L3287" i="2"/>
  <c r="K3287" i="2"/>
  <c r="J3287" i="2"/>
  <c r="I3287" i="2"/>
  <c r="H3287" i="2"/>
  <c r="G3287" i="2"/>
  <c r="F3287" i="2"/>
  <c r="E3287" i="2"/>
  <c r="D3287" i="2"/>
  <c r="C3287" i="2"/>
  <c r="B3287" i="2"/>
  <c r="V3286" i="2"/>
  <c r="U3286" i="2"/>
  <c r="T3286" i="2"/>
  <c r="S3286" i="2"/>
  <c r="R3286" i="2"/>
  <c r="Q3286" i="2"/>
  <c r="P3286" i="2"/>
  <c r="O3286" i="2"/>
  <c r="N3286" i="2"/>
  <c r="M3286" i="2"/>
  <c r="L3286" i="2"/>
  <c r="K3286" i="2"/>
  <c r="J3286" i="2"/>
  <c r="I3286" i="2"/>
  <c r="H3286" i="2"/>
  <c r="G3286" i="2"/>
  <c r="F3286" i="2"/>
  <c r="E3286" i="2"/>
  <c r="D3286" i="2"/>
  <c r="C3286" i="2"/>
  <c r="B3286" i="2"/>
  <c r="V3285" i="2"/>
  <c r="U3285" i="2"/>
  <c r="T3285" i="2"/>
  <c r="S3285" i="2"/>
  <c r="R3285" i="2"/>
  <c r="Q3285" i="2"/>
  <c r="P3285" i="2"/>
  <c r="O3285" i="2"/>
  <c r="N3285" i="2"/>
  <c r="M3285" i="2"/>
  <c r="L3285" i="2"/>
  <c r="K3285" i="2"/>
  <c r="J3285" i="2"/>
  <c r="I3285" i="2"/>
  <c r="H3285" i="2"/>
  <c r="G3285" i="2"/>
  <c r="F3285" i="2"/>
  <c r="E3285" i="2"/>
  <c r="D3285" i="2"/>
  <c r="C3285" i="2"/>
  <c r="B3285" i="2"/>
  <c r="V3284" i="2"/>
  <c r="U3284" i="2"/>
  <c r="T3284" i="2"/>
  <c r="S3284" i="2"/>
  <c r="R3284" i="2"/>
  <c r="Q3284" i="2"/>
  <c r="P3284" i="2"/>
  <c r="O3284" i="2"/>
  <c r="N3284" i="2"/>
  <c r="M3284" i="2"/>
  <c r="L3284" i="2"/>
  <c r="K3284" i="2"/>
  <c r="J3284" i="2"/>
  <c r="I3284" i="2"/>
  <c r="H3284" i="2"/>
  <c r="G3284" i="2"/>
  <c r="F3284" i="2"/>
  <c r="E3284" i="2"/>
  <c r="D3284" i="2"/>
  <c r="C3284" i="2"/>
  <c r="B3284" i="2"/>
  <c r="V3283" i="2"/>
  <c r="U3283" i="2"/>
  <c r="T3283" i="2"/>
  <c r="S3283" i="2"/>
  <c r="R3283" i="2"/>
  <c r="Q3283" i="2"/>
  <c r="P3283" i="2"/>
  <c r="O3283" i="2"/>
  <c r="N3283" i="2"/>
  <c r="M3283" i="2"/>
  <c r="L3283" i="2"/>
  <c r="K3283" i="2"/>
  <c r="J3283" i="2"/>
  <c r="I3283" i="2"/>
  <c r="H3283" i="2"/>
  <c r="G3283" i="2"/>
  <c r="F3283" i="2"/>
  <c r="E3283" i="2"/>
  <c r="D3283" i="2"/>
  <c r="C3283" i="2"/>
  <c r="B3283" i="2"/>
  <c r="V3282" i="2"/>
  <c r="U3282" i="2"/>
  <c r="T3282" i="2"/>
  <c r="S3282" i="2"/>
  <c r="R3282" i="2"/>
  <c r="Q3282" i="2"/>
  <c r="P3282" i="2"/>
  <c r="O3282" i="2"/>
  <c r="N3282" i="2"/>
  <c r="M3282" i="2"/>
  <c r="L3282" i="2"/>
  <c r="K3282" i="2"/>
  <c r="J3282" i="2"/>
  <c r="I3282" i="2"/>
  <c r="H3282" i="2"/>
  <c r="G3282" i="2"/>
  <c r="F3282" i="2"/>
  <c r="E3282" i="2"/>
  <c r="D3282" i="2"/>
  <c r="C3282" i="2"/>
  <c r="B3282" i="2"/>
  <c r="V3281" i="2"/>
  <c r="U3281" i="2"/>
  <c r="T3281" i="2"/>
  <c r="S3281" i="2"/>
  <c r="R3281" i="2"/>
  <c r="Q3281" i="2"/>
  <c r="P3281" i="2"/>
  <c r="O3281" i="2"/>
  <c r="N3281" i="2"/>
  <c r="M3281" i="2"/>
  <c r="L3281" i="2"/>
  <c r="K3281" i="2"/>
  <c r="J3281" i="2"/>
  <c r="I3281" i="2"/>
  <c r="H3281" i="2"/>
  <c r="G3281" i="2"/>
  <c r="F3281" i="2"/>
  <c r="E3281" i="2"/>
  <c r="D3281" i="2"/>
  <c r="C3281" i="2"/>
  <c r="B3281" i="2"/>
  <c r="V3280" i="2"/>
  <c r="U3280" i="2"/>
  <c r="T3280" i="2"/>
  <c r="S3280" i="2"/>
  <c r="R3280" i="2"/>
  <c r="Q3280" i="2"/>
  <c r="P3280" i="2"/>
  <c r="O3280" i="2"/>
  <c r="N3280" i="2"/>
  <c r="M3280" i="2"/>
  <c r="L3280" i="2"/>
  <c r="K3280" i="2"/>
  <c r="J3280" i="2"/>
  <c r="I3280" i="2"/>
  <c r="H3280" i="2"/>
  <c r="G3280" i="2"/>
  <c r="F3280" i="2"/>
  <c r="E3280" i="2"/>
  <c r="D3280" i="2"/>
  <c r="C3280" i="2"/>
  <c r="B3280" i="2"/>
  <c r="V3279" i="2"/>
  <c r="U3279" i="2"/>
  <c r="T3279" i="2"/>
  <c r="S3279" i="2"/>
  <c r="R3279" i="2"/>
  <c r="Q3279" i="2"/>
  <c r="P3279" i="2"/>
  <c r="O3279" i="2"/>
  <c r="N3279" i="2"/>
  <c r="M3279" i="2"/>
  <c r="L3279" i="2"/>
  <c r="K3279" i="2"/>
  <c r="J3279" i="2"/>
  <c r="I3279" i="2"/>
  <c r="H3279" i="2"/>
  <c r="G3279" i="2"/>
  <c r="F3279" i="2"/>
  <c r="E3279" i="2"/>
  <c r="D3279" i="2"/>
  <c r="C3279" i="2"/>
  <c r="B3279" i="2"/>
  <c r="V3278" i="2"/>
  <c r="U3278" i="2"/>
  <c r="T3278" i="2"/>
  <c r="S3278" i="2"/>
  <c r="R3278" i="2"/>
  <c r="Q3278" i="2"/>
  <c r="P3278" i="2"/>
  <c r="O3278" i="2"/>
  <c r="N3278" i="2"/>
  <c r="M3278" i="2"/>
  <c r="L3278" i="2"/>
  <c r="K3278" i="2"/>
  <c r="J3278" i="2"/>
  <c r="I3278" i="2"/>
  <c r="H3278" i="2"/>
  <c r="G3278" i="2"/>
  <c r="F3278" i="2"/>
  <c r="E3278" i="2"/>
  <c r="D3278" i="2"/>
  <c r="C3278" i="2"/>
  <c r="B3278" i="2"/>
  <c r="V3277" i="2"/>
  <c r="U3277" i="2"/>
  <c r="T3277" i="2"/>
  <c r="S3277" i="2"/>
  <c r="R3277" i="2"/>
  <c r="Q3277" i="2"/>
  <c r="P3277" i="2"/>
  <c r="O3277" i="2"/>
  <c r="N3277" i="2"/>
  <c r="M3277" i="2"/>
  <c r="L3277" i="2"/>
  <c r="K3277" i="2"/>
  <c r="J3277" i="2"/>
  <c r="I3277" i="2"/>
  <c r="H3277" i="2"/>
  <c r="G3277" i="2"/>
  <c r="F3277" i="2"/>
  <c r="E3277" i="2"/>
  <c r="D3277" i="2"/>
  <c r="C3277" i="2"/>
  <c r="B3277" i="2"/>
  <c r="V3276" i="2"/>
  <c r="U3276" i="2"/>
  <c r="T3276" i="2"/>
  <c r="S3276" i="2"/>
  <c r="R3276" i="2"/>
  <c r="Q3276" i="2"/>
  <c r="P3276" i="2"/>
  <c r="O3276" i="2"/>
  <c r="N3276" i="2"/>
  <c r="M3276" i="2"/>
  <c r="L3276" i="2"/>
  <c r="K3276" i="2"/>
  <c r="J3276" i="2"/>
  <c r="I3276" i="2"/>
  <c r="H3276" i="2"/>
  <c r="G3276" i="2"/>
  <c r="F3276" i="2"/>
  <c r="E3276" i="2"/>
  <c r="D3276" i="2"/>
  <c r="C3276" i="2"/>
  <c r="B3276" i="2"/>
  <c r="V3275" i="2"/>
  <c r="U3275" i="2"/>
  <c r="T3275" i="2"/>
  <c r="S3275" i="2"/>
  <c r="R3275" i="2"/>
  <c r="Q3275" i="2"/>
  <c r="P3275" i="2"/>
  <c r="O3275" i="2"/>
  <c r="N3275" i="2"/>
  <c r="M3275" i="2"/>
  <c r="L3275" i="2"/>
  <c r="K3275" i="2"/>
  <c r="J3275" i="2"/>
  <c r="I3275" i="2"/>
  <c r="H3275" i="2"/>
  <c r="G3275" i="2"/>
  <c r="F3275" i="2"/>
  <c r="E3275" i="2"/>
  <c r="D3275" i="2"/>
  <c r="C3275" i="2"/>
  <c r="B3275" i="2"/>
  <c r="V3274" i="2"/>
  <c r="U3274" i="2"/>
  <c r="T3274" i="2"/>
  <c r="S3274" i="2"/>
  <c r="R3274" i="2"/>
  <c r="Q3274" i="2"/>
  <c r="P3274" i="2"/>
  <c r="O3274" i="2"/>
  <c r="N3274" i="2"/>
  <c r="M3274" i="2"/>
  <c r="L3274" i="2"/>
  <c r="K3274" i="2"/>
  <c r="J3274" i="2"/>
  <c r="I3274" i="2"/>
  <c r="H3274" i="2"/>
  <c r="G3274" i="2"/>
  <c r="F3274" i="2"/>
  <c r="E3274" i="2"/>
  <c r="D3274" i="2"/>
  <c r="C3274" i="2"/>
  <c r="B3274" i="2"/>
  <c r="V3273" i="2"/>
  <c r="U3273" i="2"/>
  <c r="T3273" i="2"/>
  <c r="S3273" i="2"/>
  <c r="R3273" i="2"/>
  <c r="Q3273" i="2"/>
  <c r="P3273" i="2"/>
  <c r="O3273" i="2"/>
  <c r="N3273" i="2"/>
  <c r="M3273" i="2"/>
  <c r="L3273" i="2"/>
  <c r="K3273" i="2"/>
  <c r="J3273" i="2"/>
  <c r="I3273" i="2"/>
  <c r="H3273" i="2"/>
  <c r="G3273" i="2"/>
  <c r="F3273" i="2"/>
  <c r="E3273" i="2"/>
  <c r="D3273" i="2"/>
  <c r="C3273" i="2"/>
  <c r="B3273" i="2"/>
  <c r="V3272" i="2"/>
  <c r="U3272" i="2"/>
  <c r="T3272" i="2"/>
  <c r="S3272" i="2"/>
  <c r="R3272" i="2"/>
  <c r="Q3272" i="2"/>
  <c r="P3272" i="2"/>
  <c r="O3272" i="2"/>
  <c r="N3272" i="2"/>
  <c r="M3272" i="2"/>
  <c r="L3272" i="2"/>
  <c r="K3272" i="2"/>
  <c r="J3272" i="2"/>
  <c r="I3272" i="2"/>
  <c r="H3272" i="2"/>
  <c r="G3272" i="2"/>
  <c r="F3272" i="2"/>
  <c r="E3272" i="2"/>
  <c r="D3272" i="2"/>
  <c r="C3272" i="2"/>
  <c r="B3272" i="2"/>
  <c r="V3271" i="2"/>
  <c r="U3271" i="2"/>
  <c r="T3271" i="2"/>
  <c r="S3271" i="2"/>
  <c r="R3271" i="2"/>
  <c r="Q3271" i="2"/>
  <c r="P3271" i="2"/>
  <c r="O3271" i="2"/>
  <c r="N3271" i="2"/>
  <c r="M3271" i="2"/>
  <c r="L3271" i="2"/>
  <c r="K3271" i="2"/>
  <c r="J3271" i="2"/>
  <c r="I3271" i="2"/>
  <c r="H3271" i="2"/>
  <c r="G3271" i="2"/>
  <c r="F3271" i="2"/>
  <c r="E3271" i="2"/>
  <c r="D3271" i="2"/>
  <c r="C3271" i="2"/>
  <c r="B3271" i="2"/>
  <c r="V3270" i="2"/>
  <c r="U3270" i="2"/>
  <c r="T3270" i="2"/>
  <c r="S3270" i="2"/>
  <c r="R3270" i="2"/>
  <c r="Q3270" i="2"/>
  <c r="P3270" i="2"/>
  <c r="O3270" i="2"/>
  <c r="N3270" i="2"/>
  <c r="M3270" i="2"/>
  <c r="L3270" i="2"/>
  <c r="K3270" i="2"/>
  <c r="J3270" i="2"/>
  <c r="I3270" i="2"/>
  <c r="H3270" i="2"/>
  <c r="G3270" i="2"/>
  <c r="F3270" i="2"/>
  <c r="E3270" i="2"/>
  <c r="D3270" i="2"/>
  <c r="C3270" i="2"/>
  <c r="B3270" i="2"/>
  <c r="V3269" i="2"/>
  <c r="U3269" i="2"/>
  <c r="T3269" i="2"/>
  <c r="S3269" i="2"/>
  <c r="R3269" i="2"/>
  <c r="Q3269" i="2"/>
  <c r="P3269" i="2"/>
  <c r="O3269" i="2"/>
  <c r="N3269" i="2"/>
  <c r="M3269" i="2"/>
  <c r="L3269" i="2"/>
  <c r="K3269" i="2"/>
  <c r="J3269" i="2"/>
  <c r="I3269" i="2"/>
  <c r="H3269" i="2"/>
  <c r="G3269" i="2"/>
  <c r="F3269" i="2"/>
  <c r="E3269" i="2"/>
  <c r="D3269" i="2"/>
  <c r="C3269" i="2"/>
  <c r="B3269" i="2"/>
  <c r="V3268" i="2"/>
  <c r="U3268" i="2"/>
  <c r="T3268" i="2"/>
  <c r="S3268" i="2"/>
  <c r="R3268" i="2"/>
  <c r="Q3268" i="2"/>
  <c r="P3268" i="2"/>
  <c r="O3268" i="2"/>
  <c r="N3268" i="2"/>
  <c r="M3268" i="2"/>
  <c r="L3268" i="2"/>
  <c r="K3268" i="2"/>
  <c r="J3268" i="2"/>
  <c r="I3268" i="2"/>
  <c r="H3268" i="2"/>
  <c r="G3268" i="2"/>
  <c r="F3268" i="2"/>
  <c r="E3268" i="2"/>
  <c r="D3268" i="2"/>
  <c r="C3268" i="2"/>
  <c r="B3268" i="2"/>
  <c r="V3267" i="2"/>
  <c r="U3267" i="2"/>
  <c r="T3267" i="2"/>
  <c r="S3267" i="2"/>
  <c r="R3267" i="2"/>
  <c r="Q3267" i="2"/>
  <c r="P3267" i="2"/>
  <c r="O3267" i="2"/>
  <c r="N3267" i="2"/>
  <c r="M3267" i="2"/>
  <c r="L3267" i="2"/>
  <c r="K3267" i="2"/>
  <c r="J3267" i="2"/>
  <c r="I3267" i="2"/>
  <c r="H3267" i="2"/>
  <c r="G3267" i="2"/>
  <c r="F3267" i="2"/>
  <c r="E3267" i="2"/>
  <c r="D3267" i="2"/>
  <c r="C3267" i="2"/>
  <c r="B3267" i="2"/>
  <c r="V3266" i="2"/>
  <c r="U3266" i="2"/>
  <c r="T3266" i="2"/>
  <c r="S3266" i="2"/>
  <c r="R3266" i="2"/>
  <c r="Q3266" i="2"/>
  <c r="P3266" i="2"/>
  <c r="O3266" i="2"/>
  <c r="N3266" i="2"/>
  <c r="M3266" i="2"/>
  <c r="L3266" i="2"/>
  <c r="K3266" i="2"/>
  <c r="J3266" i="2"/>
  <c r="I3266" i="2"/>
  <c r="H3266" i="2"/>
  <c r="G3266" i="2"/>
  <c r="F3266" i="2"/>
  <c r="E3266" i="2"/>
  <c r="D3266" i="2"/>
  <c r="C3266" i="2"/>
  <c r="B3266" i="2"/>
  <c r="V3265" i="2"/>
  <c r="U3265" i="2"/>
  <c r="T3265" i="2"/>
  <c r="S3265" i="2"/>
  <c r="R3265" i="2"/>
  <c r="Q3265" i="2"/>
  <c r="P3265" i="2"/>
  <c r="O3265" i="2"/>
  <c r="N3265" i="2"/>
  <c r="M3265" i="2"/>
  <c r="L3265" i="2"/>
  <c r="K3265" i="2"/>
  <c r="J3265" i="2"/>
  <c r="I3265" i="2"/>
  <c r="H3265" i="2"/>
  <c r="G3265" i="2"/>
  <c r="F3265" i="2"/>
  <c r="E3265" i="2"/>
  <c r="D3265" i="2"/>
  <c r="C3265" i="2"/>
  <c r="B3265" i="2"/>
  <c r="V3264" i="2"/>
  <c r="U3264" i="2"/>
  <c r="T3264" i="2"/>
  <c r="S3264" i="2"/>
  <c r="R3264" i="2"/>
  <c r="Q3264" i="2"/>
  <c r="P3264" i="2"/>
  <c r="O3264" i="2"/>
  <c r="N3264" i="2"/>
  <c r="M3264" i="2"/>
  <c r="L3264" i="2"/>
  <c r="K3264" i="2"/>
  <c r="J3264" i="2"/>
  <c r="I3264" i="2"/>
  <c r="H3264" i="2"/>
  <c r="G3264" i="2"/>
  <c r="F3264" i="2"/>
  <c r="E3264" i="2"/>
  <c r="D3264" i="2"/>
  <c r="C3264" i="2"/>
  <c r="B3264" i="2"/>
  <c r="V3263" i="2"/>
  <c r="U3263" i="2"/>
  <c r="T3263" i="2"/>
  <c r="S3263" i="2"/>
  <c r="R3263" i="2"/>
  <c r="Q3263" i="2"/>
  <c r="P3263" i="2"/>
  <c r="O3263" i="2"/>
  <c r="N3263" i="2"/>
  <c r="M3263" i="2"/>
  <c r="L3263" i="2"/>
  <c r="K3263" i="2"/>
  <c r="J3263" i="2"/>
  <c r="I3263" i="2"/>
  <c r="H3263" i="2"/>
  <c r="G3263" i="2"/>
  <c r="F3263" i="2"/>
  <c r="E3263" i="2"/>
  <c r="D3263" i="2"/>
  <c r="C3263" i="2"/>
  <c r="B3263" i="2"/>
  <c r="V3262" i="2"/>
  <c r="U3262" i="2"/>
  <c r="T3262" i="2"/>
  <c r="S3262" i="2"/>
  <c r="R3262" i="2"/>
  <c r="Q3262" i="2"/>
  <c r="P3262" i="2"/>
  <c r="O3262" i="2"/>
  <c r="N3262" i="2"/>
  <c r="M3262" i="2"/>
  <c r="L3262" i="2"/>
  <c r="K3262" i="2"/>
  <c r="J3262" i="2"/>
  <c r="I3262" i="2"/>
  <c r="H3262" i="2"/>
  <c r="G3262" i="2"/>
  <c r="F3262" i="2"/>
  <c r="E3262" i="2"/>
  <c r="D3262" i="2"/>
  <c r="C3262" i="2"/>
  <c r="B3262" i="2"/>
  <c r="V3261" i="2"/>
  <c r="U3261" i="2"/>
  <c r="T3261" i="2"/>
  <c r="S3261" i="2"/>
  <c r="R3261" i="2"/>
  <c r="Q3261" i="2"/>
  <c r="P3261" i="2"/>
  <c r="O3261" i="2"/>
  <c r="N3261" i="2"/>
  <c r="M3261" i="2"/>
  <c r="L3261" i="2"/>
  <c r="K3261" i="2"/>
  <c r="J3261" i="2"/>
  <c r="I3261" i="2"/>
  <c r="H3261" i="2"/>
  <c r="G3261" i="2"/>
  <c r="F3261" i="2"/>
  <c r="E3261" i="2"/>
  <c r="D3261" i="2"/>
  <c r="C3261" i="2"/>
  <c r="B3261" i="2"/>
  <c r="V3260" i="2"/>
  <c r="U3260" i="2"/>
  <c r="T3260" i="2"/>
  <c r="S3260" i="2"/>
  <c r="R3260" i="2"/>
  <c r="Q3260" i="2"/>
  <c r="P3260" i="2"/>
  <c r="O3260" i="2"/>
  <c r="N3260" i="2"/>
  <c r="M3260" i="2"/>
  <c r="L3260" i="2"/>
  <c r="K3260" i="2"/>
  <c r="J3260" i="2"/>
  <c r="I3260" i="2"/>
  <c r="H3260" i="2"/>
  <c r="G3260" i="2"/>
  <c r="F3260" i="2"/>
  <c r="E3260" i="2"/>
  <c r="D3260" i="2"/>
  <c r="C3260" i="2"/>
  <c r="B3260" i="2"/>
  <c r="V3259" i="2"/>
  <c r="U3259" i="2"/>
  <c r="T3259" i="2"/>
  <c r="S3259" i="2"/>
  <c r="R3259" i="2"/>
  <c r="Q3259" i="2"/>
  <c r="P3259" i="2"/>
  <c r="O3259" i="2"/>
  <c r="N3259" i="2"/>
  <c r="M3259" i="2"/>
  <c r="L3259" i="2"/>
  <c r="K3259" i="2"/>
  <c r="J3259" i="2"/>
  <c r="I3259" i="2"/>
  <c r="H3259" i="2"/>
  <c r="G3259" i="2"/>
  <c r="F3259" i="2"/>
  <c r="E3259" i="2"/>
  <c r="D3259" i="2"/>
  <c r="C3259" i="2"/>
  <c r="B3259" i="2"/>
  <c r="V3258" i="2"/>
  <c r="U3258" i="2"/>
  <c r="T3258" i="2"/>
  <c r="S3258" i="2"/>
  <c r="R3258" i="2"/>
  <c r="Q3258" i="2"/>
  <c r="P3258" i="2"/>
  <c r="O3258" i="2"/>
  <c r="N3258" i="2"/>
  <c r="M3258" i="2"/>
  <c r="L3258" i="2"/>
  <c r="K3258" i="2"/>
  <c r="J3258" i="2"/>
  <c r="I3258" i="2"/>
  <c r="H3258" i="2"/>
  <c r="G3258" i="2"/>
  <c r="F3258" i="2"/>
  <c r="E3258" i="2"/>
  <c r="D3258" i="2"/>
  <c r="C3258" i="2"/>
  <c r="B3258" i="2"/>
  <c r="V3257" i="2"/>
  <c r="U3257" i="2"/>
  <c r="T3257" i="2"/>
  <c r="S3257" i="2"/>
  <c r="R3257" i="2"/>
  <c r="Q3257" i="2"/>
  <c r="P3257" i="2"/>
  <c r="O3257" i="2"/>
  <c r="N3257" i="2"/>
  <c r="M3257" i="2"/>
  <c r="L3257" i="2"/>
  <c r="K3257" i="2"/>
  <c r="J3257" i="2"/>
  <c r="I3257" i="2"/>
  <c r="H3257" i="2"/>
  <c r="G3257" i="2"/>
  <c r="F3257" i="2"/>
  <c r="E3257" i="2"/>
  <c r="D3257" i="2"/>
  <c r="C3257" i="2"/>
  <c r="B3257" i="2"/>
  <c r="V3256" i="2"/>
  <c r="U3256" i="2"/>
  <c r="T3256" i="2"/>
  <c r="S3256" i="2"/>
  <c r="R3256" i="2"/>
  <c r="Q3256" i="2"/>
  <c r="P3256" i="2"/>
  <c r="O3256" i="2"/>
  <c r="N3256" i="2"/>
  <c r="M3256" i="2"/>
  <c r="L3256" i="2"/>
  <c r="K3256" i="2"/>
  <c r="J3256" i="2"/>
  <c r="I3256" i="2"/>
  <c r="H3256" i="2"/>
  <c r="G3256" i="2"/>
  <c r="F3256" i="2"/>
  <c r="E3256" i="2"/>
  <c r="D3256" i="2"/>
  <c r="C3256" i="2"/>
  <c r="B3256" i="2"/>
  <c r="V3255" i="2"/>
  <c r="U3255" i="2"/>
  <c r="T3255" i="2"/>
  <c r="S3255" i="2"/>
  <c r="R3255" i="2"/>
  <c r="Q3255" i="2"/>
  <c r="P3255" i="2"/>
  <c r="O3255" i="2"/>
  <c r="N3255" i="2"/>
  <c r="M3255" i="2"/>
  <c r="L3255" i="2"/>
  <c r="K3255" i="2"/>
  <c r="J3255" i="2"/>
  <c r="I3255" i="2"/>
  <c r="H3255" i="2"/>
  <c r="G3255" i="2"/>
  <c r="F3255" i="2"/>
  <c r="E3255" i="2"/>
  <c r="D3255" i="2"/>
  <c r="C3255" i="2"/>
  <c r="B3255" i="2"/>
  <c r="V3254" i="2"/>
  <c r="U3254" i="2"/>
  <c r="T3254" i="2"/>
  <c r="S3254" i="2"/>
  <c r="R3254" i="2"/>
  <c r="Q3254" i="2"/>
  <c r="P3254" i="2"/>
  <c r="O3254" i="2"/>
  <c r="N3254" i="2"/>
  <c r="M3254" i="2"/>
  <c r="L3254" i="2"/>
  <c r="K3254" i="2"/>
  <c r="J3254" i="2"/>
  <c r="I3254" i="2"/>
  <c r="H3254" i="2"/>
  <c r="G3254" i="2"/>
  <c r="F3254" i="2"/>
  <c r="E3254" i="2"/>
  <c r="D3254" i="2"/>
  <c r="C3254" i="2"/>
  <c r="B3254" i="2"/>
  <c r="V3253" i="2"/>
  <c r="U3253" i="2"/>
  <c r="T3253" i="2"/>
  <c r="S3253" i="2"/>
  <c r="R3253" i="2"/>
  <c r="Q3253" i="2"/>
  <c r="P3253" i="2"/>
  <c r="O3253" i="2"/>
  <c r="N3253" i="2"/>
  <c r="M3253" i="2"/>
  <c r="L3253" i="2"/>
  <c r="K3253" i="2"/>
  <c r="J3253" i="2"/>
  <c r="I3253" i="2"/>
  <c r="H3253" i="2"/>
  <c r="G3253" i="2"/>
  <c r="F3253" i="2"/>
  <c r="E3253" i="2"/>
  <c r="D3253" i="2"/>
  <c r="C3253" i="2"/>
  <c r="B3253" i="2"/>
  <c r="V3252" i="2"/>
  <c r="U3252" i="2"/>
  <c r="T3252" i="2"/>
  <c r="S3252" i="2"/>
  <c r="R3252" i="2"/>
  <c r="Q3252" i="2"/>
  <c r="P3252" i="2"/>
  <c r="O3252" i="2"/>
  <c r="N3252" i="2"/>
  <c r="M3252" i="2"/>
  <c r="L3252" i="2"/>
  <c r="K3252" i="2"/>
  <c r="J3252" i="2"/>
  <c r="I3252" i="2"/>
  <c r="H3252" i="2"/>
  <c r="G3252" i="2"/>
  <c r="F3252" i="2"/>
  <c r="E3252" i="2"/>
  <c r="D3252" i="2"/>
  <c r="C3252" i="2"/>
  <c r="B3252" i="2"/>
  <c r="V3251" i="2"/>
  <c r="U3251" i="2"/>
  <c r="T3251" i="2"/>
  <c r="S3251" i="2"/>
  <c r="R3251" i="2"/>
  <c r="Q3251" i="2"/>
  <c r="P3251" i="2"/>
  <c r="O3251" i="2"/>
  <c r="N3251" i="2"/>
  <c r="M3251" i="2"/>
  <c r="L3251" i="2"/>
  <c r="K3251" i="2"/>
  <c r="J3251" i="2"/>
  <c r="I3251" i="2"/>
  <c r="H3251" i="2"/>
  <c r="G3251" i="2"/>
  <c r="F3251" i="2"/>
  <c r="E3251" i="2"/>
  <c r="D3251" i="2"/>
  <c r="C3251" i="2"/>
  <c r="B3251" i="2"/>
  <c r="V3250" i="2"/>
  <c r="U3250" i="2"/>
  <c r="T3250" i="2"/>
  <c r="S3250" i="2"/>
  <c r="R3250" i="2"/>
  <c r="Q3250" i="2"/>
  <c r="P3250" i="2"/>
  <c r="O3250" i="2"/>
  <c r="N3250" i="2"/>
  <c r="M3250" i="2"/>
  <c r="L3250" i="2"/>
  <c r="K3250" i="2"/>
  <c r="J3250" i="2"/>
  <c r="I3250" i="2"/>
  <c r="H3250" i="2"/>
  <c r="G3250" i="2"/>
  <c r="F3250" i="2"/>
  <c r="E3250" i="2"/>
  <c r="D3250" i="2"/>
  <c r="C3250" i="2"/>
  <c r="B3250" i="2"/>
  <c r="V3249" i="2"/>
  <c r="U3249" i="2"/>
  <c r="T3249" i="2"/>
  <c r="S3249" i="2"/>
  <c r="R3249" i="2"/>
  <c r="Q3249" i="2"/>
  <c r="P3249" i="2"/>
  <c r="O3249" i="2"/>
  <c r="N3249" i="2"/>
  <c r="M3249" i="2"/>
  <c r="L3249" i="2"/>
  <c r="K3249" i="2"/>
  <c r="J3249" i="2"/>
  <c r="I3249" i="2"/>
  <c r="H3249" i="2"/>
  <c r="G3249" i="2"/>
  <c r="F3249" i="2"/>
  <c r="E3249" i="2"/>
  <c r="D3249" i="2"/>
  <c r="C3249" i="2"/>
  <c r="B3249" i="2"/>
  <c r="V3248" i="2"/>
  <c r="U3248" i="2"/>
  <c r="T3248" i="2"/>
  <c r="S3248" i="2"/>
  <c r="R3248" i="2"/>
  <c r="Q3248" i="2"/>
  <c r="P3248" i="2"/>
  <c r="O3248" i="2"/>
  <c r="N3248" i="2"/>
  <c r="M3248" i="2"/>
  <c r="L3248" i="2"/>
  <c r="K3248" i="2"/>
  <c r="J3248" i="2"/>
  <c r="I3248" i="2"/>
  <c r="H3248" i="2"/>
  <c r="G3248" i="2"/>
  <c r="F3248" i="2"/>
  <c r="E3248" i="2"/>
  <c r="D3248" i="2"/>
  <c r="C3248" i="2"/>
  <c r="B3248" i="2"/>
  <c r="V3247" i="2"/>
  <c r="U3247" i="2"/>
  <c r="T3247" i="2"/>
  <c r="S3247" i="2"/>
  <c r="R3247" i="2"/>
  <c r="Q3247" i="2"/>
  <c r="P3247" i="2"/>
  <c r="O3247" i="2"/>
  <c r="N3247" i="2"/>
  <c r="M3247" i="2"/>
  <c r="L3247" i="2"/>
  <c r="K3247" i="2"/>
  <c r="J3247" i="2"/>
  <c r="I3247" i="2"/>
  <c r="H3247" i="2"/>
  <c r="G3247" i="2"/>
  <c r="F3247" i="2"/>
  <c r="E3247" i="2"/>
  <c r="D3247" i="2"/>
  <c r="C3247" i="2"/>
  <c r="B3247" i="2"/>
  <c r="V3246" i="2"/>
  <c r="U3246" i="2"/>
  <c r="T3246" i="2"/>
  <c r="S3246" i="2"/>
  <c r="R3246" i="2"/>
  <c r="Q3246" i="2"/>
  <c r="P3246" i="2"/>
  <c r="O3246" i="2"/>
  <c r="N3246" i="2"/>
  <c r="M3246" i="2"/>
  <c r="L3246" i="2"/>
  <c r="K3246" i="2"/>
  <c r="J3246" i="2"/>
  <c r="I3246" i="2"/>
  <c r="H3246" i="2"/>
  <c r="G3246" i="2"/>
  <c r="F3246" i="2"/>
  <c r="E3246" i="2"/>
  <c r="D3246" i="2"/>
  <c r="C3246" i="2"/>
  <c r="B3246" i="2"/>
  <c r="V3245" i="2"/>
  <c r="U3245" i="2"/>
  <c r="T3245" i="2"/>
  <c r="S3245" i="2"/>
  <c r="R3245" i="2"/>
  <c r="Q3245" i="2"/>
  <c r="P3245" i="2"/>
  <c r="O3245" i="2"/>
  <c r="N3245" i="2"/>
  <c r="M3245" i="2"/>
  <c r="L3245" i="2"/>
  <c r="K3245" i="2"/>
  <c r="J3245" i="2"/>
  <c r="I3245" i="2"/>
  <c r="H3245" i="2"/>
  <c r="G3245" i="2"/>
  <c r="F3245" i="2"/>
  <c r="E3245" i="2"/>
  <c r="D3245" i="2"/>
  <c r="C3245" i="2"/>
  <c r="B3245" i="2"/>
  <c r="V3244" i="2"/>
  <c r="U3244" i="2"/>
  <c r="T3244" i="2"/>
  <c r="S3244" i="2"/>
  <c r="R3244" i="2"/>
  <c r="Q3244" i="2"/>
  <c r="P3244" i="2"/>
  <c r="O3244" i="2"/>
  <c r="N3244" i="2"/>
  <c r="M3244" i="2"/>
  <c r="L3244" i="2"/>
  <c r="K3244" i="2"/>
  <c r="J3244" i="2"/>
  <c r="I3244" i="2"/>
  <c r="H3244" i="2"/>
  <c r="G3244" i="2"/>
  <c r="F3244" i="2"/>
  <c r="E3244" i="2"/>
  <c r="D3244" i="2"/>
  <c r="C3244" i="2"/>
  <c r="B3244" i="2"/>
  <c r="V3243" i="2"/>
  <c r="U3243" i="2"/>
  <c r="T3243" i="2"/>
  <c r="S3243" i="2"/>
  <c r="R3243" i="2"/>
  <c r="Q3243" i="2"/>
  <c r="P3243" i="2"/>
  <c r="O3243" i="2"/>
  <c r="N3243" i="2"/>
  <c r="M3243" i="2"/>
  <c r="L3243" i="2"/>
  <c r="K3243" i="2"/>
  <c r="J3243" i="2"/>
  <c r="I3243" i="2"/>
  <c r="H3243" i="2"/>
  <c r="G3243" i="2"/>
  <c r="F3243" i="2"/>
  <c r="E3243" i="2"/>
  <c r="D3243" i="2"/>
  <c r="C3243" i="2"/>
  <c r="B3243" i="2"/>
  <c r="V3242" i="2"/>
  <c r="U3242" i="2"/>
  <c r="T3242" i="2"/>
  <c r="S3242" i="2"/>
  <c r="R3242" i="2"/>
  <c r="Q3242" i="2"/>
  <c r="P3242" i="2"/>
  <c r="O3242" i="2"/>
  <c r="N3242" i="2"/>
  <c r="M3242" i="2"/>
  <c r="L3242" i="2"/>
  <c r="K3242" i="2"/>
  <c r="J3242" i="2"/>
  <c r="I3242" i="2"/>
  <c r="H3242" i="2"/>
  <c r="G3242" i="2"/>
  <c r="F3242" i="2"/>
  <c r="E3242" i="2"/>
  <c r="D3242" i="2"/>
  <c r="C3242" i="2"/>
  <c r="B3242" i="2"/>
  <c r="V3241" i="2"/>
  <c r="U3241" i="2"/>
  <c r="T3241" i="2"/>
  <c r="S3241" i="2"/>
  <c r="R3241" i="2"/>
  <c r="Q3241" i="2"/>
  <c r="P3241" i="2"/>
  <c r="O3241" i="2"/>
  <c r="N3241" i="2"/>
  <c r="M3241" i="2"/>
  <c r="L3241" i="2"/>
  <c r="K3241" i="2"/>
  <c r="J3241" i="2"/>
  <c r="I3241" i="2"/>
  <c r="H3241" i="2"/>
  <c r="G3241" i="2"/>
  <c r="F3241" i="2"/>
  <c r="E3241" i="2"/>
  <c r="D3241" i="2"/>
  <c r="C3241" i="2"/>
  <c r="B3241" i="2"/>
  <c r="V3240" i="2"/>
  <c r="U3240" i="2"/>
  <c r="T3240" i="2"/>
  <c r="S3240" i="2"/>
  <c r="R3240" i="2"/>
  <c r="Q3240" i="2"/>
  <c r="P3240" i="2"/>
  <c r="O3240" i="2"/>
  <c r="N3240" i="2"/>
  <c r="M3240" i="2"/>
  <c r="L3240" i="2"/>
  <c r="K3240" i="2"/>
  <c r="J3240" i="2"/>
  <c r="I3240" i="2"/>
  <c r="H3240" i="2"/>
  <c r="G3240" i="2"/>
  <c r="F3240" i="2"/>
  <c r="E3240" i="2"/>
  <c r="D3240" i="2"/>
  <c r="C3240" i="2"/>
  <c r="B3240" i="2"/>
  <c r="V3239" i="2"/>
  <c r="U3239" i="2"/>
  <c r="T3239" i="2"/>
  <c r="S3239" i="2"/>
  <c r="R3239" i="2"/>
  <c r="Q3239" i="2"/>
  <c r="P3239" i="2"/>
  <c r="O3239" i="2"/>
  <c r="N3239" i="2"/>
  <c r="M3239" i="2"/>
  <c r="L3239" i="2"/>
  <c r="K3239" i="2"/>
  <c r="J3239" i="2"/>
  <c r="I3239" i="2"/>
  <c r="H3239" i="2"/>
  <c r="G3239" i="2"/>
  <c r="F3239" i="2"/>
  <c r="E3239" i="2"/>
  <c r="D3239" i="2"/>
  <c r="C3239" i="2"/>
  <c r="B3239" i="2"/>
  <c r="V3238" i="2"/>
  <c r="U3238" i="2"/>
  <c r="T3238" i="2"/>
  <c r="S3238" i="2"/>
  <c r="R3238" i="2"/>
  <c r="Q3238" i="2"/>
  <c r="P3238" i="2"/>
  <c r="O3238" i="2"/>
  <c r="N3238" i="2"/>
  <c r="M3238" i="2"/>
  <c r="L3238" i="2"/>
  <c r="K3238" i="2"/>
  <c r="J3238" i="2"/>
  <c r="I3238" i="2"/>
  <c r="H3238" i="2"/>
  <c r="G3238" i="2"/>
  <c r="F3238" i="2"/>
  <c r="E3238" i="2"/>
  <c r="D3238" i="2"/>
  <c r="C3238" i="2"/>
  <c r="B3238" i="2"/>
  <c r="V3237" i="2"/>
  <c r="U3237" i="2"/>
  <c r="T3237" i="2"/>
  <c r="S3237" i="2"/>
  <c r="R3237" i="2"/>
  <c r="Q3237" i="2"/>
  <c r="P3237" i="2"/>
  <c r="O3237" i="2"/>
  <c r="N3237" i="2"/>
  <c r="M3237" i="2"/>
  <c r="L3237" i="2"/>
  <c r="K3237" i="2"/>
  <c r="J3237" i="2"/>
  <c r="I3237" i="2"/>
  <c r="H3237" i="2"/>
  <c r="G3237" i="2"/>
  <c r="F3237" i="2"/>
  <c r="E3237" i="2"/>
  <c r="D3237" i="2"/>
  <c r="C3237" i="2"/>
  <c r="B3237" i="2"/>
  <c r="V3236" i="2"/>
  <c r="U3236" i="2"/>
  <c r="T3236" i="2"/>
  <c r="S3236" i="2"/>
  <c r="R3236" i="2"/>
  <c r="Q3236" i="2"/>
  <c r="P3236" i="2"/>
  <c r="O3236" i="2"/>
  <c r="N3236" i="2"/>
  <c r="M3236" i="2"/>
  <c r="L3236" i="2"/>
  <c r="K3236" i="2"/>
  <c r="J3236" i="2"/>
  <c r="I3236" i="2"/>
  <c r="H3236" i="2"/>
  <c r="G3236" i="2"/>
  <c r="F3236" i="2"/>
  <c r="E3236" i="2"/>
  <c r="D3236" i="2"/>
  <c r="C3236" i="2"/>
  <c r="B3236" i="2"/>
  <c r="V3235" i="2"/>
  <c r="U3235" i="2"/>
  <c r="T3235" i="2"/>
  <c r="S3235" i="2"/>
  <c r="R3235" i="2"/>
  <c r="Q3235" i="2"/>
  <c r="P3235" i="2"/>
  <c r="O3235" i="2"/>
  <c r="N3235" i="2"/>
  <c r="M3235" i="2"/>
  <c r="L3235" i="2"/>
  <c r="K3235" i="2"/>
  <c r="J3235" i="2"/>
  <c r="I3235" i="2"/>
  <c r="H3235" i="2"/>
  <c r="G3235" i="2"/>
  <c r="F3235" i="2"/>
  <c r="E3235" i="2"/>
  <c r="D3235" i="2"/>
  <c r="C3235" i="2"/>
  <c r="B3235" i="2"/>
  <c r="V3234" i="2"/>
  <c r="U3234" i="2"/>
  <c r="T3234" i="2"/>
  <c r="S3234" i="2"/>
  <c r="R3234" i="2"/>
  <c r="Q3234" i="2"/>
  <c r="P3234" i="2"/>
  <c r="O3234" i="2"/>
  <c r="N3234" i="2"/>
  <c r="M3234" i="2"/>
  <c r="L3234" i="2"/>
  <c r="K3234" i="2"/>
  <c r="J3234" i="2"/>
  <c r="I3234" i="2"/>
  <c r="H3234" i="2"/>
  <c r="G3234" i="2"/>
  <c r="F3234" i="2"/>
  <c r="E3234" i="2"/>
  <c r="D3234" i="2"/>
  <c r="C3234" i="2"/>
  <c r="B3234" i="2"/>
  <c r="V3233" i="2"/>
  <c r="U3233" i="2"/>
  <c r="T3233" i="2"/>
  <c r="S3233" i="2"/>
  <c r="R3233" i="2"/>
  <c r="Q3233" i="2"/>
  <c r="P3233" i="2"/>
  <c r="O3233" i="2"/>
  <c r="N3233" i="2"/>
  <c r="M3233" i="2"/>
  <c r="L3233" i="2"/>
  <c r="K3233" i="2"/>
  <c r="J3233" i="2"/>
  <c r="I3233" i="2"/>
  <c r="H3233" i="2"/>
  <c r="G3233" i="2"/>
  <c r="F3233" i="2"/>
  <c r="E3233" i="2"/>
  <c r="D3233" i="2"/>
  <c r="C3233" i="2"/>
  <c r="B3233" i="2"/>
  <c r="V3232" i="2"/>
  <c r="U3232" i="2"/>
  <c r="T3232" i="2"/>
  <c r="S3232" i="2"/>
  <c r="R3232" i="2"/>
  <c r="Q3232" i="2"/>
  <c r="P3232" i="2"/>
  <c r="O3232" i="2"/>
  <c r="N3232" i="2"/>
  <c r="M3232" i="2"/>
  <c r="L3232" i="2"/>
  <c r="K3232" i="2"/>
  <c r="J3232" i="2"/>
  <c r="I3232" i="2"/>
  <c r="H3232" i="2"/>
  <c r="G3232" i="2"/>
  <c r="F3232" i="2"/>
  <c r="E3232" i="2"/>
  <c r="D3232" i="2"/>
  <c r="C3232" i="2"/>
  <c r="B3232" i="2"/>
  <c r="V3231" i="2"/>
  <c r="U3231" i="2"/>
  <c r="T3231" i="2"/>
  <c r="S3231" i="2"/>
  <c r="R3231" i="2"/>
  <c r="Q3231" i="2"/>
  <c r="P3231" i="2"/>
  <c r="O3231" i="2"/>
  <c r="N3231" i="2"/>
  <c r="M3231" i="2"/>
  <c r="L3231" i="2"/>
  <c r="K3231" i="2"/>
  <c r="J3231" i="2"/>
  <c r="I3231" i="2"/>
  <c r="H3231" i="2"/>
  <c r="G3231" i="2"/>
  <c r="F3231" i="2"/>
  <c r="E3231" i="2"/>
  <c r="D3231" i="2"/>
  <c r="C3231" i="2"/>
  <c r="B3231" i="2"/>
  <c r="V3230" i="2"/>
  <c r="U3230" i="2"/>
  <c r="T3230" i="2"/>
  <c r="S3230" i="2"/>
  <c r="R3230" i="2"/>
  <c r="Q3230" i="2"/>
  <c r="P3230" i="2"/>
  <c r="O3230" i="2"/>
  <c r="N3230" i="2"/>
  <c r="M3230" i="2"/>
  <c r="L3230" i="2"/>
  <c r="K3230" i="2"/>
  <c r="J3230" i="2"/>
  <c r="I3230" i="2"/>
  <c r="H3230" i="2"/>
  <c r="G3230" i="2"/>
  <c r="F3230" i="2"/>
  <c r="E3230" i="2"/>
  <c r="D3230" i="2"/>
  <c r="C3230" i="2"/>
  <c r="B3230" i="2"/>
  <c r="V3229" i="2"/>
  <c r="U3229" i="2"/>
  <c r="T3229" i="2"/>
  <c r="S3229" i="2"/>
  <c r="R3229" i="2"/>
  <c r="Q3229" i="2"/>
  <c r="P3229" i="2"/>
  <c r="O3229" i="2"/>
  <c r="N3229" i="2"/>
  <c r="M3229" i="2"/>
  <c r="L3229" i="2"/>
  <c r="K3229" i="2"/>
  <c r="J3229" i="2"/>
  <c r="I3229" i="2"/>
  <c r="H3229" i="2"/>
  <c r="G3229" i="2"/>
  <c r="F3229" i="2"/>
  <c r="E3229" i="2"/>
  <c r="D3229" i="2"/>
  <c r="C3229" i="2"/>
  <c r="B3229" i="2"/>
  <c r="V3228" i="2"/>
  <c r="U3228" i="2"/>
  <c r="T3228" i="2"/>
  <c r="S3228" i="2"/>
  <c r="R3228" i="2"/>
  <c r="Q3228" i="2"/>
  <c r="P3228" i="2"/>
  <c r="O3228" i="2"/>
  <c r="N3228" i="2"/>
  <c r="M3228" i="2"/>
  <c r="L3228" i="2"/>
  <c r="K3228" i="2"/>
  <c r="J3228" i="2"/>
  <c r="I3228" i="2"/>
  <c r="H3228" i="2"/>
  <c r="G3228" i="2"/>
  <c r="F3228" i="2"/>
  <c r="E3228" i="2"/>
  <c r="D3228" i="2"/>
  <c r="C3228" i="2"/>
  <c r="B3228" i="2"/>
  <c r="V3227" i="2"/>
  <c r="U3227" i="2"/>
  <c r="T3227" i="2"/>
  <c r="S3227" i="2"/>
  <c r="R3227" i="2"/>
  <c r="Q3227" i="2"/>
  <c r="P3227" i="2"/>
  <c r="O3227" i="2"/>
  <c r="N3227" i="2"/>
  <c r="M3227" i="2"/>
  <c r="L3227" i="2"/>
  <c r="K3227" i="2"/>
  <c r="J3227" i="2"/>
  <c r="I3227" i="2"/>
  <c r="H3227" i="2"/>
  <c r="G3227" i="2"/>
  <c r="F3227" i="2"/>
  <c r="E3227" i="2"/>
  <c r="D3227" i="2"/>
  <c r="C3227" i="2"/>
  <c r="B3227" i="2"/>
  <c r="V3226" i="2"/>
  <c r="U3226" i="2"/>
  <c r="T3226" i="2"/>
  <c r="S3226" i="2"/>
  <c r="R3226" i="2"/>
  <c r="Q3226" i="2"/>
  <c r="P3226" i="2"/>
  <c r="O3226" i="2"/>
  <c r="N3226" i="2"/>
  <c r="M3226" i="2"/>
  <c r="L3226" i="2"/>
  <c r="K3226" i="2"/>
  <c r="J3226" i="2"/>
  <c r="I3226" i="2"/>
  <c r="H3226" i="2"/>
  <c r="G3226" i="2"/>
  <c r="F3226" i="2"/>
  <c r="E3226" i="2"/>
  <c r="D3226" i="2"/>
  <c r="C3226" i="2"/>
  <c r="B3226" i="2"/>
  <c r="V3225" i="2"/>
  <c r="U3225" i="2"/>
  <c r="T3225" i="2"/>
  <c r="S3225" i="2"/>
  <c r="R3225" i="2"/>
  <c r="Q3225" i="2"/>
  <c r="P3225" i="2"/>
  <c r="O3225" i="2"/>
  <c r="N3225" i="2"/>
  <c r="M3225" i="2"/>
  <c r="L3225" i="2"/>
  <c r="K3225" i="2"/>
  <c r="J3225" i="2"/>
  <c r="I3225" i="2"/>
  <c r="H3225" i="2"/>
  <c r="G3225" i="2"/>
  <c r="F3225" i="2"/>
  <c r="E3225" i="2"/>
  <c r="D3225" i="2"/>
  <c r="C3225" i="2"/>
  <c r="B3225" i="2"/>
  <c r="V3224" i="2"/>
  <c r="U3224" i="2"/>
  <c r="T3224" i="2"/>
  <c r="S3224" i="2"/>
  <c r="R3224" i="2"/>
  <c r="Q3224" i="2"/>
  <c r="P3224" i="2"/>
  <c r="O3224" i="2"/>
  <c r="N3224" i="2"/>
  <c r="M3224" i="2"/>
  <c r="L3224" i="2"/>
  <c r="K3224" i="2"/>
  <c r="J3224" i="2"/>
  <c r="I3224" i="2"/>
  <c r="H3224" i="2"/>
  <c r="G3224" i="2"/>
  <c r="F3224" i="2"/>
  <c r="E3224" i="2"/>
  <c r="D3224" i="2"/>
  <c r="C3224" i="2"/>
  <c r="B3224" i="2"/>
  <c r="V3223" i="2"/>
  <c r="U3223" i="2"/>
  <c r="T3223" i="2"/>
  <c r="S3223" i="2"/>
  <c r="R3223" i="2"/>
  <c r="Q3223" i="2"/>
  <c r="P3223" i="2"/>
  <c r="O3223" i="2"/>
  <c r="N3223" i="2"/>
  <c r="M3223" i="2"/>
  <c r="L3223" i="2"/>
  <c r="K3223" i="2"/>
  <c r="J3223" i="2"/>
  <c r="I3223" i="2"/>
  <c r="H3223" i="2"/>
  <c r="G3223" i="2"/>
  <c r="F3223" i="2"/>
  <c r="E3223" i="2"/>
  <c r="D3223" i="2"/>
  <c r="C3223" i="2"/>
  <c r="B3223" i="2"/>
  <c r="V3222" i="2"/>
  <c r="U3222" i="2"/>
  <c r="T3222" i="2"/>
  <c r="S3222" i="2"/>
  <c r="R3222" i="2"/>
  <c r="Q3222" i="2"/>
  <c r="P3222" i="2"/>
  <c r="O3222" i="2"/>
  <c r="N3222" i="2"/>
  <c r="M3222" i="2"/>
  <c r="L3222" i="2"/>
  <c r="K3222" i="2"/>
  <c r="J3222" i="2"/>
  <c r="I3222" i="2"/>
  <c r="H3222" i="2"/>
  <c r="G3222" i="2"/>
  <c r="F3222" i="2"/>
  <c r="E3222" i="2"/>
  <c r="D3222" i="2"/>
  <c r="C3222" i="2"/>
  <c r="B3222" i="2"/>
  <c r="V3221" i="2"/>
  <c r="U3221" i="2"/>
  <c r="T3221" i="2"/>
  <c r="S3221" i="2"/>
  <c r="R3221" i="2"/>
  <c r="Q3221" i="2"/>
  <c r="P3221" i="2"/>
  <c r="O3221" i="2"/>
  <c r="N3221" i="2"/>
  <c r="M3221" i="2"/>
  <c r="L3221" i="2"/>
  <c r="K3221" i="2"/>
  <c r="J3221" i="2"/>
  <c r="I3221" i="2"/>
  <c r="H3221" i="2"/>
  <c r="G3221" i="2"/>
  <c r="F3221" i="2"/>
  <c r="E3221" i="2"/>
  <c r="D3221" i="2"/>
  <c r="C3221" i="2"/>
  <c r="B3221" i="2"/>
  <c r="V3220" i="2"/>
  <c r="U3220" i="2"/>
  <c r="T3220" i="2"/>
  <c r="S3220" i="2"/>
  <c r="R3220" i="2"/>
  <c r="Q3220" i="2"/>
  <c r="P3220" i="2"/>
  <c r="O3220" i="2"/>
  <c r="N3220" i="2"/>
  <c r="M3220" i="2"/>
  <c r="L3220" i="2"/>
  <c r="K3220" i="2"/>
  <c r="J3220" i="2"/>
  <c r="I3220" i="2"/>
  <c r="H3220" i="2"/>
  <c r="G3220" i="2"/>
  <c r="F3220" i="2"/>
  <c r="E3220" i="2"/>
  <c r="D3220" i="2"/>
  <c r="C3220" i="2"/>
  <c r="B3220" i="2"/>
  <c r="V3219" i="2"/>
  <c r="U3219" i="2"/>
  <c r="T3219" i="2"/>
  <c r="S3219" i="2"/>
  <c r="R3219" i="2"/>
  <c r="Q3219" i="2"/>
  <c r="P3219" i="2"/>
  <c r="O3219" i="2"/>
  <c r="N3219" i="2"/>
  <c r="M3219" i="2"/>
  <c r="L3219" i="2"/>
  <c r="K3219" i="2"/>
  <c r="J3219" i="2"/>
  <c r="I3219" i="2"/>
  <c r="H3219" i="2"/>
  <c r="G3219" i="2"/>
  <c r="F3219" i="2"/>
  <c r="E3219" i="2"/>
  <c r="D3219" i="2"/>
  <c r="C3219" i="2"/>
  <c r="B3219" i="2"/>
  <c r="V3218" i="2"/>
  <c r="U3218" i="2"/>
  <c r="T3218" i="2"/>
  <c r="S3218" i="2"/>
  <c r="R3218" i="2"/>
  <c r="Q3218" i="2"/>
  <c r="P3218" i="2"/>
  <c r="O3218" i="2"/>
  <c r="N3218" i="2"/>
  <c r="M3218" i="2"/>
  <c r="L3218" i="2"/>
  <c r="K3218" i="2"/>
  <c r="J3218" i="2"/>
  <c r="I3218" i="2"/>
  <c r="H3218" i="2"/>
  <c r="G3218" i="2"/>
  <c r="F3218" i="2"/>
  <c r="E3218" i="2"/>
  <c r="D3218" i="2"/>
  <c r="C3218" i="2"/>
  <c r="B3218" i="2"/>
  <c r="V3217" i="2"/>
  <c r="U3217" i="2"/>
  <c r="T3217" i="2"/>
  <c r="S3217" i="2"/>
  <c r="R3217" i="2"/>
  <c r="Q3217" i="2"/>
  <c r="P3217" i="2"/>
  <c r="O3217" i="2"/>
  <c r="N3217" i="2"/>
  <c r="M3217" i="2"/>
  <c r="L3217" i="2"/>
  <c r="K3217" i="2"/>
  <c r="J3217" i="2"/>
  <c r="I3217" i="2"/>
  <c r="H3217" i="2"/>
  <c r="G3217" i="2"/>
  <c r="F3217" i="2"/>
  <c r="E3217" i="2"/>
  <c r="D3217" i="2"/>
  <c r="C3217" i="2"/>
  <c r="B3217" i="2"/>
  <c r="V3216" i="2"/>
  <c r="U3216" i="2"/>
  <c r="T3216" i="2"/>
  <c r="S3216" i="2"/>
  <c r="R3216" i="2"/>
  <c r="Q3216" i="2"/>
  <c r="P3216" i="2"/>
  <c r="O3216" i="2"/>
  <c r="N3216" i="2"/>
  <c r="M3216" i="2"/>
  <c r="L3216" i="2"/>
  <c r="K3216" i="2"/>
  <c r="J3216" i="2"/>
  <c r="I3216" i="2"/>
  <c r="H3216" i="2"/>
  <c r="G3216" i="2"/>
  <c r="F3216" i="2"/>
  <c r="E3216" i="2"/>
  <c r="D3216" i="2"/>
  <c r="C3216" i="2"/>
  <c r="B3216" i="2"/>
  <c r="V3215" i="2"/>
  <c r="U3215" i="2"/>
  <c r="T3215" i="2"/>
  <c r="S3215" i="2"/>
  <c r="R3215" i="2"/>
  <c r="Q3215" i="2"/>
  <c r="P3215" i="2"/>
  <c r="O3215" i="2"/>
  <c r="N3215" i="2"/>
  <c r="M3215" i="2"/>
  <c r="L3215" i="2"/>
  <c r="K3215" i="2"/>
  <c r="J3215" i="2"/>
  <c r="I3215" i="2"/>
  <c r="H3215" i="2"/>
  <c r="G3215" i="2"/>
  <c r="F3215" i="2"/>
  <c r="E3215" i="2"/>
  <c r="D3215" i="2"/>
  <c r="C3215" i="2"/>
  <c r="B3215" i="2"/>
  <c r="V3214" i="2"/>
  <c r="U3214" i="2"/>
  <c r="T3214" i="2"/>
  <c r="S3214" i="2"/>
  <c r="R3214" i="2"/>
  <c r="Q3214" i="2"/>
  <c r="P3214" i="2"/>
  <c r="O3214" i="2"/>
  <c r="N3214" i="2"/>
  <c r="M3214" i="2"/>
  <c r="L3214" i="2"/>
  <c r="K3214" i="2"/>
  <c r="J3214" i="2"/>
  <c r="I3214" i="2"/>
  <c r="H3214" i="2"/>
  <c r="G3214" i="2"/>
  <c r="F3214" i="2"/>
  <c r="E3214" i="2"/>
  <c r="D3214" i="2"/>
  <c r="C3214" i="2"/>
  <c r="B3214" i="2"/>
  <c r="V3213" i="2"/>
  <c r="U3213" i="2"/>
  <c r="T3213" i="2"/>
  <c r="S3213" i="2"/>
  <c r="R3213" i="2"/>
  <c r="Q3213" i="2"/>
  <c r="P3213" i="2"/>
  <c r="O3213" i="2"/>
  <c r="N3213" i="2"/>
  <c r="M3213" i="2"/>
  <c r="L3213" i="2"/>
  <c r="K3213" i="2"/>
  <c r="J3213" i="2"/>
  <c r="I3213" i="2"/>
  <c r="H3213" i="2"/>
  <c r="G3213" i="2"/>
  <c r="F3213" i="2"/>
  <c r="E3213" i="2"/>
  <c r="D3213" i="2"/>
  <c r="C3213" i="2"/>
  <c r="B3213" i="2"/>
  <c r="V3212" i="2"/>
  <c r="U3212" i="2"/>
  <c r="T3212" i="2"/>
  <c r="S3212" i="2"/>
  <c r="R3212" i="2"/>
  <c r="Q3212" i="2"/>
  <c r="P3212" i="2"/>
  <c r="O3212" i="2"/>
  <c r="N3212" i="2"/>
  <c r="M3212" i="2"/>
  <c r="L3212" i="2"/>
  <c r="K3212" i="2"/>
  <c r="J3212" i="2"/>
  <c r="I3212" i="2"/>
  <c r="H3212" i="2"/>
  <c r="G3212" i="2"/>
  <c r="F3212" i="2"/>
  <c r="E3212" i="2"/>
  <c r="D3212" i="2"/>
  <c r="C3212" i="2"/>
  <c r="B3212" i="2"/>
  <c r="V3211" i="2"/>
  <c r="U3211" i="2"/>
  <c r="T3211" i="2"/>
  <c r="S3211" i="2"/>
  <c r="R3211" i="2"/>
  <c r="Q3211" i="2"/>
  <c r="P3211" i="2"/>
  <c r="O3211" i="2"/>
  <c r="N3211" i="2"/>
  <c r="M3211" i="2"/>
  <c r="L3211" i="2"/>
  <c r="K3211" i="2"/>
  <c r="J3211" i="2"/>
  <c r="I3211" i="2"/>
  <c r="H3211" i="2"/>
  <c r="G3211" i="2"/>
  <c r="F3211" i="2"/>
  <c r="E3211" i="2"/>
  <c r="D3211" i="2"/>
  <c r="C3211" i="2"/>
  <c r="B3211" i="2"/>
  <c r="V3210" i="2"/>
  <c r="U3210" i="2"/>
  <c r="T3210" i="2"/>
  <c r="S3210" i="2"/>
  <c r="R3210" i="2"/>
  <c r="Q3210" i="2"/>
  <c r="P3210" i="2"/>
  <c r="O3210" i="2"/>
  <c r="N3210" i="2"/>
  <c r="M3210" i="2"/>
  <c r="L3210" i="2"/>
  <c r="K3210" i="2"/>
  <c r="J3210" i="2"/>
  <c r="I3210" i="2"/>
  <c r="H3210" i="2"/>
  <c r="G3210" i="2"/>
  <c r="F3210" i="2"/>
  <c r="E3210" i="2"/>
  <c r="D3210" i="2"/>
  <c r="C3210" i="2"/>
  <c r="B3210" i="2"/>
  <c r="V3209" i="2"/>
  <c r="U3209" i="2"/>
  <c r="T3209" i="2"/>
  <c r="S3209" i="2"/>
  <c r="R3209" i="2"/>
  <c r="Q3209" i="2"/>
  <c r="P3209" i="2"/>
  <c r="O3209" i="2"/>
  <c r="N3209" i="2"/>
  <c r="M3209" i="2"/>
  <c r="L3209" i="2"/>
  <c r="K3209" i="2"/>
  <c r="J3209" i="2"/>
  <c r="I3209" i="2"/>
  <c r="H3209" i="2"/>
  <c r="G3209" i="2"/>
  <c r="F3209" i="2"/>
  <c r="E3209" i="2"/>
  <c r="D3209" i="2"/>
  <c r="C3209" i="2"/>
  <c r="B3209" i="2"/>
  <c r="V3208" i="2"/>
  <c r="U3208" i="2"/>
  <c r="T3208" i="2"/>
  <c r="S3208" i="2"/>
  <c r="R3208" i="2"/>
  <c r="Q3208" i="2"/>
  <c r="P3208" i="2"/>
  <c r="O3208" i="2"/>
  <c r="N3208" i="2"/>
  <c r="M3208" i="2"/>
  <c r="L3208" i="2"/>
  <c r="K3208" i="2"/>
  <c r="J3208" i="2"/>
  <c r="I3208" i="2"/>
  <c r="H3208" i="2"/>
  <c r="G3208" i="2"/>
  <c r="F3208" i="2"/>
  <c r="E3208" i="2"/>
  <c r="D3208" i="2"/>
  <c r="C3208" i="2"/>
  <c r="B3208" i="2"/>
  <c r="V3207" i="2"/>
  <c r="U3207" i="2"/>
  <c r="T3207" i="2"/>
  <c r="S3207" i="2"/>
  <c r="R3207" i="2"/>
  <c r="Q3207" i="2"/>
  <c r="P3207" i="2"/>
  <c r="O3207" i="2"/>
  <c r="N3207" i="2"/>
  <c r="M3207" i="2"/>
  <c r="L3207" i="2"/>
  <c r="K3207" i="2"/>
  <c r="J3207" i="2"/>
  <c r="I3207" i="2"/>
  <c r="H3207" i="2"/>
  <c r="G3207" i="2"/>
  <c r="F3207" i="2"/>
  <c r="E3207" i="2"/>
  <c r="D3207" i="2"/>
  <c r="C3207" i="2"/>
  <c r="B3207" i="2"/>
  <c r="V3206" i="2"/>
  <c r="U3206" i="2"/>
  <c r="T3206" i="2"/>
  <c r="S3206" i="2"/>
  <c r="R3206" i="2"/>
  <c r="Q3206" i="2"/>
  <c r="P3206" i="2"/>
  <c r="O3206" i="2"/>
  <c r="N3206" i="2"/>
  <c r="M3206" i="2"/>
  <c r="L3206" i="2"/>
  <c r="K3206" i="2"/>
  <c r="J3206" i="2"/>
  <c r="I3206" i="2"/>
  <c r="H3206" i="2"/>
  <c r="G3206" i="2"/>
  <c r="F3206" i="2"/>
  <c r="E3206" i="2"/>
  <c r="D3206" i="2"/>
  <c r="C3206" i="2"/>
  <c r="B3206" i="2"/>
  <c r="V3205" i="2"/>
  <c r="U3205" i="2"/>
  <c r="T3205" i="2"/>
  <c r="S3205" i="2"/>
  <c r="R3205" i="2"/>
  <c r="Q3205" i="2"/>
  <c r="P3205" i="2"/>
  <c r="O3205" i="2"/>
  <c r="N3205" i="2"/>
  <c r="M3205" i="2"/>
  <c r="L3205" i="2"/>
  <c r="K3205" i="2"/>
  <c r="J3205" i="2"/>
  <c r="I3205" i="2"/>
  <c r="H3205" i="2"/>
  <c r="G3205" i="2"/>
  <c r="F3205" i="2"/>
  <c r="E3205" i="2"/>
  <c r="D3205" i="2"/>
  <c r="C3205" i="2"/>
  <c r="B3205" i="2"/>
  <c r="V3204" i="2"/>
  <c r="U3204" i="2"/>
  <c r="T3204" i="2"/>
  <c r="S3204" i="2"/>
  <c r="R3204" i="2"/>
  <c r="Q3204" i="2"/>
  <c r="P3204" i="2"/>
  <c r="O3204" i="2"/>
  <c r="N3204" i="2"/>
  <c r="M3204" i="2"/>
  <c r="L3204" i="2"/>
  <c r="K3204" i="2"/>
  <c r="J3204" i="2"/>
  <c r="I3204" i="2"/>
  <c r="H3204" i="2"/>
  <c r="G3204" i="2"/>
  <c r="F3204" i="2"/>
  <c r="E3204" i="2"/>
  <c r="D3204" i="2"/>
  <c r="C3204" i="2"/>
  <c r="B3204" i="2"/>
  <c r="V3203" i="2"/>
  <c r="U3203" i="2"/>
  <c r="T3203" i="2"/>
  <c r="S3203" i="2"/>
  <c r="R3203" i="2"/>
  <c r="Q3203" i="2"/>
  <c r="P3203" i="2"/>
  <c r="O3203" i="2"/>
  <c r="N3203" i="2"/>
  <c r="M3203" i="2"/>
  <c r="L3203" i="2"/>
  <c r="K3203" i="2"/>
  <c r="J3203" i="2"/>
  <c r="I3203" i="2"/>
  <c r="H3203" i="2"/>
  <c r="G3203" i="2"/>
  <c r="F3203" i="2"/>
  <c r="E3203" i="2"/>
  <c r="D3203" i="2"/>
  <c r="C3203" i="2"/>
  <c r="B3203" i="2"/>
  <c r="V3202" i="2"/>
  <c r="U3202" i="2"/>
  <c r="T3202" i="2"/>
  <c r="S3202" i="2"/>
  <c r="R3202" i="2"/>
  <c r="Q3202" i="2"/>
  <c r="P3202" i="2"/>
  <c r="O3202" i="2"/>
  <c r="N3202" i="2"/>
  <c r="M3202" i="2"/>
  <c r="L3202" i="2"/>
  <c r="K3202" i="2"/>
  <c r="J3202" i="2"/>
  <c r="I3202" i="2"/>
  <c r="H3202" i="2"/>
  <c r="G3202" i="2"/>
  <c r="F3202" i="2"/>
  <c r="E3202" i="2"/>
  <c r="D3202" i="2"/>
  <c r="C3202" i="2"/>
  <c r="B3202" i="2"/>
  <c r="V3201" i="2"/>
  <c r="U3201" i="2"/>
  <c r="T3201" i="2"/>
  <c r="S3201" i="2"/>
  <c r="R3201" i="2"/>
  <c r="Q3201" i="2"/>
  <c r="P3201" i="2"/>
  <c r="O3201" i="2"/>
  <c r="N3201" i="2"/>
  <c r="M3201" i="2"/>
  <c r="L3201" i="2"/>
  <c r="K3201" i="2"/>
  <c r="J3201" i="2"/>
  <c r="I3201" i="2"/>
  <c r="H3201" i="2"/>
  <c r="G3201" i="2"/>
  <c r="F3201" i="2"/>
  <c r="E3201" i="2"/>
  <c r="D3201" i="2"/>
  <c r="C3201" i="2"/>
  <c r="B3201" i="2"/>
  <c r="V3200" i="2"/>
  <c r="U3200" i="2"/>
  <c r="T3200" i="2"/>
  <c r="S3200" i="2"/>
  <c r="R3200" i="2"/>
  <c r="Q3200" i="2"/>
  <c r="P3200" i="2"/>
  <c r="O3200" i="2"/>
  <c r="N3200" i="2"/>
  <c r="M3200" i="2"/>
  <c r="L3200" i="2"/>
  <c r="K3200" i="2"/>
  <c r="J3200" i="2"/>
  <c r="I3200" i="2"/>
  <c r="H3200" i="2"/>
  <c r="G3200" i="2"/>
  <c r="F3200" i="2"/>
  <c r="E3200" i="2"/>
  <c r="D3200" i="2"/>
  <c r="C3200" i="2"/>
  <c r="B3200" i="2"/>
  <c r="V3199" i="2"/>
  <c r="U3199" i="2"/>
  <c r="T3199" i="2"/>
  <c r="S3199" i="2"/>
  <c r="R3199" i="2"/>
  <c r="Q3199" i="2"/>
  <c r="P3199" i="2"/>
  <c r="O3199" i="2"/>
  <c r="N3199" i="2"/>
  <c r="M3199" i="2"/>
  <c r="L3199" i="2"/>
  <c r="K3199" i="2"/>
  <c r="J3199" i="2"/>
  <c r="I3199" i="2"/>
  <c r="H3199" i="2"/>
  <c r="G3199" i="2"/>
  <c r="F3199" i="2"/>
  <c r="E3199" i="2"/>
  <c r="D3199" i="2"/>
  <c r="C3199" i="2"/>
  <c r="B3199" i="2"/>
  <c r="V3198" i="2"/>
  <c r="U3198" i="2"/>
  <c r="T3198" i="2"/>
  <c r="S3198" i="2"/>
  <c r="R3198" i="2"/>
  <c r="Q3198" i="2"/>
  <c r="P3198" i="2"/>
  <c r="O3198" i="2"/>
  <c r="N3198" i="2"/>
  <c r="M3198" i="2"/>
  <c r="L3198" i="2"/>
  <c r="K3198" i="2"/>
  <c r="J3198" i="2"/>
  <c r="I3198" i="2"/>
  <c r="H3198" i="2"/>
  <c r="G3198" i="2"/>
  <c r="F3198" i="2"/>
  <c r="E3198" i="2"/>
  <c r="D3198" i="2"/>
  <c r="C3198" i="2"/>
  <c r="B3198" i="2"/>
  <c r="V3197" i="2"/>
  <c r="U3197" i="2"/>
  <c r="T3197" i="2"/>
  <c r="S3197" i="2"/>
  <c r="R3197" i="2"/>
  <c r="Q3197" i="2"/>
  <c r="P3197" i="2"/>
  <c r="O3197" i="2"/>
  <c r="N3197" i="2"/>
  <c r="M3197" i="2"/>
  <c r="L3197" i="2"/>
  <c r="K3197" i="2"/>
  <c r="J3197" i="2"/>
  <c r="I3197" i="2"/>
  <c r="H3197" i="2"/>
  <c r="G3197" i="2"/>
  <c r="F3197" i="2"/>
  <c r="E3197" i="2"/>
  <c r="D3197" i="2"/>
  <c r="C3197" i="2"/>
  <c r="B3197" i="2"/>
  <c r="V3196" i="2"/>
  <c r="U3196" i="2"/>
  <c r="T3196" i="2"/>
  <c r="S3196" i="2"/>
  <c r="R3196" i="2"/>
  <c r="Q3196" i="2"/>
  <c r="P3196" i="2"/>
  <c r="O3196" i="2"/>
  <c r="N3196" i="2"/>
  <c r="M3196" i="2"/>
  <c r="L3196" i="2"/>
  <c r="K3196" i="2"/>
  <c r="J3196" i="2"/>
  <c r="I3196" i="2"/>
  <c r="H3196" i="2"/>
  <c r="G3196" i="2"/>
  <c r="F3196" i="2"/>
  <c r="E3196" i="2"/>
  <c r="D3196" i="2"/>
  <c r="C3196" i="2"/>
  <c r="B3196" i="2"/>
  <c r="V3195" i="2"/>
  <c r="U3195" i="2"/>
  <c r="T3195" i="2"/>
  <c r="S3195" i="2"/>
  <c r="R3195" i="2"/>
  <c r="Q3195" i="2"/>
  <c r="P3195" i="2"/>
  <c r="O3195" i="2"/>
  <c r="N3195" i="2"/>
  <c r="M3195" i="2"/>
  <c r="L3195" i="2"/>
  <c r="K3195" i="2"/>
  <c r="J3195" i="2"/>
  <c r="I3195" i="2"/>
  <c r="H3195" i="2"/>
  <c r="G3195" i="2"/>
  <c r="F3195" i="2"/>
  <c r="E3195" i="2"/>
  <c r="D3195" i="2"/>
  <c r="C3195" i="2"/>
  <c r="B3195" i="2"/>
  <c r="V3194" i="2"/>
  <c r="U3194" i="2"/>
  <c r="T3194" i="2"/>
  <c r="S3194" i="2"/>
  <c r="R3194" i="2"/>
  <c r="Q3194" i="2"/>
  <c r="P3194" i="2"/>
  <c r="O3194" i="2"/>
  <c r="N3194" i="2"/>
  <c r="M3194" i="2"/>
  <c r="L3194" i="2"/>
  <c r="K3194" i="2"/>
  <c r="J3194" i="2"/>
  <c r="I3194" i="2"/>
  <c r="H3194" i="2"/>
  <c r="G3194" i="2"/>
  <c r="F3194" i="2"/>
  <c r="E3194" i="2"/>
  <c r="D3194" i="2"/>
  <c r="C3194" i="2"/>
  <c r="B3194" i="2"/>
  <c r="V3193" i="2"/>
  <c r="U3193" i="2"/>
  <c r="T3193" i="2"/>
  <c r="S3193" i="2"/>
  <c r="R3193" i="2"/>
  <c r="Q3193" i="2"/>
  <c r="P3193" i="2"/>
  <c r="O3193" i="2"/>
  <c r="N3193" i="2"/>
  <c r="M3193" i="2"/>
  <c r="L3193" i="2"/>
  <c r="K3193" i="2"/>
  <c r="J3193" i="2"/>
  <c r="I3193" i="2"/>
  <c r="H3193" i="2"/>
  <c r="G3193" i="2"/>
  <c r="F3193" i="2"/>
  <c r="E3193" i="2"/>
  <c r="D3193" i="2"/>
  <c r="C3193" i="2"/>
  <c r="B3193" i="2"/>
  <c r="V3192" i="2"/>
  <c r="U3192" i="2"/>
  <c r="T3192" i="2"/>
  <c r="S3192" i="2"/>
  <c r="R3192" i="2"/>
  <c r="Q3192" i="2"/>
  <c r="P3192" i="2"/>
  <c r="O3192" i="2"/>
  <c r="N3192" i="2"/>
  <c r="M3192" i="2"/>
  <c r="L3192" i="2"/>
  <c r="K3192" i="2"/>
  <c r="J3192" i="2"/>
  <c r="I3192" i="2"/>
  <c r="H3192" i="2"/>
  <c r="G3192" i="2"/>
  <c r="F3192" i="2"/>
  <c r="E3192" i="2"/>
  <c r="D3192" i="2"/>
  <c r="C3192" i="2"/>
  <c r="B3192" i="2"/>
  <c r="V3191" i="2"/>
  <c r="U3191" i="2"/>
  <c r="T3191" i="2"/>
  <c r="S3191" i="2"/>
  <c r="R3191" i="2"/>
  <c r="Q3191" i="2"/>
  <c r="P3191" i="2"/>
  <c r="O3191" i="2"/>
  <c r="N3191" i="2"/>
  <c r="M3191" i="2"/>
  <c r="L3191" i="2"/>
  <c r="K3191" i="2"/>
  <c r="J3191" i="2"/>
  <c r="I3191" i="2"/>
  <c r="H3191" i="2"/>
  <c r="G3191" i="2"/>
  <c r="F3191" i="2"/>
  <c r="E3191" i="2"/>
  <c r="D3191" i="2"/>
  <c r="C3191" i="2"/>
  <c r="B3191" i="2"/>
  <c r="V3190" i="2"/>
  <c r="U3190" i="2"/>
  <c r="T3190" i="2"/>
  <c r="S3190" i="2"/>
  <c r="R3190" i="2"/>
  <c r="Q3190" i="2"/>
  <c r="P3190" i="2"/>
  <c r="O3190" i="2"/>
  <c r="N3190" i="2"/>
  <c r="M3190" i="2"/>
  <c r="L3190" i="2"/>
  <c r="K3190" i="2"/>
  <c r="J3190" i="2"/>
  <c r="I3190" i="2"/>
  <c r="H3190" i="2"/>
  <c r="G3190" i="2"/>
  <c r="F3190" i="2"/>
  <c r="E3190" i="2"/>
  <c r="D3190" i="2"/>
  <c r="C3190" i="2"/>
  <c r="B3190" i="2"/>
  <c r="V3189" i="2"/>
  <c r="U3189" i="2"/>
  <c r="T3189" i="2"/>
  <c r="S3189" i="2"/>
  <c r="R3189" i="2"/>
  <c r="Q3189" i="2"/>
  <c r="P3189" i="2"/>
  <c r="O3189" i="2"/>
  <c r="N3189" i="2"/>
  <c r="M3189" i="2"/>
  <c r="L3189" i="2"/>
  <c r="K3189" i="2"/>
  <c r="J3189" i="2"/>
  <c r="I3189" i="2"/>
  <c r="H3189" i="2"/>
  <c r="G3189" i="2"/>
  <c r="F3189" i="2"/>
  <c r="E3189" i="2"/>
  <c r="D3189" i="2"/>
  <c r="C3189" i="2"/>
  <c r="B3189" i="2"/>
  <c r="V3188" i="2"/>
  <c r="U3188" i="2"/>
  <c r="T3188" i="2"/>
  <c r="S3188" i="2"/>
  <c r="R3188" i="2"/>
  <c r="Q3188" i="2"/>
  <c r="P3188" i="2"/>
  <c r="O3188" i="2"/>
  <c r="N3188" i="2"/>
  <c r="M3188" i="2"/>
  <c r="L3188" i="2"/>
  <c r="K3188" i="2"/>
  <c r="J3188" i="2"/>
  <c r="I3188" i="2"/>
  <c r="H3188" i="2"/>
  <c r="G3188" i="2"/>
  <c r="F3188" i="2"/>
  <c r="E3188" i="2"/>
  <c r="D3188" i="2"/>
  <c r="C3188" i="2"/>
  <c r="B3188" i="2"/>
  <c r="V3187" i="2"/>
  <c r="U3187" i="2"/>
  <c r="T3187" i="2"/>
  <c r="S3187" i="2"/>
  <c r="R3187" i="2"/>
  <c r="Q3187" i="2"/>
  <c r="P3187" i="2"/>
  <c r="O3187" i="2"/>
  <c r="N3187" i="2"/>
  <c r="M3187" i="2"/>
  <c r="L3187" i="2"/>
  <c r="K3187" i="2"/>
  <c r="J3187" i="2"/>
  <c r="I3187" i="2"/>
  <c r="H3187" i="2"/>
  <c r="G3187" i="2"/>
  <c r="F3187" i="2"/>
  <c r="E3187" i="2"/>
  <c r="D3187" i="2"/>
  <c r="C3187" i="2"/>
  <c r="B3187" i="2"/>
  <c r="V3186" i="2"/>
  <c r="U3186" i="2"/>
  <c r="T3186" i="2"/>
  <c r="S3186" i="2"/>
  <c r="R3186" i="2"/>
  <c r="Q3186" i="2"/>
  <c r="P3186" i="2"/>
  <c r="O3186" i="2"/>
  <c r="N3186" i="2"/>
  <c r="M3186" i="2"/>
  <c r="L3186" i="2"/>
  <c r="K3186" i="2"/>
  <c r="J3186" i="2"/>
  <c r="I3186" i="2"/>
  <c r="H3186" i="2"/>
  <c r="G3186" i="2"/>
  <c r="F3186" i="2"/>
  <c r="E3186" i="2"/>
  <c r="D3186" i="2"/>
  <c r="C3186" i="2"/>
  <c r="B3186" i="2"/>
  <c r="V3185" i="2"/>
  <c r="U3185" i="2"/>
  <c r="T3185" i="2"/>
  <c r="S3185" i="2"/>
  <c r="R3185" i="2"/>
  <c r="Q3185" i="2"/>
  <c r="P3185" i="2"/>
  <c r="O3185" i="2"/>
  <c r="N3185" i="2"/>
  <c r="M3185" i="2"/>
  <c r="L3185" i="2"/>
  <c r="K3185" i="2"/>
  <c r="J3185" i="2"/>
  <c r="I3185" i="2"/>
  <c r="H3185" i="2"/>
  <c r="G3185" i="2"/>
  <c r="F3185" i="2"/>
  <c r="E3185" i="2"/>
  <c r="D3185" i="2"/>
  <c r="C3185" i="2"/>
  <c r="B3185" i="2"/>
  <c r="V3184" i="2"/>
  <c r="U3184" i="2"/>
  <c r="T3184" i="2"/>
  <c r="S3184" i="2"/>
  <c r="R3184" i="2"/>
  <c r="Q3184" i="2"/>
  <c r="P3184" i="2"/>
  <c r="O3184" i="2"/>
  <c r="N3184" i="2"/>
  <c r="M3184" i="2"/>
  <c r="L3184" i="2"/>
  <c r="K3184" i="2"/>
  <c r="J3184" i="2"/>
  <c r="I3184" i="2"/>
  <c r="H3184" i="2"/>
  <c r="G3184" i="2"/>
  <c r="F3184" i="2"/>
  <c r="E3184" i="2"/>
  <c r="D3184" i="2"/>
  <c r="C3184" i="2"/>
  <c r="B3184" i="2"/>
  <c r="V3183" i="2"/>
  <c r="U3183" i="2"/>
  <c r="T3183" i="2"/>
  <c r="S3183" i="2"/>
  <c r="R3183" i="2"/>
  <c r="Q3183" i="2"/>
  <c r="P3183" i="2"/>
  <c r="O3183" i="2"/>
  <c r="N3183" i="2"/>
  <c r="M3183" i="2"/>
  <c r="L3183" i="2"/>
  <c r="K3183" i="2"/>
  <c r="J3183" i="2"/>
  <c r="I3183" i="2"/>
  <c r="H3183" i="2"/>
  <c r="G3183" i="2"/>
  <c r="F3183" i="2"/>
  <c r="E3183" i="2"/>
  <c r="D3183" i="2"/>
  <c r="C3183" i="2"/>
  <c r="B3183" i="2"/>
  <c r="V3182" i="2"/>
  <c r="U3182" i="2"/>
  <c r="T3182" i="2"/>
  <c r="S3182" i="2"/>
  <c r="R3182" i="2"/>
  <c r="Q3182" i="2"/>
  <c r="P3182" i="2"/>
  <c r="O3182" i="2"/>
  <c r="N3182" i="2"/>
  <c r="M3182" i="2"/>
  <c r="L3182" i="2"/>
  <c r="K3182" i="2"/>
  <c r="J3182" i="2"/>
  <c r="I3182" i="2"/>
  <c r="H3182" i="2"/>
  <c r="G3182" i="2"/>
  <c r="F3182" i="2"/>
  <c r="E3182" i="2"/>
  <c r="D3182" i="2"/>
  <c r="C3182" i="2"/>
  <c r="B3182" i="2"/>
  <c r="V3181" i="2"/>
  <c r="U3181" i="2"/>
  <c r="T3181" i="2"/>
  <c r="S3181" i="2"/>
  <c r="R3181" i="2"/>
  <c r="Q3181" i="2"/>
  <c r="P3181" i="2"/>
  <c r="O3181" i="2"/>
  <c r="N3181" i="2"/>
  <c r="M3181" i="2"/>
  <c r="L3181" i="2"/>
  <c r="K3181" i="2"/>
  <c r="J3181" i="2"/>
  <c r="I3181" i="2"/>
  <c r="H3181" i="2"/>
  <c r="G3181" i="2"/>
  <c r="F3181" i="2"/>
  <c r="E3181" i="2"/>
  <c r="D3181" i="2"/>
  <c r="C3181" i="2"/>
  <c r="B3181" i="2"/>
  <c r="V3180" i="2"/>
  <c r="U3180" i="2"/>
  <c r="T3180" i="2"/>
  <c r="S3180" i="2"/>
  <c r="R3180" i="2"/>
  <c r="Q3180" i="2"/>
  <c r="P3180" i="2"/>
  <c r="O3180" i="2"/>
  <c r="N3180" i="2"/>
  <c r="M3180" i="2"/>
  <c r="L3180" i="2"/>
  <c r="K3180" i="2"/>
  <c r="J3180" i="2"/>
  <c r="I3180" i="2"/>
  <c r="H3180" i="2"/>
  <c r="G3180" i="2"/>
  <c r="F3180" i="2"/>
  <c r="E3180" i="2"/>
  <c r="D3180" i="2"/>
  <c r="C3180" i="2"/>
  <c r="B3180" i="2"/>
  <c r="V3179" i="2"/>
  <c r="U3179" i="2"/>
  <c r="T3179" i="2"/>
  <c r="S3179" i="2"/>
  <c r="R3179" i="2"/>
  <c r="Q3179" i="2"/>
  <c r="P3179" i="2"/>
  <c r="O3179" i="2"/>
  <c r="N3179" i="2"/>
  <c r="M3179" i="2"/>
  <c r="L3179" i="2"/>
  <c r="K3179" i="2"/>
  <c r="J3179" i="2"/>
  <c r="I3179" i="2"/>
  <c r="H3179" i="2"/>
  <c r="G3179" i="2"/>
  <c r="F3179" i="2"/>
  <c r="E3179" i="2"/>
  <c r="D3179" i="2"/>
  <c r="C3179" i="2"/>
  <c r="B3179" i="2"/>
  <c r="V3178" i="2"/>
  <c r="U3178" i="2"/>
  <c r="T3178" i="2"/>
  <c r="S3178" i="2"/>
  <c r="R3178" i="2"/>
  <c r="Q3178" i="2"/>
  <c r="P3178" i="2"/>
  <c r="O3178" i="2"/>
  <c r="N3178" i="2"/>
  <c r="M3178" i="2"/>
  <c r="L3178" i="2"/>
  <c r="K3178" i="2"/>
  <c r="J3178" i="2"/>
  <c r="I3178" i="2"/>
  <c r="H3178" i="2"/>
  <c r="G3178" i="2"/>
  <c r="F3178" i="2"/>
  <c r="E3178" i="2"/>
  <c r="D3178" i="2"/>
  <c r="C3178" i="2"/>
  <c r="B3178" i="2"/>
  <c r="V3177" i="2"/>
  <c r="U3177" i="2"/>
  <c r="T3177" i="2"/>
  <c r="S3177" i="2"/>
  <c r="R3177" i="2"/>
  <c r="Q3177" i="2"/>
  <c r="P3177" i="2"/>
  <c r="O3177" i="2"/>
  <c r="N3177" i="2"/>
  <c r="M3177" i="2"/>
  <c r="L3177" i="2"/>
  <c r="K3177" i="2"/>
  <c r="J3177" i="2"/>
  <c r="I3177" i="2"/>
  <c r="H3177" i="2"/>
  <c r="G3177" i="2"/>
  <c r="F3177" i="2"/>
  <c r="E3177" i="2"/>
  <c r="D3177" i="2"/>
  <c r="C3177" i="2"/>
  <c r="B3177" i="2"/>
  <c r="V3176" i="2"/>
  <c r="U3176" i="2"/>
  <c r="T3176" i="2"/>
  <c r="S3176" i="2"/>
  <c r="R3176" i="2"/>
  <c r="Q3176" i="2"/>
  <c r="P3176" i="2"/>
  <c r="O3176" i="2"/>
  <c r="N3176" i="2"/>
  <c r="M3176" i="2"/>
  <c r="L3176" i="2"/>
  <c r="K3176" i="2"/>
  <c r="J3176" i="2"/>
  <c r="I3176" i="2"/>
  <c r="H3176" i="2"/>
  <c r="G3176" i="2"/>
  <c r="F3176" i="2"/>
  <c r="E3176" i="2"/>
  <c r="D3176" i="2"/>
  <c r="C3176" i="2"/>
  <c r="B3176" i="2"/>
  <c r="V3175" i="2"/>
  <c r="U3175" i="2"/>
  <c r="T3175" i="2"/>
  <c r="S3175" i="2"/>
  <c r="R3175" i="2"/>
  <c r="Q3175" i="2"/>
  <c r="P3175" i="2"/>
  <c r="O3175" i="2"/>
  <c r="N3175" i="2"/>
  <c r="M3175" i="2"/>
  <c r="L3175" i="2"/>
  <c r="K3175" i="2"/>
  <c r="J3175" i="2"/>
  <c r="I3175" i="2"/>
  <c r="H3175" i="2"/>
  <c r="G3175" i="2"/>
  <c r="F3175" i="2"/>
  <c r="E3175" i="2"/>
  <c r="D3175" i="2"/>
  <c r="C3175" i="2"/>
  <c r="B3175" i="2"/>
  <c r="V3174" i="2"/>
  <c r="U3174" i="2"/>
  <c r="T3174" i="2"/>
  <c r="S3174" i="2"/>
  <c r="R3174" i="2"/>
  <c r="Q3174" i="2"/>
  <c r="P3174" i="2"/>
  <c r="O3174" i="2"/>
  <c r="N3174" i="2"/>
  <c r="M3174" i="2"/>
  <c r="L3174" i="2"/>
  <c r="K3174" i="2"/>
  <c r="J3174" i="2"/>
  <c r="I3174" i="2"/>
  <c r="H3174" i="2"/>
  <c r="G3174" i="2"/>
  <c r="F3174" i="2"/>
  <c r="E3174" i="2"/>
  <c r="D3174" i="2"/>
  <c r="C3174" i="2"/>
  <c r="B3174" i="2"/>
  <c r="V3173" i="2"/>
  <c r="U3173" i="2"/>
  <c r="T3173" i="2"/>
  <c r="S3173" i="2"/>
  <c r="R3173" i="2"/>
  <c r="Q3173" i="2"/>
  <c r="P3173" i="2"/>
  <c r="O3173" i="2"/>
  <c r="N3173" i="2"/>
  <c r="M3173" i="2"/>
  <c r="L3173" i="2"/>
  <c r="K3173" i="2"/>
  <c r="J3173" i="2"/>
  <c r="I3173" i="2"/>
  <c r="H3173" i="2"/>
  <c r="G3173" i="2"/>
  <c r="F3173" i="2"/>
  <c r="E3173" i="2"/>
  <c r="D3173" i="2"/>
  <c r="C3173" i="2"/>
  <c r="B3173" i="2"/>
  <c r="V3172" i="2"/>
  <c r="U3172" i="2"/>
  <c r="T3172" i="2"/>
  <c r="S3172" i="2"/>
  <c r="R3172" i="2"/>
  <c r="Q3172" i="2"/>
  <c r="P3172" i="2"/>
  <c r="O3172" i="2"/>
  <c r="N3172" i="2"/>
  <c r="M3172" i="2"/>
  <c r="L3172" i="2"/>
  <c r="K3172" i="2"/>
  <c r="J3172" i="2"/>
  <c r="I3172" i="2"/>
  <c r="H3172" i="2"/>
  <c r="G3172" i="2"/>
  <c r="F3172" i="2"/>
  <c r="E3172" i="2"/>
  <c r="D3172" i="2"/>
  <c r="C3172" i="2"/>
  <c r="B3172" i="2"/>
  <c r="V3171" i="2"/>
  <c r="U3171" i="2"/>
  <c r="T3171" i="2"/>
  <c r="S3171" i="2"/>
  <c r="R3171" i="2"/>
  <c r="Q3171" i="2"/>
  <c r="P3171" i="2"/>
  <c r="O3171" i="2"/>
  <c r="N3171" i="2"/>
  <c r="M3171" i="2"/>
  <c r="L3171" i="2"/>
  <c r="K3171" i="2"/>
  <c r="J3171" i="2"/>
  <c r="I3171" i="2"/>
  <c r="H3171" i="2"/>
  <c r="G3171" i="2"/>
  <c r="F3171" i="2"/>
  <c r="E3171" i="2"/>
  <c r="D3171" i="2"/>
  <c r="C3171" i="2"/>
  <c r="B3171" i="2"/>
  <c r="V3170" i="2"/>
  <c r="U3170" i="2"/>
  <c r="T3170" i="2"/>
  <c r="S3170" i="2"/>
  <c r="R3170" i="2"/>
  <c r="Q3170" i="2"/>
  <c r="P3170" i="2"/>
  <c r="O3170" i="2"/>
  <c r="N3170" i="2"/>
  <c r="M3170" i="2"/>
  <c r="L3170" i="2"/>
  <c r="K3170" i="2"/>
  <c r="J3170" i="2"/>
  <c r="I3170" i="2"/>
  <c r="H3170" i="2"/>
  <c r="G3170" i="2"/>
  <c r="F3170" i="2"/>
  <c r="E3170" i="2"/>
  <c r="D3170" i="2"/>
  <c r="C3170" i="2"/>
  <c r="B3170" i="2"/>
  <c r="V3169" i="2"/>
  <c r="U3169" i="2"/>
  <c r="T3169" i="2"/>
  <c r="S3169" i="2"/>
  <c r="R3169" i="2"/>
  <c r="Q3169" i="2"/>
  <c r="P3169" i="2"/>
  <c r="O3169" i="2"/>
  <c r="N3169" i="2"/>
  <c r="M3169" i="2"/>
  <c r="L3169" i="2"/>
  <c r="K3169" i="2"/>
  <c r="J3169" i="2"/>
  <c r="I3169" i="2"/>
  <c r="H3169" i="2"/>
  <c r="G3169" i="2"/>
  <c r="F3169" i="2"/>
  <c r="E3169" i="2"/>
  <c r="D3169" i="2"/>
  <c r="C3169" i="2"/>
  <c r="B3169" i="2"/>
  <c r="V3168" i="2"/>
  <c r="U3168" i="2"/>
  <c r="T3168" i="2"/>
  <c r="S3168" i="2"/>
  <c r="R3168" i="2"/>
  <c r="Q3168" i="2"/>
  <c r="P3168" i="2"/>
  <c r="O3168" i="2"/>
  <c r="N3168" i="2"/>
  <c r="M3168" i="2"/>
  <c r="L3168" i="2"/>
  <c r="K3168" i="2"/>
  <c r="J3168" i="2"/>
  <c r="I3168" i="2"/>
  <c r="H3168" i="2"/>
  <c r="G3168" i="2"/>
  <c r="F3168" i="2"/>
  <c r="E3168" i="2"/>
  <c r="D3168" i="2"/>
  <c r="C3168" i="2"/>
  <c r="B3168" i="2"/>
  <c r="V3167" i="2"/>
  <c r="U3167" i="2"/>
  <c r="T3167" i="2"/>
  <c r="S3167" i="2"/>
  <c r="R3167" i="2"/>
  <c r="Q3167" i="2"/>
  <c r="P3167" i="2"/>
  <c r="O3167" i="2"/>
  <c r="N3167" i="2"/>
  <c r="M3167" i="2"/>
  <c r="L3167" i="2"/>
  <c r="K3167" i="2"/>
  <c r="J3167" i="2"/>
  <c r="I3167" i="2"/>
  <c r="H3167" i="2"/>
  <c r="G3167" i="2"/>
  <c r="F3167" i="2"/>
  <c r="E3167" i="2"/>
  <c r="D3167" i="2"/>
  <c r="C3167" i="2"/>
  <c r="B3167" i="2"/>
  <c r="V3166" i="2"/>
  <c r="U3166" i="2"/>
  <c r="T3166" i="2"/>
  <c r="S3166" i="2"/>
  <c r="R3166" i="2"/>
  <c r="Q3166" i="2"/>
  <c r="P3166" i="2"/>
  <c r="O3166" i="2"/>
  <c r="N3166" i="2"/>
  <c r="M3166" i="2"/>
  <c r="L3166" i="2"/>
  <c r="K3166" i="2"/>
  <c r="J3166" i="2"/>
  <c r="I3166" i="2"/>
  <c r="H3166" i="2"/>
  <c r="G3166" i="2"/>
  <c r="F3166" i="2"/>
  <c r="E3166" i="2"/>
  <c r="D3166" i="2"/>
  <c r="C3166" i="2"/>
  <c r="B3166" i="2"/>
  <c r="V3165" i="2"/>
  <c r="U3165" i="2"/>
  <c r="T3165" i="2"/>
  <c r="S3165" i="2"/>
  <c r="R3165" i="2"/>
  <c r="Q3165" i="2"/>
  <c r="P3165" i="2"/>
  <c r="O3165" i="2"/>
  <c r="N3165" i="2"/>
  <c r="M3165" i="2"/>
  <c r="L3165" i="2"/>
  <c r="K3165" i="2"/>
  <c r="J3165" i="2"/>
  <c r="I3165" i="2"/>
  <c r="H3165" i="2"/>
  <c r="G3165" i="2"/>
  <c r="F3165" i="2"/>
  <c r="E3165" i="2"/>
  <c r="D3165" i="2"/>
  <c r="C3165" i="2"/>
  <c r="B3165" i="2"/>
  <c r="V3164" i="2"/>
  <c r="U3164" i="2"/>
  <c r="T3164" i="2"/>
  <c r="S3164" i="2"/>
  <c r="R3164" i="2"/>
  <c r="Q3164" i="2"/>
  <c r="P3164" i="2"/>
  <c r="O3164" i="2"/>
  <c r="N3164" i="2"/>
  <c r="M3164" i="2"/>
  <c r="L3164" i="2"/>
  <c r="K3164" i="2"/>
  <c r="J3164" i="2"/>
  <c r="I3164" i="2"/>
  <c r="H3164" i="2"/>
  <c r="G3164" i="2"/>
  <c r="F3164" i="2"/>
  <c r="E3164" i="2"/>
  <c r="D3164" i="2"/>
  <c r="C3164" i="2"/>
  <c r="B3164" i="2"/>
  <c r="V3163" i="2"/>
  <c r="U3163" i="2"/>
  <c r="T3163" i="2"/>
  <c r="S3163" i="2"/>
  <c r="R3163" i="2"/>
  <c r="Q3163" i="2"/>
  <c r="P3163" i="2"/>
  <c r="O3163" i="2"/>
  <c r="N3163" i="2"/>
  <c r="M3163" i="2"/>
  <c r="L3163" i="2"/>
  <c r="K3163" i="2"/>
  <c r="J3163" i="2"/>
  <c r="I3163" i="2"/>
  <c r="H3163" i="2"/>
  <c r="G3163" i="2"/>
  <c r="F3163" i="2"/>
  <c r="E3163" i="2"/>
  <c r="D3163" i="2"/>
  <c r="C3163" i="2"/>
  <c r="B3163" i="2"/>
  <c r="V3162" i="2"/>
  <c r="U3162" i="2"/>
  <c r="T3162" i="2"/>
  <c r="S3162" i="2"/>
  <c r="R3162" i="2"/>
  <c r="Q3162" i="2"/>
  <c r="P3162" i="2"/>
  <c r="O3162" i="2"/>
  <c r="N3162" i="2"/>
  <c r="M3162" i="2"/>
  <c r="L3162" i="2"/>
  <c r="K3162" i="2"/>
  <c r="J3162" i="2"/>
  <c r="I3162" i="2"/>
  <c r="H3162" i="2"/>
  <c r="G3162" i="2"/>
  <c r="F3162" i="2"/>
  <c r="E3162" i="2"/>
  <c r="D3162" i="2"/>
  <c r="C3162" i="2"/>
  <c r="B3162" i="2"/>
  <c r="V3161" i="2"/>
  <c r="U3161" i="2"/>
  <c r="T3161" i="2"/>
  <c r="S3161" i="2"/>
  <c r="R3161" i="2"/>
  <c r="Q3161" i="2"/>
  <c r="P3161" i="2"/>
  <c r="O3161" i="2"/>
  <c r="N3161" i="2"/>
  <c r="M3161" i="2"/>
  <c r="L3161" i="2"/>
  <c r="K3161" i="2"/>
  <c r="J3161" i="2"/>
  <c r="I3161" i="2"/>
  <c r="H3161" i="2"/>
  <c r="G3161" i="2"/>
  <c r="F3161" i="2"/>
  <c r="E3161" i="2"/>
  <c r="D3161" i="2"/>
  <c r="C3161" i="2"/>
  <c r="B3161" i="2"/>
  <c r="V3160" i="2"/>
  <c r="U3160" i="2"/>
  <c r="T3160" i="2"/>
  <c r="S3160" i="2"/>
  <c r="R3160" i="2"/>
  <c r="Q3160" i="2"/>
  <c r="P3160" i="2"/>
  <c r="O3160" i="2"/>
  <c r="N3160" i="2"/>
  <c r="M3160" i="2"/>
  <c r="L3160" i="2"/>
  <c r="K3160" i="2"/>
  <c r="J3160" i="2"/>
  <c r="I3160" i="2"/>
  <c r="H3160" i="2"/>
  <c r="G3160" i="2"/>
  <c r="F3160" i="2"/>
  <c r="E3160" i="2"/>
  <c r="D3160" i="2"/>
  <c r="C3160" i="2"/>
  <c r="B3160" i="2"/>
  <c r="V3159" i="2"/>
  <c r="U3159" i="2"/>
  <c r="T3159" i="2"/>
  <c r="S3159" i="2"/>
  <c r="R3159" i="2"/>
  <c r="Q3159" i="2"/>
  <c r="P3159" i="2"/>
  <c r="O3159" i="2"/>
  <c r="N3159" i="2"/>
  <c r="M3159" i="2"/>
  <c r="L3159" i="2"/>
  <c r="K3159" i="2"/>
  <c r="J3159" i="2"/>
  <c r="I3159" i="2"/>
  <c r="H3159" i="2"/>
  <c r="G3159" i="2"/>
  <c r="F3159" i="2"/>
  <c r="E3159" i="2"/>
  <c r="D3159" i="2"/>
  <c r="C3159" i="2"/>
  <c r="B3159" i="2"/>
  <c r="V3158" i="2"/>
  <c r="U3158" i="2"/>
  <c r="T3158" i="2"/>
  <c r="S3158" i="2"/>
  <c r="R3158" i="2"/>
  <c r="Q3158" i="2"/>
  <c r="P3158" i="2"/>
  <c r="O3158" i="2"/>
  <c r="N3158" i="2"/>
  <c r="M3158" i="2"/>
  <c r="L3158" i="2"/>
  <c r="K3158" i="2"/>
  <c r="J3158" i="2"/>
  <c r="I3158" i="2"/>
  <c r="H3158" i="2"/>
  <c r="G3158" i="2"/>
  <c r="F3158" i="2"/>
  <c r="E3158" i="2"/>
  <c r="D3158" i="2"/>
  <c r="C3158" i="2"/>
  <c r="B3158" i="2"/>
  <c r="V3157" i="2"/>
  <c r="U3157" i="2"/>
  <c r="T3157" i="2"/>
  <c r="S3157" i="2"/>
  <c r="R3157" i="2"/>
  <c r="Q3157" i="2"/>
  <c r="P3157" i="2"/>
  <c r="O3157" i="2"/>
  <c r="N3157" i="2"/>
  <c r="M3157" i="2"/>
  <c r="L3157" i="2"/>
  <c r="K3157" i="2"/>
  <c r="J3157" i="2"/>
  <c r="I3157" i="2"/>
  <c r="H3157" i="2"/>
  <c r="G3157" i="2"/>
  <c r="F3157" i="2"/>
  <c r="E3157" i="2"/>
  <c r="D3157" i="2"/>
  <c r="C3157" i="2"/>
  <c r="B3157" i="2"/>
  <c r="V3156" i="2"/>
  <c r="U3156" i="2"/>
  <c r="T3156" i="2"/>
  <c r="S3156" i="2"/>
  <c r="R3156" i="2"/>
  <c r="Q3156" i="2"/>
  <c r="P3156" i="2"/>
  <c r="O3156" i="2"/>
  <c r="N3156" i="2"/>
  <c r="M3156" i="2"/>
  <c r="L3156" i="2"/>
  <c r="K3156" i="2"/>
  <c r="J3156" i="2"/>
  <c r="I3156" i="2"/>
  <c r="H3156" i="2"/>
  <c r="G3156" i="2"/>
  <c r="F3156" i="2"/>
  <c r="E3156" i="2"/>
  <c r="D3156" i="2"/>
  <c r="C3156" i="2"/>
  <c r="B3156" i="2"/>
  <c r="V3155" i="2"/>
  <c r="U3155" i="2"/>
  <c r="T3155" i="2"/>
  <c r="S3155" i="2"/>
  <c r="R3155" i="2"/>
  <c r="Q3155" i="2"/>
  <c r="P3155" i="2"/>
  <c r="O3155" i="2"/>
  <c r="N3155" i="2"/>
  <c r="M3155" i="2"/>
  <c r="L3155" i="2"/>
  <c r="K3155" i="2"/>
  <c r="J3155" i="2"/>
  <c r="I3155" i="2"/>
  <c r="H3155" i="2"/>
  <c r="G3155" i="2"/>
  <c r="F3155" i="2"/>
  <c r="E3155" i="2"/>
  <c r="D3155" i="2"/>
  <c r="C3155" i="2"/>
  <c r="B3155" i="2"/>
  <c r="V3154" i="2"/>
  <c r="U3154" i="2"/>
  <c r="T3154" i="2"/>
  <c r="S3154" i="2"/>
  <c r="R3154" i="2"/>
  <c r="Q3154" i="2"/>
  <c r="P3154" i="2"/>
  <c r="O3154" i="2"/>
  <c r="N3154" i="2"/>
  <c r="M3154" i="2"/>
  <c r="L3154" i="2"/>
  <c r="K3154" i="2"/>
  <c r="J3154" i="2"/>
  <c r="I3154" i="2"/>
  <c r="H3154" i="2"/>
  <c r="G3154" i="2"/>
  <c r="F3154" i="2"/>
  <c r="E3154" i="2"/>
  <c r="D3154" i="2"/>
  <c r="C3154" i="2"/>
  <c r="B3154" i="2"/>
  <c r="V3153" i="2"/>
  <c r="U3153" i="2"/>
  <c r="T3153" i="2"/>
  <c r="S3153" i="2"/>
  <c r="R3153" i="2"/>
  <c r="Q3153" i="2"/>
  <c r="P3153" i="2"/>
  <c r="O3153" i="2"/>
  <c r="N3153" i="2"/>
  <c r="M3153" i="2"/>
  <c r="L3153" i="2"/>
  <c r="K3153" i="2"/>
  <c r="J3153" i="2"/>
  <c r="I3153" i="2"/>
  <c r="H3153" i="2"/>
  <c r="G3153" i="2"/>
  <c r="F3153" i="2"/>
  <c r="E3153" i="2"/>
  <c r="D3153" i="2"/>
  <c r="C3153" i="2"/>
  <c r="B3153" i="2"/>
  <c r="V3152" i="2"/>
  <c r="U3152" i="2"/>
  <c r="T3152" i="2"/>
  <c r="S3152" i="2"/>
  <c r="R3152" i="2"/>
  <c r="Q3152" i="2"/>
  <c r="P3152" i="2"/>
  <c r="O3152" i="2"/>
  <c r="N3152" i="2"/>
  <c r="M3152" i="2"/>
  <c r="L3152" i="2"/>
  <c r="K3152" i="2"/>
  <c r="J3152" i="2"/>
  <c r="I3152" i="2"/>
  <c r="H3152" i="2"/>
  <c r="G3152" i="2"/>
  <c r="F3152" i="2"/>
  <c r="E3152" i="2"/>
  <c r="D3152" i="2"/>
  <c r="C3152" i="2"/>
  <c r="B3152" i="2"/>
  <c r="V3151" i="2"/>
  <c r="U3151" i="2"/>
  <c r="T3151" i="2"/>
  <c r="S3151" i="2"/>
  <c r="R3151" i="2"/>
  <c r="Q3151" i="2"/>
  <c r="P3151" i="2"/>
  <c r="O3151" i="2"/>
  <c r="N3151" i="2"/>
  <c r="M3151" i="2"/>
  <c r="L3151" i="2"/>
  <c r="K3151" i="2"/>
  <c r="J3151" i="2"/>
  <c r="I3151" i="2"/>
  <c r="H3151" i="2"/>
  <c r="G3151" i="2"/>
  <c r="F3151" i="2"/>
  <c r="E3151" i="2"/>
  <c r="D3151" i="2"/>
  <c r="C3151" i="2"/>
  <c r="B3151" i="2"/>
  <c r="V3150" i="2"/>
  <c r="U3150" i="2"/>
  <c r="T3150" i="2"/>
  <c r="S3150" i="2"/>
  <c r="R3150" i="2"/>
  <c r="Q3150" i="2"/>
  <c r="P3150" i="2"/>
  <c r="O3150" i="2"/>
  <c r="N3150" i="2"/>
  <c r="M3150" i="2"/>
  <c r="L3150" i="2"/>
  <c r="K3150" i="2"/>
  <c r="J3150" i="2"/>
  <c r="I3150" i="2"/>
  <c r="H3150" i="2"/>
  <c r="G3150" i="2"/>
  <c r="F3150" i="2"/>
  <c r="E3150" i="2"/>
  <c r="D3150" i="2"/>
  <c r="C3150" i="2"/>
  <c r="B3150" i="2"/>
  <c r="V3149" i="2"/>
  <c r="U3149" i="2"/>
  <c r="T3149" i="2"/>
  <c r="S3149" i="2"/>
  <c r="R3149" i="2"/>
  <c r="Q3149" i="2"/>
  <c r="P3149" i="2"/>
  <c r="O3149" i="2"/>
  <c r="N3149" i="2"/>
  <c r="M3149" i="2"/>
  <c r="L3149" i="2"/>
  <c r="K3149" i="2"/>
  <c r="J3149" i="2"/>
  <c r="I3149" i="2"/>
  <c r="H3149" i="2"/>
  <c r="G3149" i="2"/>
  <c r="F3149" i="2"/>
  <c r="E3149" i="2"/>
  <c r="D3149" i="2"/>
  <c r="C3149" i="2"/>
  <c r="B3149" i="2"/>
  <c r="V3148" i="2"/>
  <c r="U3148" i="2"/>
  <c r="T3148" i="2"/>
  <c r="S3148" i="2"/>
  <c r="R3148" i="2"/>
  <c r="Q3148" i="2"/>
  <c r="P3148" i="2"/>
  <c r="O3148" i="2"/>
  <c r="N3148" i="2"/>
  <c r="M3148" i="2"/>
  <c r="L3148" i="2"/>
  <c r="K3148" i="2"/>
  <c r="J3148" i="2"/>
  <c r="I3148" i="2"/>
  <c r="H3148" i="2"/>
  <c r="G3148" i="2"/>
  <c r="F3148" i="2"/>
  <c r="E3148" i="2"/>
  <c r="D3148" i="2"/>
  <c r="C3148" i="2"/>
  <c r="B3148" i="2"/>
  <c r="V3147" i="2"/>
  <c r="U3147" i="2"/>
  <c r="T3147" i="2"/>
  <c r="S3147" i="2"/>
  <c r="R3147" i="2"/>
  <c r="Q3147" i="2"/>
  <c r="P3147" i="2"/>
  <c r="O3147" i="2"/>
  <c r="N3147" i="2"/>
  <c r="M3147" i="2"/>
  <c r="L3147" i="2"/>
  <c r="K3147" i="2"/>
  <c r="J3147" i="2"/>
  <c r="I3147" i="2"/>
  <c r="H3147" i="2"/>
  <c r="G3147" i="2"/>
  <c r="F3147" i="2"/>
  <c r="E3147" i="2"/>
  <c r="D3147" i="2"/>
  <c r="C3147" i="2"/>
  <c r="B3147" i="2"/>
  <c r="V3146" i="2"/>
  <c r="U3146" i="2"/>
  <c r="T3146" i="2"/>
  <c r="S3146" i="2"/>
  <c r="R3146" i="2"/>
  <c r="Q3146" i="2"/>
  <c r="P3146" i="2"/>
  <c r="O3146" i="2"/>
  <c r="N3146" i="2"/>
  <c r="M3146" i="2"/>
  <c r="L3146" i="2"/>
  <c r="K3146" i="2"/>
  <c r="J3146" i="2"/>
  <c r="I3146" i="2"/>
  <c r="H3146" i="2"/>
  <c r="G3146" i="2"/>
  <c r="F3146" i="2"/>
  <c r="E3146" i="2"/>
  <c r="D3146" i="2"/>
  <c r="C3146" i="2"/>
  <c r="B3146" i="2"/>
  <c r="V3145" i="2"/>
  <c r="U3145" i="2"/>
  <c r="T3145" i="2"/>
  <c r="S3145" i="2"/>
  <c r="R3145" i="2"/>
  <c r="Q3145" i="2"/>
  <c r="P3145" i="2"/>
  <c r="O3145" i="2"/>
  <c r="N3145" i="2"/>
  <c r="M3145" i="2"/>
  <c r="L3145" i="2"/>
  <c r="K3145" i="2"/>
  <c r="J3145" i="2"/>
  <c r="I3145" i="2"/>
  <c r="H3145" i="2"/>
  <c r="G3145" i="2"/>
  <c r="F3145" i="2"/>
  <c r="E3145" i="2"/>
  <c r="D3145" i="2"/>
  <c r="C3145" i="2"/>
  <c r="B3145" i="2"/>
  <c r="V3144" i="2"/>
  <c r="U3144" i="2"/>
  <c r="T3144" i="2"/>
  <c r="S3144" i="2"/>
  <c r="R3144" i="2"/>
  <c r="Q3144" i="2"/>
  <c r="P3144" i="2"/>
  <c r="O3144" i="2"/>
  <c r="N3144" i="2"/>
  <c r="M3144" i="2"/>
  <c r="L3144" i="2"/>
  <c r="K3144" i="2"/>
  <c r="J3144" i="2"/>
  <c r="I3144" i="2"/>
  <c r="H3144" i="2"/>
  <c r="G3144" i="2"/>
  <c r="F3144" i="2"/>
  <c r="E3144" i="2"/>
  <c r="D3144" i="2"/>
  <c r="C3144" i="2"/>
  <c r="B3144" i="2"/>
  <c r="V3143" i="2"/>
  <c r="U3143" i="2"/>
  <c r="T3143" i="2"/>
  <c r="S3143" i="2"/>
  <c r="R3143" i="2"/>
  <c r="Q3143" i="2"/>
  <c r="P3143" i="2"/>
  <c r="O3143" i="2"/>
  <c r="N3143" i="2"/>
  <c r="M3143" i="2"/>
  <c r="L3143" i="2"/>
  <c r="K3143" i="2"/>
  <c r="J3143" i="2"/>
  <c r="I3143" i="2"/>
  <c r="H3143" i="2"/>
  <c r="G3143" i="2"/>
  <c r="F3143" i="2"/>
  <c r="E3143" i="2"/>
  <c r="D3143" i="2"/>
  <c r="C3143" i="2"/>
  <c r="B3143" i="2"/>
  <c r="V3142" i="2"/>
  <c r="U3142" i="2"/>
  <c r="T3142" i="2"/>
  <c r="S3142" i="2"/>
  <c r="R3142" i="2"/>
  <c r="Q3142" i="2"/>
  <c r="P3142" i="2"/>
  <c r="O3142" i="2"/>
  <c r="N3142" i="2"/>
  <c r="M3142" i="2"/>
  <c r="L3142" i="2"/>
  <c r="K3142" i="2"/>
  <c r="J3142" i="2"/>
  <c r="I3142" i="2"/>
  <c r="H3142" i="2"/>
  <c r="G3142" i="2"/>
  <c r="F3142" i="2"/>
  <c r="E3142" i="2"/>
  <c r="D3142" i="2"/>
  <c r="C3142" i="2"/>
  <c r="B3142" i="2"/>
  <c r="V3141" i="2"/>
  <c r="U3141" i="2"/>
  <c r="T3141" i="2"/>
  <c r="S3141" i="2"/>
  <c r="R3141" i="2"/>
  <c r="Q3141" i="2"/>
  <c r="P3141" i="2"/>
  <c r="O3141" i="2"/>
  <c r="N3141" i="2"/>
  <c r="M3141" i="2"/>
  <c r="L3141" i="2"/>
  <c r="K3141" i="2"/>
  <c r="J3141" i="2"/>
  <c r="I3141" i="2"/>
  <c r="H3141" i="2"/>
  <c r="G3141" i="2"/>
  <c r="F3141" i="2"/>
  <c r="E3141" i="2"/>
  <c r="D3141" i="2"/>
  <c r="C3141" i="2"/>
  <c r="B3141" i="2"/>
  <c r="V3140" i="2"/>
  <c r="U3140" i="2"/>
  <c r="T3140" i="2"/>
  <c r="S3140" i="2"/>
  <c r="R3140" i="2"/>
  <c r="Q3140" i="2"/>
  <c r="P3140" i="2"/>
  <c r="O3140" i="2"/>
  <c r="N3140" i="2"/>
  <c r="M3140" i="2"/>
  <c r="L3140" i="2"/>
  <c r="K3140" i="2"/>
  <c r="J3140" i="2"/>
  <c r="I3140" i="2"/>
  <c r="H3140" i="2"/>
  <c r="G3140" i="2"/>
  <c r="F3140" i="2"/>
  <c r="E3140" i="2"/>
  <c r="D3140" i="2"/>
  <c r="C3140" i="2"/>
  <c r="B3140" i="2"/>
  <c r="V3139" i="2"/>
  <c r="U3139" i="2"/>
  <c r="T3139" i="2"/>
  <c r="S3139" i="2"/>
  <c r="R3139" i="2"/>
  <c r="Q3139" i="2"/>
  <c r="P3139" i="2"/>
  <c r="O3139" i="2"/>
  <c r="N3139" i="2"/>
  <c r="M3139" i="2"/>
  <c r="L3139" i="2"/>
  <c r="K3139" i="2"/>
  <c r="J3139" i="2"/>
  <c r="I3139" i="2"/>
  <c r="H3139" i="2"/>
  <c r="G3139" i="2"/>
  <c r="F3139" i="2"/>
  <c r="E3139" i="2"/>
  <c r="D3139" i="2"/>
  <c r="C3139" i="2"/>
  <c r="B3139" i="2"/>
  <c r="V3138" i="2"/>
  <c r="U3138" i="2"/>
  <c r="T3138" i="2"/>
  <c r="S3138" i="2"/>
  <c r="R3138" i="2"/>
  <c r="Q3138" i="2"/>
  <c r="P3138" i="2"/>
  <c r="O3138" i="2"/>
  <c r="N3138" i="2"/>
  <c r="M3138" i="2"/>
  <c r="L3138" i="2"/>
  <c r="K3138" i="2"/>
  <c r="J3138" i="2"/>
  <c r="I3138" i="2"/>
  <c r="H3138" i="2"/>
  <c r="G3138" i="2"/>
  <c r="F3138" i="2"/>
  <c r="E3138" i="2"/>
  <c r="D3138" i="2"/>
  <c r="C3138" i="2"/>
  <c r="B3138" i="2"/>
  <c r="V3137" i="2"/>
  <c r="U3137" i="2"/>
  <c r="T3137" i="2"/>
  <c r="S3137" i="2"/>
  <c r="R3137" i="2"/>
  <c r="Q3137" i="2"/>
  <c r="P3137" i="2"/>
  <c r="O3137" i="2"/>
  <c r="N3137" i="2"/>
  <c r="M3137" i="2"/>
  <c r="L3137" i="2"/>
  <c r="K3137" i="2"/>
  <c r="J3137" i="2"/>
  <c r="I3137" i="2"/>
  <c r="H3137" i="2"/>
  <c r="G3137" i="2"/>
  <c r="F3137" i="2"/>
  <c r="E3137" i="2"/>
  <c r="D3137" i="2"/>
  <c r="C3137" i="2"/>
  <c r="B3137" i="2"/>
  <c r="V3136" i="2"/>
  <c r="U3136" i="2"/>
  <c r="T3136" i="2"/>
  <c r="S3136" i="2"/>
  <c r="R3136" i="2"/>
  <c r="Q3136" i="2"/>
  <c r="P3136" i="2"/>
  <c r="O3136" i="2"/>
  <c r="N3136" i="2"/>
  <c r="M3136" i="2"/>
  <c r="L3136" i="2"/>
  <c r="K3136" i="2"/>
  <c r="J3136" i="2"/>
  <c r="I3136" i="2"/>
  <c r="H3136" i="2"/>
  <c r="G3136" i="2"/>
  <c r="F3136" i="2"/>
  <c r="E3136" i="2"/>
  <c r="D3136" i="2"/>
  <c r="C3136" i="2"/>
  <c r="B3136" i="2"/>
  <c r="V3135" i="2"/>
  <c r="U3135" i="2"/>
  <c r="T3135" i="2"/>
  <c r="S3135" i="2"/>
  <c r="R3135" i="2"/>
  <c r="Q3135" i="2"/>
  <c r="P3135" i="2"/>
  <c r="O3135" i="2"/>
  <c r="N3135" i="2"/>
  <c r="M3135" i="2"/>
  <c r="L3135" i="2"/>
  <c r="K3135" i="2"/>
  <c r="J3135" i="2"/>
  <c r="I3135" i="2"/>
  <c r="H3135" i="2"/>
  <c r="G3135" i="2"/>
  <c r="F3135" i="2"/>
  <c r="E3135" i="2"/>
  <c r="D3135" i="2"/>
  <c r="C3135" i="2"/>
  <c r="B3135" i="2"/>
  <c r="V3134" i="2"/>
  <c r="U3134" i="2"/>
  <c r="T3134" i="2"/>
  <c r="S3134" i="2"/>
  <c r="R3134" i="2"/>
  <c r="Q3134" i="2"/>
  <c r="P3134" i="2"/>
  <c r="O3134" i="2"/>
  <c r="N3134" i="2"/>
  <c r="M3134" i="2"/>
  <c r="L3134" i="2"/>
  <c r="K3134" i="2"/>
  <c r="J3134" i="2"/>
  <c r="I3134" i="2"/>
  <c r="H3134" i="2"/>
  <c r="G3134" i="2"/>
  <c r="F3134" i="2"/>
  <c r="E3134" i="2"/>
  <c r="D3134" i="2"/>
  <c r="C3134" i="2"/>
  <c r="B3134" i="2"/>
  <c r="V3133" i="2"/>
  <c r="U3133" i="2"/>
  <c r="T3133" i="2"/>
  <c r="S3133" i="2"/>
  <c r="R3133" i="2"/>
  <c r="Q3133" i="2"/>
  <c r="P3133" i="2"/>
  <c r="O3133" i="2"/>
  <c r="N3133" i="2"/>
  <c r="M3133" i="2"/>
  <c r="L3133" i="2"/>
  <c r="K3133" i="2"/>
  <c r="J3133" i="2"/>
  <c r="I3133" i="2"/>
  <c r="H3133" i="2"/>
  <c r="G3133" i="2"/>
  <c r="F3133" i="2"/>
  <c r="E3133" i="2"/>
  <c r="D3133" i="2"/>
  <c r="C3133" i="2"/>
  <c r="B3133" i="2"/>
  <c r="V3132" i="2"/>
  <c r="U3132" i="2"/>
  <c r="T3132" i="2"/>
  <c r="S3132" i="2"/>
  <c r="R3132" i="2"/>
  <c r="Q3132" i="2"/>
  <c r="P3132" i="2"/>
  <c r="O3132" i="2"/>
  <c r="N3132" i="2"/>
  <c r="M3132" i="2"/>
  <c r="L3132" i="2"/>
  <c r="K3132" i="2"/>
  <c r="J3132" i="2"/>
  <c r="I3132" i="2"/>
  <c r="H3132" i="2"/>
  <c r="G3132" i="2"/>
  <c r="F3132" i="2"/>
  <c r="E3132" i="2"/>
  <c r="D3132" i="2"/>
  <c r="C3132" i="2"/>
  <c r="B3132" i="2"/>
  <c r="V3131" i="2"/>
  <c r="U3131" i="2"/>
  <c r="T3131" i="2"/>
  <c r="S3131" i="2"/>
  <c r="R3131" i="2"/>
  <c r="Q3131" i="2"/>
  <c r="P3131" i="2"/>
  <c r="O3131" i="2"/>
  <c r="N3131" i="2"/>
  <c r="M3131" i="2"/>
  <c r="L3131" i="2"/>
  <c r="K3131" i="2"/>
  <c r="J3131" i="2"/>
  <c r="I3131" i="2"/>
  <c r="H3131" i="2"/>
  <c r="G3131" i="2"/>
  <c r="F3131" i="2"/>
  <c r="E3131" i="2"/>
  <c r="D3131" i="2"/>
  <c r="C3131" i="2"/>
  <c r="B3131" i="2"/>
  <c r="V3130" i="2"/>
  <c r="U3130" i="2"/>
  <c r="T3130" i="2"/>
  <c r="S3130" i="2"/>
  <c r="R3130" i="2"/>
  <c r="Q3130" i="2"/>
  <c r="P3130" i="2"/>
  <c r="O3130" i="2"/>
  <c r="N3130" i="2"/>
  <c r="M3130" i="2"/>
  <c r="L3130" i="2"/>
  <c r="K3130" i="2"/>
  <c r="J3130" i="2"/>
  <c r="I3130" i="2"/>
  <c r="H3130" i="2"/>
  <c r="G3130" i="2"/>
  <c r="F3130" i="2"/>
  <c r="E3130" i="2"/>
  <c r="D3130" i="2"/>
  <c r="C3130" i="2"/>
  <c r="B3130" i="2"/>
  <c r="V3129" i="2"/>
  <c r="U3129" i="2"/>
  <c r="T3129" i="2"/>
  <c r="S3129" i="2"/>
  <c r="R3129" i="2"/>
  <c r="Q3129" i="2"/>
  <c r="P3129" i="2"/>
  <c r="O3129" i="2"/>
  <c r="N3129" i="2"/>
  <c r="M3129" i="2"/>
  <c r="L3129" i="2"/>
  <c r="K3129" i="2"/>
  <c r="J3129" i="2"/>
  <c r="I3129" i="2"/>
  <c r="H3129" i="2"/>
  <c r="G3129" i="2"/>
  <c r="F3129" i="2"/>
  <c r="E3129" i="2"/>
  <c r="D3129" i="2"/>
  <c r="C3129" i="2"/>
  <c r="B3129" i="2"/>
  <c r="V3128" i="2"/>
  <c r="U3128" i="2"/>
  <c r="T3128" i="2"/>
  <c r="S3128" i="2"/>
  <c r="R3128" i="2"/>
  <c r="Q3128" i="2"/>
  <c r="P3128" i="2"/>
  <c r="O3128" i="2"/>
  <c r="N3128" i="2"/>
  <c r="M3128" i="2"/>
  <c r="L3128" i="2"/>
  <c r="K3128" i="2"/>
  <c r="J3128" i="2"/>
  <c r="I3128" i="2"/>
  <c r="H3128" i="2"/>
  <c r="G3128" i="2"/>
  <c r="F3128" i="2"/>
  <c r="E3128" i="2"/>
  <c r="D3128" i="2"/>
  <c r="C3128" i="2"/>
  <c r="B3128" i="2"/>
  <c r="V3127" i="2"/>
  <c r="U3127" i="2"/>
  <c r="T3127" i="2"/>
  <c r="S3127" i="2"/>
  <c r="R3127" i="2"/>
  <c r="Q3127" i="2"/>
  <c r="P3127" i="2"/>
  <c r="O3127" i="2"/>
  <c r="N3127" i="2"/>
  <c r="M3127" i="2"/>
  <c r="L3127" i="2"/>
  <c r="K3127" i="2"/>
  <c r="J3127" i="2"/>
  <c r="I3127" i="2"/>
  <c r="H3127" i="2"/>
  <c r="G3127" i="2"/>
  <c r="F3127" i="2"/>
  <c r="E3127" i="2"/>
  <c r="D3127" i="2"/>
  <c r="C3127" i="2"/>
  <c r="B3127" i="2"/>
  <c r="V3126" i="2"/>
  <c r="U3126" i="2"/>
  <c r="T3126" i="2"/>
  <c r="S3126" i="2"/>
  <c r="R3126" i="2"/>
  <c r="Q3126" i="2"/>
  <c r="P3126" i="2"/>
  <c r="O3126" i="2"/>
  <c r="N3126" i="2"/>
  <c r="M3126" i="2"/>
  <c r="L3126" i="2"/>
  <c r="K3126" i="2"/>
  <c r="J3126" i="2"/>
  <c r="I3126" i="2"/>
  <c r="H3126" i="2"/>
  <c r="G3126" i="2"/>
  <c r="F3126" i="2"/>
  <c r="E3126" i="2"/>
  <c r="D3126" i="2"/>
  <c r="C3126" i="2"/>
  <c r="B3126" i="2"/>
  <c r="V3125" i="2"/>
  <c r="U3125" i="2"/>
  <c r="T3125" i="2"/>
  <c r="S3125" i="2"/>
  <c r="R3125" i="2"/>
  <c r="Q3125" i="2"/>
  <c r="P3125" i="2"/>
  <c r="O3125" i="2"/>
  <c r="N3125" i="2"/>
  <c r="M3125" i="2"/>
  <c r="L3125" i="2"/>
  <c r="K3125" i="2"/>
  <c r="J3125" i="2"/>
  <c r="I3125" i="2"/>
  <c r="H3125" i="2"/>
  <c r="G3125" i="2"/>
  <c r="F3125" i="2"/>
  <c r="E3125" i="2"/>
  <c r="D3125" i="2"/>
  <c r="C3125" i="2"/>
  <c r="B3125" i="2"/>
  <c r="V3124" i="2"/>
  <c r="U3124" i="2"/>
  <c r="T3124" i="2"/>
  <c r="S3124" i="2"/>
  <c r="R3124" i="2"/>
  <c r="Q3124" i="2"/>
  <c r="P3124" i="2"/>
  <c r="O3124" i="2"/>
  <c r="N3124" i="2"/>
  <c r="M3124" i="2"/>
  <c r="L3124" i="2"/>
  <c r="K3124" i="2"/>
  <c r="J3124" i="2"/>
  <c r="I3124" i="2"/>
  <c r="H3124" i="2"/>
  <c r="G3124" i="2"/>
  <c r="F3124" i="2"/>
  <c r="E3124" i="2"/>
  <c r="D3124" i="2"/>
  <c r="C3124" i="2"/>
  <c r="B3124" i="2"/>
  <c r="V3123" i="2"/>
  <c r="U3123" i="2"/>
  <c r="T3123" i="2"/>
  <c r="S3123" i="2"/>
  <c r="R3123" i="2"/>
  <c r="Q3123" i="2"/>
  <c r="P3123" i="2"/>
  <c r="O3123" i="2"/>
  <c r="N3123" i="2"/>
  <c r="M3123" i="2"/>
  <c r="L3123" i="2"/>
  <c r="K3123" i="2"/>
  <c r="J3123" i="2"/>
  <c r="I3123" i="2"/>
  <c r="H3123" i="2"/>
  <c r="G3123" i="2"/>
  <c r="F3123" i="2"/>
  <c r="E3123" i="2"/>
  <c r="D3123" i="2"/>
  <c r="C3123" i="2"/>
  <c r="B3123" i="2"/>
  <c r="V3122" i="2"/>
  <c r="U3122" i="2"/>
  <c r="T3122" i="2"/>
  <c r="S3122" i="2"/>
  <c r="R3122" i="2"/>
  <c r="Q3122" i="2"/>
  <c r="P3122" i="2"/>
  <c r="O3122" i="2"/>
  <c r="N3122" i="2"/>
  <c r="M3122" i="2"/>
  <c r="L3122" i="2"/>
  <c r="K3122" i="2"/>
  <c r="J3122" i="2"/>
  <c r="I3122" i="2"/>
  <c r="H3122" i="2"/>
  <c r="G3122" i="2"/>
  <c r="F3122" i="2"/>
  <c r="E3122" i="2"/>
  <c r="D3122" i="2"/>
  <c r="C3122" i="2"/>
  <c r="B3122" i="2"/>
  <c r="V3121" i="2"/>
  <c r="U3121" i="2"/>
  <c r="T3121" i="2"/>
  <c r="S3121" i="2"/>
  <c r="R3121" i="2"/>
  <c r="Q3121" i="2"/>
  <c r="P3121" i="2"/>
  <c r="O3121" i="2"/>
  <c r="N3121" i="2"/>
  <c r="M3121" i="2"/>
  <c r="L3121" i="2"/>
  <c r="K3121" i="2"/>
  <c r="J3121" i="2"/>
  <c r="I3121" i="2"/>
  <c r="H3121" i="2"/>
  <c r="G3121" i="2"/>
  <c r="F3121" i="2"/>
  <c r="E3121" i="2"/>
  <c r="D3121" i="2"/>
  <c r="C3121" i="2"/>
  <c r="B3121" i="2"/>
  <c r="V3120" i="2"/>
  <c r="U3120" i="2"/>
  <c r="T3120" i="2"/>
  <c r="S3120" i="2"/>
  <c r="R3120" i="2"/>
  <c r="Q3120" i="2"/>
  <c r="P3120" i="2"/>
  <c r="O3120" i="2"/>
  <c r="N3120" i="2"/>
  <c r="M3120" i="2"/>
  <c r="L3120" i="2"/>
  <c r="K3120" i="2"/>
  <c r="J3120" i="2"/>
  <c r="I3120" i="2"/>
  <c r="H3120" i="2"/>
  <c r="G3120" i="2"/>
  <c r="F3120" i="2"/>
  <c r="E3120" i="2"/>
  <c r="D3120" i="2"/>
  <c r="C3120" i="2"/>
  <c r="B3120" i="2"/>
  <c r="V3119" i="2"/>
  <c r="U3119" i="2"/>
  <c r="T3119" i="2"/>
  <c r="S3119" i="2"/>
  <c r="R3119" i="2"/>
  <c r="Q3119" i="2"/>
  <c r="P3119" i="2"/>
  <c r="O3119" i="2"/>
  <c r="N3119" i="2"/>
  <c r="M3119" i="2"/>
  <c r="L3119" i="2"/>
  <c r="K3119" i="2"/>
  <c r="J3119" i="2"/>
  <c r="I3119" i="2"/>
  <c r="H3119" i="2"/>
  <c r="G3119" i="2"/>
  <c r="F3119" i="2"/>
  <c r="E3119" i="2"/>
  <c r="D3119" i="2"/>
  <c r="C3119" i="2"/>
  <c r="B3119" i="2"/>
  <c r="V3118" i="2"/>
  <c r="U3118" i="2"/>
  <c r="T3118" i="2"/>
  <c r="S3118" i="2"/>
  <c r="R3118" i="2"/>
  <c r="Q3118" i="2"/>
  <c r="P3118" i="2"/>
  <c r="O3118" i="2"/>
  <c r="N3118" i="2"/>
  <c r="M3118" i="2"/>
  <c r="L3118" i="2"/>
  <c r="K3118" i="2"/>
  <c r="J3118" i="2"/>
  <c r="I3118" i="2"/>
  <c r="H3118" i="2"/>
  <c r="G3118" i="2"/>
  <c r="F3118" i="2"/>
  <c r="E3118" i="2"/>
  <c r="D3118" i="2"/>
  <c r="C3118" i="2"/>
  <c r="B3118" i="2"/>
  <c r="V3117" i="2"/>
  <c r="U3117" i="2"/>
  <c r="T3117" i="2"/>
  <c r="S3117" i="2"/>
  <c r="R3117" i="2"/>
  <c r="Q3117" i="2"/>
  <c r="P3117" i="2"/>
  <c r="O3117" i="2"/>
  <c r="N3117" i="2"/>
  <c r="M3117" i="2"/>
  <c r="L3117" i="2"/>
  <c r="K3117" i="2"/>
  <c r="J3117" i="2"/>
  <c r="I3117" i="2"/>
  <c r="H3117" i="2"/>
  <c r="G3117" i="2"/>
  <c r="F3117" i="2"/>
  <c r="E3117" i="2"/>
  <c r="D3117" i="2"/>
  <c r="C3117" i="2"/>
  <c r="B3117" i="2"/>
  <c r="V3116" i="2"/>
  <c r="U3116" i="2"/>
  <c r="T3116" i="2"/>
  <c r="S3116" i="2"/>
  <c r="R3116" i="2"/>
  <c r="Q3116" i="2"/>
  <c r="P3116" i="2"/>
  <c r="O3116" i="2"/>
  <c r="N3116" i="2"/>
  <c r="M3116" i="2"/>
  <c r="L3116" i="2"/>
  <c r="K3116" i="2"/>
  <c r="J3116" i="2"/>
  <c r="I3116" i="2"/>
  <c r="H3116" i="2"/>
  <c r="G3116" i="2"/>
  <c r="F3116" i="2"/>
  <c r="E3116" i="2"/>
  <c r="D3116" i="2"/>
  <c r="C3116" i="2"/>
  <c r="B3116" i="2"/>
  <c r="V3115" i="2"/>
  <c r="U3115" i="2"/>
  <c r="T3115" i="2"/>
  <c r="S3115" i="2"/>
  <c r="R3115" i="2"/>
  <c r="Q3115" i="2"/>
  <c r="P3115" i="2"/>
  <c r="O3115" i="2"/>
  <c r="N3115" i="2"/>
  <c r="M3115" i="2"/>
  <c r="L3115" i="2"/>
  <c r="K3115" i="2"/>
  <c r="J3115" i="2"/>
  <c r="I3115" i="2"/>
  <c r="H3115" i="2"/>
  <c r="G3115" i="2"/>
  <c r="F3115" i="2"/>
  <c r="E3115" i="2"/>
  <c r="D3115" i="2"/>
  <c r="C3115" i="2"/>
  <c r="B3115" i="2"/>
  <c r="V3114" i="2"/>
  <c r="U3114" i="2"/>
  <c r="T3114" i="2"/>
  <c r="S3114" i="2"/>
  <c r="R3114" i="2"/>
  <c r="Q3114" i="2"/>
  <c r="P3114" i="2"/>
  <c r="O3114" i="2"/>
  <c r="N3114" i="2"/>
  <c r="M3114" i="2"/>
  <c r="L3114" i="2"/>
  <c r="K3114" i="2"/>
  <c r="J3114" i="2"/>
  <c r="I3114" i="2"/>
  <c r="H3114" i="2"/>
  <c r="G3114" i="2"/>
  <c r="F3114" i="2"/>
  <c r="E3114" i="2"/>
  <c r="D3114" i="2"/>
  <c r="C3114" i="2"/>
  <c r="B3114" i="2"/>
  <c r="V3113" i="2"/>
  <c r="U3113" i="2"/>
  <c r="T3113" i="2"/>
  <c r="S3113" i="2"/>
  <c r="R3113" i="2"/>
  <c r="Q3113" i="2"/>
  <c r="P3113" i="2"/>
  <c r="O3113" i="2"/>
  <c r="N3113" i="2"/>
  <c r="M3113" i="2"/>
  <c r="L3113" i="2"/>
  <c r="K3113" i="2"/>
  <c r="J3113" i="2"/>
  <c r="I3113" i="2"/>
  <c r="H3113" i="2"/>
  <c r="G3113" i="2"/>
  <c r="F3113" i="2"/>
  <c r="E3113" i="2"/>
  <c r="D3113" i="2"/>
  <c r="C3113" i="2"/>
  <c r="B3113" i="2"/>
  <c r="V3112" i="2"/>
  <c r="U3112" i="2"/>
  <c r="T3112" i="2"/>
  <c r="S3112" i="2"/>
  <c r="R3112" i="2"/>
  <c r="Q3112" i="2"/>
  <c r="P3112" i="2"/>
  <c r="O3112" i="2"/>
  <c r="N3112" i="2"/>
  <c r="M3112" i="2"/>
  <c r="L3112" i="2"/>
  <c r="K3112" i="2"/>
  <c r="J3112" i="2"/>
  <c r="I3112" i="2"/>
  <c r="H3112" i="2"/>
  <c r="G3112" i="2"/>
  <c r="F3112" i="2"/>
  <c r="E3112" i="2"/>
  <c r="D3112" i="2"/>
  <c r="C3112" i="2"/>
  <c r="B3112" i="2"/>
  <c r="V3111" i="2"/>
  <c r="U3111" i="2"/>
  <c r="T3111" i="2"/>
  <c r="S3111" i="2"/>
  <c r="R3111" i="2"/>
  <c r="Q3111" i="2"/>
  <c r="P3111" i="2"/>
  <c r="O3111" i="2"/>
  <c r="N3111" i="2"/>
  <c r="M3111" i="2"/>
  <c r="L3111" i="2"/>
  <c r="K3111" i="2"/>
  <c r="J3111" i="2"/>
  <c r="I3111" i="2"/>
  <c r="H3111" i="2"/>
  <c r="G3111" i="2"/>
  <c r="F3111" i="2"/>
  <c r="E3111" i="2"/>
  <c r="D3111" i="2"/>
  <c r="C3111" i="2"/>
  <c r="B3111" i="2"/>
  <c r="V3110" i="2"/>
  <c r="U3110" i="2"/>
  <c r="T3110" i="2"/>
  <c r="S3110" i="2"/>
  <c r="R3110" i="2"/>
  <c r="Q3110" i="2"/>
  <c r="P3110" i="2"/>
  <c r="O3110" i="2"/>
  <c r="N3110" i="2"/>
  <c r="M3110" i="2"/>
  <c r="L3110" i="2"/>
  <c r="K3110" i="2"/>
  <c r="J3110" i="2"/>
  <c r="I3110" i="2"/>
  <c r="H3110" i="2"/>
  <c r="G3110" i="2"/>
  <c r="F3110" i="2"/>
  <c r="E3110" i="2"/>
  <c r="D3110" i="2"/>
  <c r="C3110" i="2"/>
  <c r="B3110" i="2"/>
  <c r="V3109" i="2"/>
  <c r="U3109" i="2"/>
  <c r="T3109" i="2"/>
  <c r="S3109" i="2"/>
  <c r="R3109" i="2"/>
  <c r="Q3109" i="2"/>
  <c r="P3109" i="2"/>
  <c r="O3109" i="2"/>
  <c r="N3109" i="2"/>
  <c r="M3109" i="2"/>
  <c r="L3109" i="2"/>
  <c r="K3109" i="2"/>
  <c r="J3109" i="2"/>
  <c r="I3109" i="2"/>
  <c r="H3109" i="2"/>
  <c r="G3109" i="2"/>
  <c r="F3109" i="2"/>
  <c r="E3109" i="2"/>
  <c r="D3109" i="2"/>
  <c r="C3109" i="2"/>
  <c r="B3109" i="2"/>
  <c r="V3108" i="2"/>
  <c r="U3108" i="2"/>
  <c r="T3108" i="2"/>
  <c r="S3108" i="2"/>
  <c r="R3108" i="2"/>
  <c r="Q3108" i="2"/>
  <c r="P3108" i="2"/>
  <c r="O3108" i="2"/>
  <c r="N3108" i="2"/>
  <c r="M3108" i="2"/>
  <c r="L3108" i="2"/>
  <c r="K3108" i="2"/>
  <c r="J3108" i="2"/>
  <c r="I3108" i="2"/>
  <c r="H3108" i="2"/>
  <c r="G3108" i="2"/>
  <c r="F3108" i="2"/>
  <c r="E3108" i="2"/>
  <c r="D3108" i="2"/>
  <c r="C3108" i="2"/>
  <c r="B3108" i="2"/>
  <c r="V3107" i="2"/>
  <c r="U3107" i="2"/>
  <c r="T3107" i="2"/>
  <c r="S3107" i="2"/>
  <c r="R3107" i="2"/>
  <c r="Q3107" i="2"/>
  <c r="P3107" i="2"/>
  <c r="O3107" i="2"/>
  <c r="N3107" i="2"/>
  <c r="M3107" i="2"/>
  <c r="L3107" i="2"/>
  <c r="K3107" i="2"/>
  <c r="J3107" i="2"/>
  <c r="I3107" i="2"/>
  <c r="H3107" i="2"/>
  <c r="G3107" i="2"/>
  <c r="F3107" i="2"/>
  <c r="E3107" i="2"/>
  <c r="D3107" i="2"/>
  <c r="C3107" i="2"/>
  <c r="B3107" i="2"/>
  <c r="V3106" i="2"/>
  <c r="U3106" i="2"/>
  <c r="T3106" i="2"/>
  <c r="S3106" i="2"/>
  <c r="R3106" i="2"/>
  <c r="Q3106" i="2"/>
  <c r="P3106" i="2"/>
  <c r="O3106" i="2"/>
  <c r="N3106" i="2"/>
  <c r="M3106" i="2"/>
  <c r="L3106" i="2"/>
  <c r="K3106" i="2"/>
  <c r="J3106" i="2"/>
  <c r="I3106" i="2"/>
  <c r="H3106" i="2"/>
  <c r="G3106" i="2"/>
  <c r="F3106" i="2"/>
  <c r="E3106" i="2"/>
  <c r="D3106" i="2"/>
  <c r="C3106" i="2"/>
  <c r="B3106" i="2"/>
  <c r="V3105" i="2"/>
  <c r="U3105" i="2"/>
  <c r="T3105" i="2"/>
  <c r="S3105" i="2"/>
  <c r="R3105" i="2"/>
  <c r="Q3105" i="2"/>
  <c r="P3105" i="2"/>
  <c r="O3105" i="2"/>
  <c r="N3105" i="2"/>
  <c r="M3105" i="2"/>
  <c r="L3105" i="2"/>
  <c r="K3105" i="2"/>
  <c r="J3105" i="2"/>
  <c r="I3105" i="2"/>
  <c r="H3105" i="2"/>
  <c r="G3105" i="2"/>
  <c r="F3105" i="2"/>
  <c r="E3105" i="2"/>
  <c r="D3105" i="2"/>
  <c r="C3105" i="2"/>
  <c r="B3105" i="2"/>
  <c r="V3104" i="2"/>
  <c r="U3104" i="2"/>
  <c r="T3104" i="2"/>
  <c r="S3104" i="2"/>
  <c r="R3104" i="2"/>
  <c r="Q3104" i="2"/>
  <c r="P3104" i="2"/>
  <c r="O3104" i="2"/>
  <c r="N3104" i="2"/>
  <c r="M3104" i="2"/>
  <c r="L3104" i="2"/>
  <c r="K3104" i="2"/>
  <c r="J3104" i="2"/>
  <c r="I3104" i="2"/>
  <c r="H3104" i="2"/>
  <c r="G3104" i="2"/>
  <c r="F3104" i="2"/>
  <c r="E3104" i="2"/>
  <c r="D3104" i="2"/>
  <c r="C3104" i="2"/>
  <c r="B3104" i="2"/>
  <c r="V3103" i="2"/>
  <c r="U3103" i="2"/>
  <c r="T3103" i="2"/>
  <c r="S3103" i="2"/>
  <c r="R3103" i="2"/>
  <c r="Q3103" i="2"/>
  <c r="P3103" i="2"/>
  <c r="O3103" i="2"/>
  <c r="N3103" i="2"/>
  <c r="M3103" i="2"/>
  <c r="L3103" i="2"/>
  <c r="K3103" i="2"/>
  <c r="J3103" i="2"/>
  <c r="I3103" i="2"/>
  <c r="H3103" i="2"/>
  <c r="G3103" i="2"/>
  <c r="F3103" i="2"/>
  <c r="E3103" i="2"/>
  <c r="D3103" i="2"/>
  <c r="C3103" i="2"/>
  <c r="B3103" i="2"/>
  <c r="V3102" i="2"/>
  <c r="U3102" i="2"/>
  <c r="T3102" i="2"/>
  <c r="S3102" i="2"/>
  <c r="R3102" i="2"/>
  <c r="Q3102" i="2"/>
  <c r="P3102" i="2"/>
  <c r="O3102" i="2"/>
  <c r="N3102" i="2"/>
  <c r="M3102" i="2"/>
  <c r="L3102" i="2"/>
  <c r="K3102" i="2"/>
  <c r="J3102" i="2"/>
  <c r="I3102" i="2"/>
  <c r="H3102" i="2"/>
  <c r="G3102" i="2"/>
  <c r="F3102" i="2"/>
  <c r="E3102" i="2"/>
  <c r="D3102" i="2"/>
  <c r="C3102" i="2"/>
  <c r="B3102" i="2"/>
  <c r="V3101" i="2"/>
  <c r="U3101" i="2"/>
  <c r="T3101" i="2"/>
  <c r="S3101" i="2"/>
  <c r="R3101" i="2"/>
  <c r="Q3101" i="2"/>
  <c r="P3101" i="2"/>
  <c r="O3101" i="2"/>
  <c r="N3101" i="2"/>
  <c r="M3101" i="2"/>
  <c r="L3101" i="2"/>
  <c r="K3101" i="2"/>
  <c r="J3101" i="2"/>
  <c r="I3101" i="2"/>
  <c r="H3101" i="2"/>
  <c r="G3101" i="2"/>
  <c r="F3101" i="2"/>
  <c r="E3101" i="2"/>
  <c r="D3101" i="2"/>
  <c r="C3101" i="2"/>
  <c r="B3101" i="2"/>
  <c r="V3100" i="2"/>
  <c r="U3100" i="2"/>
  <c r="T3100" i="2"/>
  <c r="S3100" i="2"/>
  <c r="R3100" i="2"/>
  <c r="Q3100" i="2"/>
  <c r="P3100" i="2"/>
  <c r="O3100" i="2"/>
  <c r="N3100" i="2"/>
  <c r="M3100" i="2"/>
  <c r="L3100" i="2"/>
  <c r="K3100" i="2"/>
  <c r="J3100" i="2"/>
  <c r="I3100" i="2"/>
  <c r="H3100" i="2"/>
  <c r="G3100" i="2"/>
  <c r="F3100" i="2"/>
  <c r="E3100" i="2"/>
  <c r="D3100" i="2"/>
  <c r="C3100" i="2"/>
  <c r="B3100" i="2"/>
  <c r="V3099" i="2"/>
  <c r="U3099" i="2"/>
  <c r="T3099" i="2"/>
  <c r="S3099" i="2"/>
  <c r="R3099" i="2"/>
  <c r="Q3099" i="2"/>
  <c r="P3099" i="2"/>
  <c r="O3099" i="2"/>
  <c r="N3099" i="2"/>
  <c r="M3099" i="2"/>
  <c r="L3099" i="2"/>
  <c r="K3099" i="2"/>
  <c r="J3099" i="2"/>
  <c r="I3099" i="2"/>
  <c r="H3099" i="2"/>
  <c r="G3099" i="2"/>
  <c r="F3099" i="2"/>
  <c r="E3099" i="2"/>
  <c r="D3099" i="2"/>
  <c r="C3099" i="2"/>
  <c r="B3099" i="2"/>
  <c r="V3098" i="2"/>
  <c r="U3098" i="2"/>
  <c r="T3098" i="2"/>
  <c r="S3098" i="2"/>
  <c r="R3098" i="2"/>
  <c r="Q3098" i="2"/>
  <c r="P3098" i="2"/>
  <c r="O3098" i="2"/>
  <c r="N3098" i="2"/>
  <c r="M3098" i="2"/>
  <c r="L3098" i="2"/>
  <c r="K3098" i="2"/>
  <c r="J3098" i="2"/>
  <c r="I3098" i="2"/>
  <c r="H3098" i="2"/>
  <c r="G3098" i="2"/>
  <c r="F3098" i="2"/>
  <c r="E3098" i="2"/>
  <c r="D3098" i="2"/>
  <c r="C3098" i="2"/>
  <c r="B3098" i="2"/>
  <c r="V3097" i="2"/>
  <c r="U3097" i="2"/>
  <c r="T3097" i="2"/>
  <c r="S3097" i="2"/>
  <c r="R3097" i="2"/>
  <c r="Q3097" i="2"/>
  <c r="P3097" i="2"/>
  <c r="O3097" i="2"/>
  <c r="N3097" i="2"/>
  <c r="M3097" i="2"/>
  <c r="L3097" i="2"/>
  <c r="K3097" i="2"/>
  <c r="J3097" i="2"/>
  <c r="I3097" i="2"/>
  <c r="H3097" i="2"/>
  <c r="G3097" i="2"/>
  <c r="F3097" i="2"/>
  <c r="E3097" i="2"/>
  <c r="D3097" i="2"/>
  <c r="C3097" i="2"/>
  <c r="B3097" i="2"/>
  <c r="V3096" i="2"/>
  <c r="U3096" i="2"/>
  <c r="T3096" i="2"/>
  <c r="S3096" i="2"/>
  <c r="R3096" i="2"/>
  <c r="Q3096" i="2"/>
  <c r="P3096" i="2"/>
  <c r="O3096" i="2"/>
  <c r="N3096" i="2"/>
  <c r="M3096" i="2"/>
  <c r="L3096" i="2"/>
  <c r="K3096" i="2"/>
  <c r="J3096" i="2"/>
  <c r="I3096" i="2"/>
  <c r="H3096" i="2"/>
  <c r="G3096" i="2"/>
  <c r="F3096" i="2"/>
  <c r="E3096" i="2"/>
  <c r="D3096" i="2"/>
  <c r="C3096" i="2"/>
  <c r="B3096" i="2"/>
  <c r="V3095" i="2"/>
  <c r="U3095" i="2"/>
  <c r="T3095" i="2"/>
  <c r="S3095" i="2"/>
  <c r="R3095" i="2"/>
  <c r="Q3095" i="2"/>
  <c r="P3095" i="2"/>
  <c r="O3095" i="2"/>
  <c r="N3095" i="2"/>
  <c r="M3095" i="2"/>
  <c r="L3095" i="2"/>
  <c r="K3095" i="2"/>
  <c r="J3095" i="2"/>
  <c r="I3095" i="2"/>
  <c r="H3095" i="2"/>
  <c r="G3095" i="2"/>
  <c r="F3095" i="2"/>
  <c r="E3095" i="2"/>
  <c r="D3095" i="2"/>
  <c r="C3095" i="2"/>
  <c r="B3095" i="2"/>
  <c r="V3094" i="2"/>
  <c r="U3094" i="2"/>
  <c r="T3094" i="2"/>
  <c r="S3094" i="2"/>
  <c r="R3094" i="2"/>
  <c r="Q3094" i="2"/>
  <c r="P3094" i="2"/>
  <c r="O3094" i="2"/>
  <c r="N3094" i="2"/>
  <c r="M3094" i="2"/>
  <c r="L3094" i="2"/>
  <c r="K3094" i="2"/>
  <c r="J3094" i="2"/>
  <c r="I3094" i="2"/>
  <c r="H3094" i="2"/>
  <c r="G3094" i="2"/>
  <c r="F3094" i="2"/>
  <c r="E3094" i="2"/>
  <c r="D3094" i="2"/>
  <c r="C3094" i="2"/>
  <c r="B3094" i="2"/>
  <c r="V3093" i="2"/>
  <c r="U3093" i="2"/>
  <c r="T3093" i="2"/>
  <c r="S3093" i="2"/>
  <c r="R3093" i="2"/>
  <c r="Q3093" i="2"/>
  <c r="P3093" i="2"/>
  <c r="O3093" i="2"/>
  <c r="N3093" i="2"/>
  <c r="M3093" i="2"/>
  <c r="L3093" i="2"/>
  <c r="K3093" i="2"/>
  <c r="J3093" i="2"/>
  <c r="I3093" i="2"/>
  <c r="H3093" i="2"/>
  <c r="G3093" i="2"/>
  <c r="F3093" i="2"/>
  <c r="E3093" i="2"/>
  <c r="D3093" i="2"/>
  <c r="C3093" i="2"/>
  <c r="B3093" i="2"/>
  <c r="V3092" i="2"/>
  <c r="U3092" i="2"/>
  <c r="T3092" i="2"/>
  <c r="S3092" i="2"/>
  <c r="R3092" i="2"/>
  <c r="Q3092" i="2"/>
  <c r="P3092" i="2"/>
  <c r="O3092" i="2"/>
  <c r="N3092" i="2"/>
  <c r="M3092" i="2"/>
  <c r="L3092" i="2"/>
  <c r="K3092" i="2"/>
  <c r="J3092" i="2"/>
  <c r="I3092" i="2"/>
  <c r="H3092" i="2"/>
  <c r="G3092" i="2"/>
  <c r="F3092" i="2"/>
  <c r="E3092" i="2"/>
  <c r="D3092" i="2"/>
  <c r="C3092" i="2"/>
  <c r="B3092" i="2"/>
  <c r="V3091" i="2"/>
  <c r="U3091" i="2"/>
  <c r="T3091" i="2"/>
  <c r="S3091" i="2"/>
  <c r="R3091" i="2"/>
  <c r="Q3091" i="2"/>
  <c r="P3091" i="2"/>
  <c r="O3091" i="2"/>
  <c r="N3091" i="2"/>
  <c r="M3091" i="2"/>
  <c r="L3091" i="2"/>
  <c r="K3091" i="2"/>
  <c r="J3091" i="2"/>
  <c r="I3091" i="2"/>
  <c r="H3091" i="2"/>
  <c r="G3091" i="2"/>
  <c r="F3091" i="2"/>
  <c r="E3091" i="2"/>
  <c r="D3091" i="2"/>
  <c r="C3091" i="2"/>
  <c r="B3091" i="2"/>
  <c r="V3090" i="2"/>
  <c r="U3090" i="2"/>
  <c r="T3090" i="2"/>
  <c r="S3090" i="2"/>
  <c r="R3090" i="2"/>
  <c r="Q3090" i="2"/>
  <c r="P3090" i="2"/>
  <c r="O3090" i="2"/>
  <c r="N3090" i="2"/>
  <c r="M3090" i="2"/>
  <c r="L3090" i="2"/>
  <c r="K3090" i="2"/>
  <c r="J3090" i="2"/>
  <c r="I3090" i="2"/>
  <c r="H3090" i="2"/>
  <c r="G3090" i="2"/>
  <c r="F3090" i="2"/>
  <c r="E3090" i="2"/>
  <c r="D3090" i="2"/>
  <c r="C3090" i="2"/>
  <c r="B3090" i="2"/>
  <c r="V3089" i="2"/>
  <c r="U3089" i="2"/>
  <c r="T3089" i="2"/>
  <c r="S3089" i="2"/>
  <c r="R3089" i="2"/>
  <c r="Q3089" i="2"/>
  <c r="P3089" i="2"/>
  <c r="O3089" i="2"/>
  <c r="N3089" i="2"/>
  <c r="M3089" i="2"/>
  <c r="L3089" i="2"/>
  <c r="K3089" i="2"/>
  <c r="J3089" i="2"/>
  <c r="I3089" i="2"/>
  <c r="H3089" i="2"/>
  <c r="G3089" i="2"/>
  <c r="F3089" i="2"/>
  <c r="E3089" i="2"/>
  <c r="D3089" i="2"/>
  <c r="C3089" i="2"/>
  <c r="B3089" i="2"/>
  <c r="V3088" i="2"/>
  <c r="U3088" i="2"/>
  <c r="T3088" i="2"/>
  <c r="S3088" i="2"/>
  <c r="R3088" i="2"/>
  <c r="Q3088" i="2"/>
  <c r="P3088" i="2"/>
  <c r="O3088" i="2"/>
  <c r="N3088" i="2"/>
  <c r="M3088" i="2"/>
  <c r="L3088" i="2"/>
  <c r="K3088" i="2"/>
  <c r="J3088" i="2"/>
  <c r="I3088" i="2"/>
  <c r="H3088" i="2"/>
  <c r="G3088" i="2"/>
  <c r="F3088" i="2"/>
  <c r="E3088" i="2"/>
  <c r="D3088" i="2"/>
  <c r="C3088" i="2"/>
  <c r="B3088" i="2"/>
  <c r="V3087" i="2"/>
  <c r="U3087" i="2"/>
  <c r="T3087" i="2"/>
  <c r="S3087" i="2"/>
  <c r="R3087" i="2"/>
  <c r="Q3087" i="2"/>
  <c r="P3087" i="2"/>
  <c r="O3087" i="2"/>
  <c r="N3087" i="2"/>
  <c r="M3087" i="2"/>
  <c r="L3087" i="2"/>
  <c r="K3087" i="2"/>
  <c r="J3087" i="2"/>
  <c r="I3087" i="2"/>
  <c r="H3087" i="2"/>
  <c r="G3087" i="2"/>
  <c r="F3087" i="2"/>
  <c r="E3087" i="2"/>
  <c r="D3087" i="2"/>
  <c r="C3087" i="2"/>
  <c r="B3087" i="2"/>
  <c r="V3086" i="2"/>
  <c r="U3086" i="2"/>
  <c r="T3086" i="2"/>
  <c r="S3086" i="2"/>
  <c r="R3086" i="2"/>
  <c r="Q3086" i="2"/>
  <c r="P3086" i="2"/>
  <c r="O3086" i="2"/>
  <c r="N3086" i="2"/>
  <c r="M3086" i="2"/>
  <c r="L3086" i="2"/>
  <c r="K3086" i="2"/>
  <c r="J3086" i="2"/>
  <c r="I3086" i="2"/>
  <c r="H3086" i="2"/>
  <c r="G3086" i="2"/>
  <c r="F3086" i="2"/>
  <c r="E3086" i="2"/>
  <c r="D3086" i="2"/>
  <c r="C3086" i="2"/>
  <c r="B3086" i="2"/>
  <c r="V3085" i="2"/>
  <c r="U3085" i="2"/>
  <c r="T3085" i="2"/>
  <c r="S3085" i="2"/>
  <c r="R3085" i="2"/>
  <c r="Q3085" i="2"/>
  <c r="P3085" i="2"/>
  <c r="O3085" i="2"/>
  <c r="N3085" i="2"/>
  <c r="M3085" i="2"/>
  <c r="L3085" i="2"/>
  <c r="K3085" i="2"/>
  <c r="J3085" i="2"/>
  <c r="I3085" i="2"/>
  <c r="H3085" i="2"/>
  <c r="G3085" i="2"/>
  <c r="F3085" i="2"/>
  <c r="E3085" i="2"/>
  <c r="D3085" i="2"/>
  <c r="C3085" i="2"/>
  <c r="B3085" i="2"/>
  <c r="V3084" i="2"/>
  <c r="U3084" i="2"/>
  <c r="T3084" i="2"/>
  <c r="S3084" i="2"/>
  <c r="R3084" i="2"/>
  <c r="Q3084" i="2"/>
  <c r="P3084" i="2"/>
  <c r="O3084" i="2"/>
  <c r="N3084" i="2"/>
  <c r="M3084" i="2"/>
  <c r="L3084" i="2"/>
  <c r="K3084" i="2"/>
  <c r="J3084" i="2"/>
  <c r="I3084" i="2"/>
  <c r="H3084" i="2"/>
  <c r="G3084" i="2"/>
  <c r="F3084" i="2"/>
  <c r="E3084" i="2"/>
  <c r="D3084" i="2"/>
  <c r="C3084" i="2"/>
  <c r="B3084" i="2"/>
  <c r="V3083" i="2"/>
  <c r="U3083" i="2"/>
  <c r="T3083" i="2"/>
  <c r="S3083" i="2"/>
  <c r="R3083" i="2"/>
  <c r="Q3083" i="2"/>
  <c r="P3083" i="2"/>
  <c r="O3083" i="2"/>
  <c r="N3083" i="2"/>
  <c r="M3083" i="2"/>
  <c r="L3083" i="2"/>
  <c r="K3083" i="2"/>
  <c r="J3083" i="2"/>
  <c r="I3083" i="2"/>
  <c r="H3083" i="2"/>
  <c r="G3083" i="2"/>
  <c r="F3083" i="2"/>
  <c r="E3083" i="2"/>
  <c r="D3083" i="2"/>
  <c r="C3083" i="2"/>
  <c r="B3083" i="2"/>
  <c r="V3082" i="2"/>
  <c r="U3082" i="2"/>
  <c r="T3082" i="2"/>
  <c r="S3082" i="2"/>
  <c r="R3082" i="2"/>
  <c r="Q3082" i="2"/>
  <c r="P3082" i="2"/>
  <c r="O3082" i="2"/>
  <c r="N3082" i="2"/>
  <c r="M3082" i="2"/>
  <c r="L3082" i="2"/>
  <c r="K3082" i="2"/>
  <c r="J3082" i="2"/>
  <c r="I3082" i="2"/>
  <c r="H3082" i="2"/>
  <c r="G3082" i="2"/>
  <c r="F3082" i="2"/>
  <c r="E3082" i="2"/>
  <c r="D3082" i="2"/>
  <c r="C3082" i="2"/>
  <c r="B3082" i="2"/>
  <c r="V3081" i="2"/>
  <c r="U3081" i="2"/>
  <c r="T3081" i="2"/>
  <c r="S3081" i="2"/>
  <c r="R3081" i="2"/>
  <c r="Q3081" i="2"/>
  <c r="P3081" i="2"/>
  <c r="O3081" i="2"/>
  <c r="N3081" i="2"/>
  <c r="M3081" i="2"/>
  <c r="L3081" i="2"/>
  <c r="K3081" i="2"/>
  <c r="J3081" i="2"/>
  <c r="I3081" i="2"/>
  <c r="H3081" i="2"/>
  <c r="G3081" i="2"/>
  <c r="F3081" i="2"/>
  <c r="E3081" i="2"/>
  <c r="D3081" i="2"/>
  <c r="C3081" i="2"/>
  <c r="B3081" i="2"/>
  <c r="V3080" i="2"/>
  <c r="U3080" i="2"/>
  <c r="T3080" i="2"/>
  <c r="S3080" i="2"/>
  <c r="R3080" i="2"/>
  <c r="Q3080" i="2"/>
  <c r="P3080" i="2"/>
  <c r="O3080" i="2"/>
  <c r="N3080" i="2"/>
  <c r="M3080" i="2"/>
  <c r="L3080" i="2"/>
  <c r="K3080" i="2"/>
  <c r="J3080" i="2"/>
  <c r="I3080" i="2"/>
  <c r="H3080" i="2"/>
  <c r="G3080" i="2"/>
  <c r="F3080" i="2"/>
  <c r="E3080" i="2"/>
  <c r="D3080" i="2"/>
  <c r="C3080" i="2"/>
  <c r="B3080" i="2"/>
  <c r="V3079" i="2"/>
  <c r="U3079" i="2"/>
  <c r="T3079" i="2"/>
  <c r="S3079" i="2"/>
  <c r="R3079" i="2"/>
  <c r="Q3079" i="2"/>
  <c r="P3079" i="2"/>
  <c r="O3079" i="2"/>
  <c r="N3079" i="2"/>
  <c r="M3079" i="2"/>
  <c r="L3079" i="2"/>
  <c r="K3079" i="2"/>
  <c r="J3079" i="2"/>
  <c r="I3079" i="2"/>
  <c r="H3079" i="2"/>
  <c r="G3079" i="2"/>
  <c r="F3079" i="2"/>
  <c r="E3079" i="2"/>
  <c r="D3079" i="2"/>
  <c r="C3079" i="2"/>
  <c r="B3079" i="2"/>
  <c r="V3078" i="2"/>
  <c r="U3078" i="2"/>
  <c r="T3078" i="2"/>
  <c r="S3078" i="2"/>
  <c r="R3078" i="2"/>
  <c r="Q3078" i="2"/>
  <c r="P3078" i="2"/>
  <c r="O3078" i="2"/>
  <c r="N3078" i="2"/>
  <c r="M3078" i="2"/>
  <c r="L3078" i="2"/>
  <c r="K3078" i="2"/>
  <c r="J3078" i="2"/>
  <c r="I3078" i="2"/>
  <c r="H3078" i="2"/>
  <c r="G3078" i="2"/>
  <c r="F3078" i="2"/>
  <c r="E3078" i="2"/>
  <c r="D3078" i="2"/>
  <c r="C3078" i="2"/>
  <c r="B3078" i="2"/>
  <c r="V3077" i="2"/>
  <c r="U3077" i="2"/>
  <c r="T3077" i="2"/>
  <c r="S3077" i="2"/>
  <c r="R3077" i="2"/>
  <c r="Q3077" i="2"/>
  <c r="P3077" i="2"/>
  <c r="O3077" i="2"/>
  <c r="N3077" i="2"/>
  <c r="M3077" i="2"/>
  <c r="L3077" i="2"/>
  <c r="K3077" i="2"/>
  <c r="J3077" i="2"/>
  <c r="I3077" i="2"/>
  <c r="H3077" i="2"/>
  <c r="G3077" i="2"/>
  <c r="F3077" i="2"/>
  <c r="E3077" i="2"/>
  <c r="D3077" i="2"/>
  <c r="C3077" i="2"/>
  <c r="B3077" i="2"/>
  <c r="V3076" i="2"/>
  <c r="U3076" i="2"/>
  <c r="T3076" i="2"/>
  <c r="S3076" i="2"/>
  <c r="R3076" i="2"/>
  <c r="Q3076" i="2"/>
  <c r="P3076" i="2"/>
  <c r="O3076" i="2"/>
  <c r="N3076" i="2"/>
  <c r="M3076" i="2"/>
  <c r="L3076" i="2"/>
  <c r="K3076" i="2"/>
  <c r="J3076" i="2"/>
  <c r="I3076" i="2"/>
  <c r="H3076" i="2"/>
  <c r="G3076" i="2"/>
  <c r="F3076" i="2"/>
  <c r="E3076" i="2"/>
  <c r="D3076" i="2"/>
  <c r="C3076" i="2"/>
  <c r="B3076" i="2"/>
  <c r="V3075" i="2"/>
  <c r="U3075" i="2"/>
  <c r="T3075" i="2"/>
  <c r="S3075" i="2"/>
  <c r="R3075" i="2"/>
  <c r="Q3075" i="2"/>
  <c r="P3075" i="2"/>
  <c r="O3075" i="2"/>
  <c r="N3075" i="2"/>
  <c r="M3075" i="2"/>
  <c r="L3075" i="2"/>
  <c r="K3075" i="2"/>
  <c r="J3075" i="2"/>
  <c r="I3075" i="2"/>
  <c r="H3075" i="2"/>
  <c r="G3075" i="2"/>
  <c r="F3075" i="2"/>
  <c r="E3075" i="2"/>
  <c r="D3075" i="2"/>
  <c r="C3075" i="2"/>
  <c r="B3075" i="2"/>
  <c r="V3074" i="2"/>
  <c r="U3074" i="2"/>
  <c r="T3074" i="2"/>
  <c r="S3074" i="2"/>
  <c r="R3074" i="2"/>
  <c r="Q3074" i="2"/>
  <c r="P3074" i="2"/>
  <c r="O3074" i="2"/>
  <c r="N3074" i="2"/>
  <c r="M3074" i="2"/>
  <c r="L3074" i="2"/>
  <c r="K3074" i="2"/>
  <c r="J3074" i="2"/>
  <c r="I3074" i="2"/>
  <c r="H3074" i="2"/>
  <c r="G3074" i="2"/>
  <c r="F3074" i="2"/>
  <c r="E3074" i="2"/>
  <c r="D3074" i="2"/>
  <c r="C3074" i="2"/>
  <c r="B3074" i="2"/>
  <c r="V3073" i="2"/>
  <c r="U3073" i="2"/>
  <c r="T3073" i="2"/>
  <c r="S3073" i="2"/>
  <c r="R3073" i="2"/>
  <c r="Q3073" i="2"/>
  <c r="P3073" i="2"/>
  <c r="O3073" i="2"/>
  <c r="N3073" i="2"/>
  <c r="M3073" i="2"/>
  <c r="L3073" i="2"/>
  <c r="K3073" i="2"/>
  <c r="J3073" i="2"/>
  <c r="I3073" i="2"/>
  <c r="H3073" i="2"/>
  <c r="G3073" i="2"/>
  <c r="F3073" i="2"/>
  <c r="E3073" i="2"/>
  <c r="D3073" i="2"/>
  <c r="C3073" i="2"/>
  <c r="B3073" i="2"/>
  <c r="V3072" i="2"/>
  <c r="U3072" i="2"/>
  <c r="T3072" i="2"/>
  <c r="S3072" i="2"/>
  <c r="R3072" i="2"/>
  <c r="Q3072" i="2"/>
  <c r="P3072" i="2"/>
  <c r="O3072" i="2"/>
  <c r="N3072" i="2"/>
  <c r="M3072" i="2"/>
  <c r="L3072" i="2"/>
  <c r="K3072" i="2"/>
  <c r="J3072" i="2"/>
  <c r="I3072" i="2"/>
  <c r="H3072" i="2"/>
  <c r="G3072" i="2"/>
  <c r="F3072" i="2"/>
  <c r="E3072" i="2"/>
  <c r="D3072" i="2"/>
  <c r="C3072" i="2"/>
  <c r="B3072" i="2"/>
  <c r="V3071" i="2"/>
  <c r="U3071" i="2"/>
  <c r="T3071" i="2"/>
  <c r="S3071" i="2"/>
  <c r="R3071" i="2"/>
  <c r="Q3071" i="2"/>
  <c r="P3071" i="2"/>
  <c r="O3071" i="2"/>
  <c r="N3071" i="2"/>
  <c r="M3071" i="2"/>
  <c r="L3071" i="2"/>
  <c r="K3071" i="2"/>
  <c r="J3071" i="2"/>
  <c r="I3071" i="2"/>
  <c r="H3071" i="2"/>
  <c r="G3071" i="2"/>
  <c r="F3071" i="2"/>
  <c r="E3071" i="2"/>
  <c r="D3071" i="2"/>
  <c r="C3071" i="2"/>
  <c r="B3071" i="2"/>
  <c r="V3070" i="2"/>
  <c r="U3070" i="2"/>
  <c r="T3070" i="2"/>
  <c r="S3070" i="2"/>
  <c r="R3070" i="2"/>
  <c r="Q3070" i="2"/>
  <c r="P3070" i="2"/>
  <c r="O3070" i="2"/>
  <c r="N3070" i="2"/>
  <c r="M3070" i="2"/>
  <c r="L3070" i="2"/>
  <c r="K3070" i="2"/>
  <c r="J3070" i="2"/>
  <c r="I3070" i="2"/>
  <c r="H3070" i="2"/>
  <c r="G3070" i="2"/>
  <c r="F3070" i="2"/>
  <c r="E3070" i="2"/>
  <c r="D3070" i="2"/>
  <c r="C3070" i="2"/>
  <c r="B3070" i="2"/>
  <c r="V3069" i="2"/>
  <c r="U3069" i="2"/>
  <c r="T3069" i="2"/>
  <c r="S3069" i="2"/>
  <c r="R3069" i="2"/>
  <c r="Q3069" i="2"/>
  <c r="P3069" i="2"/>
  <c r="O3069" i="2"/>
  <c r="N3069" i="2"/>
  <c r="M3069" i="2"/>
  <c r="L3069" i="2"/>
  <c r="K3069" i="2"/>
  <c r="J3069" i="2"/>
  <c r="I3069" i="2"/>
  <c r="H3069" i="2"/>
  <c r="G3069" i="2"/>
  <c r="F3069" i="2"/>
  <c r="E3069" i="2"/>
  <c r="D3069" i="2"/>
  <c r="C3069" i="2"/>
  <c r="B3069" i="2"/>
  <c r="V3068" i="2"/>
  <c r="U3068" i="2"/>
  <c r="T3068" i="2"/>
  <c r="S3068" i="2"/>
  <c r="R3068" i="2"/>
  <c r="Q3068" i="2"/>
  <c r="P3068" i="2"/>
  <c r="O3068" i="2"/>
  <c r="N3068" i="2"/>
  <c r="M3068" i="2"/>
  <c r="L3068" i="2"/>
  <c r="K3068" i="2"/>
  <c r="J3068" i="2"/>
  <c r="I3068" i="2"/>
  <c r="H3068" i="2"/>
  <c r="G3068" i="2"/>
  <c r="F3068" i="2"/>
  <c r="E3068" i="2"/>
  <c r="D3068" i="2"/>
  <c r="C3068" i="2"/>
  <c r="B3068" i="2"/>
  <c r="V3067" i="2"/>
  <c r="U3067" i="2"/>
  <c r="T3067" i="2"/>
  <c r="S3067" i="2"/>
  <c r="R3067" i="2"/>
  <c r="Q3067" i="2"/>
  <c r="P3067" i="2"/>
  <c r="O3067" i="2"/>
  <c r="N3067" i="2"/>
  <c r="M3067" i="2"/>
  <c r="L3067" i="2"/>
  <c r="K3067" i="2"/>
  <c r="J3067" i="2"/>
  <c r="I3067" i="2"/>
  <c r="H3067" i="2"/>
  <c r="G3067" i="2"/>
  <c r="F3067" i="2"/>
  <c r="E3067" i="2"/>
  <c r="D3067" i="2"/>
  <c r="C3067" i="2"/>
  <c r="B3067" i="2"/>
  <c r="V3066" i="2"/>
  <c r="U3066" i="2"/>
  <c r="T3066" i="2"/>
  <c r="S3066" i="2"/>
  <c r="R3066" i="2"/>
  <c r="Q3066" i="2"/>
  <c r="P3066" i="2"/>
  <c r="O3066" i="2"/>
  <c r="N3066" i="2"/>
  <c r="M3066" i="2"/>
  <c r="L3066" i="2"/>
  <c r="K3066" i="2"/>
  <c r="J3066" i="2"/>
  <c r="I3066" i="2"/>
  <c r="H3066" i="2"/>
  <c r="G3066" i="2"/>
  <c r="F3066" i="2"/>
  <c r="E3066" i="2"/>
  <c r="D3066" i="2"/>
  <c r="C3066" i="2"/>
  <c r="B3066" i="2"/>
  <c r="V3065" i="2"/>
  <c r="U3065" i="2"/>
  <c r="T3065" i="2"/>
  <c r="S3065" i="2"/>
  <c r="R3065" i="2"/>
  <c r="Q3065" i="2"/>
  <c r="P3065" i="2"/>
  <c r="O3065" i="2"/>
  <c r="N3065" i="2"/>
  <c r="M3065" i="2"/>
  <c r="L3065" i="2"/>
  <c r="K3065" i="2"/>
  <c r="J3065" i="2"/>
  <c r="I3065" i="2"/>
  <c r="H3065" i="2"/>
  <c r="G3065" i="2"/>
  <c r="F3065" i="2"/>
  <c r="E3065" i="2"/>
  <c r="D3065" i="2"/>
  <c r="C3065" i="2"/>
  <c r="B3065" i="2"/>
  <c r="V3064" i="2"/>
  <c r="U3064" i="2"/>
  <c r="T3064" i="2"/>
  <c r="S3064" i="2"/>
  <c r="R3064" i="2"/>
  <c r="Q3064" i="2"/>
  <c r="P3064" i="2"/>
  <c r="O3064" i="2"/>
  <c r="N3064" i="2"/>
  <c r="M3064" i="2"/>
  <c r="L3064" i="2"/>
  <c r="K3064" i="2"/>
  <c r="J3064" i="2"/>
  <c r="I3064" i="2"/>
  <c r="H3064" i="2"/>
  <c r="G3064" i="2"/>
  <c r="F3064" i="2"/>
  <c r="E3064" i="2"/>
  <c r="D3064" i="2"/>
  <c r="C3064" i="2"/>
  <c r="B3064" i="2"/>
  <c r="V3063" i="2"/>
  <c r="U3063" i="2"/>
  <c r="T3063" i="2"/>
  <c r="S3063" i="2"/>
  <c r="R3063" i="2"/>
  <c r="Q3063" i="2"/>
  <c r="P3063" i="2"/>
  <c r="O3063" i="2"/>
  <c r="N3063" i="2"/>
  <c r="M3063" i="2"/>
  <c r="L3063" i="2"/>
  <c r="K3063" i="2"/>
  <c r="J3063" i="2"/>
  <c r="I3063" i="2"/>
  <c r="H3063" i="2"/>
  <c r="G3063" i="2"/>
  <c r="F3063" i="2"/>
  <c r="E3063" i="2"/>
  <c r="D3063" i="2"/>
  <c r="C3063" i="2"/>
  <c r="B3063" i="2"/>
  <c r="V3062" i="2"/>
  <c r="U3062" i="2"/>
  <c r="T3062" i="2"/>
  <c r="S3062" i="2"/>
  <c r="R3062" i="2"/>
  <c r="Q3062" i="2"/>
  <c r="P3062" i="2"/>
  <c r="O3062" i="2"/>
  <c r="N3062" i="2"/>
  <c r="M3062" i="2"/>
  <c r="L3062" i="2"/>
  <c r="K3062" i="2"/>
  <c r="J3062" i="2"/>
  <c r="I3062" i="2"/>
  <c r="H3062" i="2"/>
  <c r="G3062" i="2"/>
  <c r="F3062" i="2"/>
  <c r="E3062" i="2"/>
  <c r="D3062" i="2"/>
  <c r="C3062" i="2"/>
  <c r="B3062" i="2"/>
  <c r="V3061" i="2"/>
  <c r="U3061" i="2"/>
  <c r="T3061" i="2"/>
  <c r="S3061" i="2"/>
  <c r="R3061" i="2"/>
  <c r="Q3061" i="2"/>
  <c r="P3061" i="2"/>
  <c r="O3061" i="2"/>
  <c r="N3061" i="2"/>
  <c r="M3061" i="2"/>
  <c r="L3061" i="2"/>
  <c r="K3061" i="2"/>
  <c r="J3061" i="2"/>
  <c r="I3061" i="2"/>
  <c r="H3061" i="2"/>
  <c r="G3061" i="2"/>
  <c r="F3061" i="2"/>
  <c r="E3061" i="2"/>
  <c r="D3061" i="2"/>
  <c r="C3061" i="2"/>
  <c r="B3061" i="2"/>
  <c r="V3060" i="2"/>
  <c r="U3060" i="2"/>
  <c r="T3060" i="2"/>
  <c r="S3060" i="2"/>
  <c r="R3060" i="2"/>
  <c r="Q3060" i="2"/>
  <c r="P3060" i="2"/>
  <c r="O3060" i="2"/>
  <c r="N3060" i="2"/>
  <c r="M3060" i="2"/>
  <c r="L3060" i="2"/>
  <c r="K3060" i="2"/>
  <c r="J3060" i="2"/>
  <c r="I3060" i="2"/>
  <c r="H3060" i="2"/>
  <c r="G3060" i="2"/>
  <c r="F3060" i="2"/>
  <c r="E3060" i="2"/>
  <c r="D3060" i="2"/>
  <c r="C3060" i="2"/>
  <c r="B3060" i="2"/>
  <c r="V3059" i="2"/>
  <c r="U3059" i="2"/>
  <c r="T3059" i="2"/>
  <c r="S3059" i="2"/>
  <c r="R3059" i="2"/>
  <c r="Q3059" i="2"/>
  <c r="P3059" i="2"/>
  <c r="O3059" i="2"/>
  <c r="N3059" i="2"/>
  <c r="M3059" i="2"/>
  <c r="L3059" i="2"/>
  <c r="K3059" i="2"/>
  <c r="J3059" i="2"/>
  <c r="I3059" i="2"/>
  <c r="H3059" i="2"/>
  <c r="G3059" i="2"/>
  <c r="F3059" i="2"/>
  <c r="E3059" i="2"/>
  <c r="D3059" i="2"/>
  <c r="C3059" i="2"/>
  <c r="B3059" i="2"/>
  <c r="V3058" i="2"/>
  <c r="U3058" i="2"/>
  <c r="T3058" i="2"/>
  <c r="S3058" i="2"/>
  <c r="R3058" i="2"/>
  <c r="Q3058" i="2"/>
  <c r="P3058" i="2"/>
  <c r="O3058" i="2"/>
  <c r="N3058" i="2"/>
  <c r="M3058" i="2"/>
  <c r="L3058" i="2"/>
  <c r="K3058" i="2"/>
  <c r="J3058" i="2"/>
  <c r="I3058" i="2"/>
  <c r="H3058" i="2"/>
  <c r="G3058" i="2"/>
  <c r="F3058" i="2"/>
  <c r="E3058" i="2"/>
  <c r="D3058" i="2"/>
  <c r="C3058" i="2"/>
  <c r="B3058" i="2"/>
  <c r="V3057" i="2"/>
  <c r="U3057" i="2"/>
  <c r="T3057" i="2"/>
  <c r="S3057" i="2"/>
  <c r="R3057" i="2"/>
  <c r="Q3057" i="2"/>
  <c r="P3057" i="2"/>
  <c r="O3057" i="2"/>
  <c r="N3057" i="2"/>
  <c r="M3057" i="2"/>
  <c r="L3057" i="2"/>
  <c r="K3057" i="2"/>
  <c r="J3057" i="2"/>
  <c r="I3057" i="2"/>
  <c r="H3057" i="2"/>
  <c r="G3057" i="2"/>
  <c r="F3057" i="2"/>
  <c r="E3057" i="2"/>
  <c r="D3057" i="2"/>
  <c r="C3057" i="2"/>
  <c r="B3057" i="2"/>
  <c r="V3056" i="2"/>
  <c r="U3056" i="2"/>
  <c r="T3056" i="2"/>
  <c r="S3056" i="2"/>
  <c r="R3056" i="2"/>
  <c r="Q3056" i="2"/>
  <c r="P3056" i="2"/>
  <c r="O3056" i="2"/>
  <c r="N3056" i="2"/>
  <c r="M3056" i="2"/>
  <c r="L3056" i="2"/>
  <c r="K3056" i="2"/>
  <c r="J3056" i="2"/>
  <c r="I3056" i="2"/>
  <c r="H3056" i="2"/>
  <c r="G3056" i="2"/>
  <c r="F3056" i="2"/>
  <c r="E3056" i="2"/>
  <c r="D3056" i="2"/>
  <c r="C3056" i="2"/>
  <c r="B3056" i="2"/>
  <c r="V3055" i="2"/>
  <c r="U3055" i="2"/>
  <c r="T3055" i="2"/>
  <c r="S3055" i="2"/>
  <c r="R3055" i="2"/>
  <c r="Q3055" i="2"/>
  <c r="P3055" i="2"/>
  <c r="O3055" i="2"/>
  <c r="N3055" i="2"/>
  <c r="M3055" i="2"/>
  <c r="L3055" i="2"/>
  <c r="K3055" i="2"/>
  <c r="J3055" i="2"/>
  <c r="I3055" i="2"/>
  <c r="H3055" i="2"/>
  <c r="G3055" i="2"/>
  <c r="F3055" i="2"/>
  <c r="E3055" i="2"/>
  <c r="D3055" i="2"/>
  <c r="C3055" i="2"/>
  <c r="B3055" i="2"/>
  <c r="V3054" i="2"/>
  <c r="U3054" i="2"/>
  <c r="T3054" i="2"/>
  <c r="S3054" i="2"/>
  <c r="R3054" i="2"/>
  <c r="Q3054" i="2"/>
  <c r="P3054" i="2"/>
  <c r="O3054" i="2"/>
  <c r="N3054" i="2"/>
  <c r="M3054" i="2"/>
  <c r="L3054" i="2"/>
  <c r="K3054" i="2"/>
  <c r="J3054" i="2"/>
  <c r="I3054" i="2"/>
  <c r="H3054" i="2"/>
  <c r="G3054" i="2"/>
  <c r="F3054" i="2"/>
  <c r="E3054" i="2"/>
  <c r="D3054" i="2"/>
  <c r="C3054" i="2"/>
  <c r="B3054" i="2"/>
  <c r="V3053" i="2"/>
  <c r="U3053" i="2"/>
  <c r="T3053" i="2"/>
  <c r="S3053" i="2"/>
  <c r="R3053" i="2"/>
  <c r="Q3053" i="2"/>
  <c r="P3053" i="2"/>
  <c r="O3053" i="2"/>
  <c r="N3053" i="2"/>
  <c r="M3053" i="2"/>
  <c r="L3053" i="2"/>
  <c r="K3053" i="2"/>
  <c r="J3053" i="2"/>
  <c r="I3053" i="2"/>
  <c r="H3053" i="2"/>
  <c r="G3053" i="2"/>
  <c r="F3053" i="2"/>
  <c r="E3053" i="2"/>
  <c r="D3053" i="2"/>
  <c r="C3053" i="2"/>
  <c r="B3053" i="2"/>
  <c r="V3052" i="2"/>
  <c r="U3052" i="2"/>
  <c r="T3052" i="2"/>
  <c r="S3052" i="2"/>
  <c r="R3052" i="2"/>
  <c r="Q3052" i="2"/>
  <c r="P3052" i="2"/>
  <c r="O3052" i="2"/>
  <c r="N3052" i="2"/>
  <c r="M3052" i="2"/>
  <c r="L3052" i="2"/>
  <c r="K3052" i="2"/>
  <c r="J3052" i="2"/>
  <c r="I3052" i="2"/>
  <c r="H3052" i="2"/>
  <c r="G3052" i="2"/>
  <c r="F3052" i="2"/>
  <c r="E3052" i="2"/>
  <c r="D3052" i="2"/>
  <c r="C3052" i="2"/>
  <c r="B3052" i="2"/>
  <c r="V3051" i="2"/>
  <c r="U3051" i="2"/>
  <c r="T3051" i="2"/>
  <c r="S3051" i="2"/>
  <c r="R3051" i="2"/>
  <c r="Q3051" i="2"/>
  <c r="P3051" i="2"/>
  <c r="O3051" i="2"/>
  <c r="N3051" i="2"/>
  <c r="M3051" i="2"/>
  <c r="L3051" i="2"/>
  <c r="K3051" i="2"/>
  <c r="J3051" i="2"/>
  <c r="I3051" i="2"/>
  <c r="H3051" i="2"/>
  <c r="G3051" i="2"/>
  <c r="F3051" i="2"/>
  <c r="E3051" i="2"/>
  <c r="D3051" i="2"/>
  <c r="C3051" i="2"/>
  <c r="B3051" i="2"/>
  <c r="V3050" i="2"/>
  <c r="U3050" i="2"/>
  <c r="T3050" i="2"/>
  <c r="S3050" i="2"/>
  <c r="R3050" i="2"/>
  <c r="Q3050" i="2"/>
  <c r="P3050" i="2"/>
  <c r="O3050" i="2"/>
  <c r="N3050" i="2"/>
  <c r="M3050" i="2"/>
  <c r="L3050" i="2"/>
  <c r="K3050" i="2"/>
  <c r="J3050" i="2"/>
  <c r="I3050" i="2"/>
  <c r="H3050" i="2"/>
  <c r="G3050" i="2"/>
  <c r="F3050" i="2"/>
  <c r="E3050" i="2"/>
  <c r="D3050" i="2"/>
  <c r="C3050" i="2"/>
  <c r="B3050" i="2"/>
  <c r="V3049" i="2"/>
  <c r="U3049" i="2"/>
  <c r="T3049" i="2"/>
  <c r="S3049" i="2"/>
  <c r="R3049" i="2"/>
  <c r="Q3049" i="2"/>
  <c r="P3049" i="2"/>
  <c r="O3049" i="2"/>
  <c r="N3049" i="2"/>
  <c r="M3049" i="2"/>
  <c r="L3049" i="2"/>
  <c r="K3049" i="2"/>
  <c r="J3049" i="2"/>
  <c r="I3049" i="2"/>
  <c r="H3049" i="2"/>
  <c r="G3049" i="2"/>
  <c r="F3049" i="2"/>
  <c r="E3049" i="2"/>
  <c r="D3049" i="2"/>
  <c r="C3049" i="2"/>
  <c r="B3049" i="2"/>
  <c r="V3048" i="2"/>
  <c r="U3048" i="2"/>
  <c r="T3048" i="2"/>
  <c r="S3048" i="2"/>
  <c r="R3048" i="2"/>
  <c r="Q3048" i="2"/>
  <c r="P3048" i="2"/>
  <c r="O3048" i="2"/>
  <c r="N3048" i="2"/>
  <c r="M3048" i="2"/>
  <c r="L3048" i="2"/>
  <c r="K3048" i="2"/>
  <c r="J3048" i="2"/>
  <c r="I3048" i="2"/>
  <c r="H3048" i="2"/>
  <c r="G3048" i="2"/>
  <c r="F3048" i="2"/>
  <c r="E3048" i="2"/>
  <c r="D3048" i="2"/>
  <c r="C3048" i="2"/>
  <c r="B3048" i="2"/>
  <c r="V3047" i="2"/>
  <c r="U3047" i="2"/>
  <c r="T3047" i="2"/>
  <c r="S3047" i="2"/>
  <c r="R3047" i="2"/>
  <c r="Q3047" i="2"/>
  <c r="P3047" i="2"/>
  <c r="O3047" i="2"/>
  <c r="N3047" i="2"/>
  <c r="M3047" i="2"/>
  <c r="L3047" i="2"/>
  <c r="K3047" i="2"/>
  <c r="J3047" i="2"/>
  <c r="I3047" i="2"/>
  <c r="H3047" i="2"/>
  <c r="G3047" i="2"/>
  <c r="F3047" i="2"/>
  <c r="E3047" i="2"/>
  <c r="D3047" i="2"/>
  <c r="C3047" i="2"/>
  <c r="B3047" i="2"/>
  <c r="V3046" i="2"/>
  <c r="U3046" i="2"/>
  <c r="T3046" i="2"/>
  <c r="S3046" i="2"/>
  <c r="R3046" i="2"/>
  <c r="Q3046" i="2"/>
  <c r="P3046" i="2"/>
  <c r="O3046" i="2"/>
  <c r="N3046" i="2"/>
  <c r="M3046" i="2"/>
  <c r="L3046" i="2"/>
  <c r="K3046" i="2"/>
  <c r="J3046" i="2"/>
  <c r="I3046" i="2"/>
  <c r="H3046" i="2"/>
  <c r="G3046" i="2"/>
  <c r="F3046" i="2"/>
  <c r="E3046" i="2"/>
  <c r="D3046" i="2"/>
  <c r="C3046" i="2"/>
  <c r="B3046" i="2"/>
  <c r="V3045" i="2"/>
  <c r="U3045" i="2"/>
  <c r="T3045" i="2"/>
  <c r="S3045" i="2"/>
  <c r="R3045" i="2"/>
  <c r="Q3045" i="2"/>
  <c r="P3045" i="2"/>
  <c r="O3045" i="2"/>
  <c r="N3045" i="2"/>
  <c r="M3045" i="2"/>
  <c r="L3045" i="2"/>
  <c r="K3045" i="2"/>
  <c r="J3045" i="2"/>
  <c r="I3045" i="2"/>
  <c r="H3045" i="2"/>
  <c r="G3045" i="2"/>
  <c r="F3045" i="2"/>
  <c r="E3045" i="2"/>
  <c r="D3045" i="2"/>
  <c r="C3045" i="2"/>
  <c r="B3045" i="2"/>
  <c r="V3044" i="2"/>
  <c r="U3044" i="2"/>
  <c r="T3044" i="2"/>
  <c r="S3044" i="2"/>
  <c r="R3044" i="2"/>
  <c r="Q3044" i="2"/>
  <c r="P3044" i="2"/>
  <c r="O3044" i="2"/>
  <c r="N3044" i="2"/>
  <c r="M3044" i="2"/>
  <c r="L3044" i="2"/>
  <c r="K3044" i="2"/>
  <c r="J3044" i="2"/>
  <c r="I3044" i="2"/>
  <c r="H3044" i="2"/>
  <c r="G3044" i="2"/>
  <c r="F3044" i="2"/>
  <c r="E3044" i="2"/>
  <c r="D3044" i="2"/>
  <c r="C3044" i="2"/>
  <c r="B3044" i="2"/>
  <c r="V3043" i="2"/>
  <c r="U3043" i="2"/>
  <c r="T3043" i="2"/>
  <c r="S3043" i="2"/>
  <c r="R3043" i="2"/>
  <c r="Q3043" i="2"/>
  <c r="P3043" i="2"/>
  <c r="O3043" i="2"/>
  <c r="N3043" i="2"/>
  <c r="M3043" i="2"/>
  <c r="L3043" i="2"/>
  <c r="K3043" i="2"/>
  <c r="J3043" i="2"/>
  <c r="I3043" i="2"/>
  <c r="H3043" i="2"/>
  <c r="G3043" i="2"/>
  <c r="F3043" i="2"/>
  <c r="E3043" i="2"/>
  <c r="D3043" i="2"/>
  <c r="C3043" i="2"/>
  <c r="B3043" i="2"/>
  <c r="V3042" i="2"/>
  <c r="U3042" i="2"/>
  <c r="T3042" i="2"/>
  <c r="S3042" i="2"/>
  <c r="R3042" i="2"/>
  <c r="Q3042" i="2"/>
  <c r="P3042" i="2"/>
  <c r="O3042" i="2"/>
  <c r="N3042" i="2"/>
  <c r="M3042" i="2"/>
  <c r="L3042" i="2"/>
  <c r="K3042" i="2"/>
  <c r="J3042" i="2"/>
  <c r="I3042" i="2"/>
  <c r="H3042" i="2"/>
  <c r="G3042" i="2"/>
  <c r="F3042" i="2"/>
  <c r="E3042" i="2"/>
  <c r="D3042" i="2"/>
  <c r="C3042" i="2"/>
  <c r="B3042" i="2"/>
  <c r="V3041" i="2"/>
  <c r="U3041" i="2"/>
  <c r="T3041" i="2"/>
  <c r="S3041" i="2"/>
  <c r="R3041" i="2"/>
  <c r="Q3041" i="2"/>
  <c r="P3041" i="2"/>
  <c r="O3041" i="2"/>
  <c r="N3041" i="2"/>
  <c r="M3041" i="2"/>
  <c r="L3041" i="2"/>
  <c r="K3041" i="2"/>
  <c r="J3041" i="2"/>
  <c r="I3041" i="2"/>
  <c r="H3041" i="2"/>
  <c r="G3041" i="2"/>
  <c r="F3041" i="2"/>
  <c r="E3041" i="2"/>
  <c r="D3041" i="2"/>
  <c r="C3041" i="2"/>
  <c r="B3041" i="2"/>
  <c r="V3040" i="2"/>
  <c r="U3040" i="2"/>
  <c r="T3040" i="2"/>
  <c r="S3040" i="2"/>
  <c r="R3040" i="2"/>
  <c r="Q3040" i="2"/>
  <c r="P3040" i="2"/>
  <c r="O3040" i="2"/>
  <c r="N3040" i="2"/>
  <c r="M3040" i="2"/>
  <c r="L3040" i="2"/>
  <c r="K3040" i="2"/>
  <c r="J3040" i="2"/>
  <c r="I3040" i="2"/>
  <c r="H3040" i="2"/>
  <c r="G3040" i="2"/>
  <c r="F3040" i="2"/>
  <c r="E3040" i="2"/>
  <c r="D3040" i="2"/>
  <c r="C3040" i="2"/>
  <c r="B3040" i="2"/>
  <c r="V3039" i="2"/>
  <c r="U3039" i="2"/>
  <c r="T3039" i="2"/>
  <c r="S3039" i="2"/>
  <c r="R3039" i="2"/>
  <c r="Q3039" i="2"/>
  <c r="P3039" i="2"/>
  <c r="O3039" i="2"/>
  <c r="N3039" i="2"/>
  <c r="M3039" i="2"/>
  <c r="L3039" i="2"/>
  <c r="K3039" i="2"/>
  <c r="J3039" i="2"/>
  <c r="I3039" i="2"/>
  <c r="H3039" i="2"/>
  <c r="G3039" i="2"/>
  <c r="F3039" i="2"/>
  <c r="E3039" i="2"/>
  <c r="D3039" i="2"/>
  <c r="C3039" i="2"/>
  <c r="B3039" i="2"/>
  <c r="V3038" i="2"/>
  <c r="U3038" i="2"/>
  <c r="T3038" i="2"/>
  <c r="S3038" i="2"/>
  <c r="R3038" i="2"/>
  <c r="Q3038" i="2"/>
  <c r="P3038" i="2"/>
  <c r="O3038" i="2"/>
  <c r="N3038" i="2"/>
  <c r="M3038" i="2"/>
  <c r="L3038" i="2"/>
  <c r="K3038" i="2"/>
  <c r="J3038" i="2"/>
  <c r="I3038" i="2"/>
  <c r="H3038" i="2"/>
  <c r="G3038" i="2"/>
  <c r="F3038" i="2"/>
  <c r="E3038" i="2"/>
  <c r="D3038" i="2"/>
  <c r="C3038" i="2"/>
  <c r="B3038" i="2"/>
  <c r="V3037" i="2"/>
  <c r="U3037" i="2"/>
  <c r="T3037" i="2"/>
  <c r="S3037" i="2"/>
  <c r="R3037" i="2"/>
  <c r="Q3037" i="2"/>
  <c r="P3037" i="2"/>
  <c r="O3037" i="2"/>
  <c r="N3037" i="2"/>
  <c r="M3037" i="2"/>
  <c r="L3037" i="2"/>
  <c r="K3037" i="2"/>
  <c r="J3037" i="2"/>
  <c r="I3037" i="2"/>
  <c r="H3037" i="2"/>
  <c r="G3037" i="2"/>
  <c r="F3037" i="2"/>
  <c r="E3037" i="2"/>
  <c r="D3037" i="2"/>
  <c r="C3037" i="2"/>
  <c r="B3037" i="2"/>
  <c r="V3036" i="2"/>
  <c r="U3036" i="2"/>
  <c r="T3036" i="2"/>
  <c r="S3036" i="2"/>
  <c r="R3036" i="2"/>
  <c r="Q3036" i="2"/>
  <c r="P3036" i="2"/>
  <c r="O3036" i="2"/>
  <c r="N3036" i="2"/>
  <c r="M3036" i="2"/>
  <c r="L3036" i="2"/>
  <c r="K3036" i="2"/>
  <c r="J3036" i="2"/>
  <c r="I3036" i="2"/>
  <c r="H3036" i="2"/>
  <c r="G3036" i="2"/>
  <c r="F3036" i="2"/>
  <c r="E3036" i="2"/>
  <c r="D3036" i="2"/>
  <c r="C3036" i="2"/>
  <c r="B3036" i="2"/>
  <c r="V3035" i="2"/>
  <c r="U3035" i="2"/>
  <c r="T3035" i="2"/>
  <c r="S3035" i="2"/>
  <c r="R3035" i="2"/>
  <c r="Q3035" i="2"/>
  <c r="P3035" i="2"/>
  <c r="O3035" i="2"/>
  <c r="N3035" i="2"/>
  <c r="M3035" i="2"/>
  <c r="L3035" i="2"/>
  <c r="K3035" i="2"/>
  <c r="J3035" i="2"/>
  <c r="I3035" i="2"/>
  <c r="H3035" i="2"/>
  <c r="G3035" i="2"/>
  <c r="F3035" i="2"/>
  <c r="E3035" i="2"/>
  <c r="D3035" i="2"/>
  <c r="C3035" i="2"/>
  <c r="B3035" i="2"/>
  <c r="V3034" i="2"/>
  <c r="U3034" i="2"/>
  <c r="T3034" i="2"/>
  <c r="S3034" i="2"/>
  <c r="R3034" i="2"/>
  <c r="Q3034" i="2"/>
  <c r="P3034" i="2"/>
  <c r="O3034" i="2"/>
  <c r="N3034" i="2"/>
  <c r="M3034" i="2"/>
  <c r="L3034" i="2"/>
  <c r="K3034" i="2"/>
  <c r="J3034" i="2"/>
  <c r="I3034" i="2"/>
  <c r="H3034" i="2"/>
  <c r="G3034" i="2"/>
  <c r="F3034" i="2"/>
  <c r="E3034" i="2"/>
  <c r="D3034" i="2"/>
  <c r="C3034" i="2"/>
  <c r="B3034" i="2"/>
  <c r="V3033" i="2"/>
  <c r="U3033" i="2"/>
  <c r="T3033" i="2"/>
  <c r="S3033" i="2"/>
  <c r="R3033" i="2"/>
  <c r="Q3033" i="2"/>
  <c r="P3033" i="2"/>
  <c r="O3033" i="2"/>
  <c r="N3033" i="2"/>
  <c r="M3033" i="2"/>
  <c r="L3033" i="2"/>
  <c r="K3033" i="2"/>
  <c r="J3033" i="2"/>
  <c r="I3033" i="2"/>
  <c r="H3033" i="2"/>
  <c r="G3033" i="2"/>
  <c r="F3033" i="2"/>
  <c r="E3033" i="2"/>
  <c r="D3033" i="2"/>
  <c r="C3033" i="2"/>
  <c r="B3033" i="2"/>
  <c r="V3032" i="2"/>
  <c r="U3032" i="2"/>
  <c r="T3032" i="2"/>
  <c r="S3032" i="2"/>
  <c r="R3032" i="2"/>
  <c r="Q3032" i="2"/>
  <c r="P3032" i="2"/>
  <c r="O3032" i="2"/>
  <c r="N3032" i="2"/>
  <c r="M3032" i="2"/>
  <c r="L3032" i="2"/>
  <c r="K3032" i="2"/>
  <c r="J3032" i="2"/>
  <c r="I3032" i="2"/>
  <c r="H3032" i="2"/>
  <c r="G3032" i="2"/>
  <c r="F3032" i="2"/>
  <c r="E3032" i="2"/>
  <c r="D3032" i="2"/>
  <c r="C3032" i="2"/>
  <c r="B3032" i="2"/>
  <c r="V3031" i="2"/>
  <c r="U3031" i="2"/>
  <c r="T3031" i="2"/>
  <c r="S3031" i="2"/>
  <c r="R3031" i="2"/>
  <c r="Q3031" i="2"/>
  <c r="P3031" i="2"/>
  <c r="O3031" i="2"/>
  <c r="N3031" i="2"/>
  <c r="M3031" i="2"/>
  <c r="L3031" i="2"/>
  <c r="K3031" i="2"/>
  <c r="J3031" i="2"/>
  <c r="I3031" i="2"/>
  <c r="H3031" i="2"/>
  <c r="G3031" i="2"/>
  <c r="F3031" i="2"/>
  <c r="E3031" i="2"/>
  <c r="D3031" i="2"/>
  <c r="C3031" i="2"/>
  <c r="B3031" i="2"/>
  <c r="V3030" i="2"/>
  <c r="U3030" i="2"/>
  <c r="T3030" i="2"/>
  <c r="S3030" i="2"/>
  <c r="R3030" i="2"/>
  <c r="Q3030" i="2"/>
  <c r="P3030" i="2"/>
  <c r="O3030" i="2"/>
  <c r="N3030" i="2"/>
  <c r="M3030" i="2"/>
  <c r="L3030" i="2"/>
  <c r="K3030" i="2"/>
  <c r="J3030" i="2"/>
  <c r="I3030" i="2"/>
  <c r="H3030" i="2"/>
  <c r="G3030" i="2"/>
  <c r="F3030" i="2"/>
  <c r="E3030" i="2"/>
  <c r="D3030" i="2"/>
  <c r="C3030" i="2"/>
  <c r="B3030" i="2"/>
  <c r="V3029" i="2"/>
  <c r="U3029" i="2"/>
  <c r="T3029" i="2"/>
  <c r="S3029" i="2"/>
  <c r="R3029" i="2"/>
  <c r="Q3029" i="2"/>
  <c r="P3029" i="2"/>
  <c r="O3029" i="2"/>
  <c r="N3029" i="2"/>
  <c r="M3029" i="2"/>
  <c r="L3029" i="2"/>
  <c r="K3029" i="2"/>
  <c r="J3029" i="2"/>
  <c r="I3029" i="2"/>
  <c r="H3029" i="2"/>
  <c r="G3029" i="2"/>
  <c r="F3029" i="2"/>
  <c r="E3029" i="2"/>
  <c r="D3029" i="2"/>
  <c r="C3029" i="2"/>
  <c r="B3029" i="2"/>
  <c r="V3028" i="2"/>
  <c r="U3028" i="2"/>
  <c r="T3028" i="2"/>
  <c r="S3028" i="2"/>
  <c r="R3028" i="2"/>
  <c r="Q3028" i="2"/>
  <c r="P3028" i="2"/>
  <c r="O3028" i="2"/>
  <c r="N3028" i="2"/>
  <c r="M3028" i="2"/>
  <c r="L3028" i="2"/>
  <c r="K3028" i="2"/>
  <c r="J3028" i="2"/>
  <c r="I3028" i="2"/>
  <c r="H3028" i="2"/>
  <c r="G3028" i="2"/>
  <c r="F3028" i="2"/>
  <c r="E3028" i="2"/>
  <c r="D3028" i="2"/>
  <c r="C3028" i="2"/>
  <c r="B3028" i="2"/>
  <c r="V3027" i="2"/>
  <c r="U3027" i="2"/>
  <c r="T3027" i="2"/>
  <c r="S3027" i="2"/>
  <c r="R3027" i="2"/>
  <c r="Q3027" i="2"/>
  <c r="P3027" i="2"/>
  <c r="O3027" i="2"/>
  <c r="N3027" i="2"/>
  <c r="M3027" i="2"/>
  <c r="L3027" i="2"/>
  <c r="K3027" i="2"/>
  <c r="J3027" i="2"/>
  <c r="I3027" i="2"/>
  <c r="H3027" i="2"/>
  <c r="G3027" i="2"/>
  <c r="F3027" i="2"/>
  <c r="E3027" i="2"/>
  <c r="D3027" i="2"/>
  <c r="C3027" i="2"/>
  <c r="B3027" i="2"/>
  <c r="V3026" i="2"/>
  <c r="U3026" i="2"/>
  <c r="T3026" i="2"/>
  <c r="S3026" i="2"/>
  <c r="R3026" i="2"/>
  <c r="Q3026" i="2"/>
  <c r="P3026" i="2"/>
  <c r="O3026" i="2"/>
  <c r="N3026" i="2"/>
  <c r="M3026" i="2"/>
  <c r="L3026" i="2"/>
  <c r="K3026" i="2"/>
  <c r="J3026" i="2"/>
  <c r="I3026" i="2"/>
  <c r="H3026" i="2"/>
  <c r="G3026" i="2"/>
  <c r="F3026" i="2"/>
  <c r="E3026" i="2"/>
  <c r="D3026" i="2"/>
  <c r="C3026" i="2"/>
  <c r="B3026" i="2"/>
  <c r="V3025" i="2"/>
  <c r="U3025" i="2"/>
  <c r="T3025" i="2"/>
  <c r="S3025" i="2"/>
  <c r="R3025" i="2"/>
  <c r="Q3025" i="2"/>
  <c r="P3025" i="2"/>
  <c r="O3025" i="2"/>
  <c r="N3025" i="2"/>
  <c r="M3025" i="2"/>
  <c r="L3025" i="2"/>
  <c r="K3025" i="2"/>
  <c r="J3025" i="2"/>
  <c r="I3025" i="2"/>
  <c r="H3025" i="2"/>
  <c r="G3025" i="2"/>
  <c r="F3025" i="2"/>
  <c r="E3025" i="2"/>
  <c r="D3025" i="2"/>
  <c r="C3025" i="2"/>
  <c r="B3025" i="2"/>
  <c r="V3024" i="2"/>
  <c r="U3024" i="2"/>
  <c r="T3024" i="2"/>
  <c r="S3024" i="2"/>
  <c r="R3024" i="2"/>
  <c r="Q3024" i="2"/>
  <c r="P3024" i="2"/>
  <c r="O3024" i="2"/>
  <c r="N3024" i="2"/>
  <c r="M3024" i="2"/>
  <c r="L3024" i="2"/>
  <c r="K3024" i="2"/>
  <c r="J3024" i="2"/>
  <c r="I3024" i="2"/>
  <c r="H3024" i="2"/>
  <c r="G3024" i="2"/>
  <c r="F3024" i="2"/>
  <c r="E3024" i="2"/>
  <c r="D3024" i="2"/>
  <c r="C3024" i="2"/>
  <c r="B3024" i="2"/>
  <c r="V3023" i="2"/>
  <c r="U3023" i="2"/>
  <c r="T3023" i="2"/>
  <c r="S3023" i="2"/>
  <c r="R3023" i="2"/>
  <c r="Q3023" i="2"/>
  <c r="P3023" i="2"/>
  <c r="O3023" i="2"/>
  <c r="N3023" i="2"/>
  <c r="M3023" i="2"/>
  <c r="L3023" i="2"/>
  <c r="K3023" i="2"/>
  <c r="J3023" i="2"/>
  <c r="I3023" i="2"/>
  <c r="H3023" i="2"/>
  <c r="G3023" i="2"/>
  <c r="F3023" i="2"/>
  <c r="E3023" i="2"/>
  <c r="D3023" i="2"/>
  <c r="C3023" i="2"/>
  <c r="B3023" i="2"/>
  <c r="V3022" i="2"/>
  <c r="U3022" i="2"/>
  <c r="T3022" i="2"/>
  <c r="S3022" i="2"/>
  <c r="R3022" i="2"/>
  <c r="Q3022" i="2"/>
  <c r="P3022" i="2"/>
  <c r="O3022" i="2"/>
  <c r="N3022" i="2"/>
  <c r="M3022" i="2"/>
  <c r="L3022" i="2"/>
  <c r="K3022" i="2"/>
  <c r="J3022" i="2"/>
  <c r="I3022" i="2"/>
  <c r="H3022" i="2"/>
  <c r="G3022" i="2"/>
  <c r="F3022" i="2"/>
  <c r="E3022" i="2"/>
  <c r="D3022" i="2"/>
  <c r="C3022" i="2"/>
  <c r="B3022" i="2"/>
  <c r="V3021" i="2"/>
  <c r="U3021" i="2"/>
  <c r="T3021" i="2"/>
  <c r="S3021" i="2"/>
  <c r="R3021" i="2"/>
  <c r="Q3021" i="2"/>
  <c r="P3021" i="2"/>
  <c r="O3021" i="2"/>
  <c r="N3021" i="2"/>
  <c r="M3021" i="2"/>
  <c r="L3021" i="2"/>
  <c r="K3021" i="2"/>
  <c r="J3021" i="2"/>
  <c r="I3021" i="2"/>
  <c r="H3021" i="2"/>
  <c r="G3021" i="2"/>
  <c r="F3021" i="2"/>
  <c r="E3021" i="2"/>
  <c r="D3021" i="2"/>
  <c r="C3021" i="2"/>
  <c r="B3021" i="2"/>
  <c r="V3020" i="2"/>
  <c r="U3020" i="2"/>
  <c r="T3020" i="2"/>
  <c r="S3020" i="2"/>
  <c r="R3020" i="2"/>
  <c r="Q3020" i="2"/>
  <c r="P3020" i="2"/>
  <c r="O3020" i="2"/>
  <c r="N3020" i="2"/>
  <c r="M3020" i="2"/>
  <c r="L3020" i="2"/>
  <c r="K3020" i="2"/>
  <c r="J3020" i="2"/>
  <c r="I3020" i="2"/>
  <c r="H3020" i="2"/>
  <c r="G3020" i="2"/>
  <c r="F3020" i="2"/>
  <c r="E3020" i="2"/>
  <c r="D3020" i="2"/>
  <c r="C3020" i="2"/>
  <c r="B3020" i="2"/>
  <c r="V3019" i="2"/>
  <c r="U3019" i="2"/>
  <c r="T3019" i="2"/>
  <c r="S3019" i="2"/>
  <c r="R3019" i="2"/>
  <c r="Q3019" i="2"/>
  <c r="P3019" i="2"/>
  <c r="O3019" i="2"/>
  <c r="N3019" i="2"/>
  <c r="M3019" i="2"/>
  <c r="L3019" i="2"/>
  <c r="K3019" i="2"/>
  <c r="J3019" i="2"/>
  <c r="I3019" i="2"/>
  <c r="H3019" i="2"/>
  <c r="G3019" i="2"/>
  <c r="F3019" i="2"/>
  <c r="E3019" i="2"/>
  <c r="D3019" i="2"/>
  <c r="C3019" i="2"/>
  <c r="B3019" i="2"/>
  <c r="V3018" i="2"/>
  <c r="U3018" i="2"/>
  <c r="T3018" i="2"/>
  <c r="S3018" i="2"/>
  <c r="R3018" i="2"/>
  <c r="Q3018" i="2"/>
  <c r="P3018" i="2"/>
  <c r="O3018" i="2"/>
  <c r="N3018" i="2"/>
  <c r="M3018" i="2"/>
  <c r="L3018" i="2"/>
  <c r="K3018" i="2"/>
  <c r="J3018" i="2"/>
  <c r="I3018" i="2"/>
  <c r="H3018" i="2"/>
  <c r="G3018" i="2"/>
  <c r="F3018" i="2"/>
  <c r="E3018" i="2"/>
  <c r="D3018" i="2"/>
  <c r="C3018" i="2"/>
  <c r="B3018" i="2"/>
  <c r="V3017" i="2"/>
  <c r="U3017" i="2"/>
  <c r="T3017" i="2"/>
  <c r="S3017" i="2"/>
  <c r="R3017" i="2"/>
  <c r="Q3017" i="2"/>
  <c r="P3017" i="2"/>
  <c r="O3017" i="2"/>
  <c r="N3017" i="2"/>
  <c r="M3017" i="2"/>
  <c r="L3017" i="2"/>
  <c r="K3017" i="2"/>
  <c r="J3017" i="2"/>
  <c r="I3017" i="2"/>
  <c r="H3017" i="2"/>
  <c r="G3017" i="2"/>
  <c r="F3017" i="2"/>
  <c r="E3017" i="2"/>
  <c r="D3017" i="2"/>
  <c r="C3017" i="2"/>
  <c r="B3017" i="2"/>
  <c r="V3016" i="2"/>
  <c r="U3016" i="2"/>
  <c r="T3016" i="2"/>
  <c r="S3016" i="2"/>
  <c r="R3016" i="2"/>
  <c r="Q3016" i="2"/>
  <c r="P3016" i="2"/>
  <c r="O3016" i="2"/>
  <c r="N3016" i="2"/>
  <c r="M3016" i="2"/>
  <c r="L3016" i="2"/>
  <c r="K3016" i="2"/>
  <c r="J3016" i="2"/>
  <c r="I3016" i="2"/>
  <c r="H3016" i="2"/>
  <c r="G3016" i="2"/>
  <c r="F3016" i="2"/>
  <c r="E3016" i="2"/>
  <c r="D3016" i="2"/>
  <c r="C3016" i="2"/>
  <c r="B3016" i="2"/>
  <c r="V3015" i="2"/>
  <c r="U3015" i="2"/>
  <c r="T3015" i="2"/>
  <c r="S3015" i="2"/>
  <c r="R3015" i="2"/>
  <c r="Q3015" i="2"/>
  <c r="P3015" i="2"/>
  <c r="O3015" i="2"/>
  <c r="N3015" i="2"/>
  <c r="M3015" i="2"/>
  <c r="L3015" i="2"/>
  <c r="K3015" i="2"/>
  <c r="J3015" i="2"/>
  <c r="I3015" i="2"/>
  <c r="H3015" i="2"/>
  <c r="G3015" i="2"/>
  <c r="F3015" i="2"/>
  <c r="E3015" i="2"/>
  <c r="D3015" i="2"/>
  <c r="C3015" i="2"/>
  <c r="B3015" i="2"/>
  <c r="V3014" i="2"/>
  <c r="U3014" i="2"/>
  <c r="T3014" i="2"/>
  <c r="S3014" i="2"/>
  <c r="R3014" i="2"/>
  <c r="Q3014" i="2"/>
  <c r="P3014" i="2"/>
  <c r="O3014" i="2"/>
  <c r="N3014" i="2"/>
  <c r="M3014" i="2"/>
  <c r="L3014" i="2"/>
  <c r="K3014" i="2"/>
  <c r="J3014" i="2"/>
  <c r="I3014" i="2"/>
  <c r="H3014" i="2"/>
  <c r="G3014" i="2"/>
  <c r="F3014" i="2"/>
  <c r="E3014" i="2"/>
  <c r="D3014" i="2"/>
  <c r="C3014" i="2"/>
  <c r="B3014" i="2"/>
  <c r="V3013" i="2"/>
  <c r="U3013" i="2"/>
  <c r="T3013" i="2"/>
  <c r="S3013" i="2"/>
  <c r="R3013" i="2"/>
  <c r="Q3013" i="2"/>
  <c r="P3013" i="2"/>
  <c r="O3013" i="2"/>
  <c r="N3013" i="2"/>
  <c r="M3013" i="2"/>
  <c r="L3013" i="2"/>
  <c r="K3013" i="2"/>
  <c r="J3013" i="2"/>
  <c r="I3013" i="2"/>
  <c r="H3013" i="2"/>
  <c r="G3013" i="2"/>
  <c r="F3013" i="2"/>
  <c r="E3013" i="2"/>
  <c r="D3013" i="2"/>
  <c r="C3013" i="2"/>
  <c r="B3013" i="2"/>
  <c r="V3012" i="2"/>
  <c r="U3012" i="2"/>
  <c r="T3012" i="2"/>
  <c r="S3012" i="2"/>
  <c r="R3012" i="2"/>
  <c r="Q3012" i="2"/>
  <c r="P3012" i="2"/>
  <c r="O3012" i="2"/>
  <c r="N3012" i="2"/>
  <c r="M3012" i="2"/>
  <c r="L3012" i="2"/>
  <c r="K3012" i="2"/>
  <c r="J3012" i="2"/>
  <c r="I3012" i="2"/>
  <c r="H3012" i="2"/>
  <c r="G3012" i="2"/>
  <c r="F3012" i="2"/>
  <c r="E3012" i="2"/>
  <c r="D3012" i="2"/>
  <c r="C3012" i="2"/>
  <c r="B3012" i="2"/>
  <c r="V3011" i="2"/>
  <c r="U3011" i="2"/>
  <c r="T3011" i="2"/>
  <c r="S3011" i="2"/>
  <c r="R3011" i="2"/>
  <c r="Q3011" i="2"/>
  <c r="P3011" i="2"/>
  <c r="O3011" i="2"/>
  <c r="N3011" i="2"/>
  <c r="M3011" i="2"/>
  <c r="L3011" i="2"/>
  <c r="K3011" i="2"/>
  <c r="J3011" i="2"/>
  <c r="I3011" i="2"/>
  <c r="H3011" i="2"/>
  <c r="G3011" i="2"/>
  <c r="F3011" i="2"/>
  <c r="E3011" i="2"/>
  <c r="D3011" i="2"/>
  <c r="C3011" i="2"/>
  <c r="B3011" i="2"/>
  <c r="V3010" i="2"/>
  <c r="U3010" i="2"/>
  <c r="T3010" i="2"/>
  <c r="S3010" i="2"/>
  <c r="R3010" i="2"/>
  <c r="Q3010" i="2"/>
  <c r="P3010" i="2"/>
  <c r="O3010" i="2"/>
  <c r="N3010" i="2"/>
  <c r="M3010" i="2"/>
  <c r="L3010" i="2"/>
  <c r="K3010" i="2"/>
  <c r="J3010" i="2"/>
  <c r="I3010" i="2"/>
  <c r="H3010" i="2"/>
  <c r="G3010" i="2"/>
  <c r="F3010" i="2"/>
  <c r="E3010" i="2"/>
  <c r="D3010" i="2"/>
  <c r="C3010" i="2"/>
  <c r="B3010" i="2"/>
  <c r="V3009" i="2"/>
  <c r="U3009" i="2"/>
  <c r="T3009" i="2"/>
  <c r="S3009" i="2"/>
  <c r="R3009" i="2"/>
  <c r="Q3009" i="2"/>
  <c r="P3009" i="2"/>
  <c r="O3009" i="2"/>
  <c r="N3009" i="2"/>
  <c r="M3009" i="2"/>
  <c r="L3009" i="2"/>
  <c r="K3009" i="2"/>
  <c r="J3009" i="2"/>
  <c r="I3009" i="2"/>
  <c r="H3009" i="2"/>
  <c r="G3009" i="2"/>
  <c r="F3009" i="2"/>
  <c r="E3009" i="2"/>
  <c r="D3009" i="2"/>
  <c r="C3009" i="2"/>
  <c r="B3009" i="2"/>
  <c r="V3008" i="2"/>
  <c r="U3008" i="2"/>
  <c r="T3008" i="2"/>
  <c r="S3008" i="2"/>
  <c r="R3008" i="2"/>
  <c r="Q3008" i="2"/>
  <c r="P3008" i="2"/>
  <c r="O3008" i="2"/>
  <c r="N3008" i="2"/>
  <c r="M3008" i="2"/>
  <c r="L3008" i="2"/>
  <c r="K3008" i="2"/>
  <c r="J3008" i="2"/>
  <c r="I3008" i="2"/>
  <c r="H3008" i="2"/>
  <c r="G3008" i="2"/>
  <c r="F3008" i="2"/>
  <c r="E3008" i="2"/>
  <c r="D3008" i="2"/>
  <c r="C3008" i="2"/>
  <c r="B3008" i="2"/>
  <c r="V3007" i="2"/>
  <c r="U3007" i="2"/>
  <c r="T3007" i="2"/>
  <c r="S3007" i="2"/>
  <c r="R3007" i="2"/>
  <c r="Q3007" i="2"/>
  <c r="P3007" i="2"/>
  <c r="O3007" i="2"/>
  <c r="N3007" i="2"/>
  <c r="M3007" i="2"/>
  <c r="L3007" i="2"/>
  <c r="K3007" i="2"/>
  <c r="J3007" i="2"/>
  <c r="I3007" i="2"/>
  <c r="H3007" i="2"/>
  <c r="G3007" i="2"/>
  <c r="F3007" i="2"/>
  <c r="E3007" i="2"/>
  <c r="D3007" i="2"/>
  <c r="C3007" i="2"/>
  <c r="B3007" i="2"/>
  <c r="V3006" i="2"/>
  <c r="U3006" i="2"/>
  <c r="T3006" i="2"/>
  <c r="S3006" i="2"/>
  <c r="R3006" i="2"/>
  <c r="Q3006" i="2"/>
  <c r="P3006" i="2"/>
  <c r="O3006" i="2"/>
  <c r="N3006" i="2"/>
  <c r="M3006" i="2"/>
  <c r="L3006" i="2"/>
  <c r="K3006" i="2"/>
  <c r="J3006" i="2"/>
  <c r="I3006" i="2"/>
  <c r="H3006" i="2"/>
  <c r="G3006" i="2"/>
  <c r="F3006" i="2"/>
  <c r="E3006" i="2"/>
  <c r="D3006" i="2"/>
  <c r="C3006" i="2"/>
  <c r="B3006" i="2"/>
  <c r="V3005" i="2"/>
  <c r="U3005" i="2"/>
  <c r="T3005" i="2"/>
  <c r="S3005" i="2"/>
  <c r="R3005" i="2"/>
  <c r="Q3005" i="2"/>
  <c r="P3005" i="2"/>
  <c r="O3005" i="2"/>
  <c r="N3005" i="2"/>
  <c r="M3005" i="2"/>
  <c r="L3005" i="2"/>
  <c r="K3005" i="2"/>
  <c r="J3005" i="2"/>
  <c r="I3005" i="2"/>
  <c r="H3005" i="2"/>
  <c r="G3005" i="2"/>
  <c r="F3005" i="2"/>
  <c r="E3005" i="2"/>
  <c r="D3005" i="2"/>
  <c r="C3005" i="2"/>
  <c r="B3005" i="2"/>
  <c r="V3004" i="2"/>
  <c r="U3004" i="2"/>
  <c r="T3004" i="2"/>
  <c r="S3004" i="2"/>
  <c r="R3004" i="2"/>
  <c r="Q3004" i="2"/>
  <c r="P3004" i="2"/>
  <c r="O3004" i="2"/>
  <c r="N3004" i="2"/>
  <c r="M3004" i="2"/>
  <c r="L3004" i="2"/>
  <c r="K3004" i="2"/>
  <c r="J3004" i="2"/>
  <c r="I3004" i="2"/>
  <c r="H3004" i="2"/>
  <c r="G3004" i="2"/>
  <c r="F3004" i="2"/>
  <c r="E3004" i="2"/>
  <c r="D3004" i="2"/>
  <c r="C3004" i="2"/>
  <c r="B3004" i="2"/>
  <c r="V3003" i="2"/>
  <c r="U3003" i="2"/>
  <c r="T3003" i="2"/>
  <c r="S3003" i="2"/>
  <c r="R3003" i="2"/>
  <c r="Q3003" i="2"/>
  <c r="P3003" i="2"/>
  <c r="O3003" i="2"/>
  <c r="N3003" i="2"/>
  <c r="M3003" i="2"/>
  <c r="L3003" i="2"/>
  <c r="K3003" i="2"/>
  <c r="J3003" i="2"/>
  <c r="I3003" i="2"/>
  <c r="H3003" i="2"/>
  <c r="G3003" i="2"/>
  <c r="F3003" i="2"/>
  <c r="E3003" i="2"/>
  <c r="D3003" i="2"/>
  <c r="C3003" i="2"/>
  <c r="B3003" i="2"/>
  <c r="V3002" i="2"/>
  <c r="U3002" i="2"/>
  <c r="T3002" i="2"/>
  <c r="S3002" i="2"/>
  <c r="R3002" i="2"/>
  <c r="Q3002" i="2"/>
  <c r="P3002" i="2"/>
  <c r="O3002" i="2"/>
  <c r="N3002" i="2"/>
  <c r="M3002" i="2"/>
  <c r="L3002" i="2"/>
  <c r="K3002" i="2"/>
  <c r="J3002" i="2"/>
  <c r="I3002" i="2"/>
  <c r="H3002" i="2"/>
  <c r="G3002" i="2"/>
  <c r="F3002" i="2"/>
  <c r="E3002" i="2"/>
  <c r="D3002" i="2"/>
  <c r="C3002" i="2"/>
  <c r="B3002" i="2"/>
  <c r="V3001" i="2"/>
  <c r="U3001" i="2"/>
  <c r="T3001" i="2"/>
  <c r="S3001" i="2"/>
  <c r="R3001" i="2"/>
  <c r="Q3001" i="2"/>
  <c r="P3001" i="2"/>
  <c r="O3001" i="2"/>
  <c r="N3001" i="2"/>
  <c r="M3001" i="2"/>
  <c r="L3001" i="2"/>
  <c r="K3001" i="2"/>
  <c r="J3001" i="2"/>
  <c r="I3001" i="2"/>
  <c r="H3001" i="2"/>
  <c r="G3001" i="2"/>
  <c r="F3001" i="2"/>
  <c r="E3001" i="2"/>
  <c r="D3001" i="2"/>
  <c r="C3001" i="2"/>
  <c r="B3001" i="2"/>
  <c r="V3000" i="2"/>
  <c r="U3000" i="2"/>
  <c r="T3000" i="2"/>
  <c r="S3000" i="2"/>
  <c r="R3000" i="2"/>
  <c r="Q3000" i="2"/>
  <c r="P3000" i="2"/>
  <c r="O3000" i="2"/>
  <c r="N3000" i="2"/>
  <c r="M3000" i="2"/>
  <c r="L3000" i="2"/>
  <c r="K3000" i="2"/>
  <c r="J3000" i="2"/>
  <c r="I3000" i="2"/>
  <c r="H3000" i="2"/>
  <c r="G3000" i="2"/>
  <c r="F3000" i="2"/>
  <c r="E3000" i="2"/>
  <c r="D3000" i="2"/>
  <c r="C3000" i="2"/>
  <c r="B3000" i="2"/>
  <c r="V2999" i="2"/>
  <c r="U2999" i="2"/>
  <c r="T2999" i="2"/>
  <c r="S2999" i="2"/>
  <c r="R2999" i="2"/>
  <c r="Q2999" i="2"/>
  <c r="P2999" i="2"/>
  <c r="O2999" i="2"/>
  <c r="N2999" i="2"/>
  <c r="M2999" i="2"/>
  <c r="L2999" i="2"/>
  <c r="K2999" i="2"/>
  <c r="J2999" i="2"/>
  <c r="I2999" i="2"/>
  <c r="H2999" i="2"/>
  <c r="G2999" i="2"/>
  <c r="F2999" i="2"/>
  <c r="E2999" i="2"/>
  <c r="D2999" i="2"/>
  <c r="C2999" i="2"/>
  <c r="B2999" i="2"/>
  <c r="V2998" i="2"/>
  <c r="U2998" i="2"/>
  <c r="T2998" i="2"/>
  <c r="S2998" i="2"/>
  <c r="R2998" i="2"/>
  <c r="Q2998" i="2"/>
  <c r="P2998" i="2"/>
  <c r="O2998" i="2"/>
  <c r="N2998" i="2"/>
  <c r="M2998" i="2"/>
  <c r="L2998" i="2"/>
  <c r="K2998" i="2"/>
  <c r="J2998" i="2"/>
  <c r="I2998" i="2"/>
  <c r="H2998" i="2"/>
  <c r="G2998" i="2"/>
  <c r="F2998" i="2"/>
  <c r="E2998" i="2"/>
  <c r="D2998" i="2"/>
  <c r="C2998" i="2"/>
  <c r="B2998" i="2"/>
  <c r="V2997" i="2"/>
  <c r="U2997" i="2"/>
  <c r="T2997" i="2"/>
  <c r="S2997" i="2"/>
  <c r="R2997" i="2"/>
  <c r="Q2997" i="2"/>
  <c r="P2997" i="2"/>
  <c r="O2997" i="2"/>
  <c r="N2997" i="2"/>
  <c r="M2997" i="2"/>
  <c r="L2997" i="2"/>
  <c r="K2997" i="2"/>
  <c r="J2997" i="2"/>
  <c r="I2997" i="2"/>
  <c r="H2997" i="2"/>
  <c r="G2997" i="2"/>
  <c r="F2997" i="2"/>
  <c r="E2997" i="2"/>
  <c r="D2997" i="2"/>
  <c r="C2997" i="2"/>
  <c r="B2997" i="2"/>
  <c r="V2996" i="2"/>
  <c r="U2996" i="2"/>
  <c r="T2996" i="2"/>
  <c r="S2996" i="2"/>
  <c r="R2996" i="2"/>
  <c r="Q2996" i="2"/>
  <c r="P2996" i="2"/>
  <c r="O2996" i="2"/>
  <c r="N2996" i="2"/>
  <c r="M2996" i="2"/>
  <c r="L2996" i="2"/>
  <c r="K2996" i="2"/>
  <c r="J2996" i="2"/>
  <c r="I2996" i="2"/>
  <c r="H2996" i="2"/>
  <c r="G2996" i="2"/>
  <c r="F2996" i="2"/>
  <c r="E2996" i="2"/>
  <c r="D2996" i="2"/>
  <c r="C2996" i="2"/>
  <c r="B2996" i="2"/>
  <c r="V2995" i="2"/>
  <c r="U2995" i="2"/>
  <c r="T2995" i="2"/>
  <c r="S2995" i="2"/>
  <c r="R2995" i="2"/>
  <c r="Q2995" i="2"/>
  <c r="P2995" i="2"/>
  <c r="O2995" i="2"/>
  <c r="N2995" i="2"/>
  <c r="M2995" i="2"/>
  <c r="L2995" i="2"/>
  <c r="K2995" i="2"/>
  <c r="J2995" i="2"/>
  <c r="I2995" i="2"/>
  <c r="H2995" i="2"/>
  <c r="G2995" i="2"/>
  <c r="F2995" i="2"/>
  <c r="E2995" i="2"/>
  <c r="D2995" i="2"/>
  <c r="C2995" i="2"/>
  <c r="B2995" i="2"/>
  <c r="V2994" i="2"/>
  <c r="U2994" i="2"/>
  <c r="T2994" i="2"/>
  <c r="S2994" i="2"/>
  <c r="R2994" i="2"/>
  <c r="Q2994" i="2"/>
  <c r="P2994" i="2"/>
  <c r="O2994" i="2"/>
  <c r="N2994" i="2"/>
  <c r="M2994" i="2"/>
  <c r="L2994" i="2"/>
  <c r="K2994" i="2"/>
  <c r="J2994" i="2"/>
  <c r="I2994" i="2"/>
  <c r="H2994" i="2"/>
  <c r="G2994" i="2"/>
  <c r="F2994" i="2"/>
  <c r="E2994" i="2"/>
  <c r="D2994" i="2"/>
  <c r="C2994" i="2"/>
  <c r="B2994" i="2"/>
  <c r="V2993" i="2"/>
  <c r="U2993" i="2"/>
  <c r="T2993" i="2"/>
  <c r="S2993" i="2"/>
  <c r="R2993" i="2"/>
  <c r="Q2993" i="2"/>
  <c r="P2993" i="2"/>
  <c r="O2993" i="2"/>
  <c r="N2993" i="2"/>
  <c r="M2993" i="2"/>
  <c r="L2993" i="2"/>
  <c r="K2993" i="2"/>
  <c r="J2993" i="2"/>
  <c r="I2993" i="2"/>
  <c r="H2993" i="2"/>
  <c r="G2993" i="2"/>
  <c r="F2993" i="2"/>
  <c r="E2993" i="2"/>
  <c r="D2993" i="2"/>
  <c r="C2993" i="2"/>
  <c r="B2993" i="2"/>
  <c r="V2992" i="2"/>
  <c r="U2992" i="2"/>
  <c r="T2992" i="2"/>
  <c r="S2992" i="2"/>
  <c r="R2992" i="2"/>
  <c r="Q2992" i="2"/>
  <c r="P2992" i="2"/>
  <c r="O2992" i="2"/>
  <c r="N2992" i="2"/>
  <c r="M2992" i="2"/>
  <c r="L2992" i="2"/>
  <c r="K2992" i="2"/>
  <c r="J2992" i="2"/>
  <c r="I2992" i="2"/>
  <c r="H2992" i="2"/>
  <c r="G2992" i="2"/>
  <c r="F2992" i="2"/>
  <c r="E2992" i="2"/>
  <c r="D2992" i="2"/>
  <c r="C2992" i="2"/>
  <c r="B2992" i="2"/>
  <c r="V2991" i="2"/>
  <c r="U2991" i="2"/>
  <c r="T2991" i="2"/>
  <c r="S2991" i="2"/>
  <c r="R2991" i="2"/>
  <c r="Q2991" i="2"/>
  <c r="P2991" i="2"/>
  <c r="O2991" i="2"/>
  <c r="N2991" i="2"/>
  <c r="M2991" i="2"/>
  <c r="L2991" i="2"/>
  <c r="K2991" i="2"/>
  <c r="J2991" i="2"/>
  <c r="I2991" i="2"/>
  <c r="H2991" i="2"/>
  <c r="G2991" i="2"/>
  <c r="F2991" i="2"/>
  <c r="E2991" i="2"/>
  <c r="D2991" i="2"/>
  <c r="C2991" i="2"/>
  <c r="B2991" i="2"/>
  <c r="V2990" i="2"/>
  <c r="U2990" i="2"/>
  <c r="T2990" i="2"/>
  <c r="S2990" i="2"/>
  <c r="R2990" i="2"/>
  <c r="Q2990" i="2"/>
  <c r="P2990" i="2"/>
  <c r="O2990" i="2"/>
  <c r="N2990" i="2"/>
  <c r="M2990" i="2"/>
  <c r="L2990" i="2"/>
  <c r="K2990" i="2"/>
  <c r="J2990" i="2"/>
  <c r="I2990" i="2"/>
  <c r="H2990" i="2"/>
  <c r="G2990" i="2"/>
  <c r="F2990" i="2"/>
  <c r="E2990" i="2"/>
  <c r="D2990" i="2"/>
  <c r="C2990" i="2"/>
  <c r="B2990" i="2"/>
  <c r="V2989" i="2"/>
  <c r="U2989" i="2"/>
  <c r="T2989" i="2"/>
  <c r="S2989" i="2"/>
  <c r="R2989" i="2"/>
  <c r="Q2989" i="2"/>
  <c r="P2989" i="2"/>
  <c r="O2989" i="2"/>
  <c r="N2989" i="2"/>
  <c r="M2989" i="2"/>
  <c r="L2989" i="2"/>
  <c r="K2989" i="2"/>
  <c r="J2989" i="2"/>
  <c r="I2989" i="2"/>
  <c r="H2989" i="2"/>
  <c r="G2989" i="2"/>
  <c r="F2989" i="2"/>
  <c r="E2989" i="2"/>
  <c r="D2989" i="2"/>
  <c r="C2989" i="2"/>
  <c r="B2989" i="2"/>
  <c r="V2988" i="2"/>
  <c r="U2988" i="2"/>
  <c r="T2988" i="2"/>
  <c r="S2988" i="2"/>
  <c r="R2988" i="2"/>
  <c r="Q2988" i="2"/>
  <c r="P2988" i="2"/>
  <c r="O2988" i="2"/>
  <c r="N2988" i="2"/>
  <c r="M2988" i="2"/>
  <c r="L2988" i="2"/>
  <c r="K2988" i="2"/>
  <c r="J2988" i="2"/>
  <c r="I2988" i="2"/>
  <c r="H2988" i="2"/>
  <c r="G2988" i="2"/>
  <c r="F2988" i="2"/>
  <c r="E2988" i="2"/>
  <c r="D2988" i="2"/>
  <c r="C2988" i="2"/>
  <c r="B2988" i="2"/>
  <c r="V2987" i="2"/>
  <c r="U2987" i="2"/>
  <c r="T2987" i="2"/>
  <c r="S2987" i="2"/>
  <c r="R2987" i="2"/>
  <c r="Q2987" i="2"/>
  <c r="P2987" i="2"/>
  <c r="O2987" i="2"/>
  <c r="N2987" i="2"/>
  <c r="M2987" i="2"/>
  <c r="L2987" i="2"/>
  <c r="K2987" i="2"/>
  <c r="J2987" i="2"/>
  <c r="I2987" i="2"/>
  <c r="H2987" i="2"/>
  <c r="G2987" i="2"/>
  <c r="F2987" i="2"/>
  <c r="E2987" i="2"/>
  <c r="D2987" i="2"/>
  <c r="C2987" i="2"/>
  <c r="B2987" i="2"/>
  <c r="V2986" i="2"/>
  <c r="U2986" i="2"/>
  <c r="T2986" i="2"/>
  <c r="S2986" i="2"/>
  <c r="R2986" i="2"/>
  <c r="Q2986" i="2"/>
  <c r="P2986" i="2"/>
  <c r="O2986" i="2"/>
  <c r="N2986" i="2"/>
  <c r="M2986" i="2"/>
  <c r="L2986" i="2"/>
  <c r="K2986" i="2"/>
  <c r="J2986" i="2"/>
  <c r="I2986" i="2"/>
  <c r="H2986" i="2"/>
  <c r="G2986" i="2"/>
  <c r="F2986" i="2"/>
  <c r="E2986" i="2"/>
  <c r="D2986" i="2"/>
  <c r="C2986" i="2"/>
  <c r="B2986" i="2"/>
  <c r="V2985" i="2"/>
  <c r="U2985" i="2"/>
  <c r="T2985" i="2"/>
  <c r="S2985" i="2"/>
  <c r="R2985" i="2"/>
  <c r="Q2985" i="2"/>
  <c r="P2985" i="2"/>
  <c r="O2985" i="2"/>
  <c r="N2985" i="2"/>
  <c r="M2985" i="2"/>
  <c r="L2985" i="2"/>
  <c r="K2985" i="2"/>
  <c r="J2985" i="2"/>
  <c r="I2985" i="2"/>
  <c r="H2985" i="2"/>
  <c r="G2985" i="2"/>
  <c r="F2985" i="2"/>
  <c r="E2985" i="2"/>
  <c r="D2985" i="2"/>
  <c r="C2985" i="2"/>
  <c r="B2985" i="2"/>
  <c r="V2984" i="2"/>
  <c r="U2984" i="2"/>
  <c r="T2984" i="2"/>
  <c r="S2984" i="2"/>
  <c r="R2984" i="2"/>
  <c r="Q2984" i="2"/>
  <c r="P2984" i="2"/>
  <c r="O2984" i="2"/>
  <c r="N2984" i="2"/>
  <c r="M2984" i="2"/>
  <c r="L2984" i="2"/>
  <c r="K2984" i="2"/>
  <c r="J2984" i="2"/>
  <c r="I2984" i="2"/>
  <c r="H2984" i="2"/>
  <c r="G2984" i="2"/>
  <c r="F2984" i="2"/>
  <c r="E2984" i="2"/>
  <c r="D2984" i="2"/>
  <c r="C2984" i="2"/>
  <c r="B2984" i="2"/>
  <c r="V2983" i="2"/>
  <c r="U2983" i="2"/>
  <c r="T2983" i="2"/>
  <c r="S2983" i="2"/>
  <c r="R2983" i="2"/>
  <c r="Q2983" i="2"/>
  <c r="P2983" i="2"/>
  <c r="O2983" i="2"/>
  <c r="N2983" i="2"/>
  <c r="M2983" i="2"/>
  <c r="L2983" i="2"/>
  <c r="K2983" i="2"/>
  <c r="J2983" i="2"/>
  <c r="I2983" i="2"/>
  <c r="H2983" i="2"/>
  <c r="G2983" i="2"/>
  <c r="F2983" i="2"/>
  <c r="E2983" i="2"/>
  <c r="D2983" i="2"/>
  <c r="C2983" i="2"/>
  <c r="B2983" i="2"/>
  <c r="V2982" i="2"/>
  <c r="U2982" i="2"/>
  <c r="T2982" i="2"/>
  <c r="S2982" i="2"/>
  <c r="R2982" i="2"/>
  <c r="Q2982" i="2"/>
  <c r="P2982" i="2"/>
  <c r="O2982" i="2"/>
  <c r="N2982" i="2"/>
  <c r="M2982" i="2"/>
  <c r="L2982" i="2"/>
  <c r="K2982" i="2"/>
  <c r="J2982" i="2"/>
  <c r="I2982" i="2"/>
  <c r="H2982" i="2"/>
  <c r="G2982" i="2"/>
  <c r="F2982" i="2"/>
  <c r="E2982" i="2"/>
  <c r="D2982" i="2"/>
  <c r="C2982" i="2"/>
  <c r="B2982" i="2"/>
  <c r="V2981" i="2"/>
  <c r="U2981" i="2"/>
  <c r="T2981" i="2"/>
  <c r="S2981" i="2"/>
  <c r="R2981" i="2"/>
  <c r="Q2981" i="2"/>
  <c r="P2981" i="2"/>
  <c r="O2981" i="2"/>
  <c r="N2981" i="2"/>
  <c r="M2981" i="2"/>
  <c r="L2981" i="2"/>
  <c r="K2981" i="2"/>
  <c r="J2981" i="2"/>
  <c r="I2981" i="2"/>
  <c r="H2981" i="2"/>
  <c r="G2981" i="2"/>
  <c r="F2981" i="2"/>
  <c r="E2981" i="2"/>
  <c r="D2981" i="2"/>
  <c r="C2981" i="2"/>
  <c r="B2981" i="2"/>
  <c r="V2980" i="2"/>
  <c r="U2980" i="2"/>
  <c r="T2980" i="2"/>
  <c r="S2980" i="2"/>
  <c r="R2980" i="2"/>
  <c r="Q2980" i="2"/>
  <c r="P2980" i="2"/>
  <c r="O2980" i="2"/>
  <c r="N2980" i="2"/>
  <c r="M2980" i="2"/>
  <c r="L2980" i="2"/>
  <c r="K2980" i="2"/>
  <c r="J2980" i="2"/>
  <c r="I2980" i="2"/>
  <c r="H2980" i="2"/>
  <c r="G2980" i="2"/>
  <c r="F2980" i="2"/>
  <c r="E2980" i="2"/>
  <c r="D2980" i="2"/>
  <c r="C2980" i="2"/>
  <c r="B2980" i="2"/>
  <c r="V2979" i="2"/>
  <c r="U2979" i="2"/>
  <c r="T2979" i="2"/>
  <c r="S2979" i="2"/>
  <c r="R2979" i="2"/>
  <c r="Q2979" i="2"/>
  <c r="P2979" i="2"/>
  <c r="O2979" i="2"/>
  <c r="N2979" i="2"/>
  <c r="M2979" i="2"/>
  <c r="L2979" i="2"/>
  <c r="K2979" i="2"/>
  <c r="J2979" i="2"/>
  <c r="I2979" i="2"/>
  <c r="H2979" i="2"/>
  <c r="G2979" i="2"/>
  <c r="F2979" i="2"/>
  <c r="E2979" i="2"/>
  <c r="D2979" i="2"/>
  <c r="C2979" i="2"/>
  <c r="B2979" i="2"/>
  <c r="V2978" i="2"/>
  <c r="U2978" i="2"/>
  <c r="T2978" i="2"/>
  <c r="S2978" i="2"/>
  <c r="R2978" i="2"/>
  <c r="Q2978" i="2"/>
  <c r="P2978" i="2"/>
  <c r="O2978" i="2"/>
  <c r="N2978" i="2"/>
  <c r="M2978" i="2"/>
  <c r="L2978" i="2"/>
  <c r="K2978" i="2"/>
  <c r="J2978" i="2"/>
  <c r="I2978" i="2"/>
  <c r="H2978" i="2"/>
  <c r="G2978" i="2"/>
  <c r="F2978" i="2"/>
  <c r="E2978" i="2"/>
  <c r="D2978" i="2"/>
  <c r="C2978" i="2"/>
  <c r="B2978" i="2"/>
  <c r="V2977" i="2"/>
  <c r="U2977" i="2"/>
  <c r="T2977" i="2"/>
  <c r="S2977" i="2"/>
  <c r="R2977" i="2"/>
  <c r="Q2977" i="2"/>
  <c r="P2977" i="2"/>
  <c r="O2977" i="2"/>
  <c r="N2977" i="2"/>
  <c r="M2977" i="2"/>
  <c r="L2977" i="2"/>
  <c r="K2977" i="2"/>
  <c r="J2977" i="2"/>
  <c r="I2977" i="2"/>
  <c r="H2977" i="2"/>
  <c r="G2977" i="2"/>
  <c r="F2977" i="2"/>
  <c r="E2977" i="2"/>
  <c r="D2977" i="2"/>
  <c r="C2977" i="2"/>
  <c r="B2977" i="2"/>
  <c r="V2976" i="2"/>
  <c r="U2976" i="2"/>
  <c r="T2976" i="2"/>
  <c r="S2976" i="2"/>
  <c r="R2976" i="2"/>
  <c r="Q2976" i="2"/>
  <c r="P2976" i="2"/>
  <c r="O2976" i="2"/>
  <c r="N2976" i="2"/>
  <c r="M2976" i="2"/>
  <c r="L2976" i="2"/>
  <c r="K2976" i="2"/>
  <c r="J2976" i="2"/>
  <c r="I2976" i="2"/>
  <c r="H2976" i="2"/>
  <c r="G2976" i="2"/>
  <c r="F2976" i="2"/>
  <c r="E2976" i="2"/>
  <c r="D2976" i="2"/>
  <c r="C2976" i="2"/>
  <c r="B2976" i="2"/>
  <c r="V2975" i="2"/>
  <c r="U2975" i="2"/>
  <c r="T2975" i="2"/>
  <c r="S2975" i="2"/>
  <c r="R2975" i="2"/>
  <c r="Q2975" i="2"/>
  <c r="P2975" i="2"/>
  <c r="O2975" i="2"/>
  <c r="N2975" i="2"/>
  <c r="M2975" i="2"/>
  <c r="L2975" i="2"/>
  <c r="K2975" i="2"/>
  <c r="J2975" i="2"/>
  <c r="I2975" i="2"/>
  <c r="H2975" i="2"/>
  <c r="G2975" i="2"/>
  <c r="F2975" i="2"/>
  <c r="E2975" i="2"/>
  <c r="D2975" i="2"/>
  <c r="C2975" i="2"/>
  <c r="B2975" i="2"/>
  <c r="V2974" i="2"/>
  <c r="U2974" i="2"/>
  <c r="T2974" i="2"/>
  <c r="S2974" i="2"/>
  <c r="R2974" i="2"/>
  <c r="Q2974" i="2"/>
  <c r="P2974" i="2"/>
  <c r="O2974" i="2"/>
  <c r="N2974" i="2"/>
  <c r="M2974" i="2"/>
  <c r="L2974" i="2"/>
  <c r="K2974" i="2"/>
  <c r="J2974" i="2"/>
  <c r="I2974" i="2"/>
  <c r="H2974" i="2"/>
  <c r="G2974" i="2"/>
  <c r="F2974" i="2"/>
  <c r="E2974" i="2"/>
  <c r="D2974" i="2"/>
  <c r="C2974" i="2"/>
  <c r="B2974" i="2"/>
  <c r="V2973" i="2"/>
  <c r="U2973" i="2"/>
  <c r="T2973" i="2"/>
  <c r="S2973" i="2"/>
  <c r="R2973" i="2"/>
  <c r="Q2973" i="2"/>
  <c r="P2973" i="2"/>
  <c r="O2973" i="2"/>
  <c r="N2973" i="2"/>
  <c r="M2973" i="2"/>
  <c r="L2973" i="2"/>
  <c r="K2973" i="2"/>
  <c r="J2973" i="2"/>
  <c r="I2973" i="2"/>
  <c r="H2973" i="2"/>
  <c r="G2973" i="2"/>
  <c r="F2973" i="2"/>
  <c r="E2973" i="2"/>
  <c r="D2973" i="2"/>
  <c r="C2973" i="2"/>
  <c r="B2973" i="2"/>
  <c r="V2972" i="2"/>
  <c r="U2972" i="2"/>
  <c r="T2972" i="2"/>
  <c r="S2972" i="2"/>
  <c r="R2972" i="2"/>
  <c r="Q2972" i="2"/>
  <c r="P2972" i="2"/>
  <c r="O2972" i="2"/>
  <c r="N2972" i="2"/>
  <c r="M2972" i="2"/>
  <c r="L2972" i="2"/>
  <c r="K2972" i="2"/>
  <c r="J2972" i="2"/>
  <c r="I2972" i="2"/>
  <c r="H2972" i="2"/>
  <c r="G2972" i="2"/>
  <c r="F2972" i="2"/>
  <c r="E2972" i="2"/>
  <c r="D2972" i="2"/>
  <c r="C2972" i="2"/>
  <c r="B2972" i="2"/>
  <c r="V2971" i="2"/>
  <c r="U2971" i="2"/>
  <c r="T2971" i="2"/>
  <c r="S2971" i="2"/>
  <c r="R2971" i="2"/>
  <c r="Q2971" i="2"/>
  <c r="P2971" i="2"/>
  <c r="O2971" i="2"/>
  <c r="N2971" i="2"/>
  <c r="M2971" i="2"/>
  <c r="L2971" i="2"/>
  <c r="K2971" i="2"/>
  <c r="J2971" i="2"/>
  <c r="I2971" i="2"/>
  <c r="H2971" i="2"/>
  <c r="G2971" i="2"/>
  <c r="F2971" i="2"/>
  <c r="E2971" i="2"/>
  <c r="D2971" i="2"/>
  <c r="C2971" i="2"/>
  <c r="B2971" i="2"/>
  <c r="V2970" i="2"/>
  <c r="U2970" i="2"/>
  <c r="T2970" i="2"/>
  <c r="S2970" i="2"/>
  <c r="R2970" i="2"/>
  <c r="Q2970" i="2"/>
  <c r="P2970" i="2"/>
  <c r="O2970" i="2"/>
  <c r="N2970" i="2"/>
  <c r="M2970" i="2"/>
  <c r="L2970" i="2"/>
  <c r="K2970" i="2"/>
  <c r="J2970" i="2"/>
  <c r="I2970" i="2"/>
  <c r="H2970" i="2"/>
  <c r="G2970" i="2"/>
  <c r="F2970" i="2"/>
  <c r="E2970" i="2"/>
  <c r="D2970" i="2"/>
  <c r="C2970" i="2"/>
  <c r="B2970" i="2"/>
  <c r="V2969" i="2"/>
  <c r="U2969" i="2"/>
  <c r="T2969" i="2"/>
  <c r="S2969" i="2"/>
  <c r="R2969" i="2"/>
  <c r="Q2969" i="2"/>
  <c r="P2969" i="2"/>
  <c r="O2969" i="2"/>
  <c r="N2969" i="2"/>
  <c r="M2969" i="2"/>
  <c r="L2969" i="2"/>
  <c r="K2969" i="2"/>
  <c r="J2969" i="2"/>
  <c r="I2969" i="2"/>
  <c r="H2969" i="2"/>
  <c r="G2969" i="2"/>
  <c r="F2969" i="2"/>
  <c r="E2969" i="2"/>
  <c r="D2969" i="2"/>
  <c r="C2969" i="2"/>
  <c r="B2969" i="2"/>
  <c r="V2968" i="2"/>
  <c r="U2968" i="2"/>
  <c r="T2968" i="2"/>
  <c r="S2968" i="2"/>
  <c r="R2968" i="2"/>
  <c r="Q2968" i="2"/>
  <c r="P2968" i="2"/>
  <c r="O2968" i="2"/>
  <c r="N2968" i="2"/>
  <c r="M2968" i="2"/>
  <c r="L2968" i="2"/>
  <c r="K2968" i="2"/>
  <c r="J2968" i="2"/>
  <c r="I2968" i="2"/>
  <c r="H2968" i="2"/>
  <c r="G2968" i="2"/>
  <c r="F2968" i="2"/>
  <c r="E2968" i="2"/>
  <c r="D2968" i="2"/>
  <c r="C2968" i="2"/>
  <c r="B2968" i="2"/>
  <c r="V2967" i="2"/>
  <c r="U2967" i="2"/>
  <c r="T2967" i="2"/>
  <c r="S2967" i="2"/>
  <c r="R2967" i="2"/>
  <c r="Q2967" i="2"/>
  <c r="P2967" i="2"/>
  <c r="O2967" i="2"/>
  <c r="N2967" i="2"/>
  <c r="M2967" i="2"/>
  <c r="L2967" i="2"/>
  <c r="K2967" i="2"/>
  <c r="J2967" i="2"/>
  <c r="I2967" i="2"/>
  <c r="H2967" i="2"/>
  <c r="G2967" i="2"/>
  <c r="F2967" i="2"/>
  <c r="E2967" i="2"/>
  <c r="D2967" i="2"/>
  <c r="C2967" i="2"/>
  <c r="B2967" i="2"/>
  <c r="V2966" i="2"/>
  <c r="U2966" i="2"/>
  <c r="T2966" i="2"/>
  <c r="S2966" i="2"/>
  <c r="R2966" i="2"/>
  <c r="Q2966" i="2"/>
  <c r="P2966" i="2"/>
  <c r="O2966" i="2"/>
  <c r="N2966" i="2"/>
  <c r="M2966" i="2"/>
  <c r="L2966" i="2"/>
  <c r="K2966" i="2"/>
  <c r="J2966" i="2"/>
  <c r="I2966" i="2"/>
  <c r="H2966" i="2"/>
  <c r="G2966" i="2"/>
  <c r="F2966" i="2"/>
  <c r="E2966" i="2"/>
  <c r="D2966" i="2"/>
  <c r="C2966" i="2"/>
  <c r="B2966" i="2"/>
  <c r="V2965" i="2"/>
  <c r="U2965" i="2"/>
  <c r="T2965" i="2"/>
  <c r="S2965" i="2"/>
  <c r="R2965" i="2"/>
  <c r="Q2965" i="2"/>
  <c r="P2965" i="2"/>
  <c r="O2965" i="2"/>
  <c r="N2965" i="2"/>
  <c r="M2965" i="2"/>
  <c r="L2965" i="2"/>
  <c r="K2965" i="2"/>
  <c r="J2965" i="2"/>
  <c r="I2965" i="2"/>
  <c r="H2965" i="2"/>
  <c r="G2965" i="2"/>
  <c r="F2965" i="2"/>
  <c r="E2965" i="2"/>
  <c r="D2965" i="2"/>
  <c r="C2965" i="2"/>
  <c r="B2965" i="2"/>
  <c r="V2964" i="2"/>
  <c r="U2964" i="2"/>
  <c r="T2964" i="2"/>
  <c r="S2964" i="2"/>
  <c r="R2964" i="2"/>
  <c r="Q2964" i="2"/>
  <c r="P2964" i="2"/>
  <c r="O2964" i="2"/>
  <c r="N2964" i="2"/>
  <c r="M2964" i="2"/>
  <c r="L2964" i="2"/>
  <c r="K2964" i="2"/>
  <c r="J2964" i="2"/>
  <c r="I2964" i="2"/>
  <c r="H2964" i="2"/>
  <c r="G2964" i="2"/>
  <c r="F2964" i="2"/>
  <c r="E2964" i="2"/>
  <c r="D2964" i="2"/>
  <c r="C2964" i="2"/>
  <c r="B2964" i="2"/>
  <c r="V2963" i="2"/>
  <c r="U2963" i="2"/>
  <c r="T2963" i="2"/>
  <c r="S2963" i="2"/>
  <c r="R2963" i="2"/>
  <c r="Q2963" i="2"/>
  <c r="P2963" i="2"/>
  <c r="O2963" i="2"/>
  <c r="N2963" i="2"/>
  <c r="M2963" i="2"/>
  <c r="L2963" i="2"/>
  <c r="K2963" i="2"/>
  <c r="J2963" i="2"/>
  <c r="I2963" i="2"/>
  <c r="H2963" i="2"/>
  <c r="G2963" i="2"/>
  <c r="F2963" i="2"/>
  <c r="E2963" i="2"/>
  <c r="D2963" i="2"/>
  <c r="C2963" i="2"/>
  <c r="B2963" i="2"/>
  <c r="V2962" i="2"/>
  <c r="U2962" i="2"/>
  <c r="T2962" i="2"/>
  <c r="S2962" i="2"/>
  <c r="R2962" i="2"/>
  <c r="Q2962" i="2"/>
  <c r="P2962" i="2"/>
  <c r="O2962" i="2"/>
  <c r="N2962" i="2"/>
  <c r="M2962" i="2"/>
  <c r="L2962" i="2"/>
  <c r="K2962" i="2"/>
  <c r="J2962" i="2"/>
  <c r="I2962" i="2"/>
  <c r="H2962" i="2"/>
  <c r="G2962" i="2"/>
  <c r="F2962" i="2"/>
  <c r="E2962" i="2"/>
  <c r="D2962" i="2"/>
  <c r="C2962" i="2"/>
  <c r="B2962" i="2"/>
  <c r="V2961" i="2"/>
  <c r="U2961" i="2"/>
  <c r="T2961" i="2"/>
  <c r="S2961" i="2"/>
  <c r="R2961" i="2"/>
  <c r="Q2961" i="2"/>
  <c r="P2961" i="2"/>
  <c r="O2961" i="2"/>
  <c r="N2961" i="2"/>
  <c r="M2961" i="2"/>
  <c r="L2961" i="2"/>
  <c r="K2961" i="2"/>
  <c r="J2961" i="2"/>
  <c r="I2961" i="2"/>
  <c r="H2961" i="2"/>
  <c r="G2961" i="2"/>
  <c r="F2961" i="2"/>
  <c r="E2961" i="2"/>
  <c r="D2961" i="2"/>
  <c r="C2961" i="2"/>
  <c r="B2961" i="2"/>
  <c r="V2960" i="2"/>
  <c r="U2960" i="2"/>
  <c r="T2960" i="2"/>
  <c r="S2960" i="2"/>
  <c r="R2960" i="2"/>
  <c r="Q2960" i="2"/>
  <c r="P2960" i="2"/>
  <c r="O2960" i="2"/>
  <c r="N2960" i="2"/>
  <c r="M2960" i="2"/>
  <c r="L2960" i="2"/>
  <c r="K2960" i="2"/>
  <c r="J2960" i="2"/>
  <c r="I2960" i="2"/>
  <c r="H2960" i="2"/>
  <c r="G2960" i="2"/>
  <c r="F2960" i="2"/>
  <c r="E2960" i="2"/>
  <c r="D2960" i="2"/>
  <c r="C2960" i="2"/>
  <c r="B2960" i="2"/>
  <c r="V2959" i="2"/>
  <c r="U2959" i="2"/>
  <c r="T2959" i="2"/>
  <c r="S2959" i="2"/>
  <c r="R2959" i="2"/>
  <c r="Q2959" i="2"/>
  <c r="P2959" i="2"/>
  <c r="O2959" i="2"/>
  <c r="N2959" i="2"/>
  <c r="M2959" i="2"/>
  <c r="L2959" i="2"/>
  <c r="K2959" i="2"/>
  <c r="J2959" i="2"/>
  <c r="I2959" i="2"/>
  <c r="H2959" i="2"/>
  <c r="G2959" i="2"/>
  <c r="F2959" i="2"/>
  <c r="E2959" i="2"/>
  <c r="D2959" i="2"/>
  <c r="C2959" i="2"/>
  <c r="B2959" i="2"/>
  <c r="V2958" i="2"/>
  <c r="U2958" i="2"/>
  <c r="T2958" i="2"/>
  <c r="S2958" i="2"/>
  <c r="R2958" i="2"/>
  <c r="Q2958" i="2"/>
  <c r="P2958" i="2"/>
  <c r="O2958" i="2"/>
  <c r="N2958" i="2"/>
  <c r="M2958" i="2"/>
  <c r="L2958" i="2"/>
  <c r="K2958" i="2"/>
  <c r="J2958" i="2"/>
  <c r="I2958" i="2"/>
  <c r="H2958" i="2"/>
  <c r="G2958" i="2"/>
  <c r="F2958" i="2"/>
  <c r="E2958" i="2"/>
  <c r="D2958" i="2"/>
  <c r="C2958" i="2"/>
  <c r="B2958" i="2"/>
  <c r="V2957" i="2"/>
  <c r="U2957" i="2"/>
  <c r="T2957" i="2"/>
  <c r="S2957" i="2"/>
  <c r="R2957" i="2"/>
  <c r="Q2957" i="2"/>
  <c r="P2957" i="2"/>
  <c r="O2957" i="2"/>
  <c r="N2957" i="2"/>
  <c r="M2957" i="2"/>
  <c r="L2957" i="2"/>
  <c r="K2957" i="2"/>
  <c r="J2957" i="2"/>
  <c r="I2957" i="2"/>
  <c r="H2957" i="2"/>
  <c r="G2957" i="2"/>
  <c r="F2957" i="2"/>
  <c r="E2957" i="2"/>
  <c r="D2957" i="2"/>
  <c r="C2957" i="2"/>
  <c r="B2957" i="2"/>
  <c r="V2956" i="2"/>
  <c r="U2956" i="2"/>
  <c r="T2956" i="2"/>
  <c r="S2956" i="2"/>
  <c r="R2956" i="2"/>
  <c r="Q2956" i="2"/>
  <c r="P2956" i="2"/>
  <c r="O2956" i="2"/>
  <c r="N2956" i="2"/>
  <c r="M2956" i="2"/>
  <c r="L2956" i="2"/>
  <c r="K2956" i="2"/>
  <c r="J2956" i="2"/>
  <c r="I2956" i="2"/>
  <c r="H2956" i="2"/>
  <c r="G2956" i="2"/>
  <c r="F2956" i="2"/>
  <c r="E2956" i="2"/>
  <c r="D2956" i="2"/>
  <c r="C2956" i="2"/>
  <c r="B2956" i="2"/>
  <c r="V2955" i="2"/>
  <c r="U2955" i="2"/>
  <c r="T2955" i="2"/>
  <c r="S2955" i="2"/>
  <c r="R2955" i="2"/>
  <c r="Q2955" i="2"/>
  <c r="P2955" i="2"/>
  <c r="O2955" i="2"/>
  <c r="N2955" i="2"/>
  <c r="M2955" i="2"/>
  <c r="L2955" i="2"/>
  <c r="K2955" i="2"/>
  <c r="J2955" i="2"/>
  <c r="I2955" i="2"/>
  <c r="H2955" i="2"/>
  <c r="G2955" i="2"/>
  <c r="F2955" i="2"/>
  <c r="E2955" i="2"/>
  <c r="D2955" i="2"/>
  <c r="C2955" i="2"/>
  <c r="B2955" i="2"/>
  <c r="V2954" i="2"/>
  <c r="U2954" i="2"/>
  <c r="T2954" i="2"/>
  <c r="S2954" i="2"/>
  <c r="R2954" i="2"/>
  <c r="Q2954" i="2"/>
  <c r="P2954" i="2"/>
  <c r="O2954" i="2"/>
  <c r="N2954" i="2"/>
  <c r="M2954" i="2"/>
  <c r="L2954" i="2"/>
  <c r="K2954" i="2"/>
  <c r="J2954" i="2"/>
  <c r="I2954" i="2"/>
  <c r="H2954" i="2"/>
  <c r="G2954" i="2"/>
  <c r="F2954" i="2"/>
  <c r="E2954" i="2"/>
  <c r="D2954" i="2"/>
  <c r="C2954" i="2"/>
  <c r="B2954" i="2"/>
  <c r="V2953" i="2"/>
  <c r="U2953" i="2"/>
  <c r="T2953" i="2"/>
  <c r="S2953" i="2"/>
  <c r="R2953" i="2"/>
  <c r="Q2953" i="2"/>
  <c r="P2953" i="2"/>
  <c r="O2953" i="2"/>
  <c r="N2953" i="2"/>
  <c r="M2953" i="2"/>
  <c r="L2953" i="2"/>
  <c r="K2953" i="2"/>
  <c r="J2953" i="2"/>
  <c r="I2953" i="2"/>
  <c r="H2953" i="2"/>
  <c r="G2953" i="2"/>
  <c r="F2953" i="2"/>
  <c r="E2953" i="2"/>
  <c r="D2953" i="2"/>
  <c r="C2953" i="2"/>
  <c r="B2953" i="2"/>
  <c r="V2952" i="2"/>
  <c r="U2952" i="2"/>
  <c r="T2952" i="2"/>
  <c r="S2952" i="2"/>
  <c r="R2952" i="2"/>
  <c r="Q2952" i="2"/>
  <c r="P2952" i="2"/>
  <c r="O2952" i="2"/>
  <c r="N2952" i="2"/>
  <c r="M2952" i="2"/>
  <c r="L2952" i="2"/>
  <c r="K2952" i="2"/>
  <c r="J2952" i="2"/>
  <c r="I2952" i="2"/>
  <c r="H2952" i="2"/>
  <c r="G2952" i="2"/>
  <c r="F2952" i="2"/>
  <c r="E2952" i="2"/>
  <c r="D2952" i="2"/>
  <c r="C2952" i="2"/>
  <c r="B2952" i="2"/>
  <c r="V2951" i="2"/>
  <c r="U2951" i="2"/>
  <c r="T2951" i="2"/>
  <c r="S2951" i="2"/>
  <c r="R2951" i="2"/>
  <c r="Q2951" i="2"/>
  <c r="P2951" i="2"/>
  <c r="O2951" i="2"/>
  <c r="N2951" i="2"/>
  <c r="M2951" i="2"/>
  <c r="L2951" i="2"/>
  <c r="K2951" i="2"/>
  <c r="J2951" i="2"/>
  <c r="I2951" i="2"/>
  <c r="H2951" i="2"/>
  <c r="G2951" i="2"/>
  <c r="F2951" i="2"/>
  <c r="E2951" i="2"/>
  <c r="D2951" i="2"/>
  <c r="C2951" i="2"/>
  <c r="B2951" i="2"/>
  <c r="V2950" i="2"/>
  <c r="U2950" i="2"/>
  <c r="T2950" i="2"/>
  <c r="S2950" i="2"/>
  <c r="R2950" i="2"/>
  <c r="Q2950" i="2"/>
  <c r="P2950" i="2"/>
  <c r="O2950" i="2"/>
  <c r="N2950" i="2"/>
  <c r="M2950" i="2"/>
  <c r="L2950" i="2"/>
  <c r="K2950" i="2"/>
  <c r="J2950" i="2"/>
  <c r="I2950" i="2"/>
  <c r="H2950" i="2"/>
  <c r="G2950" i="2"/>
  <c r="F2950" i="2"/>
  <c r="E2950" i="2"/>
  <c r="D2950" i="2"/>
  <c r="C2950" i="2"/>
  <c r="B2950" i="2"/>
  <c r="V2949" i="2"/>
  <c r="U2949" i="2"/>
  <c r="T2949" i="2"/>
  <c r="S2949" i="2"/>
  <c r="R2949" i="2"/>
  <c r="Q2949" i="2"/>
  <c r="P2949" i="2"/>
  <c r="O2949" i="2"/>
  <c r="N2949" i="2"/>
  <c r="M2949" i="2"/>
  <c r="L2949" i="2"/>
  <c r="K2949" i="2"/>
  <c r="J2949" i="2"/>
  <c r="I2949" i="2"/>
  <c r="H2949" i="2"/>
  <c r="G2949" i="2"/>
  <c r="F2949" i="2"/>
  <c r="E2949" i="2"/>
  <c r="D2949" i="2"/>
  <c r="C2949" i="2"/>
  <c r="B2949" i="2"/>
  <c r="V2948" i="2"/>
  <c r="U2948" i="2"/>
  <c r="T2948" i="2"/>
  <c r="S2948" i="2"/>
  <c r="R2948" i="2"/>
  <c r="Q2948" i="2"/>
  <c r="P2948" i="2"/>
  <c r="O2948" i="2"/>
  <c r="N2948" i="2"/>
  <c r="M2948" i="2"/>
  <c r="L2948" i="2"/>
  <c r="K2948" i="2"/>
  <c r="J2948" i="2"/>
  <c r="I2948" i="2"/>
  <c r="H2948" i="2"/>
  <c r="G2948" i="2"/>
  <c r="F2948" i="2"/>
  <c r="E2948" i="2"/>
  <c r="D2948" i="2"/>
  <c r="C2948" i="2"/>
  <c r="B2948" i="2"/>
  <c r="V2947" i="2"/>
  <c r="U2947" i="2"/>
  <c r="T2947" i="2"/>
  <c r="S2947" i="2"/>
  <c r="R2947" i="2"/>
  <c r="Q2947" i="2"/>
  <c r="P2947" i="2"/>
  <c r="O2947" i="2"/>
  <c r="N2947" i="2"/>
  <c r="M2947" i="2"/>
  <c r="L2947" i="2"/>
  <c r="K2947" i="2"/>
  <c r="J2947" i="2"/>
  <c r="I2947" i="2"/>
  <c r="H2947" i="2"/>
  <c r="G2947" i="2"/>
  <c r="F2947" i="2"/>
  <c r="E2947" i="2"/>
  <c r="D2947" i="2"/>
  <c r="C2947" i="2"/>
  <c r="B2947" i="2"/>
  <c r="V2946" i="2"/>
  <c r="U2946" i="2"/>
  <c r="T2946" i="2"/>
  <c r="S2946" i="2"/>
  <c r="R2946" i="2"/>
  <c r="Q2946" i="2"/>
  <c r="P2946" i="2"/>
  <c r="O2946" i="2"/>
  <c r="N2946" i="2"/>
  <c r="M2946" i="2"/>
  <c r="L2946" i="2"/>
  <c r="K2946" i="2"/>
  <c r="J2946" i="2"/>
  <c r="I2946" i="2"/>
  <c r="H2946" i="2"/>
  <c r="G2946" i="2"/>
  <c r="F2946" i="2"/>
  <c r="E2946" i="2"/>
  <c r="D2946" i="2"/>
  <c r="C2946" i="2"/>
  <c r="B2946" i="2"/>
  <c r="V2945" i="2"/>
  <c r="U2945" i="2"/>
  <c r="T2945" i="2"/>
  <c r="S2945" i="2"/>
  <c r="R2945" i="2"/>
  <c r="Q2945" i="2"/>
  <c r="P2945" i="2"/>
  <c r="O2945" i="2"/>
  <c r="N2945" i="2"/>
  <c r="M2945" i="2"/>
  <c r="L2945" i="2"/>
  <c r="K2945" i="2"/>
  <c r="J2945" i="2"/>
  <c r="I2945" i="2"/>
  <c r="H2945" i="2"/>
  <c r="G2945" i="2"/>
  <c r="F2945" i="2"/>
  <c r="E2945" i="2"/>
  <c r="D2945" i="2"/>
  <c r="C2945" i="2"/>
  <c r="B2945" i="2"/>
  <c r="V2944" i="2"/>
  <c r="U2944" i="2"/>
  <c r="T2944" i="2"/>
  <c r="S2944" i="2"/>
  <c r="R2944" i="2"/>
  <c r="Q2944" i="2"/>
  <c r="P2944" i="2"/>
  <c r="O2944" i="2"/>
  <c r="N2944" i="2"/>
  <c r="M2944" i="2"/>
  <c r="L2944" i="2"/>
  <c r="K2944" i="2"/>
  <c r="J2944" i="2"/>
  <c r="I2944" i="2"/>
  <c r="H2944" i="2"/>
  <c r="G2944" i="2"/>
  <c r="F2944" i="2"/>
  <c r="E2944" i="2"/>
  <c r="D2944" i="2"/>
  <c r="C2944" i="2"/>
  <c r="B2944" i="2"/>
  <c r="V2943" i="2"/>
  <c r="U2943" i="2"/>
  <c r="T2943" i="2"/>
  <c r="S2943" i="2"/>
  <c r="R2943" i="2"/>
  <c r="Q2943" i="2"/>
  <c r="P2943" i="2"/>
  <c r="O2943" i="2"/>
  <c r="N2943" i="2"/>
  <c r="M2943" i="2"/>
  <c r="L2943" i="2"/>
  <c r="K2943" i="2"/>
  <c r="J2943" i="2"/>
  <c r="I2943" i="2"/>
  <c r="H2943" i="2"/>
  <c r="G2943" i="2"/>
  <c r="F2943" i="2"/>
  <c r="E2943" i="2"/>
  <c r="D2943" i="2"/>
  <c r="C2943" i="2"/>
  <c r="B2943" i="2"/>
  <c r="V2942" i="2"/>
  <c r="U2942" i="2"/>
  <c r="T2942" i="2"/>
  <c r="S2942" i="2"/>
  <c r="R2942" i="2"/>
  <c r="Q2942" i="2"/>
  <c r="P2942" i="2"/>
  <c r="O2942" i="2"/>
  <c r="N2942" i="2"/>
  <c r="M2942" i="2"/>
  <c r="L2942" i="2"/>
  <c r="K2942" i="2"/>
  <c r="J2942" i="2"/>
  <c r="I2942" i="2"/>
  <c r="H2942" i="2"/>
  <c r="G2942" i="2"/>
  <c r="F2942" i="2"/>
  <c r="E2942" i="2"/>
  <c r="D2942" i="2"/>
  <c r="C2942" i="2"/>
  <c r="B2942" i="2"/>
  <c r="V2941" i="2"/>
  <c r="U2941" i="2"/>
  <c r="T2941" i="2"/>
  <c r="S2941" i="2"/>
  <c r="R2941" i="2"/>
  <c r="Q2941" i="2"/>
  <c r="P2941" i="2"/>
  <c r="O2941" i="2"/>
  <c r="N2941" i="2"/>
  <c r="M2941" i="2"/>
  <c r="L2941" i="2"/>
  <c r="K2941" i="2"/>
  <c r="J2941" i="2"/>
  <c r="I2941" i="2"/>
  <c r="H2941" i="2"/>
  <c r="G2941" i="2"/>
  <c r="F2941" i="2"/>
  <c r="E2941" i="2"/>
  <c r="D2941" i="2"/>
  <c r="C2941" i="2"/>
  <c r="B2941" i="2"/>
  <c r="V2940" i="2"/>
  <c r="U2940" i="2"/>
  <c r="T2940" i="2"/>
  <c r="S2940" i="2"/>
  <c r="R2940" i="2"/>
  <c r="Q2940" i="2"/>
  <c r="P2940" i="2"/>
  <c r="O2940" i="2"/>
  <c r="N2940" i="2"/>
  <c r="M2940" i="2"/>
  <c r="L2940" i="2"/>
  <c r="K2940" i="2"/>
  <c r="J2940" i="2"/>
  <c r="I2940" i="2"/>
  <c r="H2940" i="2"/>
  <c r="G2940" i="2"/>
  <c r="F2940" i="2"/>
  <c r="E2940" i="2"/>
  <c r="D2940" i="2"/>
  <c r="C2940" i="2"/>
  <c r="B2940" i="2"/>
  <c r="V2939" i="2"/>
  <c r="U2939" i="2"/>
  <c r="T2939" i="2"/>
  <c r="S2939" i="2"/>
  <c r="R2939" i="2"/>
  <c r="Q2939" i="2"/>
  <c r="P2939" i="2"/>
  <c r="O2939" i="2"/>
  <c r="N2939" i="2"/>
  <c r="M2939" i="2"/>
  <c r="L2939" i="2"/>
  <c r="K2939" i="2"/>
  <c r="J2939" i="2"/>
  <c r="I2939" i="2"/>
  <c r="H2939" i="2"/>
  <c r="G2939" i="2"/>
  <c r="F2939" i="2"/>
  <c r="E2939" i="2"/>
  <c r="D2939" i="2"/>
  <c r="C2939" i="2"/>
  <c r="B2939" i="2"/>
  <c r="V2938" i="2"/>
  <c r="U2938" i="2"/>
  <c r="T2938" i="2"/>
  <c r="S2938" i="2"/>
  <c r="R2938" i="2"/>
  <c r="Q2938" i="2"/>
  <c r="P2938" i="2"/>
  <c r="O2938" i="2"/>
  <c r="N2938" i="2"/>
  <c r="M2938" i="2"/>
  <c r="L2938" i="2"/>
  <c r="K2938" i="2"/>
  <c r="J2938" i="2"/>
  <c r="I2938" i="2"/>
  <c r="H2938" i="2"/>
  <c r="G2938" i="2"/>
  <c r="F2938" i="2"/>
  <c r="E2938" i="2"/>
  <c r="D2938" i="2"/>
  <c r="C2938" i="2"/>
  <c r="B2938" i="2"/>
  <c r="V2937" i="2"/>
  <c r="U2937" i="2"/>
  <c r="T2937" i="2"/>
  <c r="S2937" i="2"/>
  <c r="R2937" i="2"/>
  <c r="Q2937" i="2"/>
  <c r="P2937" i="2"/>
  <c r="O2937" i="2"/>
  <c r="N2937" i="2"/>
  <c r="M2937" i="2"/>
  <c r="L2937" i="2"/>
  <c r="K2937" i="2"/>
  <c r="J2937" i="2"/>
  <c r="I2937" i="2"/>
  <c r="H2937" i="2"/>
  <c r="G2937" i="2"/>
  <c r="F2937" i="2"/>
  <c r="E2937" i="2"/>
  <c r="D2937" i="2"/>
  <c r="C2937" i="2"/>
  <c r="B2937" i="2"/>
  <c r="V2936" i="2"/>
  <c r="U2936" i="2"/>
  <c r="T2936" i="2"/>
  <c r="S2936" i="2"/>
  <c r="R2936" i="2"/>
  <c r="Q2936" i="2"/>
  <c r="P2936" i="2"/>
  <c r="O2936" i="2"/>
  <c r="N2936" i="2"/>
  <c r="M2936" i="2"/>
  <c r="L2936" i="2"/>
  <c r="K2936" i="2"/>
  <c r="J2936" i="2"/>
  <c r="I2936" i="2"/>
  <c r="H2936" i="2"/>
  <c r="G2936" i="2"/>
  <c r="F2936" i="2"/>
  <c r="E2936" i="2"/>
  <c r="D2936" i="2"/>
  <c r="C2936" i="2"/>
  <c r="B2936" i="2"/>
  <c r="V2935" i="2"/>
  <c r="U2935" i="2"/>
  <c r="T2935" i="2"/>
  <c r="S2935" i="2"/>
  <c r="R2935" i="2"/>
  <c r="Q2935" i="2"/>
  <c r="P2935" i="2"/>
  <c r="O2935" i="2"/>
  <c r="N2935" i="2"/>
  <c r="M2935" i="2"/>
  <c r="L2935" i="2"/>
  <c r="K2935" i="2"/>
  <c r="J2935" i="2"/>
  <c r="I2935" i="2"/>
  <c r="H2935" i="2"/>
  <c r="G2935" i="2"/>
  <c r="F2935" i="2"/>
  <c r="E2935" i="2"/>
  <c r="D2935" i="2"/>
  <c r="C2935" i="2"/>
  <c r="B2935" i="2"/>
  <c r="V2934" i="2"/>
  <c r="U2934" i="2"/>
  <c r="T2934" i="2"/>
  <c r="S2934" i="2"/>
  <c r="R2934" i="2"/>
  <c r="Q2934" i="2"/>
  <c r="P2934" i="2"/>
  <c r="O2934" i="2"/>
  <c r="N2934" i="2"/>
  <c r="M2934" i="2"/>
  <c r="L2934" i="2"/>
  <c r="K2934" i="2"/>
  <c r="J2934" i="2"/>
  <c r="I2934" i="2"/>
  <c r="H2934" i="2"/>
  <c r="G2934" i="2"/>
  <c r="F2934" i="2"/>
  <c r="E2934" i="2"/>
  <c r="D2934" i="2"/>
  <c r="C2934" i="2"/>
  <c r="B2934" i="2"/>
  <c r="V2933" i="2"/>
  <c r="U2933" i="2"/>
  <c r="T2933" i="2"/>
  <c r="S2933" i="2"/>
  <c r="R2933" i="2"/>
  <c r="Q2933" i="2"/>
  <c r="P2933" i="2"/>
  <c r="O2933" i="2"/>
  <c r="N2933" i="2"/>
  <c r="M2933" i="2"/>
  <c r="L2933" i="2"/>
  <c r="K2933" i="2"/>
  <c r="J2933" i="2"/>
  <c r="I2933" i="2"/>
  <c r="H2933" i="2"/>
  <c r="G2933" i="2"/>
  <c r="F2933" i="2"/>
  <c r="E2933" i="2"/>
  <c r="D2933" i="2"/>
  <c r="C2933" i="2"/>
  <c r="B2933" i="2"/>
  <c r="V2932" i="2"/>
  <c r="U2932" i="2"/>
  <c r="T2932" i="2"/>
  <c r="S2932" i="2"/>
  <c r="R2932" i="2"/>
  <c r="Q2932" i="2"/>
  <c r="P2932" i="2"/>
  <c r="O2932" i="2"/>
  <c r="N2932" i="2"/>
  <c r="M2932" i="2"/>
  <c r="L2932" i="2"/>
  <c r="K2932" i="2"/>
  <c r="J2932" i="2"/>
  <c r="I2932" i="2"/>
  <c r="H2932" i="2"/>
  <c r="G2932" i="2"/>
  <c r="F2932" i="2"/>
  <c r="E2932" i="2"/>
  <c r="D2932" i="2"/>
  <c r="C2932" i="2"/>
  <c r="B2932" i="2"/>
  <c r="V2931" i="2"/>
  <c r="U2931" i="2"/>
  <c r="T2931" i="2"/>
  <c r="S2931" i="2"/>
  <c r="R2931" i="2"/>
  <c r="Q2931" i="2"/>
  <c r="P2931" i="2"/>
  <c r="O2931" i="2"/>
  <c r="N2931" i="2"/>
  <c r="M2931" i="2"/>
  <c r="L2931" i="2"/>
  <c r="K2931" i="2"/>
  <c r="J2931" i="2"/>
  <c r="I2931" i="2"/>
  <c r="H2931" i="2"/>
  <c r="G2931" i="2"/>
  <c r="F2931" i="2"/>
  <c r="E2931" i="2"/>
  <c r="D2931" i="2"/>
  <c r="C2931" i="2"/>
  <c r="B2931" i="2"/>
  <c r="V2930" i="2"/>
  <c r="U2930" i="2"/>
  <c r="T2930" i="2"/>
  <c r="S2930" i="2"/>
  <c r="R2930" i="2"/>
  <c r="Q2930" i="2"/>
  <c r="P2930" i="2"/>
  <c r="O2930" i="2"/>
  <c r="N2930" i="2"/>
  <c r="M2930" i="2"/>
  <c r="L2930" i="2"/>
  <c r="K2930" i="2"/>
  <c r="J2930" i="2"/>
  <c r="I2930" i="2"/>
  <c r="H2930" i="2"/>
  <c r="G2930" i="2"/>
  <c r="F2930" i="2"/>
  <c r="E2930" i="2"/>
  <c r="D2930" i="2"/>
  <c r="C2930" i="2"/>
  <c r="B2930" i="2"/>
  <c r="V2929" i="2"/>
  <c r="U2929" i="2"/>
  <c r="T2929" i="2"/>
  <c r="S2929" i="2"/>
  <c r="R2929" i="2"/>
  <c r="Q2929" i="2"/>
  <c r="P2929" i="2"/>
  <c r="O2929" i="2"/>
  <c r="N2929" i="2"/>
  <c r="M2929" i="2"/>
  <c r="L2929" i="2"/>
  <c r="K2929" i="2"/>
  <c r="J2929" i="2"/>
  <c r="I2929" i="2"/>
  <c r="H2929" i="2"/>
  <c r="G2929" i="2"/>
  <c r="F2929" i="2"/>
  <c r="E2929" i="2"/>
  <c r="D2929" i="2"/>
  <c r="C2929" i="2"/>
  <c r="B2929" i="2"/>
  <c r="V2928" i="2"/>
  <c r="U2928" i="2"/>
  <c r="T2928" i="2"/>
  <c r="S2928" i="2"/>
  <c r="R2928" i="2"/>
  <c r="Q2928" i="2"/>
  <c r="P2928" i="2"/>
  <c r="O2928" i="2"/>
  <c r="N2928" i="2"/>
  <c r="M2928" i="2"/>
  <c r="L2928" i="2"/>
  <c r="K2928" i="2"/>
  <c r="J2928" i="2"/>
  <c r="I2928" i="2"/>
  <c r="H2928" i="2"/>
  <c r="G2928" i="2"/>
  <c r="F2928" i="2"/>
  <c r="E2928" i="2"/>
  <c r="D2928" i="2"/>
  <c r="C2928" i="2"/>
  <c r="B2928" i="2"/>
  <c r="V2927" i="2"/>
  <c r="U2927" i="2"/>
  <c r="T2927" i="2"/>
  <c r="S2927" i="2"/>
  <c r="R2927" i="2"/>
  <c r="Q2927" i="2"/>
  <c r="P2927" i="2"/>
  <c r="O2927" i="2"/>
  <c r="N2927" i="2"/>
  <c r="M2927" i="2"/>
  <c r="L2927" i="2"/>
  <c r="K2927" i="2"/>
  <c r="J2927" i="2"/>
  <c r="I2927" i="2"/>
  <c r="H2927" i="2"/>
  <c r="G2927" i="2"/>
  <c r="F2927" i="2"/>
  <c r="E2927" i="2"/>
  <c r="D2927" i="2"/>
  <c r="C2927" i="2"/>
  <c r="B2927" i="2"/>
  <c r="V2926" i="2"/>
  <c r="U2926" i="2"/>
  <c r="T2926" i="2"/>
  <c r="S2926" i="2"/>
  <c r="R2926" i="2"/>
  <c r="Q2926" i="2"/>
  <c r="P2926" i="2"/>
  <c r="O2926" i="2"/>
  <c r="N2926" i="2"/>
  <c r="M2926" i="2"/>
  <c r="L2926" i="2"/>
  <c r="K2926" i="2"/>
  <c r="J2926" i="2"/>
  <c r="I2926" i="2"/>
  <c r="H2926" i="2"/>
  <c r="G2926" i="2"/>
  <c r="F2926" i="2"/>
  <c r="E2926" i="2"/>
  <c r="D2926" i="2"/>
  <c r="C2926" i="2"/>
  <c r="B2926" i="2"/>
  <c r="V2925" i="2"/>
  <c r="U2925" i="2"/>
  <c r="T2925" i="2"/>
  <c r="S2925" i="2"/>
  <c r="R2925" i="2"/>
  <c r="Q2925" i="2"/>
  <c r="P2925" i="2"/>
  <c r="O2925" i="2"/>
  <c r="N2925" i="2"/>
  <c r="M2925" i="2"/>
  <c r="L2925" i="2"/>
  <c r="K2925" i="2"/>
  <c r="J2925" i="2"/>
  <c r="I2925" i="2"/>
  <c r="H2925" i="2"/>
  <c r="G2925" i="2"/>
  <c r="F2925" i="2"/>
  <c r="E2925" i="2"/>
  <c r="D2925" i="2"/>
  <c r="C2925" i="2"/>
  <c r="B2925" i="2"/>
  <c r="V2924" i="2"/>
  <c r="U2924" i="2"/>
  <c r="T2924" i="2"/>
  <c r="S2924" i="2"/>
  <c r="R2924" i="2"/>
  <c r="Q2924" i="2"/>
  <c r="P2924" i="2"/>
  <c r="O2924" i="2"/>
  <c r="N2924" i="2"/>
  <c r="M2924" i="2"/>
  <c r="L2924" i="2"/>
  <c r="K2924" i="2"/>
  <c r="J2924" i="2"/>
  <c r="I2924" i="2"/>
  <c r="H2924" i="2"/>
  <c r="G2924" i="2"/>
  <c r="F2924" i="2"/>
  <c r="E2924" i="2"/>
  <c r="D2924" i="2"/>
  <c r="C2924" i="2"/>
  <c r="B2924" i="2"/>
  <c r="V2923" i="2"/>
  <c r="U2923" i="2"/>
  <c r="T2923" i="2"/>
  <c r="S2923" i="2"/>
  <c r="R2923" i="2"/>
  <c r="Q2923" i="2"/>
  <c r="P2923" i="2"/>
  <c r="O2923" i="2"/>
  <c r="N2923" i="2"/>
  <c r="M2923" i="2"/>
  <c r="L2923" i="2"/>
  <c r="K2923" i="2"/>
  <c r="J2923" i="2"/>
  <c r="I2923" i="2"/>
  <c r="H2923" i="2"/>
  <c r="G2923" i="2"/>
  <c r="F2923" i="2"/>
  <c r="E2923" i="2"/>
  <c r="D2923" i="2"/>
  <c r="C2923" i="2"/>
  <c r="B2923" i="2"/>
  <c r="V2922" i="2"/>
  <c r="U2922" i="2"/>
  <c r="T2922" i="2"/>
  <c r="S2922" i="2"/>
  <c r="R2922" i="2"/>
  <c r="Q2922" i="2"/>
  <c r="P2922" i="2"/>
  <c r="O2922" i="2"/>
  <c r="N2922" i="2"/>
  <c r="M2922" i="2"/>
  <c r="L2922" i="2"/>
  <c r="K2922" i="2"/>
  <c r="J2922" i="2"/>
  <c r="I2922" i="2"/>
  <c r="H2922" i="2"/>
  <c r="G2922" i="2"/>
  <c r="F2922" i="2"/>
  <c r="E2922" i="2"/>
  <c r="D2922" i="2"/>
  <c r="C2922" i="2"/>
  <c r="B2922" i="2"/>
  <c r="V2921" i="2"/>
  <c r="U2921" i="2"/>
  <c r="T2921" i="2"/>
  <c r="S2921" i="2"/>
  <c r="R2921" i="2"/>
  <c r="Q2921" i="2"/>
  <c r="P2921" i="2"/>
  <c r="O2921" i="2"/>
  <c r="N2921" i="2"/>
  <c r="M2921" i="2"/>
  <c r="L2921" i="2"/>
  <c r="K2921" i="2"/>
  <c r="J2921" i="2"/>
  <c r="I2921" i="2"/>
  <c r="H2921" i="2"/>
  <c r="G2921" i="2"/>
  <c r="F2921" i="2"/>
  <c r="E2921" i="2"/>
  <c r="D2921" i="2"/>
  <c r="C2921" i="2"/>
  <c r="B2921" i="2"/>
  <c r="V2920" i="2"/>
  <c r="U2920" i="2"/>
  <c r="T2920" i="2"/>
  <c r="S2920" i="2"/>
  <c r="R2920" i="2"/>
  <c r="Q2920" i="2"/>
  <c r="P2920" i="2"/>
  <c r="O2920" i="2"/>
  <c r="N2920" i="2"/>
  <c r="M2920" i="2"/>
  <c r="L2920" i="2"/>
  <c r="K2920" i="2"/>
  <c r="J2920" i="2"/>
  <c r="I2920" i="2"/>
  <c r="H2920" i="2"/>
  <c r="G2920" i="2"/>
  <c r="F2920" i="2"/>
  <c r="E2920" i="2"/>
  <c r="D2920" i="2"/>
  <c r="C2920" i="2"/>
  <c r="B2920" i="2"/>
  <c r="V2919" i="2"/>
  <c r="U2919" i="2"/>
  <c r="T2919" i="2"/>
  <c r="S2919" i="2"/>
  <c r="R2919" i="2"/>
  <c r="Q2919" i="2"/>
  <c r="P2919" i="2"/>
  <c r="O2919" i="2"/>
  <c r="N2919" i="2"/>
  <c r="M2919" i="2"/>
  <c r="L2919" i="2"/>
  <c r="K2919" i="2"/>
  <c r="J2919" i="2"/>
  <c r="I2919" i="2"/>
  <c r="H2919" i="2"/>
  <c r="G2919" i="2"/>
  <c r="F2919" i="2"/>
  <c r="E2919" i="2"/>
  <c r="D2919" i="2"/>
  <c r="C2919" i="2"/>
  <c r="B2919" i="2"/>
  <c r="V2918" i="2"/>
  <c r="U2918" i="2"/>
  <c r="T2918" i="2"/>
  <c r="S2918" i="2"/>
  <c r="R2918" i="2"/>
  <c r="Q2918" i="2"/>
  <c r="P2918" i="2"/>
  <c r="O2918" i="2"/>
  <c r="N2918" i="2"/>
  <c r="M2918" i="2"/>
  <c r="L2918" i="2"/>
  <c r="K2918" i="2"/>
  <c r="J2918" i="2"/>
  <c r="I2918" i="2"/>
  <c r="H2918" i="2"/>
  <c r="G2918" i="2"/>
  <c r="F2918" i="2"/>
  <c r="E2918" i="2"/>
  <c r="D2918" i="2"/>
  <c r="C2918" i="2"/>
  <c r="B2918" i="2"/>
  <c r="V2917" i="2"/>
  <c r="U2917" i="2"/>
  <c r="T2917" i="2"/>
  <c r="S2917" i="2"/>
  <c r="R2917" i="2"/>
  <c r="Q2917" i="2"/>
  <c r="P2917" i="2"/>
  <c r="O2917" i="2"/>
  <c r="N2917" i="2"/>
  <c r="M2917" i="2"/>
  <c r="L2917" i="2"/>
  <c r="K2917" i="2"/>
  <c r="J2917" i="2"/>
  <c r="I2917" i="2"/>
  <c r="H2917" i="2"/>
  <c r="G2917" i="2"/>
  <c r="F2917" i="2"/>
  <c r="E2917" i="2"/>
  <c r="D2917" i="2"/>
  <c r="C2917" i="2"/>
  <c r="B2917" i="2"/>
  <c r="V2916" i="2"/>
  <c r="U2916" i="2"/>
  <c r="T2916" i="2"/>
  <c r="S2916" i="2"/>
  <c r="R2916" i="2"/>
  <c r="Q2916" i="2"/>
  <c r="P2916" i="2"/>
  <c r="O2916" i="2"/>
  <c r="N2916" i="2"/>
  <c r="M2916" i="2"/>
  <c r="L2916" i="2"/>
  <c r="K2916" i="2"/>
  <c r="J2916" i="2"/>
  <c r="I2916" i="2"/>
  <c r="H2916" i="2"/>
  <c r="G2916" i="2"/>
  <c r="F2916" i="2"/>
  <c r="E2916" i="2"/>
  <c r="D2916" i="2"/>
  <c r="C2916" i="2"/>
  <c r="B2916" i="2"/>
  <c r="V2915" i="2"/>
  <c r="U2915" i="2"/>
  <c r="T2915" i="2"/>
  <c r="S2915" i="2"/>
  <c r="R2915" i="2"/>
  <c r="Q2915" i="2"/>
  <c r="P2915" i="2"/>
  <c r="O2915" i="2"/>
  <c r="N2915" i="2"/>
  <c r="M2915" i="2"/>
  <c r="L2915" i="2"/>
  <c r="K2915" i="2"/>
  <c r="J2915" i="2"/>
  <c r="I2915" i="2"/>
  <c r="H2915" i="2"/>
  <c r="G2915" i="2"/>
  <c r="F2915" i="2"/>
  <c r="E2915" i="2"/>
  <c r="D2915" i="2"/>
  <c r="C2915" i="2"/>
  <c r="B2915" i="2"/>
  <c r="V2914" i="2"/>
  <c r="U2914" i="2"/>
  <c r="T2914" i="2"/>
  <c r="S2914" i="2"/>
  <c r="R2914" i="2"/>
  <c r="Q2914" i="2"/>
  <c r="P2914" i="2"/>
  <c r="O2914" i="2"/>
  <c r="N2914" i="2"/>
  <c r="M2914" i="2"/>
  <c r="L2914" i="2"/>
  <c r="K2914" i="2"/>
  <c r="J2914" i="2"/>
  <c r="I2914" i="2"/>
  <c r="H2914" i="2"/>
  <c r="G2914" i="2"/>
  <c r="F2914" i="2"/>
  <c r="E2914" i="2"/>
  <c r="D2914" i="2"/>
  <c r="C2914" i="2"/>
  <c r="B2914" i="2"/>
  <c r="V2913" i="2"/>
  <c r="U2913" i="2"/>
  <c r="T2913" i="2"/>
  <c r="S2913" i="2"/>
  <c r="R2913" i="2"/>
  <c r="Q2913" i="2"/>
  <c r="P2913" i="2"/>
  <c r="O2913" i="2"/>
  <c r="N2913" i="2"/>
  <c r="M2913" i="2"/>
  <c r="L2913" i="2"/>
  <c r="K2913" i="2"/>
  <c r="J2913" i="2"/>
  <c r="I2913" i="2"/>
  <c r="H2913" i="2"/>
  <c r="G2913" i="2"/>
  <c r="F2913" i="2"/>
  <c r="E2913" i="2"/>
  <c r="D2913" i="2"/>
  <c r="C2913" i="2"/>
  <c r="B2913" i="2"/>
  <c r="V2912" i="2"/>
  <c r="U2912" i="2"/>
  <c r="T2912" i="2"/>
  <c r="S2912" i="2"/>
  <c r="R2912" i="2"/>
  <c r="Q2912" i="2"/>
  <c r="P2912" i="2"/>
  <c r="O2912" i="2"/>
  <c r="N2912" i="2"/>
  <c r="M2912" i="2"/>
  <c r="L2912" i="2"/>
  <c r="K2912" i="2"/>
  <c r="J2912" i="2"/>
  <c r="I2912" i="2"/>
  <c r="H2912" i="2"/>
  <c r="G2912" i="2"/>
  <c r="F2912" i="2"/>
  <c r="E2912" i="2"/>
  <c r="D2912" i="2"/>
  <c r="C2912" i="2"/>
  <c r="B2912" i="2"/>
  <c r="V2911" i="2"/>
  <c r="U2911" i="2"/>
  <c r="T2911" i="2"/>
  <c r="S2911" i="2"/>
  <c r="R2911" i="2"/>
  <c r="Q2911" i="2"/>
  <c r="P2911" i="2"/>
  <c r="O2911" i="2"/>
  <c r="N2911" i="2"/>
  <c r="M2911" i="2"/>
  <c r="L2911" i="2"/>
  <c r="K2911" i="2"/>
  <c r="J2911" i="2"/>
  <c r="I2911" i="2"/>
  <c r="H2911" i="2"/>
  <c r="G2911" i="2"/>
  <c r="F2911" i="2"/>
  <c r="E2911" i="2"/>
  <c r="D2911" i="2"/>
  <c r="C2911" i="2"/>
  <c r="B2911" i="2"/>
  <c r="V2910" i="2"/>
  <c r="U2910" i="2"/>
  <c r="T2910" i="2"/>
  <c r="S2910" i="2"/>
  <c r="R2910" i="2"/>
  <c r="Q2910" i="2"/>
  <c r="P2910" i="2"/>
  <c r="O2910" i="2"/>
  <c r="N2910" i="2"/>
  <c r="M2910" i="2"/>
  <c r="L2910" i="2"/>
  <c r="K2910" i="2"/>
  <c r="J2910" i="2"/>
  <c r="I2910" i="2"/>
  <c r="H2910" i="2"/>
  <c r="G2910" i="2"/>
  <c r="F2910" i="2"/>
  <c r="E2910" i="2"/>
  <c r="D2910" i="2"/>
  <c r="C2910" i="2"/>
  <c r="B2910" i="2"/>
  <c r="V2909" i="2"/>
  <c r="U2909" i="2"/>
  <c r="T2909" i="2"/>
  <c r="S2909" i="2"/>
  <c r="R2909" i="2"/>
  <c r="Q2909" i="2"/>
  <c r="P2909" i="2"/>
  <c r="O2909" i="2"/>
  <c r="N2909" i="2"/>
  <c r="M2909" i="2"/>
  <c r="L2909" i="2"/>
  <c r="K2909" i="2"/>
  <c r="J2909" i="2"/>
  <c r="I2909" i="2"/>
  <c r="H2909" i="2"/>
  <c r="G2909" i="2"/>
  <c r="F2909" i="2"/>
  <c r="E2909" i="2"/>
  <c r="D2909" i="2"/>
  <c r="C2909" i="2"/>
  <c r="B2909" i="2"/>
  <c r="V2908" i="2"/>
  <c r="U2908" i="2"/>
  <c r="T2908" i="2"/>
  <c r="S2908" i="2"/>
  <c r="R2908" i="2"/>
  <c r="Q2908" i="2"/>
  <c r="P2908" i="2"/>
  <c r="O2908" i="2"/>
  <c r="N2908" i="2"/>
  <c r="M2908" i="2"/>
  <c r="L2908" i="2"/>
  <c r="K2908" i="2"/>
  <c r="J2908" i="2"/>
  <c r="I2908" i="2"/>
  <c r="H2908" i="2"/>
  <c r="G2908" i="2"/>
  <c r="F2908" i="2"/>
  <c r="E2908" i="2"/>
  <c r="D2908" i="2"/>
  <c r="C2908" i="2"/>
  <c r="B2908" i="2"/>
  <c r="V2907" i="2"/>
  <c r="U2907" i="2"/>
  <c r="T2907" i="2"/>
  <c r="S2907" i="2"/>
  <c r="R2907" i="2"/>
  <c r="Q2907" i="2"/>
  <c r="P2907" i="2"/>
  <c r="O2907" i="2"/>
  <c r="N2907" i="2"/>
  <c r="M2907" i="2"/>
  <c r="L2907" i="2"/>
  <c r="K2907" i="2"/>
  <c r="J2907" i="2"/>
  <c r="I2907" i="2"/>
  <c r="H2907" i="2"/>
  <c r="G2907" i="2"/>
  <c r="F2907" i="2"/>
  <c r="E2907" i="2"/>
  <c r="D2907" i="2"/>
  <c r="C2907" i="2"/>
  <c r="B2907" i="2"/>
  <c r="V2906" i="2"/>
  <c r="U2906" i="2"/>
  <c r="T2906" i="2"/>
  <c r="S2906" i="2"/>
  <c r="R2906" i="2"/>
  <c r="Q2906" i="2"/>
  <c r="P2906" i="2"/>
  <c r="O2906" i="2"/>
  <c r="N2906" i="2"/>
  <c r="M2906" i="2"/>
  <c r="L2906" i="2"/>
  <c r="K2906" i="2"/>
  <c r="J2906" i="2"/>
  <c r="I2906" i="2"/>
  <c r="H2906" i="2"/>
  <c r="G2906" i="2"/>
  <c r="F2906" i="2"/>
  <c r="E2906" i="2"/>
  <c r="D2906" i="2"/>
  <c r="C2906" i="2"/>
  <c r="B2906" i="2"/>
  <c r="V2905" i="2"/>
  <c r="U2905" i="2"/>
  <c r="T2905" i="2"/>
  <c r="S2905" i="2"/>
  <c r="R2905" i="2"/>
  <c r="Q2905" i="2"/>
  <c r="P2905" i="2"/>
  <c r="O2905" i="2"/>
  <c r="N2905" i="2"/>
  <c r="M2905" i="2"/>
  <c r="L2905" i="2"/>
  <c r="K2905" i="2"/>
  <c r="J2905" i="2"/>
  <c r="I2905" i="2"/>
  <c r="H2905" i="2"/>
  <c r="G2905" i="2"/>
  <c r="F2905" i="2"/>
  <c r="E2905" i="2"/>
  <c r="D2905" i="2"/>
  <c r="C2905" i="2"/>
  <c r="B2905" i="2"/>
  <c r="V2904" i="2"/>
  <c r="U2904" i="2"/>
  <c r="T2904" i="2"/>
  <c r="S2904" i="2"/>
  <c r="R2904" i="2"/>
  <c r="Q2904" i="2"/>
  <c r="P2904" i="2"/>
  <c r="O2904" i="2"/>
  <c r="N2904" i="2"/>
  <c r="M2904" i="2"/>
  <c r="L2904" i="2"/>
  <c r="K2904" i="2"/>
  <c r="J2904" i="2"/>
  <c r="I2904" i="2"/>
  <c r="H2904" i="2"/>
  <c r="G2904" i="2"/>
  <c r="F2904" i="2"/>
  <c r="E2904" i="2"/>
  <c r="D2904" i="2"/>
  <c r="C2904" i="2"/>
  <c r="B2904" i="2"/>
  <c r="V2903" i="2"/>
  <c r="U2903" i="2"/>
  <c r="T2903" i="2"/>
  <c r="S2903" i="2"/>
  <c r="R2903" i="2"/>
  <c r="Q2903" i="2"/>
  <c r="P2903" i="2"/>
  <c r="O2903" i="2"/>
  <c r="N2903" i="2"/>
  <c r="M2903" i="2"/>
  <c r="L2903" i="2"/>
  <c r="K2903" i="2"/>
  <c r="J2903" i="2"/>
  <c r="I2903" i="2"/>
  <c r="H2903" i="2"/>
  <c r="G2903" i="2"/>
  <c r="F2903" i="2"/>
  <c r="E2903" i="2"/>
  <c r="D2903" i="2"/>
  <c r="C2903" i="2"/>
  <c r="B2903" i="2"/>
  <c r="V2902" i="2"/>
  <c r="U2902" i="2"/>
  <c r="T2902" i="2"/>
  <c r="S2902" i="2"/>
  <c r="R2902" i="2"/>
  <c r="Q2902" i="2"/>
  <c r="P2902" i="2"/>
  <c r="O2902" i="2"/>
  <c r="N2902" i="2"/>
  <c r="M2902" i="2"/>
  <c r="L2902" i="2"/>
  <c r="K2902" i="2"/>
  <c r="J2902" i="2"/>
  <c r="I2902" i="2"/>
  <c r="H2902" i="2"/>
  <c r="G2902" i="2"/>
  <c r="F2902" i="2"/>
  <c r="E2902" i="2"/>
  <c r="D2902" i="2"/>
  <c r="C2902" i="2"/>
  <c r="B2902" i="2"/>
  <c r="V2901" i="2"/>
  <c r="U2901" i="2"/>
  <c r="T2901" i="2"/>
  <c r="S2901" i="2"/>
  <c r="R2901" i="2"/>
  <c r="Q2901" i="2"/>
  <c r="P2901" i="2"/>
  <c r="O2901" i="2"/>
  <c r="N2901" i="2"/>
  <c r="M2901" i="2"/>
  <c r="L2901" i="2"/>
  <c r="K2901" i="2"/>
  <c r="J2901" i="2"/>
  <c r="I2901" i="2"/>
  <c r="H2901" i="2"/>
  <c r="G2901" i="2"/>
  <c r="F2901" i="2"/>
  <c r="E2901" i="2"/>
  <c r="D2901" i="2"/>
  <c r="C2901" i="2"/>
  <c r="B2901" i="2"/>
  <c r="V2900" i="2"/>
  <c r="U2900" i="2"/>
  <c r="T2900" i="2"/>
  <c r="S2900" i="2"/>
  <c r="R2900" i="2"/>
  <c r="Q2900" i="2"/>
  <c r="P2900" i="2"/>
  <c r="O2900" i="2"/>
  <c r="N2900" i="2"/>
  <c r="M2900" i="2"/>
  <c r="L2900" i="2"/>
  <c r="K2900" i="2"/>
  <c r="J2900" i="2"/>
  <c r="I2900" i="2"/>
  <c r="H2900" i="2"/>
  <c r="G2900" i="2"/>
  <c r="F2900" i="2"/>
  <c r="E2900" i="2"/>
  <c r="D2900" i="2"/>
  <c r="C2900" i="2"/>
  <c r="B2900" i="2"/>
  <c r="V2899" i="2"/>
  <c r="U2899" i="2"/>
  <c r="T2899" i="2"/>
  <c r="S2899" i="2"/>
  <c r="R2899" i="2"/>
  <c r="Q2899" i="2"/>
  <c r="P2899" i="2"/>
  <c r="O2899" i="2"/>
  <c r="N2899" i="2"/>
  <c r="M2899" i="2"/>
  <c r="L2899" i="2"/>
  <c r="K2899" i="2"/>
  <c r="J2899" i="2"/>
  <c r="I2899" i="2"/>
  <c r="H2899" i="2"/>
  <c r="G2899" i="2"/>
  <c r="F2899" i="2"/>
  <c r="E2899" i="2"/>
  <c r="D2899" i="2"/>
  <c r="C2899" i="2"/>
  <c r="B2899" i="2"/>
  <c r="V2898" i="2"/>
  <c r="U2898" i="2"/>
  <c r="T2898" i="2"/>
  <c r="S2898" i="2"/>
  <c r="R2898" i="2"/>
  <c r="Q2898" i="2"/>
  <c r="P2898" i="2"/>
  <c r="O2898" i="2"/>
  <c r="N2898" i="2"/>
  <c r="M2898" i="2"/>
  <c r="L2898" i="2"/>
  <c r="K2898" i="2"/>
  <c r="J2898" i="2"/>
  <c r="I2898" i="2"/>
  <c r="H2898" i="2"/>
  <c r="G2898" i="2"/>
  <c r="F2898" i="2"/>
  <c r="E2898" i="2"/>
  <c r="D2898" i="2"/>
  <c r="C2898" i="2"/>
  <c r="B2898" i="2"/>
  <c r="V2897" i="2"/>
  <c r="U2897" i="2"/>
  <c r="T2897" i="2"/>
  <c r="S2897" i="2"/>
  <c r="R2897" i="2"/>
  <c r="Q2897" i="2"/>
  <c r="P2897" i="2"/>
  <c r="O2897" i="2"/>
  <c r="N2897" i="2"/>
  <c r="M2897" i="2"/>
  <c r="L2897" i="2"/>
  <c r="K2897" i="2"/>
  <c r="J2897" i="2"/>
  <c r="I2897" i="2"/>
  <c r="H2897" i="2"/>
  <c r="G2897" i="2"/>
  <c r="F2897" i="2"/>
  <c r="E2897" i="2"/>
  <c r="D2897" i="2"/>
  <c r="C2897" i="2"/>
  <c r="B2897" i="2"/>
  <c r="V2896" i="2"/>
  <c r="U2896" i="2"/>
  <c r="T2896" i="2"/>
  <c r="S2896" i="2"/>
  <c r="R2896" i="2"/>
  <c r="Q2896" i="2"/>
  <c r="P2896" i="2"/>
  <c r="O2896" i="2"/>
  <c r="N2896" i="2"/>
  <c r="M2896" i="2"/>
  <c r="L2896" i="2"/>
  <c r="K2896" i="2"/>
  <c r="J2896" i="2"/>
  <c r="I2896" i="2"/>
  <c r="H2896" i="2"/>
  <c r="G2896" i="2"/>
  <c r="F2896" i="2"/>
  <c r="E2896" i="2"/>
  <c r="D2896" i="2"/>
  <c r="C2896" i="2"/>
  <c r="B2896" i="2"/>
  <c r="V2895" i="2"/>
  <c r="U2895" i="2"/>
  <c r="T2895" i="2"/>
  <c r="S2895" i="2"/>
  <c r="R2895" i="2"/>
  <c r="Q2895" i="2"/>
  <c r="P2895" i="2"/>
  <c r="O2895" i="2"/>
  <c r="N2895" i="2"/>
  <c r="M2895" i="2"/>
  <c r="L2895" i="2"/>
  <c r="K2895" i="2"/>
  <c r="J2895" i="2"/>
  <c r="I2895" i="2"/>
  <c r="H2895" i="2"/>
  <c r="G2895" i="2"/>
  <c r="F2895" i="2"/>
  <c r="E2895" i="2"/>
  <c r="D2895" i="2"/>
  <c r="C2895" i="2"/>
  <c r="B2895" i="2"/>
  <c r="V2894" i="2"/>
  <c r="U2894" i="2"/>
  <c r="T2894" i="2"/>
  <c r="S2894" i="2"/>
  <c r="R2894" i="2"/>
  <c r="Q2894" i="2"/>
  <c r="P2894" i="2"/>
  <c r="O2894" i="2"/>
  <c r="N2894" i="2"/>
  <c r="M2894" i="2"/>
  <c r="L2894" i="2"/>
  <c r="K2894" i="2"/>
  <c r="J2894" i="2"/>
  <c r="I2894" i="2"/>
  <c r="H2894" i="2"/>
  <c r="G2894" i="2"/>
  <c r="F2894" i="2"/>
  <c r="E2894" i="2"/>
  <c r="D2894" i="2"/>
  <c r="C2894" i="2"/>
  <c r="B2894" i="2"/>
  <c r="V2893" i="2"/>
  <c r="U2893" i="2"/>
  <c r="T2893" i="2"/>
  <c r="S2893" i="2"/>
  <c r="R2893" i="2"/>
  <c r="Q2893" i="2"/>
  <c r="P2893" i="2"/>
  <c r="O2893" i="2"/>
  <c r="N2893" i="2"/>
  <c r="M2893" i="2"/>
  <c r="L2893" i="2"/>
  <c r="K2893" i="2"/>
  <c r="J2893" i="2"/>
  <c r="I2893" i="2"/>
  <c r="H2893" i="2"/>
  <c r="G2893" i="2"/>
  <c r="F2893" i="2"/>
  <c r="E2893" i="2"/>
  <c r="D2893" i="2"/>
  <c r="C2893" i="2"/>
  <c r="B2893" i="2"/>
  <c r="V2892" i="2"/>
  <c r="U2892" i="2"/>
  <c r="T2892" i="2"/>
  <c r="S2892" i="2"/>
  <c r="R2892" i="2"/>
  <c r="Q2892" i="2"/>
  <c r="P2892" i="2"/>
  <c r="O2892" i="2"/>
  <c r="N2892" i="2"/>
  <c r="M2892" i="2"/>
  <c r="L2892" i="2"/>
  <c r="K2892" i="2"/>
  <c r="J2892" i="2"/>
  <c r="I2892" i="2"/>
  <c r="H2892" i="2"/>
  <c r="G2892" i="2"/>
  <c r="F2892" i="2"/>
  <c r="E2892" i="2"/>
  <c r="D2892" i="2"/>
  <c r="C2892" i="2"/>
  <c r="B2892" i="2"/>
  <c r="V2891" i="2"/>
  <c r="U2891" i="2"/>
  <c r="T2891" i="2"/>
  <c r="S2891" i="2"/>
  <c r="R2891" i="2"/>
  <c r="Q2891" i="2"/>
  <c r="P2891" i="2"/>
  <c r="O2891" i="2"/>
  <c r="N2891" i="2"/>
  <c r="M2891" i="2"/>
  <c r="L2891" i="2"/>
  <c r="K2891" i="2"/>
  <c r="J2891" i="2"/>
  <c r="I2891" i="2"/>
  <c r="H2891" i="2"/>
  <c r="G2891" i="2"/>
  <c r="F2891" i="2"/>
  <c r="E2891" i="2"/>
  <c r="D2891" i="2"/>
  <c r="C2891" i="2"/>
  <c r="B2891" i="2"/>
  <c r="V2890" i="2"/>
  <c r="U2890" i="2"/>
  <c r="T2890" i="2"/>
  <c r="S2890" i="2"/>
  <c r="R2890" i="2"/>
  <c r="Q2890" i="2"/>
  <c r="P2890" i="2"/>
  <c r="O2890" i="2"/>
  <c r="N2890" i="2"/>
  <c r="M2890" i="2"/>
  <c r="L2890" i="2"/>
  <c r="K2890" i="2"/>
  <c r="J2890" i="2"/>
  <c r="I2890" i="2"/>
  <c r="H2890" i="2"/>
  <c r="G2890" i="2"/>
  <c r="F2890" i="2"/>
  <c r="E2890" i="2"/>
  <c r="D2890" i="2"/>
  <c r="C2890" i="2"/>
  <c r="B2890" i="2"/>
  <c r="V2889" i="2"/>
  <c r="U2889" i="2"/>
  <c r="T2889" i="2"/>
  <c r="S2889" i="2"/>
  <c r="R2889" i="2"/>
  <c r="Q2889" i="2"/>
  <c r="P2889" i="2"/>
  <c r="O2889" i="2"/>
  <c r="N2889" i="2"/>
  <c r="M2889" i="2"/>
  <c r="L2889" i="2"/>
  <c r="K2889" i="2"/>
  <c r="J2889" i="2"/>
  <c r="I2889" i="2"/>
  <c r="H2889" i="2"/>
  <c r="G2889" i="2"/>
  <c r="F2889" i="2"/>
  <c r="E2889" i="2"/>
  <c r="D2889" i="2"/>
  <c r="C2889" i="2"/>
  <c r="B2889" i="2"/>
  <c r="V2888" i="2"/>
  <c r="U2888" i="2"/>
  <c r="T2888" i="2"/>
  <c r="S2888" i="2"/>
  <c r="R2888" i="2"/>
  <c r="Q2888" i="2"/>
  <c r="P2888" i="2"/>
  <c r="O2888" i="2"/>
  <c r="N2888" i="2"/>
  <c r="M2888" i="2"/>
  <c r="L2888" i="2"/>
  <c r="K2888" i="2"/>
  <c r="J2888" i="2"/>
  <c r="I2888" i="2"/>
  <c r="H2888" i="2"/>
  <c r="G2888" i="2"/>
  <c r="F2888" i="2"/>
  <c r="E2888" i="2"/>
  <c r="D2888" i="2"/>
  <c r="C2888" i="2"/>
  <c r="B2888" i="2"/>
  <c r="V2887" i="2"/>
  <c r="U2887" i="2"/>
  <c r="T2887" i="2"/>
  <c r="S2887" i="2"/>
  <c r="R2887" i="2"/>
  <c r="Q2887" i="2"/>
  <c r="P2887" i="2"/>
  <c r="O2887" i="2"/>
  <c r="N2887" i="2"/>
  <c r="M2887" i="2"/>
  <c r="L2887" i="2"/>
  <c r="K2887" i="2"/>
  <c r="J2887" i="2"/>
  <c r="I2887" i="2"/>
  <c r="H2887" i="2"/>
  <c r="G2887" i="2"/>
  <c r="F2887" i="2"/>
  <c r="E2887" i="2"/>
  <c r="D2887" i="2"/>
  <c r="C2887" i="2"/>
  <c r="B2887" i="2"/>
  <c r="V2886" i="2"/>
  <c r="U2886" i="2"/>
  <c r="T2886" i="2"/>
  <c r="S2886" i="2"/>
  <c r="R2886" i="2"/>
  <c r="Q2886" i="2"/>
  <c r="P2886" i="2"/>
  <c r="O2886" i="2"/>
  <c r="N2886" i="2"/>
  <c r="M2886" i="2"/>
  <c r="L2886" i="2"/>
  <c r="K2886" i="2"/>
  <c r="J2886" i="2"/>
  <c r="I2886" i="2"/>
  <c r="H2886" i="2"/>
  <c r="G2886" i="2"/>
  <c r="F2886" i="2"/>
  <c r="E2886" i="2"/>
  <c r="D2886" i="2"/>
  <c r="C2886" i="2"/>
  <c r="B2886" i="2"/>
  <c r="V2885" i="2"/>
  <c r="U2885" i="2"/>
  <c r="T2885" i="2"/>
  <c r="S2885" i="2"/>
  <c r="R2885" i="2"/>
  <c r="Q2885" i="2"/>
  <c r="P2885" i="2"/>
  <c r="O2885" i="2"/>
  <c r="N2885" i="2"/>
  <c r="M2885" i="2"/>
  <c r="L2885" i="2"/>
  <c r="K2885" i="2"/>
  <c r="J2885" i="2"/>
  <c r="I2885" i="2"/>
  <c r="H2885" i="2"/>
  <c r="G2885" i="2"/>
  <c r="F2885" i="2"/>
  <c r="E2885" i="2"/>
  <c r="D2885" i="2"/>
  <c r="C2885" i="2"/>
  <c r="B2885" i="2"/>
  <c r="V2884" i="2"/>
  <c r="U2884" i="2"/>
  <c r="T2884" i="2"/>
  <c r="S2884" i="2"/>
  <c r="R2884" i="2"/>
  <c r="Q2884" i="2"/>
  <c r="P2884" i="2"/>
  <c r="O2884" i="2"/>
  <c r="N2884" i="2"/>
  <c r="M2884" i="2"/>
  <c r="L2884" i="2"/>
  <c r="K2884" i="2"/>
  <c r="J2884" i="2"/>
  <c r="I2884" i="2"/>
  <c r="H2884" i="2"/>
  <c r="G2884" i="2"/>
  <c r="F2884" i="2"/>
  <c r="E2884" i="2"/>
  <c r="D2884" i="2"/>
  <c r="C2884" i="2"/>
  <c r="B2884" i="2"/>
  <c r="V2883" i="2"/>
  <c r="U2883" i="2"/>
  <c r="T2883" i="2"/>
  <c r="S2883" i="2"/>
  <c r="R2883" i="2"/>
  <c r="Q2883" i="2"/>
  <c r="P2883" i="2"/>
  <c r="O2883" i="2"/>
  <c r="N2883" i="2"/>
  <c r="M2883" i="2"/>
  <c r="L2883" i="2"/>
  <c r="K2883" i="2"/>
  <c r="J2883" i="2"/>
  <c r="I2883" i="2"/>
  <c r="H2883" i="2"/>
  <c r="G2883" i="2"/>
  <c r="F2883" i="2"/>
  <c r="E2883" i="2"/>
  <c r="D2883" i="2"/>
  <c r="C2883" i="2"/>
  <c r="B2883" i="2"/>
  <c r="V2882" i="2"/>
  <c r="U2882" i="2"/>
  <c r="T2882" i="2"/>
  <c r="S2882" i="2"/>
  <c r="R2882" i="2"/>
  <c r="Q2882" i="2"/>
  <c r="P2882" i="2"/>
  <c r="O2882" i="2"/>
  <c r="N2882" i="2"/>
  <c r="M2882" i="2"/>
  <c r="L2882" i="2"/>
  <c r="K2882" i="2"/>
  <c r="J2882" i="2"/>
  <c r="I2882" i="2"/>
  <c r="H2882" i="2"/>
  <c r="G2882" i="2"/>
  <c r="F2882" i="2"/>
  <c r="E2882" i="2"/>
  <c r="D2882" i="2"/>
  <c r="C2882" i="2"/>
  <c r="B2882" i="2"/>
  <c r="V2881" i="2"/>
  <c r="U2881" i="2"/>
  <c r="T2881" i="2"/>
  <c r="S2881" i="2"/>
  <c r="R2881" i="2"/>
  <c r="Q2881" i="2"/>
  <c r="P2881" i="2"/>
  <c r="O2881" i="2"/>
  <c r="N2881" i="2"/>
  <c r="M2881" i="2"/>
  <c r="L2881" i="2"/>
  <c r="K2881" i="2"/>
  <c r="J2881" i="2"/>
  <c r="I2881" i="2"/>
  <c r="H2881" i="2"/>
  <c r="G2881" i="2"/>
  <c r="F2881" i="2"/>
  <c r="E2881" i="2"/>
  <c r="D2881" i="2"/>
  <c r="C2881" i="2"/>
  <c r="B2881" i="2"/>
  <c r="V2880" i="2"/>
  <c r="U2880" i="2"/>
  <c r="T2880" i="2"/>
  <c r="S2880" i="2"/>
  <c r="R2880" i="2"/>
  <c r="Q2880" i="2"/>
  <c r="P2880" i="2"/>
  <c r="O2880" i="2"/>
  <c r="N2880" i="2"/>
  <c r="M2880" i="2"/>
  <c r="L2880" i="2"/>
  <c r="K2880" i="2"/>
  <c r="J2880" i="2"/>
  <c r="I2880" i="2"/>
  <c r="H2880" i="2"/>
  <c r="G2880" i="2"/>
  <c r="F2880" i="2"/>
  <c r="E2880" i="2"/>
  <c r="D2880" i="2"/>
  <c r="C2880" i="2"/>
  <c r="B2880" i="2"/>
  <c r="V2879" i="2"/>
  <c r="U2879" i="2"/>
  <c r="T2879" i="2"/>
  <c r="S2879" i="2"/>
  <c r="R2879" i="2"/>
  <c r="Q2879" i="2"/>
  <c r="P2879" i="2"/>
  <c r="O2879" i="2"/>
  <c r="N2879" i="2"/>
  <c r="M2879" i="2"/>
  <c r="L2879" i="2"/>
  <c r="K2879" i="2"/>
  <c r="J2879" i="2"/>
  <c r="I2879" i="2"/>
  <c r="H2879" i="2"/>
  <c r="G2879" i="2"/>
  <c r="F2879" i="2"/>
  <c r="E2879" i="2"/>
  <c r="D2879" i="2"/>
  <c r="C2879" i="2"/>
  <c r="B2879" i="2"/>
  <c r="V2878" i="2"/>
  <c r="U2878" i="2"/>
  <c r="T2878" i="2"/>
  <c r="S2878" i="2"/>
  <c r="R2878" i="2"/>
  <c r="Q2878" i="2"/>
  <c r="P2878" i="2"/>
  <c r="O2878" i="2"/>
  <c r="N2878" i="2"/>
  <c r="M2878" i="2"/>
  <c r="L2878" i="2"/>
  <c r="K2878" i="2"/>
  <c r="J2878" i="2"/>
  <c r="I2878" i="2"/>
  <c r="H2878" i="2"/>
  <c r="G2878" i="2"/>
  <c r="F2878" i="2"/>
  <c r="E2878" i="2"/>
  <c r="D2878" i="2"/>
  <c r="C2878" i="2"/>
  <c r="B2878" i="2"/>
  <c r="V2877" i="2"/>
  <c r="U2877" i="2"/>
  <c r="T2877" i="2"/>
  <c r="S2877" i="2"/>
  <c r="R2877" i="2"/>
  <c r="Q2877" i="2"/>
  <c r="P2877" i="2"/>
  <c r="O2877" i="2"/>
  <c r="N2877" i="2"/>
  <c r="M2877" i="2"/>
  <c r="L2877" i="2"/>
  <c r="K2877" i="2"/>
  <c r="J2877" i="2"/>
  <c r="I2877" i="2"/>
  <c r="H2877" i="2"/>
  <c r="G2877" i="2"/>
  <c r="F2877" i="2"/>
  <c r="E2877" i="2"/>
  <c r="D2877" i="2"/>
  <c r="C2877" i="2"/>
  <c r="B2877" i="2"/>
  <c r="V2876" i="2"/>
  <c r="U2876" i="2"/>
  <c r="T2876" i="2"/>
  <c r="S2876" i="2"/>
  <c r="R2876" i="2"/>
  <c r="Q2876" i="2"/>
  <c r="P2876" i="2"/>
  <c r="O2876" i="2"/>
  <c r="N2876" i="2"/>
  <c r="M2876" i="2"/>
  <c r="L2876" i="2"/>
  <c r="K2876" i="2"/>
  <c r="J2876" i="2"/>
  <c r="I2876" i="2"/>
  <c r="H2876" i="2"/>
  <c r="G2876" i="2"/>
  <c r="F2876" i="2"/>
  <c r="E2876" i="2"/>
  <c r="D2876" i="2"/>
  <c r="C2876" i="2"/>
  <c r="B2876" i="2"/>
  <c r="V2875" i="2"/>
  <c r="U2875" i="2"/>
  <c r="T2875" i="2"/>
  <c r="S2875" i="2"/>
  <c r="R2875" i="2"/>
  <c r="Q2875" i="2"/>
  <c r="P2875" i="2"/>
  <c r="O2875" i="2"/>
  <c r="N2875" i="2"/>
  <c r="M2875" i="2"/>
  <c r="L2875" i="2"/>
  <c r="K2875" i="2"/>
  <c r="J2875" i="2"/>
  <c r="I2875" i="2"/>
  <c r="H2875" i="2"/>
  <c r="G2875" i="2"/>
  <c r="F2875" i="2"/>
  <c r="E2875" i="2"/>
  <c r="D2875" i="2"/>
  <c r="C2875" i="2"/>
  <c r="B2875" i="2"/>
  <c r="V2874" i="2"/>
  <c r="U2874" i="2"/>
  <c r="T2874" i="2"/>
  <c r="S2874" i="2"/>
  <c r="R2874" i="2"/>
  <c r="Q2874" i="2"/>
  <c r="P2874" i="2"/>
  <c r="O2874" i="2"/>
  <c r="N2874" i="2"/>
  <c r="M2874" i="2"/>
  <c r="L2874" i="2"/>
  <c r="K2874" i="2"/>
  <c r="J2874" i="2"/>
  <c r="I2874" i="2"/>
  <c r="H2874" i="2"/>
  <c r="G2874" i="2"/>
  <c r="F2874" i="2"/>
  <c r="E2874" i="2"/>
  <c r="D2874" i="2"/>
  <c r="C2874" i="2"/>
  <c r="B2874" i="2"/>
  <c r="V2873" i="2"/>
  <c r="U2873" i="2"/>
  <c r="T2873" i="2"/>
  <c r="S2873" i="2"/>
  <c r="R2873" i="2"/>
  <c r="Q2873" i="2"/>
  <c r="P2873" i="2"/>
  <c r="O2873" i="2"/>
  <c r="N2873" i="2"/>
  <c r="M2873" i="2"/>
  <c r="L2873" i="2"/>
  <c r="K2873" i="2"/>
  <c r="J2873" i="2"/>
  <c r="I2873" i="2"/>
  <c r="H2873" i="2"/>
  <c r="G2873" i="2"/>
  <c r="F2873" i="2"/>
  <c r="E2873" i="2"/>
  <c r="D2873" i="2"/>
  <c r="C2873" i="2"/>
  <c r="B2873" i="2"/>
  <c r="V2872" i="2"/>
  <c r="U2872" i="2"/>
  <c r="T2872" i="2"/>
  <c r="S2872" i="2"/>
  <c r="R2872" i="2"/>
  <c r="Q2872" i="2"/>
  <c r="P2872" i="2"/>
  <c r="O2872" i="2"/>
  <c r="N2872" i="2"/>
  <c r="M2872" i="2"/>
  <c r="L2872" i="2"/>
  <c r="K2872" i="2"/>
  <c r="J2872" i="2"/>
  <c r="I2872" i="2"/>
  <c r="H2872" i="2"/>
  <c r="G2872" i="2"/>
  <c r="F2872" i="2"/>
  <c r="E2872" i="2"/>
  <c r="D2872" i="2"/>
  <c r="C2872" i="2"/>
  <c r="B2872" i="2"/>
  <c r="V2871" i="2"/>
  <c r="U2871" i="2"/>
  <c r="T2871" i="2"/>
  <c r="S2871" i="2"/>
  <c r="R2871" i="2"/>
  <c r="Q2871" i="2"/>
  <c r="P2871" i="2"/>
  <c r="O2871" i="2"/>
  <c r="N2871" i="2"/>
  <c r="M2871" i="2"/>
  <c r="L2871" i="2"/>
  <c r="K2871" i="2"/>
  <c r="J2871" i="2"/>
  <c r="I2871" i="2"/>
  <c r="H2871" i="2"/>
  <c r="G2871" i="2"/>
  <c r="F2871" i="2"/>
  <c r="E2871" i="2"/>
  <c r="D2871" i="2"/>
  <c r="C2871" i="2"/>
  <c r="B2871" i="2"/>
  <c r="V2870" i="2"/>
  <c r="U2870" i="2"/>
  <c r="T2870" i="2"/>
  <c r="S2870" i="2"/>
  <c r="R2870" i="2"/>
  <c r="Q2870" i="2"/>
  <c r="P2870" i="2"/>
  <c r="O2870" i="2"/>
  <c r="N2870" i="2"/>
  <c r="M2870" i="2"/>
  <c r="L2870" i="2"/>
  <c r="K2870" i="2"/>
  <c r="J2870" i="2"/>
  <c r="I2870" i="2"/>
  <c r="H2870" i="2"/>
  <c r="G2870" i="2"/>
  <c r="F2870" i="2"/>
  <c r="E2870" i="2"/>
  <c r="D2870" i="2"/>
  <c r="C2870" i="2"/>
  <c r="B2870" i="2"/>
  <c r="V2869" i="2"/>
  <c r="U2869" i="2"/>
  <c r="T2869" i="2"/>
  <c r="S2869" i="2"/>
  <c r="R2869" i="2"/>
  <c r="Q2869" i="2"/>
  <c r="P2869" i="2"/>
  <c r="O2869" i="2"/>
  <c r="N2869" i="2"/>
  <c r="M2869" i="2"/>
  <c r="L2869" i="2"/>
  <c r="K2869" i="2"/>
  <c r="J2869" i="2"/>
  <c r="I2869" i="2"/>
  <c r="H2869" i="2"/>
  <c r="G2869" i="2"/>
  <c r="F2869" i="2"/>
  <c r="E2869" i="2"/>
  <c r="D2869" i="2"/>
  <c r="C2869" i="2"/>
  <c r="B2869" i="2"/>
  <c r="V2868" i="2"/>
  <c r="U2868" i="2"/>
  <c r="T2868" i="2"/>
  <c r="S2868" i="2"/>
  <c r="R2868" i="2"/>
  <c r="Q2868" i="2"/>
  <c r="P2868" i="2"/>
  <c r="O2868" i="2"/>
  <c r="N2868" i="2"/>
  <c r="M2868" i="2"/>
  <c r="L2868" i="2"/>
  <c r="K2868" i="2"/>
  <c r="J2868" i="2"/>
  <c r="I2868" i="2"/>
  <c r="H2868" i="2"/>
  <c r="G2868" i="2"/>
  <c r="F2868" i="2"/>
  <c r="E2868" i="2"/>
  <c r="D2868" i="2"/>
  <c r="C2868" i="2"/>
  <c r="B2868" i="2"/>
  <c r="V2867" i="2"/>
  <c r="U2867" i="2"/>
  <c r="T2867" i="2"/>
  <c r="S2867" i="2"/>
  <c r="R2867" i="2"/>
  <c r="Q2867" i="2"/>
  <c r="P2867" i="2"/>
  <c r="O2867" i="2"/>
  <c r="N2867" i="2"/>
  <c r="M2867" i="2"/>
  <c r="L2867" i="2"/>
  <c r="K2867" i="2"/>
  <c r="J2867" i="2"/>
  <c r="I2867" i="2"/>
  <c r="H2867" i="2"/>
  <c r="G2867" i="2"/>
  <c r="F2867" i="2"/>
  <c r="E2867" i="2"/>
  <c r="D2867" i="2"/>
  <c r="C2867" i="2"/>
  <c r="B2867" i="2"/>
  <c r="V2866" i="2"/>
  <c r="U2866" i="2"/>
  <c r="T2866" i="2"/>
  <c r="S2866" i="2"/>
  <c r="R2866" i="2"/>
  <c r="Q2866" i="2"/>
  <c r="P2866" i="2"/>
  <c r="O2866" i="2"/>
  <c r="N2866" i="2"/>
  <c r="M2866" i="2"/>
  <c r="L2866" i="2"/>
  <c r="K2866" i="2"/>
  <c r="J2866" i="2"/>
  <c r="I2866" i="2"/>
  <c r="H2866" i="2"/>
  <c r="G2866" i="2"/>
  <c r="F2866" i="2"/>
  <c r="E2866" i="2"/>
  <c r="D2866" i="2"/>
  <c r="C2866" i="2"/>
  <c r="B2866" i="2"/>
  <c r="V2865" i="2"/>
  <c r="U2865" i="2"/>
  <c r="T2865" i="2"/>
  <c r="S2865" i="2"/>
  <c r="R2865" i="2"/>
  <c r="Q2865" i="2"/>
  <c r="P2865" i="2"/>
  <c r="O2865" i="2"/>
  <c r="N2865" i="2"/>
  <c r="M2865" i="2"/>
  <c r="L2865" i="2"/>
  <c r="K2865" i="2"/>
  <c r="J2865" i="2"/>
  <c r="I2865" i="2"/>
  <c r="H2865" i="2"/>
  <c r="G2865" i="2"/>
  <c r="F2865" i="2"/>
  <c r="E2865" i="2"/>
  <c r="D2865" i="2"/>
  <c r="C2865" i="2"/>
  <c r="B2865" i="2"/>
  <c r="V2864" i="2"/>
  <c r="U2864" i="2"/>
  <c r="T2864" i="2"/>
  <c r="S2864" i="2"/>
  <c r="R2864" i="2"/>
  <c r="Q2864" i="2"/>
  <c r="P2864" i="2"/>
  <c r="O2864" i="2"/>
  <c r="N2864" i="2"/>
  <c r="M2864" i="2"/>
  <c r="L2864" i="2"/>
  <c r="K2864" i="2"/>
  <c r="J2864" i="2"/>
  <c r="I2864" i="2"/>
  <c r="H2864" i="2"/>
  <c r="G2864" i="2"/>
  <c r="F2864" i="2"/>
  <c r="E2864" i="2"/>
  <c r="D2864" i="2"/>
  <c r="C2864" i="2"/>
  <c r="B2864" i="2"/>
  <c r="V2863" i="2"/>
  <c r="U2863" i="2"/>
  <c r="T2863" i="2"/>
  <c r="S2863" i="2"/>
  <c r="R2863" i="2"/>
  <c r="Q2863" i="2"/>
  <c r="P2863" i="2"/>
  <c r="O2863" i="2"/>
  <c r="N2863" i="2"/>
  <c r="M2863" i="2"/>
  <c r="L2863" i="2"/>
  <c r="K2863" i="2"/>
  <c r="J2863" i="2"/>
  <c r="I2863" i="2"/>
  <c r="H2863" i="2"/>
  <c r="G2863" i="2"/>
  <c r="F2863" i="2"/>
  <c r="E2863" i="2"/>
  <c r="D2863" i="2"/>
  <c r="C2863" i="2"/>
  <c r="B2863" i="2"/>
  <c r="V2862" i="2"/>
  <c r="U2862" i="2"/>
  <c r="T2862" i="2"/>
  <c r="S2862" i="2"/>
  <c r="R2862" i="2"/>
  <c r="Q2862" i="2"/>
  <c r="P2862" i="2"/>
  <c r="O2862" i="2"/>
  <c r="N2862" i="2"/>
  <c r="M2862" i="2"/>
  <c r="L2862" i="2"/>
  <c r="K2862" i="2"/>
  <c r="J2862" i="2"/>
  <c r="I2862" i="2"/>
  <c r="H2862" i="2"/>
  <c r="G2862" i="2"/>
  <c r="F2862" i="2"/>
  <c r="E2862" i="2"/>
  <c r="D2862" i="2"/>
  <c r="C2862" i="2"/>
  <c r="B2862" i="2"/>
  <c r="V2861" i="2"/>
  <c r="U2861" i="2"/>
  <c r="T2861" i="2"/>
  <c r="S2861" i="2"/>
  <c r="R2861" i="2"/>
  <c r="Q2861" i="2"/>
  <c r="P2861" i="2"/>
  <c r="O2861" i="2"/>
  <c r="N2861" i="2"/>
  <c r="M2861" i="2"/>
  <c r="L2861" i="2"/>
  <c r="K2861" i="2"/>
  <c r="J2861" i="2"/>
  <c r="I2861" i="2"/>
  <c r="H2861" i="2"/>
  <c r="G2861" i="2"/>
  <c r="F2861" i="2"/>
  <c r="E2861" i="2"/>
  <c r="D2861" i="2"/>
  <c r="C2861" i="2"/>
  <c r="B2861" i="2"/>
  <c r="V2860" i="2"/>
  <c r="U2860" i="2"/>
  <c r="T2860" i="2"/>
  <c r="S2860" i="2"/>
  <c r="R2860" i="2"/>
  <c r="Q2860" i="2"/>
  <c r="P2860" i="2"/>
  <c r="O2860" i="2"/>
  <c r="N2860" i="2"/>
  <c r="M2860" i="2"/>
  <c r="L2860" i="2"/>
  <c r="K2860" i="2"/>
  <c r="J2860" i="2"/>
  <c r="I2860" i="2"/>
  <c r="H2860" i="2"/>
  <c r="G2860" i="2"/>
  <c r="F2860" i="2"/>
  <c r="E2860" i="2"/>
  <c r="D2860" i="2"/>
  <c r="C2860" i="2"/>
  <c r="B2860" i="2"/>
  <c r="V2859" i="2"/>
  <c r="U2859" i="2"/>
  <c r="T2859" i="2"/>
  <c r="S2859" i="2"/>
  <c r="R2859" i="2"/>
  <c r="Q2859" i="2"/>
  <c r="P2859" i="2"/>
  <c r="O2859" i="2"/>
  <c r="N2859" i="2"/>
  <c r="M2859" i="2"/>
  <c r="L2859" i="2"/>
  <c r="K2859" i="2"/>
  <c r="J2859" i="2"/>
  <c r="I2859" i="2"/>
  <c r="H2859" i="2"/>
  <c r="G2859" i="2"/>
  <c r="F2859" i="2"/>
  <c r="E2859" i="2"/>
  <c r="D2859" i="2"/>
  <c r="C2859" i="2"/>
  <c r="B2859" i="2"/>
  <c r="V2858" i="2"/>
  <c r="U2858" i="2"/>
  <c r="T2858" i="2"/>
  <c r="S2858" i="2"/>
  <c r="R2858" i="2"/>
  <c r="Q2858" i="2"/>
  <c r="P2858" i="2"/>
  <c r="O2858" i="2"/>
  <c r="N2858" i="2"/>
  <c r="M2858" i="2"/>
  <c r="L2858" i="2"/>
  <c r="K2858" i="2"/>
  <c r="J2858" i="2"/>
  <c r="I2858" i="2"/>
  <c r="H2858" i="2"/>
  <c r="G2858" i="2"/>
  <c r="F2858" i="2"/>
  <c r="E2858" i="2"/>
  <c r="D2858" i="2"/>
  <c r="C2858" i="2"/>
  <c r="B2858" i="2"/>
  <c r="V2857" i="2"/>
  <c r="U2857" i="2"/>
  <c r="T2857" i="2"/>
  <c r="S2857" i="2"/>
  <c r="R2857" i="2"/>
  <c r="Q2857" i="2"/>
  <c r="P2857" i="2"/>
  <c r="O2857" i="2"/>
  <c r="N2857" i="2"/>
  <c r="M2857" i="2"/>
  <c r="L2857" i="2"/>
  <c r="K2857" i="2"/>
  <c r="J2857" i="2"/>
  <c r="I2857" i="2"/>
  <c r="H2857" i="2"/>
  <c r="G2857" i="2"/>
  <c r="F2857" i="2"/>
  <c r="E2857" i="2"/>
  <c r="D2857" i="2"/>
  <c r="C2857" i="2"/>
  <c r="B2857" i="2"/>
  <c r="V2856" i="2"/>
  <c r="U2856" i="2"/>
  <c r="T2856" i="2"/>
  <c r="S2856" i="2"/>
  <c r="R2856" i="2"/>
  <c r="Q2856" i="2"/>
  <c r="P2856" i="2"/>
  <c r="O2856" i="2"/>
  <c r="N2856" i="2"/>
  <c r="M2856" i="2"/>
  <c r="L2856" i="2"/>
  <c r="K2856" i="2"/>
  <c r="J2856" i="2"/>
  <c r="I2856" i="2"/>
  <c r="H2856" i="2"/>
  <c r="G2856" i="2"/>
  <c r="F2856" i="2"/>
  <c r="E2856" i="2"/>
  <c r="D2856" i="2"/>
  <c r="C2856" i="2"/>
  <c r="B2856" i="2"/>
  <c r="V2855" i="2"/>
  <c r="U2855" i="2"/>
  <c r="T2855" i="2"/>
  <c r="S2855" i="2"/>
  <c r="R2855" i="2"/>
  <c r="Q2855" i="2"/>
  <c r="P2855" i="2"/>
  <c r="O2855" i="2"/>
  <c r="N2855" i="2"/>
  <c r="M2855" i="2"/>
  <c r="L2855" i="2"/>
  <c r="K2855" i="2"/>
  <c r="J2855" i="2"/>
  <c r="I2855" i="2"/>
  <c r="H2855" i="2"/>
  <c r="G2855" i="2"/>
  <c r="F2855" i="2"/>
  <c r="E2855" i="2"/>
  <c r="D2855" i="2"/>
  <c r="C2855" i="2"/>
  <c r="B2855" i="2"/>
  <c r="V2854" i="2"/>
  <c r="U2854" i="2"/>
  <c r="T2854" i="2"/>
  <c r="S2854" i="2"/>
  <c r="R2854" i="2"/>
  <c r="Q2854" i="2"/>
  <c r="P2854" i="2"/>
  <c r="O2854" i="2"/>
  <c r="N2854" i="2"/>
  <c r="M2854" i="2"/>
  <c r="L2854" i="2"/>
  <c r="K2854" i="2"/>
  <c r="J2854" i="2"/>
  <c r="I2854" i="2"/>
  <c r="H2854" i="2"/>
  <c r="G2854" i="2"/>
  <c r="F2854" i="2"/>
  <c r="E2854" i="2"/>
  <c r="D2854" i="2"/>
  <c r="C2854" i="2"/>
  <c r="B2854" i="2"/>
  <c r="V2853" i="2"/>
  <c r="U2853" i="2"/>
  <c r="T2853" i="2"/>
  <c r="S2853" i="2"/>
  <c r="R2853" i="2"/>
  <c r="Q2853" i="2"/>
  <c r="P2853" i="2"/>
  <c r="O2853" i="2"/>
  <c r="N2853" i="2"/>
  <c r="M2853" i="2"/>
  <c r="L2853" i="2"/>
  <c r="K2853" i="2"/>
  <c r="J2853" i="2"/>
  <c r="I2853" i="2"/>
  <c r="H2853" i="2"/>
  <c r="G2853" i="2"/>
  <c r="F2853" i="2"/>
  <c r="E2853" i="2"/>
  <c r="D2853" i="2"/>
  <c r="C2853" i="2"/>
  <c r="B2853" i="2"/>
  <c r="V2852" i="2"/>
  <c r="U2852" i="2"/>
  <c r="T2852" i="2"/>
  <c r="S2852" i="2"/>
  <c r="R2852" i="2"/>
  <c r="Q2852" i="2"/>
  <c r="P2852" i="2"/>
  <c r="O2852" i="2"/>
  <c r="N2852" i="2"/>
  <c r="M2852" i="2"/>
  <c r="L2852" i="2"/>
  <c r="K2852" i="2"/>
  <c r="J2852" i="2"/>
  <c r="I2852" i="2"/>
  <c r="H2852" i="2"/>
  <c r="G2852" i="2"/>
  <c r="F2852" i="2"/>
  <c r="E2852" i="2"/>
  <c r="D2852" i="2"/>
  <c r="C2852" i="2"/>
  <c r="B2852" i="2"/>
  <c r="V2851" i="2"/>
  <c r="U2851" i="2"/>
  <c r="T2851" i="2"/>
  <c r="S2851" i="2"/>
  <c r="R2851" i="2"/>
  <c r="Q2851" i="2"/>
  <c r="P2851" i="2"/>
  <c r="O2851" i="2"/>
  <c r="N2851" i="2"/>
  <c r="M2851" i="2"/>
  <c r="L2851" i="2"/>
  <c r="K2851" i="2"/>
  <c r="J2851" i="2"/>
  <c r="I2851" i="2"/>
  <c r="H2851" i="2"/>
  <c r="G2851" i="2"/>
  <c r="F2851" i="2"/>
  <c r="E2851" i="2"/>
  <c r="D2851" i="2"/>
  <c r="C2851" i="2"/>
  <c r="B2851" i="2"/>
  <c r="V2850" i="2"/>
  <c r="U2850" i="2"/>
  <c r="T2850" i="2"/>
  <c r="S2850" i="2"/>
  <c r="R2850" i="2"/>
  <c r="Q2850" i="2"/>
  <c r="P2850" i="2"/>
  <c r="O2850" i="2"/>
  <c r="N2850" i="2"/>
  <c r="M2850" i="2"/>
  <c r="L2850" i="2"/>
  <c r="K2850" i="2"/>
  <c r="J2850" i="2"/>
  <c r="I2850" i="2"/>
  <c r="H2850" i="2"/>
  <c r="G2850" i="2"/>
  <c r="F2850" i="2"/>
  <c r="E2850" i="2"/>
  <c r="D2850" i="2"/>
  <c r="C2850" i="2"/>
  <c r="B2850" i="2"/>
  <c r="V2849" i="2"/>
  <c r="U2849" i="2"/>
  <c r="T2849" i="2"/>
  <c r="S2849" i="2"/>
  <c r="R2849" i="2"/>
  <c r="Q2849" i="2"/>
  <c r="P2849" i="2"/>
  <c r="O2849" i="2"/>
  <c r="N2849" i="2"/>
  <c r="M2849" i="2"/>
  <c r="L2849" i="2"/>
  <c r="K2849" i="2"/>
  <c r="J2849" i="2"/>
  <c r="I2849" i="2"/>
  <c r="H2849" i="2"/>
  <c r="G2849" i="2"/>
  <c r="F2849" i="2"/>
  <c r="E2849" i="2"/>
  <c r="D2849" i="2"/>
  <c r="C2849" i="2"/>
  <c r="B2849" i="2"/>
  <c r="V2848" i="2"/>
  <c r="U2848" i="2"/>
  <c r="T2848" i="2"/>
  <c r="S2848" i="2"/>
  <c r="R2848" i="2"/>
  <c r="Q2848" i="2"/>
  <c r="P2848" i="2"/>
  <c r="O2848" i="2"/>
  <c r="N2848" i="2"/>
  <c r="M2848" i="2"/>
  <c r="L2848" i="2"/>
  <c r="K2848" i="2"/>
  <c r="J2848" i="2"/>
  <c r="I2848" i="2"/>
  <c r="H2848" i="2"/>
  <c r="G2848" i="2"/>
  <c r="F2848" i="2"/>
  <c r="E2848" i="2"/>
  <c r="D2848" i="2"/>
  <c r="C2848" i="2"/>
  <c r="B2848" i="2"/>
  <c r="V2847" i="2"/>
  <c r="U2847" i="2"/>
  <c r="T2847" i="2"/>
  <c r="S2847" i="2"/>
  <c r="R2847" i="2"/>
  <c r="Q2847" i="2"/>
  <c r="P2847" i="2"/>
  <c r="O2847" i="2"/>
  <c r="N2847" i="2"/>
  <c r="M2847" i="2"/>
  <c r="L2847" i="2"/>
  <c r="K2847" i="2"/>
  <c r="J2847" i="2"/>
  <c r="I2847" i="2"/>
  <c r="H2847" i="2"/>
  <c r="G2847" i="2"/>
  <c r="F2847" i="2"/>
  <c r="E2847" i="2"/>
  <c r="D2847" i="2"/>
  <c r="C2847" i="2"/>
  <c r="B2847" i="2"/>
  <c r="V2846" i="2"/>
  <c r="U2846" i="2"/>
  <c r="T2846" i="2"/>
  <c r="S2846" i="2"/>
  <c r="R2846" i="2"/>
  <c r="Q2846" i="2"/>
  <c r="P2846" i="2"/>
  <c r="O2846" i="2"/>
  <c r="N2846" i="2"/>
  <c r="M2846" i="2"/>
  <c r="L2846" i="2"/>
  <c r="K2846" i="2"/>
  <c r="J2846" i="2"/>
  <c r="I2846" i="2"/>
  <c r="H2846" i="2"/>
  <c r="G2846" i="2"/>
  <c r="F2846" i="2"/>
  <c r="E2846" i="2"/>
  <c r="D2846" i="2"/>
  <c r="C2846" i="2"/>
  <c r="B2846" i="2"/>
  <c r="V2845" i="2"/>
  <c r="U2845" i="2"/>
  <c r="T2845" i="2"/>
  <c r="S2845" i="2"/>
  <c r="R2845" i="2"/>
  <c r="Q2845" i="2"/>
  <c r="P2845" i="2"/>
  <c r="O2845" i="2"/>
  <c r="N2845" i="2"/>
  <c r="M2845" i="2"/>
  <c r="L2845" i="2"/>
  <c r="K2845" i="2"/>
  <c r="J2845" i="2"/>
  <c r="I2845" i="2"/>
  <c r="H2845" i="2"/>
  <c r="G2845" i="2"/>
  <c r="F2845" i="2"/>
  <c r="E2845" i="2"/>
  <c r="D2845" i="2"/>
  <c r="C2845" i="2"/>
  <c r="B2845" i="2"/>
  <c r="V2844" i="2"/>
  <c r="U2844" i="2"/>
  <c r="T2844" i="2"/>
  <c r="S2844" i="2"/>
  <c r="R2844" i="2"/>
  <c r="Q2844" i="2"/>
  <c r="P2844" i="2"/>
  <c r="O2844" i="2"/>
  <c r="N2844" i="2"/>
  <c r="M2844" i="2"/>
  <c r="L2844" i="2"/>
  <c r="K2844" i="2"/>
  <c r="J2844" i="2"/>
  <c r="I2844" i="2"/>
  <c r="H2844" i="2"/>
  <c r="G2844" i="2"/>
  <c r="F2844" i="2"/>
  <c r="E2844" i="2"/>
  <c r="D2844" i="2"/>
  <c r="C2844" i="2"/>
  <c r="B2844" i="2"/>
  <c r="V2843" i="2"/>
  <c r="U2843" i="2"/>
  <c r="T2843" i="2"/>
  <c r="S2843" i="2"/>
  <c r="R2843" i="2"/>
  <c r="Q2843" i="2"/>
  <c r="P2843" i="2"/>
  <c r="O2843" i="2"/>
  <c r="N2843" i="2"/>
  <c r="M2843" i="2"/>
  <c r="L2843" i="2"/>
  <c r="K2843" i="2"/>
  <c r="J2843" i="2"/>
  <c r="I2843" i="2"/>
  <c r="H2843" i="2"/>
  <c r="G2843" i="2"/>
  <c r="F2843" i="2"/>
  <c r="E2843" i="2"/>
  <c r="D2843" i="2"/>
  <c r="C2843" i="2"/>
  <c r="B2843" i="2"/>
  <c r="V2842" i="2"/>
  <c r="U2842" i="2"/>
  <c r="T2842" i="2"/>
  <c r="S2842" i="2"/>
  <c r="R2842" i="2"/>
  <c r="Q2842" i="2"/>
  <c r="P2842" i="2"/>
  <c r="O2842" i="2"/>
  <c r="N2842" i="2"/>
  <c r="M2842" i="2"/>
  <c r="L2842" i="2"/>
  <c r="K2842" i="2"/>
  <c r="J2842" i="2"/>
  <c r="I2842" i="2"/>
  <c r="H2842" i="2"/>
  <c r="G2842" i="2"/>
  <c r="F2842" i="2"/>
  <c r="E2842" i="2"/>
  <c r="D2842" i="2"/>
  <c r="C2842" i="2"/>
  <c r="B2842" i="2"/>
  <c r="V2841" i="2"/>
  <c r="U2841" i="2"/>
  <c r="T2841" i="2"/>
  <c r="S2841" i="2"/>
  <c r="R2841" i="2"/>
  <c r="Q2841" i="2"/>
  <c r="P2841" i="2"/>
  <c r="O2841" i="2"/>
  <c r="N2841" i="2"/>
  <c r="M2841" i="2"/>
  <c r="L2841" i="2"/>
  <c r="K2841" i="2"/>
  <c r="J2841" i="2"/>
  <c r="I2841" i="2"/>
  <c r="H2841" i="2"/>
  <c r="G2841" i="2"/>
  <c r="F2841" i="2"/>
  <c r="E2841" i="2"/>
  <c r="D2841" i="2"/>
  <c r="C2841" i="2"/>
  <c r="B2841" i="2"/>
  <c r="V2840" i="2"/>
  <c r="U2840" i="2"/>
  <c r="T2840" i="2"/>
  <c r="S2840" i="2"/>
  <c r="R2840" i="2"/>
  <c r="Q2840" i="2"/>
  <c r="P2840" i="2"/>
  <c r="O2840" i="2"/>
  <c r="N2840" i="2"/>
  <c r="M2840" i="2"/>
  <c r="L2840" i="2"/>
  <c r="K2840" i="2"/>
  <c r="J2840" i="2"/>
  <c r="I2840" i="2"/>
  <c r="H2840" i="2"/>
  <c r="G2840" i="2"/>
  <c r="F2840" i="2"/>
  <c r="E2840" i="2"/>
  <c r="D2840" i="2"/>
  <c r="C2840" i="2"/>
  <c r="B2840" i="2"/>
  <c r="V2839" i="2"/>
  <c r="U2839" i="2"/>
  <c r="T2839" i="2"/>
  <c r="S2839" i="2"/>
  <c r="R2839" i="2"/>
  <c r="Q2839" i="2"/>
  <c r="P2839" i="2"/>
  <c r="O2839" i="2"/>
  <c r="N2839" i="2"/>
  <c r="M2839" i="2"/>
  <c r="L2839" i="2"/>
  <c r="K2839" i="2"/>
  <c r="J2839" i="2"/>
  <c r="I2839" i="2"/>
  <c r="H2839" i="2"/>
  <c r="G2839" i="2"/>
  <c r="F2839" i="2"/>
  <c r="E2839" i="2"/>
  <c r="D2839" i="2"/>
  <c r="C2839" i="2"/>
  <c r="B2839" i="2"/>
  <c r="V2838" i="2"/>
  <c r="U2838" i="2"/>
  <c r="T2838" i="2"/>
  <c r="S2838" i="2"/>
  <c r="R2838" i="2"/>
  <c r="Q2838" i="2"/>
  <c r="P2838" i="2"/>
  <c r="O2838" i="2"/>
  <c r="N2838" i="2"/>
  <c r="M2838" i="2"/>
  <c r="L2838" i="2"/>
  <c r="K2838" i="2"/>
  <c r="J2838" i="2"/>
  <c r="I2838" i="2"/>
  <c r="H2838" i="2"/>
  <c r="G2838" i="2"/>
  <c r="F2838" i="2"/>
  <c r="E2838" i="2"/>
  <c r="D2838" i="2"/>
  <c r="C2838" i="2"/>
  <c r="B2838" i="2"/>
  <c r="V2837" i="2"/>
  <c r="U2837" i="2"/>
  <c r="T2837" i="2"/>
  <c r="S2837" i="2"/>
  <c r="R2837" i="2"/>
  <c r="Q2837" i="2"/>
  <c r="P2837" i="2"/>
  <c r="O2837" i="2"/>
  <c r="N2837" i="2"/>
  <c r="M2837" i="2"/>
  <c r="L2837" i="2"/>
  <c r="K2837" i="2"/>
  <c r="J2837" i="2"/>
  <c r="I2837" i="2"/>
  <c r="H2837" i="2"/>
  <c r="G2837" i="2"/>
  <c r="F2837" i="2"/>
  <c r="E2837" i="2"/>
  <c r="D2837" i="2"/>
  <c r="C2837" i="2"/>
  <c r="B2837" i="2"/>
  <c r="V2836" i="2"/>
  <c r="U2836" i="2"/>
  <c r="T2836" i="2"/>
  <c r="S2836" i="2"/>
  <c r="R2836" i="2"/>
  <c r="Q2836" i="2"/>
  <c r="P2836" i="2"/>
  <c r="O2836" i="2"/>
  <c r="N2836" i="2"/>
  <c r="M2836" i="2"/>
  <c r="L2836" i="2"/>
  <c r="K2836" i="2"/>
  <c r="J2836" i="2"/>
  <c r="I2836" i="2"/>
  <c r="H2836" i="2"/>
  <c r="G2836" i="2"/>
  <c r="F2836" i="2"/>
  <c r="E2836" i="2"/>
  <c r="D2836" i="2"/>
  <c r="C2836" i="2"/>
  <c r="B2836" i="2"/>
  <c r="V2835" i="2"/>
  <c r="U2835" i="2"/>
  <c r="T2835" i="2"/>
  <c r="S2835" i="2"/>
  <c r="R2835" i="2"/>
  <c r="Q2835" i="2"/>
  <c r="P2835" i="2"/>
  <c r="O2835" i="2"/>
  <c r="N2835" i="2"/>
  <c r="M2835" i="2"/>
  <c r="L2835" i="2"/>
  <c r="K2835" i="2"/>
  <c r="J2835" i="2"/>
  <c r="I2835" i="2"/>
  <c r="H2835" i="2"/>
  <c r="G2835" i="2"/>
  <c r="F2835" i="2"/>
  <c r="E2835" i="2"/>
  <c r="D2835" i="2"/>
  <c r="C2835" i="2"/>
  <c r="B2835" i="2"/>
  <c r="V2834" i="2"/>
  <c r="U2834" i="2"/>
  <c r="T2834" i="2"/>
  <c r="S2834" i="2"/>
  <c r="R2834" i="2"/>
  <c r="Q2834" i="2"/>
  <c r="P2834" i="2"/>
  <c r="O2834" i="2"/>
  <c r="N2834" i="2"/>
  <c r="M2834" i="2"/>
  <c r="L2834" i="2"/>
  <c r="K2834" i="2"/>
  <c r="J2834" i="2"/>
  <c r="I2834" i="2"/>
  <c r="H2834" i="2"/>
  <c r="G2834" i="2"/>
  <c r="F2834" i="2"/>
  <c r="E2834" i="2"/>
  <c r="D2834" i="2"/>
  <c r="C2834" i="2"/>
  <c r="B2834" i="2"/>
  <c r="V2833" i="2"/>
  <c r="U2833" i="2"/>
  <c r="T2833" i="2"/>
  <c r="S2833" i="2"/>
  <c r="R2833" i="2"/>
  <c r="Q2833" i="2"/>
  <c r="P2833" i="2"/>
  <c r="O2833" i="2"/>
  <c r="N2833" i="2"/>
  <c r="M2833" i="2"/>
  <c r="L2833" i="2"/>
  <c r="K2833" i="2"/>
  <c r="J2833" i="2"/>
  <c r="I2833" i="2"/>
  <c r="H2833" i="2"/>
  <c r="G2833" i="2"/>
  <c r="F2833" i="2"/>
  <c r="E2833" i="2"/>
  <c r="D2833" i="2"/>
  <c r="C2833" i="2"/>
  <c r="B2833" i="2"/>
  <c r="V2832" i="2"/>
  <c r="U2832" i="2"/>
  <c r="T2832" i="2"/>
  <c r="S2832" i="2"/>
  <c r="R2832" i="2"/>
  <c r="Q2832" i="2"/>
  <c r="P2832" i="2"/>
  <c r="O2832" i="2"/>
  <c r="N2832" i="2"/>
  <c r="M2832" i="2"/>
  <c r="L2832" i="2"/>
  <c r="K2832" i="2"/>
  <c r="J2832" i="2"/>
  <c r="I2832" i="2"/>
  <c r="H2832" i="2"/>
  <c r="G2832" i="2"/>
  <c r="F2832" i="2"/>
  <c r="E2832" i="2"/>
  <c r="D2832" i="2"/>
  <c r="C2832" i="2"/>
  <c r="B2832" i="2"/>
  <c r="V2831" i="2"/>
  <c r="U2831" i="2"/>
  <c r="T2831" i="2"/>
  <c r="S2831" i="2"/>
  <c r="R2831" i="2"/>
  <c r="Q2831" i="2"/>
  <c r="P2831" i="2"/>
  <c r="O2831" i="2"/>
  <c r="N2831" i="2"/>
  <c r="M2831" i="2"/>
  <c r="L2831" i="2"/>
  <c r="K2831" i="2"/>
  <c r="J2831" i="2"/>
  <c r="I2831" i="2"/>
  <c r="H2831" i="2"/>
  <c r="G2831" i="2"/>
  <c r="F2831" i="2"/>
  <c r="E2831" i="2"/>
  <c r="D2831" i="2"/>
  <c r="C2831" i="2"/>
  <c r="B2831" i="2"/>
  <c r="V2830" i="2"/>
  <c r="U2830" i="2"/>
  <c r="T2830" i="2"/>
  <c r="S2830" i="2"/>
  <c r="R2830" i="2"/>
  <c r="Q2830" i="2"/>
  <c r="P2830" i="2"/>
  <c r="O2830" i="2"/>
  <c r="N2830" i="2"/>
  <c r="M2830" i="2"/>
  <c r="L2830" i="2"/>
  <c r="K2830" i="2"/>
  <c r="J2830" i="2"/>
  <c r="I2830" i="2"/>
  <c r="H2830" i="2"/>
  <c r="G2830" i="2"/>
  <c r="F2830" i="2"/>
  <c r="E2830" i="2"/>
  <c r="D2830" i="2"/>
  <c r="C2830" i="2"/>
  <c r="B2830" i="2"/>
  <c r="V2829" i="2"/>
  <c r="U2829" i="2"/>
  <c r="T2829" i="2"/>
  <c r="S2829" i="2"/>
  <c r="R2829" i="2"/>
  <c r="Q2829" i="2"/>
  <c r="P2829" i="2"/>
  <c r="O2829" i="2"/>
  <c r="N2829" i="2"/>
  <c r="M2829" i="2"/>
  <c r="L2829" i="2"/>
  <c r="K2829" i="2"/>
  <c r="J2829" i="2"/>
  <c r="I2829" i="2"/>
  <c r="H2829" i="2"/>
  <c r="G2829" i="2"/>
  <c r="F2829" i="2"/>
  <c r="E2829" i="2"/>
  <c r="D2829" i="2"/>
  <c r="C2829" i="2"/>
  <c r="B2829" i="2"/>
  <c r="V2828" i="2"/>
  <c r="U2828" i="2"/>
  <c r="T2828" i="2"/>
  <c r="S2828" i="2"/>
  <c r="R2828" i="2"/>
  <c r="Q2828" i="2"/>
  <c r="P2828" i="2"/>
  <c r="O2828" i="2"/>
  <c r="N2828" i="2"/>
  <c r="M2828" i="2"/>
  <c r="L2828" i="2"/>
  <c r="K2828" i="2"/>
  <c r="J2828" i="2"/>
  <c r="I2828" i="2"/>
  <c r="H2828" i="2"/>
  <c r="G2828" i="2"/>
  <c r="F2828" i="2"/>
  <c r="E2828" i="2"/>
  <c r="D2828" i="2"/>
  <c r="C2828" i="2"/>
  <c r="B2828" i="2"/>
  <c r="V2827" i="2"/>
  <c r="U2827" i="2"/>
  <c r="T2827" i="2"/>
  <c r="S2827" i="2"/>
  <c r="R2827" i="2"/>
  <c r="Q2827" i="2"/>
  <c r="P2827" i="2"/>
  <c r="O2827" i="2"/>
  <c r="N2827" i="2"/>
  <c r="M2827" i="2"/>
  <c r="L2827" i="2"/>
  <c r="K2827" i="2"/>
  <c r="J2827" i="2"/>
  <c r="I2827" i="2"/>
  <c r="H2827" i="2"/>
  <c r="G2827" i="2"/>
  <c r="F2827" i="2"/>
  <c r="E2827" i="2"/>
  <c r="D2827" i="2"/>
  <c r="C2827" i="2"/>
  <c r="B2827" i="2"/>
  <c r="V2826" i="2"/>
  <c r="U2826" i="2"/>
  <c r="T2826" i="2"/>
  <c r="S2826" i="2"/>
  <c r="R2826" i="2"/>
  <c r="Q2826" i="2"/>
  <c r="P2826" i="2"/>
  <c r="O2826" i="2"/>
  <c r="N2826" i="2"/>
  <c r="M2826" i="2"/>
  <c r="L2826" i="2"/>
  <c r="K2826" i="2"/>
  <c r="J2826" i="2"/>
  <c r="I2826" i="2"/>
  <c r="H2826" i="2"/>
  <c r="G2826" i="2"/>
  <c r="F2826" i="2"/>
  <c r="E2826" i="2"/>
  <c r="D2826" i="2"/>
  <c r="C2826" i="2"/>
  <c r="B2826" i="2"/>
  <c r="V2825" i="2"/>
  <c r="U2825" i="2"/>
  <c r="T2825" i="2"/>
  <c r="S2825" i="2"/>
  <c r="R2825" i="2"/>
  <c r="Q2825" i="2"/>
  <c r="P2825" i="2"/>
  <c r="O2825" i="2"/>
  <c r="N2825" i="2"/>
  <c r="M2825" i="2"/>
  <c r="L2825" i="2"/>
  <c r="K2825" i="2"/>
  <c r="J2825" i="2"/>
  <c r="I2825" i="2"/>
  <c r="H2825" i="2"/>
  <c r="G2825" i="2"/>
  <c r="F2825" i="2"/>
  <c r="E2825" i="2"/>
  <c r="D2825" i="2"/>
  <c r="C2825" i="2"/>
  <c r="B2825" i="2"/>
  <c r="V2824" i="2"/>
  <c r="U2824" i="2"/>
  <c r="T2824" i="2"/>
  <c r="S2824" i="2"/>
  <c r="R2824" i="2"/>
  <c r="Q2824" i="2"/>
  <c r="P2824" i="2"/>
  <c r="O2824" i="2"/>
  <c r="N2824" i="2"/>
  <c r="M2824" i="2"/>
  <c r="L2824" i="2"/>
  <c r="K2824" i="2"/>
  <c r="J2824" i="2"/>
  <c r="I2824" i="2"/>
  <c r="H2824" i="2"/>
  <c r="G2824" i="2"/>
  <c r="F2824" i="2"/>
  <c r="E2824" i="2"/>
  <c r="D2824" i="2"/>
  <c r="C2824" i="2"/>
  <c r="B2824" i="2"/>
  <c r="V2823" i="2"/>
  <c r="U2823" i="2"/>
  <c r="T2823" i="2"/>
  <c r="S2823" i="2"/>
  <c r="R2823" i="2"/>
  <c r="Q2823" i="2"/>
  <c r="P2823" i="2"/>
  <c r="O2823" i="2"/>
  <c r="N2823" i="2"/>
  <c r="M2823" i="2"/>
  <c r="L2823" i="2"/>
  <c r="K2823" i="2"/>
  <c r="J2823" i="2"/>
  <c r="I2823" i="2"/>
  <c r="H2823" i="2"/>
  <c r="G2823" i="2"/>
  <c r="F2823" i="2"/>
  <c r="E2823" i="2"/>
  <c r="D2823" i="2"/>
  <c r="C2823" i="2"/>
  <c r="B2823" i="2"/>
  <c r="V2822" i="2"/>
  <c r="U2822" i="2"/>
  <c r="T2822" i="2"/>
  <c r="S2822" i="2"/>
  <c r="R2822" i="2"/>
  <c r="Q2822" i="2"/>
  <c r="P2822" i="2"/>
  <c r="O2822" i="2"/>
  <c r="N2822" i="2"/>
  <c r="M2822" i="2"/>
  <c r="L2822" i="2"/>
  <c r="K2822" i="2"/>
  <c r="J2822" i="2"/>
  <c r="I2822" i="2"/>
  <c r="H2822" i="2"/>
  <c r="G2822" i="2"/>
  <c r="F2822" i="2"/>
  <c r="E2822" i="2"/>
  <c r="D2822" i="2"/>
  <c r="C2822" i="2"/>
  <c r="B2822" i="2"/>
  <c r="V2821" i="2"/>
  <c r="U2821" i="2"/>
  <c r="T2821" i="2"/>
  <c r="S2821" i="2"/>
  <c r="R2821" i="2"/>
  <c r="Q2821" i="2"/>
  <c r="P2821" i="2"/>
  <c r="O2821" i="2"/>
  <c r="N2821" i="2"/>
  <c r="M2821" i="2"/>
  <c r="L2821" i="2"/>
  <c r="K2821" i="2"/>
  <c r="J2821" i="2"/>
  <c r="I2821" i="2"/>
  <c r="H2821" i="2"/>
  <c r="G2821" i="2"/>
  <c r="F2821" i="2"/>
  <c r="E2821" i="2"/>
  <c r="D2821" i="2"/>
  <c r="C2821" i="2"/>
  <c r="B2821" i="2"/>
  <c r="V2820" i="2"/>
  <c r="U2820" i="2"/>
  <c r="T2820" i="2"/>
  <c r="S2820" i="2"/>
  <c r="R2820" i="2"/>
  <c r="Q2820" i="2"/>
  <c r="P2820" i="2"/>
  <c r="O2820" i="2"/>
  <c r="N2820" i="2"/>
  <c r="M2820" i="2"/>
  <c r="L2820" i="2"/>
  <c r="K2820" i="2"/>
  <c r="J2820" i="2"/>
  <c r="I2820" i="2"/>
  <c r="H2820" i="2"/>
  <c r="G2820" i="2"/>
  <c r="F2820" i="2"/>
  <c r="E2820" i="2"/>
  <c r="D2820" i="2"/>
  <c r="C2820" i="2"/>
  <c r="B2820" i="2"/>
  <c r="V2819" i="2"/>
  <c r="U2819" i="2"/>
  <c r="T2819" i="2"/>
  <c r="S2819" i="2"/>
  <c r="R2819" i="2"/>
  <c r="Q2819" i="2"/>
  <c r="P2819" i="2"/>
  <c r="O2819" i="2"/>
  <c r="N2819" i="2"/>
  <c r="M2819" i="2"/>
  <c r="L2819" i="2"/>
  <c r="K2819" i="2"/>
  <c r="J2819" i="2"/>
  <c r="I2819" i="2"/>
  <c r="H2819" i="2"/>
  <c r="G2819" i="2"/>
  <c r="F2819" i="2"/>
  <c r="E2819" i="2"/>
  <c r="D2819" i="2"/>
  <c r="C2819" i="2"/>
  <c r="B2819" i="2"/>
  <c r="V2818" i="2"/>
  <c r="U2818" i="2"/>
  <c r="T2818" i="2"/>
  <c r="S2818" i="2"/>
  <c r="R2818" i="2"/>
  <c r="Q2818" i="2"/>
  <c r="P2818" i="2"/>
  <c r="O2818" i="2"/>
  <c r="N2818" i="2"/>
  <c r="M2818" i="2"/>
  <c r="L2818" i="2"/>
  <c r="K2818" i="2"/>
  <c r="J2818" i="2"/>
  <c r="I2818" i="2"/>
  <c r="H2818" i="2"/>
  <c r="G2818" i="2"/>
  <c r="F2818" i="2"/>
  <c r="E2818" i="2"/>
  <c r="D2818" i="2"/>
  <c r="C2818" i="2"/>
  <c r="B2818" i="2"/>
  <c r="V2817" i="2"/>
  <c r="U2817" i="2"/>
  <c r="T2817" i="2"/>
  <c r="S2817" i="2"/>
  <c r="R2817" i="2"/>
  <c r="Q2817" i="2"/>
  <c r="P2817" i="2"/>
  <c r="O2817" i="2"/>
  <c r="N2817" i="2"/>
  <c r="M2817" i="2"/>
  <c r="L2817" i="2"/>
  <c r="K2817" i="2"/>
  <c r="J2817" i="2"/>
  <c r="I2817" i="2"/>
  <c r="H2817" i="2"/>
  <c r="G2817" i="2"/>
  <c r="F2817" i="2"/>
  <c r="E2817" i="2"/>
  <c r="D2817" i="2"/>
  <c r="C2817" i="2"/>
  <c r="B2817" i="2"/>
  <c r="V2816" i="2"/>
  <c r="U2816" i="2"/>
  <c r="T2816" i="2"/>
  <c r="S2816" i="2"/>
  <c r="R2816" i="2"/>
  <c r="Q2816" i="2"/>
  <c r="P2816" i="2"/>
  <c r="O2816" i="2"/>
  <c r="N2816" i="2"/>
  <c r="M2816" i="2"/>
  <c r="L2816" i="2"/>
  <c r="K2816" i="2"/>
  <c r="J2816" i="2"/>
  <c r="I2816" i="2"/>
  <c r="H2816" i="2"/>
  <c r="G2816" i="2"/>
  <c r="F2816" i="2"/>
  <c r="E2816" i="2"/>
  <c r="D2816" i="2"/>
  <c r="C2816" i="2"/>
  <c r="B2816" i="2"/>
  <c r="V2815" i="2"/>
  <c r="U2815" i="2"/>
  <c r="T2815" i="2"/>
  <c r="S2815" i="2"/>
  <c r="R2815" i="2"/>
  <c r="Q2815" i="2"/>
  <c r="P2815" i="2"/>
  <c r="O2815" i="2"/>
  <c r="N2815" i="2"/>
  <c r="M2815" i="2"/>
  <c r="L2815" i="2"/>
  <c r="K2815" i="2"/>
  <c r="J2815" i="2"/>
  <c r="I2815" i="2"/>
  <c r="H2815" i="2"/>
  <c r="G2815" i="2"/>
  <c r="F2815" i="2"/>
  <c r="E2815" i="2"/>
  <c r="D2815" i="2"/>
  <c r="C2815" i="2"/>
  <c r="B2815" i="2"/>
  <c r="V2814" i="2"/>
  <c r="U2814" i="2"/>
  <c r="T2814" i="2"/>
  <c r="S2814" i="2"/>
  <c r="R2814" i="2"/>
  <c r="Q2814" i="2"/>
  <c r="P2814" i="2"/>
  <c r="O2814" i="2"/>
  <c r="N2814" i="2"/>
  <c r="M2814" i="2"/>
  <c r="L2814" i="2"/>
  <c r="K2814" i="2"/>
  <c r="J2814" i="2"/>
  <c r="I2814" i="2"/>
  <c r="H2814" i="2"/>
  <c r="G2814" i="2"/>
  <c r="F2814" i="2"/>
  <c r="E2814" i="2"/>
  <c r="D2814" i="2"/>
  <c r="C2814" i="2"/>
  <c r="B2814" i="2"/>
  <c r="V2813" i="2"/>
  <c r="U2813" i="2"/>
  <c r="T2813" i="2"/>
  <c r="S2813" i="2"/>
  <c r="R2813" i="2"/>
  <c r="Q2813" i="2"/>
  <c r="P2813" i="2"/>
  <c r="O2813" i="2"/>
  <c r="N2813" i="2"/>
  <c r="M2813" i="2"/>
  <c r="L2813" i="2"/>
  <c r="K2813" i="2"/>
  <c r="J2813" i="2"/>
  <c r="I2813" i="2"/>
  <c r="H2813" i="2"/>
  <c r="G2813" i="2"/>
  <c r="F2813" i="2"/>
  <c r="E2813" i="2"/>
  <c r="D2813" i="2"/>
  <c r="C2813" i="2"/>
  <c r="B2813" i="2"/>
  <c r="V2812" i="2"/>
  <c r="U2812" i="2"/>
  <c r="T2812" i="2"/>
  <c r="S2812" i="2"/>
  <c r="R2812" i="2"/>
  <c r="Q2812" i="2"/>
  <c r="P2812" i="2"/>
  <c r="O2812" i="2"/>
  <c r="N2812" i="2"/>
  <c r="M2812" i="2"/>
  <c r="L2812" i="2"/>
  <c r="K2812" i="2"/>
  <c r="J2812" i="2"/>
  <c r="I2812" i="2"/>
  <c r="H2812" i="2"/>
  <c r="G2812" i="2"/>
  <c r="F2812" i="2"/>
  <c r="E2812" i="2"/>
  <c r="D2812" i="2"/>
  <c r="C2812" i="2"/>
  <c r="B2812" i="2"/>
  <c r="V2811" i="2"/>
  <c r="U2811" i="2"/>
  <c r="T2811" i="2"/>
  <c r="S2811" i="2"/>
  <c r="R2811" i="2"/>
  <c r="Q2811" i="2"/>
  <c r="P2811" i="2"/>
  <c r="O2811" i="2"/>
  <c r="N2811" i="2"/>
  <c r="M2811" i="2"/>
  <c r="L2811" i="2"/>
  <c r="K2811" i="2"/>
  <c r="J2811" i="2"/>
  <c r="I2811" i="2"/>
  <c r="H2811" i="2"/>
  <c r="G2811" i="2"/>
  <c r="F2811" i="2"/>
  <c r="E2811" i="2"/>
  <c r="D2811" i="2"/>
  <c r="C2811" i="2"/>
  <c r="B2811" i="2"/>
  <c r="V2810" i="2"/>
  <c r="U2810" i="2"/>
  <c r="T2810" i="2"/>
  <c r="S2810" i="2"/>
  <c r="R2810" i="2"/>
  <c r="Q2810" i="2"/>
  <c r="P2810" i="2"/>
  <c r="O2810" i="2"/>
  <c r="N2810" i="2"/>
  <c r="M2810" i="2"/>
  <c r="L2810" i="2"/>
  <c r="K2810" i="2"/>
  <c r="J2810" i="2"/>
  <c r="I2810" i="2"/>
  <c r="H2810" i="2"/>
  <c r="G2810" i="2"/>
  <c r="F2810" i="2"/>
  <c r="E2810" i="2"/>
  <c r="D2810" i="2"/>
  <c r="C2810" i="2"/>
  <c r="B2810" i="2"/>
  <c r="V2809" i="2"/>
  <c r="U2809" i="2"/>
  <c r="T2809" i="2"/>
  <c r="S2809" i="2"/>
  <c r="R2809" i="2"/>
  <c r="Q2809" i="2"/>
  <c r="P2809" i="2"/>
  <c r="O2809" i="2"/>
  <c r="N2809" i="2"/>
  <c r="M2809" i="2"/>
  <c r="L2809" i="2"/>
  <c r="K2809" i="2"/>
  <c r="J2809" i="2"/>
  <c r="I2809" i="2"/>
  <c r="H2809" i="2"/>
  <c r="G2809" i="2"/>
  <c r="F2809" i="2"/>
  <c r="E2809" i="2"/>
  <c r="D2809" i="2"/>
  <c r="C2809" i="2"/>
  <c r="B2809" i="2"/>
  <c r="V2808" i="2"/>
  <c r="U2808" i="2"/>
  <c r="T2808" i="2"/>
  <c r="S2808" i="2"/>
  <c r="R2808" i="2"/>
  <c r="Q2808" i="2"/>
  <c r="P2808" i="2"/>
  <c r="O2808" i="2"/>
  <c r="N2808" i="2"/>
  <c r="M2808" i="2"/>
  <c r="L2808" i="2"/>
  <c r="K2808" i="2"/>
  <c r="J2808" i="2"/>
  <c r="I2808" i="2"/>
  <c r="H2808" i="2"/>
  <c r="G2808" i="2"/>
  <c r="F2808" i="2"/>
  <c r="E2808" i="2"/>
  <c r="D2808" i="2"/>
  <c r="C2808" i="2"/>
  <c r="B2808" i="2"/>
  <c r="V2807" i="2"/>
  <c r="U2807" i="2"/>
  <c r="T2807" i="2"/>
  <c r="S2807" i="2"/>
  <c r="R2807" i="2"/>
  <c r="Q2807" i="2"/>
  <c r="P2807" i="2"/>
  <c r="O2807" i="2"/>
  <c r="N2807" i="2"/>
  <c r="M2807" i="2"/>
  <c r="L2807" i="2"/>
  <c r="K2807" i="2"/>
  <c r="J2807" i="2"/>
  <c r="I2807" i="2"/>
  <c r="H2807" i="2"/>
  <c r="G2807" i="2"/>
  <c r="F2807" i="2"/>
  <c r="E2807" i="2"/>
  <c r="D2807" i="2"/>
  <c r="C2807" i="2"/>
  <c r="B2807" i="2"/>
  <c r="V2806" i="2"/>
  <c r="U2806" i="2"/>
  <c r="T2806" i="2"/>
  <c r="S2806" i="2"/>
  <c r="R2806" i="2"/>
  <c r="Q2806" i="2"/>
  <c r="P2806" i="2"/>
  <c r="O2806" i="2"/>
  <c r="N2806" i="2"/>
  <c r="M2806" i="2"/>
  <c r="L2806" i="2"/>
  <c r="K2806" i="2"/>
  <c r="J2806" i="2"/>
  <c r="I2806" i="2"/>
  <c r="H2806" i="2"/>
  <c r="G2806" i="2"/>
  <c r="F2806" i="2"/>
  <c r="E2806" i="2"/>
  <c r="D2806" i="2"/>
  <c r="C2806" i="2"/>
  <c r="B2806" i="2"/>
  <c r="V2805" i="2"/>
  <c r="U2805" i="2"/>
  <c r="T2805" i="2"/>
  <c r="S2805" i="2"/>
  <c r="R2805" i="2"/>
  <c r="Q2805" i="2"/>
  <c r="P2805" i="2"/>
  <c r="O2805" i="2"/>
  <c r="N2805" i="2"/>
  <c r="M2805" i="2"/>
  <c r="L2805" i="2"/>
  <c r="K2805" i="2"/>
  <c r="J2805" i="2"/>
  <c r="I2805" i="2"/>
  <c r="H2805" i="2"/>
  <c r="G2805" i="2"/>
  <c r="F2805" i="2"/>
  <c r="E2805" i="2"/>
  <c r="D2805" i="2"/>
  <c r="C2805" i="2"/>
  <c r="B2805" i="2"/>
  <c r="V2804" i="2"/>
  <c r="U2804" i="2"/>
  <c r="T2804" i="2"/>
  <c r="S2804" i="2"/>
  <c r="R2804" i="2"/>
  <c r="Q2804" i="2"/>
  <c r="P2804" i="2"/>
  <c r="O2804" i="2"/>
  <c r="N2804" i="2"/>
  <c r="M2804" i="2"/>
  <c r="L2804" i="2"/>
  <c r="K2804" i="2"/>
  <c r="J2804" i="2"/>
  <c r="I2804" i="2"/>
  <c r="H2804" i="2"/>
  <c r="G2804" i="2"/>
  <c r="F2804" i="2"/>
  <c r="E2804" i="2"/>
  <c r="D2804" i="2"/>
  <c r="C2804" i="2"/>
  <c r="B2804" i="2"/>
  <c r="V2803" i="2"/>
  <c r="U2803" i="2"/>
  <c r="T2803" i="2"/>
  <c r="S2803" i="2"/>
  <c r="R2803" i="2"/>
  <c r="Q2803" i="2"/>
  <c r="P2803" i="2"/>
  <c r="O2803" i="2"/>
  <c r="N2803" i="2"/>
  <c r="M2803" i="2"/>
  <c r="L2803" i="2"/>
  <c r="K2803" i="2"/>
  <c r="J2803" i="2"/>
  <c r="I2803" i="2"/>
  <c r="H2803" i="2"/>
  <c r="G2803" i="2"/>
  <c r="F2803" i="2"/>
  <c r="E2803" i="2"/>
  <c r="D2803" i="2"/>
  <c r="C2803" i="2"/>
  <c r="B2803" i="2"/>
  <c r="V2802" i="2"/>
  <c r="U2802" i="2"/>
  <c r="T2802" i="2"/>
  <c r="S2802" i="2"/>
  <c r="R2802" i="2"/>
  <c r="Q2802" i="2"/>
  <c r="P2802" i="2"/>
  <c r="O2802" i="2"/>
  <c r="N2802" i="2"/>
  <c r="M2802" i="2"/>
  <c r="L2802" i="2"/>
  <c r="K2802" i="2"/>
  <c r="J2802" i="2"/>
  <c r="I2802" i="2"/>
  <c r="H2802" i="2"/>
  <c r="G2802" i="2"/>
  <c r="F2802" i="2"/>
  <c r="E2802" i="2"/>
  <c r="D2802" i="2"/>
  <c r="C2802" i="2"/>
  <c r="B2802" i="2"/>
  <c r="V2801" i="2"/>
  <c r="U2801" i="2"/>
  <c r="T2801" i="2"/>
  <c r="S2801" i="2"/>
  <c r="R2801" i="2"/>
  <c r="Q2801" i="2"/>
  <c r="P2801" i="2"/>
  <c r="O2801" i="2"/>
  <c r="N2801" i="2"/>
  <c r="M2801" i="2"/>
  <c r="L2801" i="2"/>
  <c r="K2801" i="2"/>
  <c r="J2801" i="2"/>
  <c r="I2801" i="2"/>
  <c r="H2801" i="2"/>
  <c r="G2801" i="2"/>
  <c r="F2801" i="2"/>
  <c r="E2801" i="2"/>
  <c r="D2801" i="2"/>
  <c r="C2801" i="2"/>
  <c r="B2801" i="2"/>
  <c r="V2800" i="2"/>
  <c r="U2800" i="2"/>
  <c r="T2800" i="2"/>
  <c r="S2800" i="2"/>
  <c r="R2800" i="2"/>
  <c r="Q2800" i="2"/>
  <c r="P2800" i="2"/>
  <c r="O2800" i="2"/>
  <c r="N2800" i="2"/>
  <c r="M2800" i="2"/>
  <c r="L2800" i="2"/>
  <c r="K2800" i="2"/>
  <c r="J2800" i="2"/>
  <c r="I2800" i="2"/>
  <c r="H2800" i="2"/>
  <c r="G2800" i="2"/>
  <c r="F2800" i="2"/>
  <c r="E2800" i="2"/>
  <c r="D2800" i="2"/>
  <c r="C2800" i="2"/>
  <c r="B2800" i="2"/>
  <c r="V2799" i="2"/>
  <c r="U2799" i="2"/>
  <c r="T2799" i="2"/>
  <c r="S2799" i="2"/>
  <c r="R2799" i="2"/>
  <c r="Q2799" i="2"/>
  <c r="P2799" i="2"/>
  <c r="O2799" i="2"/>
  <c r="N2799" i="2"/>
  <c r="M2799" i="2"/>
  <c r="L2799" i="2"/>
  <c r="K2799" i="2"/>
  <c r="J2799" i="2"/>
  <c r="I2799" i="2"/>
  <c r="H2799" i="2"/>
  <c r="G2799" i="2"/>
  <c r="F2799" i="2"/>
  <c r="E2799" i="2"/>
  <c r="D2799" i="2"/>
  <c r="C2799" i="2"/>
  <c r="B2799" i="2"/>
  <c r="V2798" i="2"/>
  <c r="U2798" i="2"/>
  <c r="T2798" i="2"/>
  <c r="S2798" i="2"/>
  <c r="R2798" i="2"/>
  <c r="Q2798" i="2"/>
  <c r="P2798" i="2"/>
  <c r="O2798" i="2"/>
  <c r="N2798" i="2"/>
  <c r="M2798" i="2"/>
  <c r="L2798" i="2"/>
  <c r="K2798" i="2"/>
  <c r="J2798" i="2"/>
  <c r="I2798" i="2"/>
  <c r="H2798" i="2"/>
  <c r="G2798" i="2"/>
  <c r="F2798" i="2"/>
  <c r="E2798" i="2"/>
  <c r="D2798" i="2"/>
  <c r="C2798" i="2"/>
  <c r="B2798" i="2"/>
  <c r="V2797" i="2"/>
  <c r="U2797" i="2"/>
  <c r="T2797" i="2"/>
  <c r="S2797" i="2"/>
  <c r="R2797" i="2"/>
  <c r="Q2797" i="2"/>
  <c r="P2797" i="2"/>
  <c r="O2797" i="2"/>
  <c r="N2797" i="2"/>
  <c r="M2797" i="2"/>
  <c r="L2797" i="2"/>
  <c r="K2797" i="2"/>
  <c r="J2797" i="2"/>
  <c r="I2797" i="2"/>
  <c r="H2797" i="2"/>
  <c r="G2797" i="2"/>
  <c r="F2797" i="2"/>
  <c r="E2797" i="2"/>
  <c r="D2797" i="2"/>
  <c r="C2797" i="2"/>
  <c r="B2797" i="2"/>
  <c r="V2796" i="2"/>
  <c r="U2796" i="2"/>
  <c r="T2796" i="2"/>
  <c r="S2796" i="2"/>
  <c r="R2796" i="2"/>
  <c r="Q2796" i="2"/>
  <c r="P2796" i="2"/>
  <c r="O2796" i="2"/>
  <c r="N2796" i="2"/>
  <c r="M2796" i="2"/>
  <c r="L2796" i="2"/>
  <c r="K2796" i="2"/>
  <c r="J2796" i="2"/>
  <c r="I2796" i="2"/>
  <c r="H2796" i="2"/>
  <c r="G2796" i="2"/>
  <c r="F2796" i="2"/>
  <c r="E2796" i="2"/>
  <c r="D2796" i="2"/>
  <c r="C2796" i="2"/>
  <c r="B2796" i="2"/>
  <c r="V2795" i="2"/>
  <c r="U2795" i="2"/>
  <c r="T2795" i="2"/>
  <c r="S2795" i="2"/>
  <c r="R2795" i="2"/>
  <c r="Q2795" i="2"/>
  <c r="P2795" i="2"/>
  <c r="O2795" i="2"/>
  <c r="N2795" i="2"/>
  <c r="M2795" i="2"/>
  <c r="L2795" i="2"/>
  <c r="K2795" i="2"/>
  <c r="J2795" i="2"/>
  <c r="I2795" i="2"/>
  <c r="H2795" i="2"/>
  <c r="G2795" i="2"/>
  <c r="F2795" i="2"/>
  <c r="E2795" i="2"/>
  <c r="D2795" i="2"/>
  <c r="C2795" i="2"/>
  <c r="B2795" i="2"/>
  <c r="V2794" i="2"/>
  <c r="U2794" i="2"/>
  <c r="T2794" i="2"/>
  <c r="S2794" i="2"/>
  <c r="R2794" i="2"/>
  <c r="Q2794" i="2"/>
  <c r="P2794" i="2"/>
  <c r="O2794" i="2"/>
  <c r="N2794" i="2"/>
  <c r="M2794" i="2"/>
  <c r="L2794" i="2"/>
  <c r="K2794" i="2"/>
  <c r="J2794" i="2"/>
  <c r="I2794" i="2"/>
  <c r="H2794" i="2"/>
  <c r="G2794" i="2"/>
  <c r="F2794" i="2"/>
  <c r="E2794" i="2"/>
  <c r="D2794" i="2"/>
  <c r="C2794" i="2"/>
  <c r="B2794" i="2"/>
  <c r="V2793" i="2"/>
  <c r="U2793" i="2"/>
  <c r="T2793" i="2"/>
  <c r="S2793" i="2"/>
  <c r="R2793" i="2"/>
  <c r="Q2793" i="2"/>
  <c r="P2793" i="2"/>
  <c r="O2793" i="2"/>
  <c r="N2793" i="2"/>
  <c r="M2793" i="2"/>
  <c r="L2793" i="2"/>
  <c r="K2793" i="2"/>
  <c r="J2793" i="2"/>
  <c r="I2793" i="2"/>
  <c r="H2793" i="2"/>
  <c r="G2793" i="2"/>
  <c r="F2793" i="2"/>
  <c r="E2793" i="2"/>
  <c r="D2793" i="2"/>
  <c r="C2793" i="2"/>
  <c r="B2793" i="2"/>
  <c r="V2792" i="2"/>
  <c r="U2792" i="2"/>
  <c r="T2792" i="2"/>
  <c r="S2792" i="2"/>
  <c r="R2792" i="2"/>
  <c r="Q2792" i="2"/>
  <c r="P2792" i="2"/>
  <c r="O2792" i="2"/>
  <c r="N2792" i="2"/>
  <c r="M2792" i="2"/>
  <c r="L2792" i="2"/>
  <c r="K2792" i="2"/>
  <c r="J2792" i="2"/>
  <c r="I2792" i="2"/>
  <c r="H2792" i="2"/>
  <c r="G2792" i="2"/>
  <c r="F2792" i="2"/>
  <c r="E2792" i="2"/>
  <c r="D2792" i="2"/>
  <c r="C2792" i="2"/>
  <c r="B2792" i="2"/>
  <c r="V2791" i="2"/>
  <c r="U2791" i="2"/>
  <c r="T2791" i="2"/>
  <c r="S2791" i="2"/>
  <c r="R2791" i="2"/>
  <c r="Q2791" i="2"/>
  <c r="P2791" i="2"/>
  <c r="O2791" i="2"/>
  <c r="N2791" i="2"/>
  <c r="M2791" i="2"/>
  <c r="L2791" i="2"/>
  <c r="K2791" i="2"/>
  <c r="J2791" i="2"/>
  <c r="I2791" i="2"/>
  <c r="H2791" i="2"/>
  <c r="G2791" i="2"/>
  <c r="F2791" i="2"/>
  <c r="E2791" i="2"/>
  <c r="D2791" i="2"/>
  <c r="C2791" i="2"/>
  <c r="B2791" i="2"/>
  <c r="V2790" i="2"/>
  <c r="U2790" i="2"/>
  <c r="T2790" i="2"/>
  <c r="S2790" i="2"/>
  <c r="R2790" i="2"/>
  <c r="Q2790" i="2"/>
  <c r="P2790" i="2"/>
  <c r="O2790" i="2"/>
  <c r="N2790" i="2"/>
  <c r="M2790" i="2"/>
  <c r="L2790" i="2"/>
  <c r="K2790" i="2"/>
  <c r="J2790" i="2"/>
  <c r="I2790" i="2"/>
  <c r="H2790" i="2"/>
  <c r="G2790" i="2"/>
  <c r="F2790" i="2"/>
  <c r="E2790" i="2"/>
  <c r="D2790" i="2"/>
  <c r="C2790" i="2"/>
  <c r="B2790" i="2"/>
  <c r="V2789" i="2"/>
  <c r="U2789" i="2"/>
  <c r="T2789" i="2"/>
  <c r="S2789" i="2"/>
  <c r="R2789" i="2"/>
  <c r="Q2789" i="2"/>
  <c r="P2789" i="2"/>
  <c r="O2789" i="2"/>
  <c r="N2789" i="2"/>
  <c r="M2789" i="2"/>
  <c r="L2789" i="2"/>
  <c r="K2789" i="2"/>
  <c r="J2789" i="2"/>
  <c r="I2789" i="2"/>
  <c r="H2789" i="2"/>
  <c r="G2789" i="2"/>
  <c r="F2789" i="2"/>
  <c r="E2789" i="2"/>
  <c r="D2789" i="2"/>
  <c r="C2789" i="2"/>
  <c r="B2789" i="2"/>
  <c r="V2788" i="2"/>
  <c r="U2788" i="2"/>
  <c r="T2788" i="2"/>
  <c r="S2788" i="2"/>
  <c r="R2788" i="2"/>
  <c r="Q2788" i="2"/>
  <c r="P2788" i="2"/>
  <c r="O2788" i="2"/>
  <c r="N2788" i="2"/>
  <c r="M2788" i="2"/>
  <c r="L2788" i="2"/>
  <c r="K2788" i="2"/>
  <c r="J2788" i="2"/>
  <c r="I2788" i="2"/>
  <c r="H2788" i="2"/>
  <c r="G2788" i="2"/>
  <c r="F2788" i="2"/>
  <c r="E2788" i="2"/>
  <c r="D2788" i="2"/>
  <c r="C2788" i="2"/>
  <c r="B2788" i="2"/>
  <c r="V2787" i="2"/>
  <c r="U2787" i="2"/>
  <c r="T2787" i="2"/>
  <c r="S2787" i="2"/>
  <c r="R2787" i="2"/>
  <c r="Q2787" i="2"/>
  <c r="P2787" i="2"/>
  <c r="O2787" i="2"/>
  <c r="N2787" i="2"/>
  <c r="M2787" i="2"/>
  <c r="L2787" i="2"/>
  <c r="K2787" i="2"/>
  <c r="J2787" i="2"/>
  <c r="I2787" i="2"/>
  <c r="H2787" i="2"/>
  <c r="G2787" i="2"/>
  <c r="F2787" i="2"/>
  <c r="E2787" i="2"/>
  <c r="D2787" i="2"/>
  <c r="C2787" i="2"/>
  <c r="B2787" i="2"/>
  <c r="V2786" i="2"/>
  <c r="U2786" i="2"/>
  <c r="T2786" i="2"/>
  <c r="S2786" i="2"/>
  <c r="R2786" i="2"/>
  <c r="Q2786" i="2"/>
  <c r="P2786" i="2"/>
  <c r="O2786" i="2"/>
  <c r="N2786" i="2"/>
  <c r="M2786" i="2"/>
  <c r="L2786" i="2"/>
  <c r="K2786" i="2"/>
  <c r="J2786" i="2"/>
  <c r="I2786" i="2"/>
  <c r="H2786" i="2"/>
  <c r="G2786" i="2"/>
  <c r="F2786" i="2"/>
  <c r="E2786" i="2"/>
  <c r="D2786" i="2"/>
  <c r="C2786" i="2"/>
  <c r="B2786" i="2"/>
  <c r="V2785" i="2"/>
  <c r="U2785" i="2"/>
  <c r="T2785" i="2"/>
  <c r="S2785" i="2"/>
  <c r="R2785" i="2"/>
  <c r="Q2785" i="2"/>
  <c r="P2785" i="2"/>
  <c r="O2785" i="2"/>
  <c r="N2785" i="2"/>
  <c r="M2785" i="2"/>
  <c r="L2785" i="2"/>
  <c r="K2785" i="2"/>
  <c r="J2785" i="2"/>
  <c r="I2785" i="2"/>
  <c r="H2785" i="2"/>
  <c r="G2785" i="2"/>
  <c r="F2785" i="2"/>
  <c r="E2785" i="2"/>
  <c r="D2785" i="2"/>
  <c r="C2785" i="2"/>
  <c r="B2785" i="2"/>
  <c r="V2784" i="2"/>
  <c r="U2784" i="2"/>
  <c r="T2784" i="2"/>
  <c r="S2784" i="2"/>
  <c r="R2784" i="2"/>
  <c r="Q2784" i="2"/>
  <c r="P2784" i="2"/>
  <c r="O2784" i="2"/>
  <c r="N2784" i="2"/>
  <c r="M2784" i="2"/>
  <c r="L2784" i="2"/>
  <c r="K2784" i="2"/>
  <c r="J2784" i="2"/>
  <c r="I2784" i="2"/>
  <c r="H2784" i="2"/>
  <c r="G2784" i="2"/>
  <c r="F2784" i="2"/>
  <c r="E2784" i="2"/>
  <c r="D2784" i="2"/>
  <c r="C2784" i="2"/>
  <c r="B2784" i="2"/>
  <c r="V2783" i="2"/>
  <c r="U2783" i="2"/>
  <c r="T2783" i="2"/>
  <c r="S2783" i="2"/>
  <c r="R2783" i="2"/>
  <c r="Q2783" i="2"/>
  <c r="P2783" i="2"/>
  <c r="O2783" i="2"/>
  <c r="N2783" i="2"/>
  <c r="M2783" i="2"/>
  <c r="L2783" i="2"/>
  <c r="K2783" i="2"/>
  <c r="J2783" i="2"/>
  <c r="I2783" i="2"/>
  <c r="H2783" i="2"/>
  <c r="G2783" i="2"/>
  <c r="F2783" i="2"/>
  <c r="E2783" i="2"/>
  <c r="D2783" i="2"/>
  <c r="C2783" i="2"/>
  <c r="B2783" i="2"/>
  <c r="V2782" i="2"/>
  <c r="U2782" i="2"/>
  <c r="T2782" i="2"/>
  <c r="S2782" i="2"/>
  <c r="R2782" i="2"/>
  <c r="Q2782" i="2"/>
  <c r="P2782" i="2"/>
  <c r="O2782" i="2"/>
  <c r="N2782" i="2"/>
  <c r="M2782" i="2"/>
  <c r="L2782" i="2"/>
  <c r="K2782" i="2"/>
  <c r="J2782" i="2"/>
  <c r="I2782" i="2"/>
  <c r="H2782" i="2"/>
  <c r="G2782" i="2"/>
  <c r="F2782" i="2"/>
  <c r="E2782" i="2"/>
  <c r="D2782" i="2"/>
  <c r="C2782" i="2"/>
  <c r="B2782" i="2"/>
  <c r="V2781" i="2"/>
  <c r="U2781" i="2"/>
  <c r="T2781" i="2"/>
  <c r="S2781" i="2"/>
  <c r="R2781" i="2"/>
  <c r="Q2781" i="2"/>
  <c r="P2781" i="2"/>
  <c r="O2781" i="2"/>
  <c r="N2781" i="2"/>
  <c r="M2781" i="2"/>
  <c r="L2781" i="2"/>
  <c r="K2781" i="2"/>
  <c r="J2781" i="2"/>
  <c r="I2781" i="2"/>
  <c r="H2781" i="2"/>
  <c r="G2781" i="2"/>
  <c r="F2781" i="2"/>
  <c r="E2781" i="2"/>
  <c r="D2781" i="2"/>
  <c r="C2781" i="2"/>
  <c r="B2781" i="2"/>
  <c r="V2780" i="2"/>
  <c r="U2780" i="2"/>
  <c r="T2780" i="2"/>
  <c r="S2780" i="2"/>
  <c r="R2780" i="2"/>
  <c r="Q2780" i="2"/>
  <c r="P2780" i="2"/>
  <c r="O2780" i="2"/>
  <c r="N2780" i="2"/>
  <c r="M2780" i="2"/>
  <c r="L2780" i="2"/>
  <c r="K2780" i="2"/>
  <c r="J2780" i="2"/>
  <c r="I2780" i="2"/>
  <c r="H2780" i="2"/>
  <c r="G2780" i="2"/>
  <c r="F2780" i="2"/>
  <c r="E2780" i="2"/>
  <c r="D2780" i="2"/>
  <c r="C2780" i="2"/>
  <c r="B2780" i="2"/>
  <c r="V2779" i="2"/>
  <c r="U2779" i="2"/>
  <c r="T2779" i="2"/>
  <c r="S2779" i="2"/>
  <c r="R2779" i="2"/>
  <c r="Q2779" i="2"/>
  <c r="P2779" i="2"/>
  <c r="O2779" i="2"/>
  <c r="N2779" i="2"/>
  <c r="M2779" i="2"/>
  <c r="L2779" i="2"/>
  <c r="K2779" i="2"/>
  <c r="J2779" i="2"/>
  <c r="I2779" i="2"/>
  <c r="H2779" i="2"/>
  <c r="G2779" i="2"/>
  <c r="F2779" i="2"/>
  <c r="E2779" i="2"/>
  <c r="D2779" i="2"/>
  <c r="C2779" i="2"/>
  <c r="B2779" i="2"/>
  <c r="V2778" i="2"/>
  <c r="U2778" i="2"/>
  <c r="T2778" i="2"/>
  <c r="S2778" i="2"/>
  <c r="R2778" i="2"/>
  <c r="Q2778" i="2"/>
  <c r="P2778" i="2"/>
  <c r="O2778" i="2"/>
  <c r="N2778" i="2"/>
  <c r="M2778" i="2"/>
  <c r="L2778" i="2"/>
  <c r="K2778" i="2"/>
  <c r="J2778" i="2"/>
  <c r="I2778" i="2"/>
  <c r="H2778" i="2"/>
  <c r="G2778" i="2"/>
  <c r="F2778" i="2"/>
  <c r="E2778" i="2"/>
  <c r="D2778" i="2"/>
  <c r="C2778" i="2"/>
  <c r="B2778" i="2"/>
  <c r="V2777" i="2"/>
  <c r="U2777" i="2"/>
  <c r="T2777" i="2"/>
  <c r="S2777" i="2"/>
  <c r="R2777" i="2"/>
  <c r="Q2777" i="2"/>
  <c r="P2777" i="2"/>
  <c r="O2777" i="2"/>
  <c r="N2777" i="2"/>
  <c r="M2777" i="2"/>
  <c r="L2777" i="2"/>
  <c r="K2777" i="2"/>
  <c r="J2777" i="2"/>
  <c r="I2777" i="2"/>
  <c r="H2777" i="2"/>
  <c r="G2777" i="2"/>
  <c r="F2777" i="2"/>
  <c r="E2777" i="2"/>
  <c r="D2777" i="2"/>
  <c r="C2777" i="2"/>
  <c r="B2777" i="2"/>
  <c r="V2776" i="2"/>
  <c r="U2776" i="2"/>
  <c r="T2776" i="2"/>
  <c r="S2776" i="2"/>
  <c r="R2776" i="2"/>
  <c r="Q2776" i="2"/>
  <c r="P2776" i="2"/>
  <c r="O2776" i="2"/>
  <c r="N2776" i="2"/>
  <c r="M2776" i="2"/>
  <c r="L2776" i="2"/>
  <c r="K2776" i="2"/>
  <c r="J2776" i="2"/>
  <c r="I2776" i="2"/>
  <c r="H2776" i="2"/>
  <c r="G2776" i="2"/>
  <c r="F2776" i="2"/>
  <c r="E2776" i="2"/>
  <c r="D2776" i="2"/>
  <c r="C2776" i="2"/>
  <c r="B2776" i="2"/>
  <c r="V2775" i="2"/>
  <c r="U2775" i="2"/>
  <c r="T2775" i="2"/>
  <c r="S2775" i="2"/>
  <c r="R2775" i="2"/>
  <c r="Q2775" i="2"/>
  <c r="P2775" i="2"/>
  <c r="O2775" i="2"/>
  <c r="N2775" i="2"/>
  <c r="M2775" i="2"/>
  <c r="L2775" i="2"/>
  <c r="K2775" i="2"/>
  <c r="J2775" i="2"/>
  <c r="I2775" i="2"/>
  <c r="H2775" i="2"/>
  <c r="G2775" i="2"/>
  <c r="F2775" i="2"/>
  <c r="E2775" i="2"/>
  <c r="D2775" i="2"/>
  <c r="C2775" i="2"/>
  <c r="B2775" i="2"/>
  <c r="V2774" i="2"/>
  <c r="U2774" i="2"/>
  <c r="T2774" i="2"/>
  <c r="S2774" i="2"/>
  <c r="R2774" i="2"/>
  <c r="Q2774" i="2"/>
  <c r="P2774" i="2"/>
  <c r="O2774" i="2"/>
  <c r="N2774" i="2"/>
  <c r="M2774" i="2"/>
  <c r="L2774" i="2"/>
  <c r="K2774" i="2"/>
  <c r="J2774" i="2"/>
  <c r="I2774" i="2"/>
  <c r="H2774" i="2"/>
  <c r="G2774" i="2"/>
  <c r="F2774" i="2"/>
  <c r="E2774" i="2"/>
  <c r="D2774" i="2"/>
  <c r="C2774" i="2"/>
  <c r="B2774" i="2"/>
  <c r="V2773" i="2"/>
  <c r="U2773" i="2"/>
  <c r="T2773" i="2"/>
  <c r="S2773" i="2"/>
  <c r="R2773" i="2"/>
  <c r="Q2773" i="2"/>
  <c r="P2773" i="2"/>
  <c r="O2773" i="2"/>
  <c r="N2773" i="2"/>
  <c r="M2773" i="2"/>
  <c r="L2773" i="2"/>
  <c r="K2773" i="2"/>
  <c r="J2773" i="2"/>
  <c r="I2773" i="2"/>
  <c r="H2773" i="2"/>
  <c r="G2773" i="2"/>
  <c r="F2773" i="2"/>
  <c r="E2773" i="2"/>
  <c r="D2773" i="2"/>
  <c r="C2773" i="2"/>
  <c r="B2773" i="2"/>
  <c r="V2772" i="2"/>
  <c r="U2772" i="2"/>
  <c r="T2772" i="2"/>
  <c r="S2772" i="2"/>
  <c r="R2772" i="2"/>
  <c r="Q2772" i="2"/>
  <c r="P2772" i="2"/>
  <c r="O2772" i="2"/>
  <c r="N2772" i="2"/>
  <c r="M2772" i="2"/>
  <c r="L2772" i="2"/>
  <c r="K2772" i="2"/>
  <c r="J2772" i="2"/>
  <c r="I2772" i="2"/>
  <c r="H2772" i="2"/>
  <c r="G2772" i="2"/>
  <c r="F2772" i="2"/>
  <c r="E2772" i="2"/>
  <c r="D2772" i="2"/>
  <c r="C2772" i="2"/>
  <c r="B2772" i="2"/>
  <c r="V2771" i="2"/>
  <c r="U2771" i="2"/>
  <c r="T2771" i="2"/>
  <c r="S2771" i="2"/>
  <c r="R2771" i="2"/>
  <c r="Q2771" i="2"/>
  <c r="P2771" i="2"/>
  <c r="O2771" i="2"/>
  <c r="N2771" i="2"/>
  <c r="M2771" i="2"/>
  <c r="L2771" i="2"/>
  <c r="K2771" i="2"/>
  <c r="J2771" i="2"/>
  <c r="I2771" i="2"/>
  <c r="H2771" i="2"/>
  <c r="G2771" i="2"/>
  <c r="F2771" i="2"/>
  <c r="E2771" i="2"/>
  <c r="D2771" i="2"/>
  <c r="C2771" i="2"/>
  <c r="B2771" i="2"/>
  <c r="V2770" i="2"/>
  <c r="U2770" i="2"/>
  <c r="T2770" i="2"/>
  <c r="S2770" i="2"/>
  <c r="R2770" i="2"/>
  <c r="Q2770" i="2"/>
  <c r="P2770" i="2"/>
  <c r="O2770" i="2"/>
  <c r="N2770" i="2"/>
  <c r="M2770" i="2"/>
  <c r="L2770" i="2"/>
  <c r="K2770" i="2"/>
  <c r="J2770" i="2"/>
  <c r="I2770" i="2"/>
  <c r="H2770" i="2"/>
  <c r="G2770" i="2"/>
  <c r="F2770" i="2"/>
  <c r="E2770" i="2"/>
  <c r="D2770" i="2"/>
  <c r="C2770" i="2"/>
  <c r="B2770" i="2"/>
  <c r="V2769" i="2"/>
  <c r="U2769" i="2"/>
  <c r="T2769" i="2"/>
  <c r="S2769" i="2"/>
  <c r="R2769" i="2"/>
  <c r="Q2769" i="2"/>
  <c r="P2769" i="2"/>
  <c r="O2769" i="2"/>
  <c r="N2769" i="2"/>
  <c r="M2769" i="2"/>
  <c r="L2769" i="2"/>
  <c r="K2769" i="2"/>
  <c r="J2769" i="2"/>
  <c r="I2769" i="2"/>
  <c r="H2769" i="2"/>
  <c r="G2769" i="2"/>
  <c r="F2769" i="2"/>
  <c r="E2769" i="2"/>
  <c r="D2769" i="2"/>
  <c r="C2769" i="2"/>
  <c r="B2769" i="2"/>
  <c r="V2768" i="2"/>
  <c r="U2768" i="2"/>
  <c r="T2768" i="2"/>
  <c r="S2768" i="2"/>
  <c r="R2768" i="2"/>
  <c r="Q2768" i="2"/>
  <c r="P2768" i="2"/>
  <c r="O2768" i="2"/>
  <c r="N2768" i="2"/>
  <c r="M2768" i="2"/>
  <c r="L2768" i="2"/>
  <c r="K2768" i="2"/>
  <c r="J2768" i="2"/>
  <c r="I2768" i="2"/>
  <c r="H2768" i="2"/>
  <c r="G2768" i="2"/>
  <c r="F2768" i="2"/>
  <c r="E2768" i="2"/>
  <c r="D2768" i="2"/>
  <c r="C2768" i="2"/>
  <c r="B2768" i="2"/>
  <c r="V2767" i="2"/>
  <c r="U2767" i="2"/>
  <c r="T2767" i="2"/>
  <c r="S2767" i="2"/>
  <c r="R2767" i="2"/>
  <c r="Q2767" i="2"/>
  <c r="P2767" i="2"/>
  <c r="O2767" i="2"/>
  <c r="N2767" i="2"/>
  <c r="M2767" i="2"/>
  <c r="L2767" i="2"/>
  <c r="K2767" i="2"/>
  <c r="J2767" i="2"/>
  <c r="I2767" i="2"/>
  <c r="H2767" i="2"/>
  <c r="G2767" i="2"/>
  <c r="F2767" i="2"/>
  <c r="E2767" i="2"/>
  <c r="D2767" i="2"/>
  <c r="C2767" i="2"/>
  <c r="B2767" i="2"/>
  <c r="V2766" i="2"/>
  <c r="U2766" i="2"/>
  <c r="T2766" i="2"/>
  <c r="S2766" i="2"/>
  <c r="R2766" i="2"/>
  <c r="Q2766" i="2"/>
  <c r="P2766" i="2"/>
  <c r="O2766" i="2"/>
  <c r="N2766" i="2"/>
  <c r="M2766" i="2"/>
  <c r="L2766" i="2"/>
  <c r="K2766" i="2"/>
  <c r="J2766" i="2"/>
  <c r="I2766" i="2"/>
  <c r="H2766" i="2"/>
  <c r="G2766" i="2"/>
  <c r="F2766" i="2"/>
  <c r="E2766" i="2"/>
  <c r="D2766" i="2"/>
  <c r="C2766" i="2"/>
  <c r="B2766" i="2"/>
  <c r="V2765" i="2"/>
  <c r="U2765" i="2"/>
  <c r="T2765" i="2"/>
  <c r="S2765" i="2"/>
  <c r="R2765" i="2"/>
  <c r="Q2765" i="2"/>
  <c r="P2765" i="2"/>
  <c r="O2765" i="2"/>
  <c r="N2765" i="2"/>
  <c r="M2765" i="2"/>
  <c r="L2765" i="2"/>
  <c r="K2765" i="2"/>
  <c r="J2765" i="2"/>
  <c r="I2765" i="2"/>
  <c r="H2765" i="2"/>
  <c r="G2765" i="2"/>
  <c r="F2765" i="2"/>
  <c r="E2765" i="2"/>
  <c r="D2765" i="2"/>
  <c r="C2765" i="2"/>
  <c r="B2765" i="2"/>
  <c r="V2764" i="2"/>
  <c r="U2764" i="2"/>
  <c r="T2764" i="2"/>
  <c r="S2764" i="2"/>
  <c r="R2764" i="2"/>
  <c r="Q2764" i="2"/>
  <c r="P2764" i="2"/>
  <c r="O2764" i="2"/>
  <c r="N2764" i="2"/>
  <c r="M2764" i="2"/>
  <c r="L2764" i="2"/>
  <c r="K2764" i="2"/>
  <c r="J2764" i="2"/>
  <c r="I2764" i="2"/>
  <c r="H2764" i="2"/>
  <c r="G2764" i="2"/>
  <c r="F2764" i="2"/>
  <c r="E2764" i="2"/>
  <c r="D2764" i="2"/>
  <c r="C2764" i="2"/>
  <c r="B2764" i="2"/>
  <c r="V2763" i="2"/>
  <c r="U2763" i="2"/>
  <c r="T2763" i="2"/>
  <c r="S2763" i="2"/>
  <c r="R2763" i="2"/>
  <c r="Q2763" i="2"/>
  <c r="P2763" i="2"/>
  <c r="O2763" i="2"/>
  <c r="N2763" i="2"/>
  <c r="M2763" i="2"/>
  <c r="L2763" i="2"/>
  <c r="K2763" i="2"/>
  <c r="J2763" i="2"/>
  <c r="I2763" i="2"/>
  <c r="H2763" i="2"/>
  <c r="G2763" i="2"/>
  <c r="F2763" i="2"/>
  <c r="E2763" i="2"/>
  <c r="D2763" i="2"/>
  <c r="C2763" i="2"/>
  <c r="B2763" i="2"/>
  <c r="V2762" i="2"/>
  <c r="U2762" i="2"/>
  <c r="T2762" i="2"/>
  <c r="S2762" i="2"/>
  <c r="R2762" i="2"/>
  <c r="Q2762" i="2"/>
  <c r="P2762" i="2"/>
  <c r="O2762" i="2"/>
  <c r="N2762" i="2"/>
  <c r="M2762" i="2"/>
  <c r="L2762" i="2"/>
  <c r="K2762" i="2"/>
  <c r="J2762" i="2"/>
  <c r="I2762" i="2"/>
  <c r="H2762" i="2"/>
  <c r="G2762" i="2"/>
  <c r="F2762" i="2"/>
  <c r="E2762" i="2"/>
  <c r="D2762" i="2"/>
  <c r="C2762" i="2"/>
  <c r="B2762" i="2"/>
  <c r="V2761" i="2"/>
  <c r="U2761" i="2"/>
  <c r="T2761" i="2"/>
  <c r="S2761" i="2"/>
  <c r="R2761" i="2"/>
  <c r="Q2761" i="2"/>
  <c r="P2761" i="2"/>
  <c r="O2761" i="2"/>
  <c r="N2761" i="2"/>
  <c r="M2761" i="2"/>
  <c r="L2761" i="2"/>
  <c r="K2761" i="2"/>
  <c r="J2761" i="2"/>
  <c r="I2761" i="2"/>
  <c r="H2761" i="2"/>
  <c r="G2761" i="2"/>
  <c r="F2761" i="2"/>
  <c r="E2761" i="2"/>
  <c r="D2761" i="2"/>
  <c r="C2761" i="2"/>
  <c r="B2761" i="2"/>
  <c r="V2760" i="2"/>
  <c r="U2760" i="2"/>
  <c r="T2760" i="2"/>
  <c r="S2760" i="2"/>
  <c r="R2760" i="2"/>
  <c r="Q2760" i="2"/>
  <c r="P2760" i="2"/>
  <c r="O2760" i="2"/>
  <c r="N2760" i="2"/>
  <c r="M2760" i="2"/>
  <c r="L2760" i="2"/>
  <c r="K2760" i="2"/>
  <c r="J2760" i="2"/>
  <c r="I2760" i="2"/>
  <c r="H2760" i="2"/>
  <c r="G2760" i="2"/>
  <c r="F2760" i="2"/>
  <c r="E2760" i="2"/>
  <c r="D2760" i="2"/>
  <c r="C2760" i="2"/>
  <c r="B2760" i="2"/>
  <c r="V2759" i="2"/>
  <c r="U2759" i="2"/>
  <c r="T2759" i="2"/>
  <c r="S2759" i="2"/>
  <c r="R2759" i="2"/>
  <c r="Q2759" i="2"/>
  <c r="P2759" i="2"/>
  <c r="O2759" i="2"/>
  <c r="N2759" i="2"/>
  <c r="M2759" i="2"/>
  <c r="L2759" i="2"/>
  <c r="K2759" i="2"/>
  <c r="J2759" i="2"/>
  <c r="I2759" i="2"/>
  <c r="H2759" i="2"/>
  <c r="G2759" i="2"/>
  <c r="F2759" i="2"/>
  <c r="E2759" i="2"/>
  <c r="D2759" i="2"/>
  <c r="C2759" i="2"/>
  <c r="B2759" i="2"/>
  <c r="V2758" i="2"/>
  <c r="U2758" i="2"/>
  <c r="T2758" i="2"/>
  <c r="S2758" i="2"/>
  <c r="R2758" i="2"/>
  <c r="Q2758" i="2"/>
  <c r="P2758" i="2"/>
  <c r="O2758" i="2"/>
  <c r="N2758" i="2"/>
  <c r="M2758" i="2"/>
  <c r="L2758" i="2"/>
  <c r="K2758" i="2"/>
  <c r="J2758" i="2"/>
  <c r="I2758" i="2"/>
  <c r="H2758" i="2"/>
  <c r="G2758" i="2"/>
  <c r="F2758" i="2"/>
  <c r="E2758" i="2"/>
  <c r="D2758" i="2"/>
  <c r="C2758" i="2"/>
  <c r="B2758" i="2"/>
  <c r="V2757" i="2"/>
  <c r="U2757" i="2"/>
  <c r="T2757" i="2"/>
  <c r="S2757" i="2"/>
  <c r="R2757" i="2"/>
  <c r="Q2757" i="2"/>
  <c r="P2757" i="2"/>
  <c r="O2757" i="2"/>
  <c r="N2757" i="2"/>
  <c r="M2757" i="2"/>
  <c r="L2757" i="2"/>
  <c r="K2757" i="2"/>
  <c r="J2757" i="2"/>
  <c r="I2757" i="2"/>
  <c r="H2757" i="2"/>
  <c r="G2757" i="2"/>
  <c r="F2757" i="2"/>
  <c r="E2757" i="2"/>
  <c r="D2757" i="2"/>
  <c r="C2757" i="2"/>
  <c r="B2757" i="2"/>
  <c r="V2756" i="2"/>
  <c r="U2756" i="2"/>
  <c r="T2756" i="2"/>
  <c r="S2756" i="2"/>
  <c r="R2756" i="2"/>
  <c r="Q2756" i="2"/>
  <c r="P2756" i="2"/>
  <c r="O2756" i="2"/>
  <c r="N2756" i="2"/>
  <c r="M2756" i="2"/>
  <c r="L2756" i="2"/>
  <c r="K2756" i="2"/>
  <c r="J2756" i="2"/>
  <c r="I2756" i="2"/>
  <c r="H2756" i="2"/>
  <c r="G2756" i="2"/>
  <c r="F2756" i="2"/>
  <c r="E2756" i="2"/>
  <c r="D2756" i="2"/>
  <c r="C2756" i="2"/>
  <c r="B2756" i="2"/>
  <c r="V2755" i="2"/>
  <c r="U2755" i="2"/>
  <c r="T2755" i="2"/>
  <c r="S2755" i="2"/>
  <c r="R2755" i="2"/>
  <c r="Q2755" i="2"/>
  <c r="P2755" i="2"/>
  <c r="O2755" i="2"/>
  <c r="N2755" i="2"/>
  <c r="M2755" i="2"/>
  <c r="L2755" i="2"/>
  <c r="K2755" i="2"/>
  <c r="J2755" i="2"/>
  <c r="I2755" i="2"/>
  <c r="H2755" i="2"/>
  <c r="G2755" i="2"/>
  <c r="F2755" i="2"/>
  <c r="E2755" i="2"/>
  <c r="D2755" i="2"/>
  <c r="C2755" i="2"/>
  <c r="B2755" i="2"/>
  <c r="V2754" i="2"/>
  <c r="U2754" i="2"/>
  <c r="T2754" i="2"/>
  <c r="S2754" i="2"/>
  <c r="R2754" i="2"/>
  <c r="Q2754" i="2"/>
  <c r="P2754" i="2"/>
  <c r="O2754" i="2"/>
  <c r="N2754" i="2"/>
  <c r="M2754" i="2"/>
  <c r="L2754" i="2"/>
  <c r="K2754" i="2"/>
  <c r="J2754" i="2"/>
  <c r="I2754" i="2"/>
  <c r="H2754" i="2"/>
  <c r="G2754" i="2"/>
  <c r="F2754" i="2"/>
  <c r="E2754" i="2"/>
  <c r="D2754" i="2"/>
  <c r="C2754" i="2"/>
  <c r="B2754" i="2"/>
  <c r="V2753" i="2"/>
  <c r="U2753" i="2"/>
  <c r="T2753" i="2"/>
  <c r="S2753" i="2"/>
  <c r="R2753" i="2"/>
  <c r="Q2753" i="2"/>
  <c r="P2753" i="2"/>
  <c r="O2753" i="2"/>
  <c r="N2753" i="2"/>
  <c r="M2753" i="2"/>
  <c r="L2753" i="2"/>
  <c r="K2753" i="2"/>
  <c r="J2753" i="2"/>
  <c r="I2753" i="2"/>
  <c r="H2753" i="2"/>
  <c r="G2753" i="2"/>
  <c r="F2753" i="2"/>
  <c r="E2753" i="2"/>
  <c r="D2753" i="2"/>
  <c r="C2753" i="2"/>
  <c r="B2753" i="2"/>
  <c r="V2752" i="2"/>
  <c r="U2752" i="2"/>
  <c r="T2752" i="2"/>
  <c r="S2752" i="2"/>
  <c r="R2752" i="2"/>
  <c r="Q2752" i="2"/>
  <c r="P2752" i="2"/>
  <c r="O2752" i="2"/>
  <c r="N2752" i="2"/>
  <c r="M2752" i="2"/>
  <c r="L2752" i="2"/>
  <c r="K2752" i="2"/>
  <c r="J2752" i="2"/>
  <c r="I2752" i="2"/>
  <c r="H2752" i="2"/>
  <c r="G2752" i="2"/>
  <c r="F2752" i="2"/>
  <c r="E2752" i="2"/>
  <c r="D2752" i="2"/>
  <c r="C2752" i="2"/>
  <c r="B2752" i="2"/>
  <c r="V2751" i="2"/>
  <c r="U2751" i="2"/>
  <c r="T2751" i="2"/>
  <c r="S2751" i="2"/>
  <c r="R2751" i="2"/>
  <c r="Q2751" i="2"/>
  <c r="P2751" i="2"/>
  <c r="O2751" i="2"/>
  <c r="N2751" i="2"/>
  <c r="M2751" i="2"/>
  <c r="L2751" i="2"/>
  <c r="K2751" i="2"/>
  <c r="J2751" i="2"/>
  <c r="I2751" i="2"/>
  <c r="H2751" i="2"/>
  <c r="G2751" i="2"/>
  <c r="F2751" i="2"/>
  <c r="E2751" i="2"/>
  <c r="D2751" i="2"/>
  <c r="C2751" i="2"/>
  <c r="B2751" i="2"/>
  <c r="V2750" i="2"/>
  <c r="U2750" i="2"/>
  <c r="T2750" i="2"/>
  <c r="S2750" i="2"/>
  <c r="R2750" i="2"/>
  <c r="Q2750" i="2"/>
  <c r="P2750" i="2"/>
  <c r="O2750" i="2"/>
  <c r="N2750" i="2"/>
  <c r="M2750" i="2"/>
  <c r="L2750" i="2"/>
  <c r="K2750" i="2"/>
  <c r="J2750" i="2"/>
  <c r="I2750" i="2"/>
  <c r="H2750" i="2"/>
  <c r="G2750" i="2"/>
  <c r="F2750" i="2"/>
  <c r="E2750" i="2"/>
  <c r="D2750" i="2"/>
  <c r="C2750" i="2"/>
  <c r="B2750" i="2"/>
  <c r="V2749" i="2"/>
  <c r="U2749" i="2"/>
  <c r="T2749" i="2"/>
  <c r="S2749" i="2"/>
  <c r="R2749" i="2"/>
  <c r="Q2749" i="2"/>
  <c r="P2749" i="2"/>
  <c r="O2749" i="2"/>
  <c r="N2749" i="2"/>
  <c r="M2749" i="2"/>
  <c r="L2749" i="2"/>
  <c r="K2749" i="2"/>
  <c r="J2749" i="2"/>
  <c r="I2749" i="2"/>
  <c r="H2749" i="2"/>
  <c r="G2749" i="2"/>
  <c r="F2749" i="2"/>
  <c r="E2749" i="2"/>
  <c r="D2749" i="2"/>
  <c r="C2749" i="2"/>
  <c r="B2749" i="2"/>
  <c r="V2748" i="2"/>
  <c r="U2748" i="2"/>
  <c r="T2748" i="2"/>
  <c r="S2748" i="2"/>
  <c r="R2748" i="2"/>
  <c r="Q2748" i="2"/>
  <c r="P2748" i="2"/>
  <c r="O2748" i="2"/>
  <c r="N2748" i="2"/>
  <c r="M2748" i="2"/>
  <c r="L2748" i="2"/>
  <c r="K2748" i="2"/>
  <c r="J2748" i="2"/>
  <c r="I2748" i="2"/>
  <c r="H2748" i="2"/>
  <c r="G2748" i="2"/>
  <c r="F2748" i="2"/>
  <c r="E2748" i="2"/>
  <c r="D2748" i="2"/>
  <c r="C2748" i="2"/>
  <c r="B2748" i="2"/>
  <c r="V2747" i="2"/>
  <c r="U2747" i="2"/>
  <c r="T2747" i="2"/>
  <c r="S2747" i="2"/>
  <c r="R2747" i="2"/>
  <c r="Q2747" i="2"/>
  <c r="P2747" i="2"/>
  <c r="O2747" i="2"/>
  <c r="N2747" i="2"/>
  <c r="M2747" i="2"/>
  <c r="L2747" i="2"/>
  <c r="K2747" i="2"/>
  <c r="J2747" i="2"/>
  <c r="I2747" i="2"/>
  <c r="H2747" i="2"/>
  <c r="G2747" i="2"/>
  <c r="F2747" i="2"/>
  <c r="E2747" i="2"/>
  <c r="D2747" i="2"/>
  <c r="C2747" i="2"/>
  <c r="B2747" i="2"/>
  <c r="V2746" i="2"/>
  <c r="U2746" i="2"/>
  <c r="T2746" i="2"/>
  <c r="S2746" i="2"/>
  <c r="R2746" i="2"/>
  <c r="Q2746" i="2"/>
  <c r="P2746" i="2"/>
  <c r="O2746" i="2"/>
  <c r="N2746" i="2"/>
  <c r="M2746" i="2"/>
  <c r="L2746" i="2"/>
  <c r="K2746" i="2"/>
  <c r="J2746" i="2"/>
  <c r="I2746" i="2"/>
  <c r="H2746" i="2"/>
  <c r="G2746" i="2"/>
  <c r="F2746" i="2"/>
  <c r="E2746" i="2"/>
  <c r="D2746" i="2"/>
  <c r="C2746" i="2"/>
  <c r="B2746" i="2"/>
  <c r="V2745" i="2"/>
  <c r="U2745" i="2"/>
  <c r="T2745" i="2"/>
  <c r="S2745" i="2"/>
  <c r="R2745" i="2"/>
  <c r="Q2745" i="2"/>
  <c r="P2745" i="2"/>
  <c r="O2745" i="2"/>
  <c r="N2745" i="2"/>
  <c r="M2745" i="2"/>
  <c r="L2745" i="2"/>
  <c r="K2745" i="2"/>
  <c r="J2745" i="2"/>
  <c r="I2745" i="2"/>
  <c r="H2745" i="2"/>
  <c r="G2745" i="2"/>
  <c r="F2745" i="2"/>
  <c r="E2745" i="2"/>
  <c r="D2745" i="2"/>
  <c r="C2745" i="2"/>
  <c r="B2745" i="2"/>
  <c r="V2744" i="2"/>
  <c r="U2744" i="2"/>
  <c r="T2744" i="2"/>
  <c r="S2744" i="2"/>
  <c r="R2744" i="2"/>
  <c r="Q2744" i="2"/>
  <c r="P2744" i="2"/>
  <c r="O2744" i="2"/>
  <c r="N2744" i="2"/>
  <c r="M2744" i="2"/>
  <c r="L2744" i="2"/>
  <c r="K2744" i="2"/>
  <c r="J2744" i="2"/>
  <c r="I2744" i="2"/>
  <c r="H2744" i="2"/>
  <c r="G2744" i="2"/>
  <c r="F2744" i="2"/>
  <c r="E2744" i="2"/>
  <c r="D2744" i="2"/>
  <c r="C2744" i="2"/>
  <c r="B2744" i="2"/>
  <c r="V2743" i="2"/>
  <c r="U2743" i="2"/>
  <c r="T2743" i="2"/>
  <c r="S2743" i="2"/>
  <c r="R2743" i="2"/>
  <c r="Q2743" i="2"/>
  <c r="P2743" i="2"/>
  <c r="O2743" i="2"/>
  <c r="N2743" i="2"/>
  <c r="M2743" i="2"/>
  <c r="L2743" i="2"/>
  <c r="K2743" i="2"/>
  <c r="J2743" i="2"/>
  <c r="I2743" i="2"/>
  <c r="H2743" i="2"/>
  <c r="G2743" i="2"/>
  <c r="F2743" i="2"/>
  <c r="E2743" i="2"/>
  <c r="D2743" i="2"/>
  <c r="C2743" i="2"/>
  <c r="B2743" i="2"/>
  <c r="V2742" i="2"/>
  <c r="U2742" i="2"/>
  <c r="T2742" i="2"/>
  <c r="S2742" i="2"/>
  <c r="R2742" i="2"/>
  <c r="Q2742" i="2"/>
  <c r="P2742" i="2"/>
  <c r="O2742" i="2"/>
  <c r="N2742" i="2"/>
  <c r="M2742" i="2"/>
  <c r="L2742" i="2"/>
  <c r="K2742" i="2"/>
  <c r="J2742" i="2"/>
  <c r="I2742" i="2"/>
  <c r="H2742" i="2"/>
  <c r="G2742" i="2"/>
  <c r="F2742" i="2"/>
  <c r="E2742" i="2"/>
  <c r="D2742" i="2"/>
  <c r="C2742" i="2"/>
  <c r="B2742" i="2"/>
  <c r="V2741" i="2"/>
  <c r="U2741" i="2"/>
  <c r="T2741" i="2"/>
  <c r="S2741" i="2"/>
  <c r="R2741" i="2"/>
  <c r="Q2741" i="2"/>
  <c r="P2741" i="2"/>
  <c r="O2741" i="2"/>
  <c r="N2741" i="2"/>
  <c r="M2741" i="2"/>
  <c r="L2741" i="2"/>
  <c r="K2741" i="2"/>
  <c r="J2741" i="2"/>
  <c r="I2741" i="2"/>
  <c r="H2741" i="2"/>
  <c r="G2741" i="2"/>
  <c r="F2741" i="2"/>
  <c r="E2741" i="2"/>
  <c r="D2741" i="2"/>
  <c r="C2741" i="2"/>
  <c r="B2741" i="2"/>
  <c r="V2740" i="2"/>
  <c r="U2740" i="2"/>
  <c r="T2740" i="2"/>
  <c r="S2740" i="2"/>
  <c r="R2740" i="2"/>
  <c r="Q2740" i="2"/>
  <c r="P2740" i="2"/>
  <c r="O2740" i="2"/>
  <c r="N2740" i="2"/>
  <c r="M2740" i="2"/>
  <c r="L2740" i="2"/>
  <c r="K2740" i="2"/>
  <c r="J2740" i="2"/>
  <c r="I2740" i="2"/>
  <c r="H2740" i="2"/>
  <c r="G2740" i="2"/>
  <c r="F2740" i="2"/>
  <c r="E2740" i="2"/>
  <c r="D2740" i="2"/>
  <c r="C2740" i="2"/>
  <c r="B2740" i="2"/>
  <c r="V2739" i="2"/>
  <c r="U2739" i="2"/>
  <c r="T2739" i="2"/>
  <c r="S2739" i="2"/>
  <c r="R2739" i="2"/>
  <c r="Q2739" i="2"/>
  <c r="P2739" i="2"/>
  <c r="O2739" i="2"/>
  <c r="N2739" i="2"/>
  <c r="M2739" i="2"/>
  <c r="L2739" i="2"/>
  <c r="K2739" i="2"/>
  <c r="J2739" i="2"/>
  <c r="I2739" i="2"/>
  <c r="H2739" i="2"/>
  <c r="G2739" i="2"/>
  <c r="F2739" i="2"/>
  <c r="E2739" i="2"/>
  <c r="D2739" i="2"/>
  <c r="C2739" i="2"/>
  <c r="B2739" i="2"/>
  <c r="V2738" i="2"/>
  <c r="U2738" i="2"/>
  <c r="T2738" i="2"/>
  <c r="S2738" i="2"/>
  <c r="R2738" i="2"/>
  <c r="Q2738" i="2"/>
  <c r="P2738" i="2"/>
  <c r="O2738" i="2"/>
  <c r="N2738" i="2"/>
  <c r="M2738" i="2"/>
  <c r="L2738" i="2"/>
  <c r="K2738" i="2"/>
  <c r="J2738" i="2"/>
  <c r="I2738" i="2"/>
  <c r="H2738" i="2"/>
  <c r="G2738" i="2"/>
  <c r="F2738" i="2"/>
  <c r="E2738" i="2"/>
  <c r="D2738" i="2"/>
  <c r="C2738" i="2"/>
  <c r="B2738" i="2"/>
  <c r="V2737" i="2"/>
  <c r="U2737" i="2"/>
  <c r="T2737" i="2"/>
  <c r="S2737" i="2"/>
  <c r="R2737" i="2"/>
  <c r="Q2737" i="2"/>
  <c r="P2737" i="2"/>
  <c r="O2737" i="2"/>
  <c r="N2737" i="2"/>
  <c r="M2737" i="2"/>
  <c r="L2737" i="2"/>
  <c r="K2737" i="2"/>
  <c r="J2737" i="2"/>
  <c r="I2737" i="2"/>
  <c r="H2737" i="2"/>
  <c r="G2737" i="2"/>
  <c r="F2737" i="2"/>
  <c r="E2737" i="2"/>
  <c r="D2737" i="2"/>
  <c r="C2737" i="2"/>
  <c r="B2737" i="2"/>
  <c r="V2736" i="2"/>
  <c r="U2736" i="2"/>
  <c r="T2736" i="2"/>
  <c r="S2736" i="2"/>
  <c r="R2736" i="2"/>
  <c r="Q2736" i="2"/>
  <c r="P2736" i="2"/>
  <c r="O2736" i="2"/>
  <c r="N2736" i="2"/>
  <c r="M2736" i="2"/>
  <c r="L2736" i="2"/>
  <c r="K2736" i="2"/>
  <c r="J2736" i="2"/>
  <c r="I2736" i="2"/>
  <c r="H2736" i="2"/>
  <c r="G2736" i="2"/>
  <c r="F2736" i="2"/>
  <c r="E2736" i="2"/>
  <c r="D2736" i="2"/>
  <c r="C2736" i="2"/>
  <c r="B2736" i="2"/>
  <c r="V2735" i="2"/>
  <c r="U2735" i="2"/>
  <c r="T2735" i="2"/>
  <c r="S2735" i="2"/>
  <c r="R2735" i="2"/>
  <c r="Q2735" i="2"/>
  <c r="P2735" i="2"/>
  <c r="O2735" i="2"/>
  <c r="N2735" i="2"/>
  <c r="M2735" i="2"/>
  <c r="L2735" i="2"/>
  <c r="K2735" i="2"/>
  <c r="J2735" i="2"/>
  <c r="I2735" i="2"/>
  <c r="H2735" i="2"/>
  <c r="G2735" i="2"/>
  <c r="F2735" i="2"/>
  <c r="E2735" i="2"/>
  <c r="D2735" i="2"/>
  <c r="C2735" i="2"/>
  <c r="B2735" i="2"/>
  <c r="V2734" i="2"/>
  <c r="U2734" i="2"/>
  <c r="T2734" i="2"/>
  <c r="S2734" i="2"/>
  <c r="R2734" i="2"/>
  <c r="Q2734" i="2"/>
  <c r="P2734" i="2"/>
  <c r="O2734" i="2"/>
  <c r="N2734" i="2"/>
  <c r="M2734" i="2"/>
  <c r="L2734" i="2"/>
  <c r="K2734" i="2"/>
  <c r="J2734" i="2"/>
  <c r="I2734" i="2"/>
  <c r="H2734" i="2"/>
  <c r="G2734" i="2"/>
  <c r="F2734" i="2"/>
  <c r="E2734" i="2"/>
  <c r="D2734" i="2"/>
  <c r="C2734" i="2"/>
  <c r="B2734" i="2"/>
  <c r="V2733" i="2"/>
  <c r="U2733" i="2"/>
  <c r="T2733" i="2"/>
  <c r="S2733" i="2"/>
  <c r="R2733" i="2"/>
  <c r="Q2733" i="2"/>
  <c r="P2733" i="2"/>
  <c r="O2733" i="2"/>
  <c r="N2733" i="2"/>
  <c r="M2733" i="2"/>
  <c r="L2733" i="2"/>
  <c r="K2733" i="2"/>
  <c r="J2733" i="2"/>
  <c r="I2733" i="2"/>
  <c r="H2733" i="2"/>
  <c r="G2733" i="2"/>
  <c r="F2733" i="2"/>
  <c r="E2733" i="2"/>
  <c r="D2733" i="2"/>
  <c r="C2733" i="2"/>
  <c r="B2733" i="2"/>
  <c r="V2732" i="2"/>
  <c r="U2732" i="2"/>
  <c r="T2732" i="2"/>
  <c r="S2732" i="2"/>
  <c r="R2732" i="2"/>
  <c r="Q2732" i="2"/>
  <c r="P2732" i="2"/>
  <c r="O2732" i="2"/>
  <c r="N2732" i="2"/>
  <c r="M2732" i="2"/>
  <c r="L2732" i="2"/>
  <c r="K2732" i="2"/>
  <c r="J2732" i="2"/>
  <c r="I2732" i="2"/>
  <c r="H2732" i="2"/>
  <c r="G2732" i="2"/>
  <c r="F2732" i="2"/>
  <c r="E2732" i="2"/>
  <c r="D2732" i="2"/>
  <c r="C2732" i="2"/>
  <c r="B2732" i="2"/>
  <c r="V2731" i="2"/>
  <c r="U2731" i="2"/>
  <c r="T2731" i="2"/>
  <c r="S2731" i="2"/>
  <c r="R2731" i="2"/>
  <c r="Q2731" i="2"/>
  <c r="P2731" i="2"/>
  <c r="O2731" i="2"/>
  <c r="N2731" i="2"/>
  <c r="M2731" i="2"/>
  <c r="L2731" i="2"/>
  <c r="K2731" i="2"/>
  <c r="J2731" i="2"/>
  <c r="I2731" i="2"/>
  <c r="H2731" i="2"/>
  <c r="G2731" i="2"/>
  <c r="F2731" i="2"/>
  <c r="E2731" i="2"/>
  <c r="D2731" i="2"/>
  <c r="C2731" i="2"/>
  <c r="B2731" i="2"/>
  <c r="V2730" i="2"/>
  <c r="U2730" i="2"/>
  <c r="T2730" i="2"/>
  <c r="S2730" i="2"/>
  <c r="R2730" i="2"/>
  <c r="Q2730" i="2"/>
  <c r="P2730" i="2"/>
  <c r="O2730" i="2"/>
  <c r="N2730" i="2"/>
  <c r="M2730" i="2"/>
  <c r="L2730" i="2"/>
  <c r="K2730" i="2"/>
  <c r="J2730" i="2"/>
  <c r="I2730" i="2"/>
  <c r="H2730" i="2"/>
  <c r="G2730" i="2"/>
  <c r="F2730" i="2"/>
  <c r="E2730" i="2"/>
  <c r="D2730" i="2"/>
  <c r="C2730" i="2"/>
  <c r="B2730" i="2"/>
  <c r="V2729" i="2"/>
  <c r="U2729" i="2"/>
  <c r="T2729" i="2"/>
  <c r="S2729" i="2"/>
  <c r="R2729" i="2"/>
  <c r="Q2729" i="2"/>
  <c r="P2729" i="2"/>
  <c r="O2729" i="2"/>
  <c r="N2729" i="2"/>
  <c r="M2729" i="2"/>
  <c r="L2729" i="2"/>
  <c r="K2729" i="2"/>
  <c r="J2729" i="2"/>
  <c r="I2729" i="2"/>
  <c r="H2729" i="2"/>
  <c r="G2729" i="2"/>
  <c r="F2729" i="2"/>
  <c r="E2729" i="2"/>
  <c r="D2729" i="2"/>
  <c r="C2729" i="2"/>
  <c r="B2729" i="2"/>
  <c r="V2728" i="2"/>
  <c r="U2728" i="2"/>
  <c r="T2728" i="2"/>
  <c r="S2728" i="2"/>
  <c r="R2728" i="2"/>
  <c r="Q2728" i="2"/>
  <c r="P2728" i="2"/>
  <c r="O2728" i="2"/>
  <c r="N2728" i="2"/>
  <c r="M2728" i="2"/>
  <c r="L2728" i="2"/>
  <c r="K2728" i="2"/>
  <c r="J2728" i="2"/>
  <c r="I2728" i="2"/>
  <c r="H2728" i="2"/>
  <c r="G2728" i="2"/>
  <c r="F2728" i="2"/>
  <c r="E2728" i="2"/>
  <c r="D2728" i="2"/>
  <c r="C2728" i="2"/>
  <c r="B2728" i="2"/>
  <c r="V2727" i="2"/>
  <c r="U2727" i="2"/>
  <c r="T2727" i="2"/>
  <c r="S2727" i="2"/>
  <c r="R2727" i="2"/>
  <c r="Q2727" i="2"/>
  <c r="P2727" i="2"/>
  <c r="O2727" i="2"/>
  <c r="N2727" i="2"/>
  <c r="M2727" i="2"/>
  <c r="L2727" i="2"/>
  <c r="K2727" i="2"/>
  <c r="J2727" i="2"/>
  <c r="I2727" i="2"/>
  <c r="H2727" i="2"/>
  <c r="G2727" i="2"/>
  <c r="F2727" i="2"/>
  <c r="E2727" i="2"/>
  <c r="D2727" i="2"/>
  <c r="C2727" i="2"/>
  <c r="B2727" i="2"/>
  <c r="V2726" i="2"/>
  <c r="U2726" i="2"/>
  <c r="T2726" i="2"/>
  <c r="S2726" i="2"/>
  <c r="R2726" i="2"/>
  <c r="Q2726" i="2"/>
  <c r="P2726" i="2"/>
  <c r="O2726" i="2"/>
  <c r="N2726" i="2"/>
  <c r="M2726" i="2"/>
  <c r="L2726" i="2"/>
  <c r="K2726" i="2"/>
  <c r="J2726" i="2"/>
  <c r="I2726" i="2"/>
  <c r="H2726" i="2"/>
  <c r="G2726" i="2"/>
  <c r="F2726" i="2"/>
  <c r="E2726" i="2"/>
  <c r="D2726" i="2"/>
  <c r="C2726" i="2"/>
  <c r="B2726" i="2"/>
  <c r="V2725" i="2"/>
  <c r="U2725" i="2"/>
  <c r="T2725" i="2"/>
  <c r="S2725" i="2"/>
  <c r="R2725" i="2"/>
  <c r="Q2725" i="2"/>
  <c r="P2725" i="2"/>
  <c r="O2725" i="2"/>
  <c r="N2725" i="2"/>
  <c r="M2725" i="2"/>
  <c r="L2725" i="2"/>
  <c r="K2725" i="2"/>
  <c r="J2725" i="2"/>
  <c r="I2725" i="2"/>
  <c r="H2725" i="2"/>
  <c r="G2725" i="2"/>
  <c r="F2725" i="2"/>
  <c r="E2725" i="2"/>
  <c r="D2725" i="2"/>
  <c r="C2725" i="2"/>
  <c r="B2725" i="2"/>
  <c r="V2724" i="2"/>
  <c r="U2724" i="2"/>
  <c r="T2724" i="2"/>
  <c r="S2724" i="2"/>
  <c r="R2724" i="2"/>
  <c r="Q2724" i="2"/>
  <c r="P2724" i="2"/>
  <c r="O2724" i="2"/>
  <c r="N2724" i="2"/>
  <c r="M2724" i="2"/>
  <c r="L2724" i="2"/>
  <c r="K2724" i="2"/>
  <c r="J2724" i="2"/>
  <c r="I2724" i="2"/>
  <c r="H2724" i="2"/>
  <c r="G2724" i="2"/>
  <c r="F2724" i="2"/>
  <c r="E2724" i="2"/>
  <c r="D2724" i="2"/>
  <c r="C2724" i="2"/>
  <c r="B2724" i="2"/>
  <c r="V2723" i="2"/>
  <c r="U2723" i="2"/>
  <c r="T2723" i="2"/>
  <c r="S2723" i="2"/>
  <c r="R2723" i="2"/>
  <c r="Q2723" i="2"/>
  <c r="P2723" i="2"/>
  <c r="O2723" i="2"/>
  <c r="N2723" i="2"/>
  <c r="M2723" i="2"/>
  <c r="L2723" i="2"/>
  <c r="K2723" i="2"/>
  <c r="J2723" i="2"/>
  <c r="I2723" i="2"/>
  <c r="H2723" i="2"/>
  <c r="G2723" i="2"/>
  <c r="F2723" i="2"/>
  <c r="E2723" i="2"/>
  <c r="D2723" i="2"/>
  <c r="C2723" i="2"/>
  <c r="B2723" i="2"/>
  <c r="V2722" i="2"/>
  <c r="U2722" i="2"/>
  <c r="T2722" i="2"/>
  <c r="S2722" i="2"/>
  <c r="R2722" i="2"/>
  <c r="Q2722" i="2"/>
  <c r="P2722" i="2"/>
  <c r="O2722" i="2"/>
  <c r="N2722" i="2"/>
  <c r="M2722" i="2"/>
  <c r="L2722" i="2"/>
  <c r="K2722" i="2"/>
  <c r="J2722" i="2"/>
  <c r="I2722" i="2"/>
  <c r="H2722" i="2"/>
  <c r="G2722" i="2"/>
  <c r="F2722" i="2"/>
  <c r="E2722" i="2"/>
  <c r="D2722" i="2"/>
  <c r="C2722" i="2"/>
  <c r="B2722" i="2"/>
  <c r="V2721" i="2"/>
  <c r="U2721" i="2"/>
  <c r="T2721" i="2"/>
  <c r="S2721" i="2"/>
  <c r="R2721" i="2"/>
  <c r="Q2721" i="2"/>
  <c r="P2721" i="2"/>
  <c r="O2721" i="2"/>
  <c r="N2721" i="2"/>
  <c r="M2721" i="2"/>
  <c r="L2721" i="2"/>
  <c r="K2721" i="2"/>
  <c r="J2721" i="2"/>
  <c r="I2721" i="2"/>
  <c r="H2721" i="2"/>
  <c r="G2721" i="2"/>
  <c r="F2721" i="2"/>
  <c r="E2721" i="2"/>
  <c r="D2721" i="2"/>
  <c r="C2721" i="2"/>
  <c r="B2721" i="2"/>
  <c r="V2720" i="2"/>
  <c r="U2720" i="2"/>
  <c r="T2720" i="2"/>
  <c r="S2720" i="2"/>
  <c r="R2720" i="2"/>
  <c r="Q2720" i="2"/>
  <c r="P2720" i="2"/>
  <c r="O2720" i="2"/>
  <c r="N2720" i="2"/>
  <c r="M2720" i="2"/>
  <c r="L2720" i="2"/>
  <c r="K2720" i="2"/>
  <c r="J2720" i="2"/>
  <c r="I2720" i="2"/>
  <c r="H2720" i="2"/>
  <c r="G2720" i="2"/>
  <c r="F2720" i="2"/>
  <c r="E2720" i="2"/>
  <c r="D2720" i="2"/>
  <c r="C2720" i="2"/>
  <c r="B2720" i="2"/>
  <c r="V2719" i="2"/>
  <c r="U2719" i="2"/>
  <c r="T2719" i="2"/>
  <c r="S2719" i="2"/>
  <c r="R2719" i="2"/>
  <c r="Q2719" i="2"/>
  <c r="P2719" i="2"/>
  <c r="O2719" i="2"/>
  <c r="N2719" i="2"/>
  <c r="M2719" i="2"/>
  <c r="L2719" i="2"/>
  <c r="K2719" i="2"/>
  <c r="J2719" i="2"/>
  <c r="I2719" i="2"/>
  <c r="H2719" i="2"/>
  <c r="G2719" i="2"/>
  <c r="F2719" i="2"/>
  <c r="E2719" i="2"/>
  <c r="D2719" i="2"/>
  <c r="C2719" i="2"/>
  <c r="B2719" i="2"/>
  <c r="V2718" i="2"/>
  <c r="U2718" i="2"/>
  <c r="T2718" i="2"/>
  <c r="S2718" i="2"/>
  <c r="R2718" i="2"/>
  <c r="Q2718" i="2"/>
  <c r="P2718" i="2"/>
  <c r="O2718" i="2"/>
  <c r="N2718" i="2"/>
  <c r="M2718" i="2"/>
  <c r="L2718" i="2"/>
  <c r="K2718" i="2"/>
  <c r="J2718" i="2"/>
  <c r="I2718" i="2"/>
  <c r="H2718" i="2"/>
  <c r="G2718" i="2"/>
  <c r="F2718" i="2"/>
  <c r="E2718" i="2"/>
  <c r="D2718" i="2"/>
  <c r="C2718" i="2"/>
  <c r="B2718" i="2"/>
  <c r="V2717" i="2"/>
  <c r="U2717" i="2"/>
  <c r="T2717" i="2"/>
  <c r="S2717" i="2"/>
  <c r="R2717" i="2"/>
  <c r="Q2717" i="2"/>
  <c r="P2717" i="2"/>
  <c r="O2717" i="2"/>
  <c r="N2717" i="2"/>
  <c r="M2717" i="2"/>
  <c r="L2717" i="2"/>
  <c r="K2717" i="2"/>
  <c r="J2717" i="2"/>
  <c r="I2717" i="2"/>
  <c r="H2717" i="2"/>
  <c r="G2717" i="2"/>
  <c r="F2717" i="2"/>
  <c r="E2717" i="2"/>
  <c r="D2717" i="2"/>
  <c r="C2717" i="2"/>
  <c r="B2717" i="2"/>
  <c r="V2716" i="2"/>
  <c r="U2716" i="2"/>
  <c r="T2716" i="2"/>
  <c r="S2716" i="2"/>
  <c r="R2716" i="2"/>
  <c r="Q2716" i="2"/>
  <c r="P2716" i="2"/>
  <c r="O2716" i="2"/>
  <c r="N2716" i="2"/>
  <c r="M2716" i="2"/>
  <c r="L2716" i="2"/>
  <c r="K2716" i="2"/>
  <c r="J2716" i="2"/>
  <c r="I2716" i="2"/>
  <c r="H2716" i="2"/>
  <c r="G2716" i="2"/>
  <c r="F2716" i="2"/>
  <c r="E2716" i="2"/>
  <c r="D2716" i="2"/>
  <c r="C2716" i="2"/>
  <c r="B2716" i="2"/>
  <c r="V2715" i="2"/>
  <c r="U2715" i="2"/>
  <c r="T2715" i="2"/>
  <c r="S2715" i="2"/>
  <c r="R2715" i="2"/>
  <c r="Q2715" i="2"/>
  <c r="P2715" i="2"/>
  <c r="O2715" i="2"/>
  <c r="N2715" i="2"/>
  <c r="M2715" i="2"/>
  <c r="L2715" i="2"/>
  <c r="K2715" i="2"/>
  <c r="J2715" i="2"/>
  <c r="I2715" i="2"/>
  <c r="H2715" i="2"/>
  <c r="G2715" i="2"/>
  <c r="F2715" i="2"/>
  <c r="E2715" i="2"/>
  <c r="D2715" i="2"/>
  <c r="C2715" i="2"/>
  <c r="B2715" i="2"/>
  <c r="V2714" i="2"/>
  <c r="U2714" i="2"/>
  <c r="T2714" i="2"/>
  <c r="S2714" i="2"/>
  <c r="R2714" i="2"/>
  <c r="Q2714" i="2"/>
  <c r="P2714" i="2"/>
  <c r="O2714" i="2"/>
  <c r="N2714" i="2"/>
  <c r="M2714" i="2"/>
  <c r="L2714" i="2"/>
  <c r="K2714" i="2"/>
  <c r="J2714" i="2"/>
  <c r="I2714" i="2"/>
  <c r="H2714" i="2"/>
  <c r="G2714" i="2"/>
  <c r="F2714" i="2"/>
  <c r="E2714" i="2"/>
  <c r="D2714" i="2"/>
  <c r="C2714" i="2"/>
  <c r="B2714" i="2"/>
  <c r="V2713" i="2"/>
  <c r="U2713" i="2"/>
  <c r="T2713" i="2"/>
  <c r="S2713" i="2"/>
  <c r="R2713" i="2"/>
  <c r="Q2713" i="2"/>
  <c r="P2713" i="2"/>
  <c r="O2713" i="2"/>
  <c r="N2713" i="2"/>
  <c r="M2713" i="2"/>
  <c r="L2713" i="2"/>
  <c r="K2713" i="2"/>
  <c r="J2713" i="2"/>
  <c r="I2713" i="2"/>
  <c r="H2713" i="2"/>
  <c r="G2713" i="2"/>
  <c r="F2713" i="2"/>
  <c r="E2713" i="2"/>
  <c r="D2713" i="2"/>
  <c r="C2713" i="2"/>
  <c r="B2713" i="2"/>
  <c r="V2712" i="2"/>
  <c r="U2712" i="2"/>
  <c r="T2712" i="2"/>
  <c r="S2712" i="2"/>
  <c r="R2712" i="2"/>
  <c r="Q2712" i="2"/>
  <c r="P2712" i="2"/>
  <c r="O2712" i="2"/>
  <c r="N2712" i="2"/>
  <c r="M2712" i="2"/>
  <c r="L2712" i="2"/>
  <c r="K2712" i="2"/>
  <c r="J2712" i="2"/>
  <c r="I2712" i="2"/>
  <c r="H2712" i="2"/>
  <c r="G2712" i="2"/>
  <c r="F2712" i="2"/>
  <c r="E2712" i="2"/>
  <c r="D2712" i="2"/>
  <c r="C2712" i="2"/>
  <c r="B2712" i="2"/>
  <c r="V2711" i="2"/>
  <c r="U2711" i="2"/>
  <c r="T2711" i="2"/>
  <c r="S2711" i="2"/>
  <c r="R2711" i="2"/>
  <c r="Q2711" i="2"/>
  <c r="P2711" i="2"/>
  <c r="O2711" i="2"/>
  <c r="N2711" i="2"/>
  <c r="M2711" i="2"/>
  <c r="L2711" i="2"/>
  <c r="K2711" i="2"/>
  <c r="J2711" i="2"/>
  <c r="I2711" i="2"/>
  <c r="H2711" i="2"/>
  <c r="G2711" i="2"/>
  <c r="F2711" i="2"/>
  <c r="E2711" i="2"/>
  <c r="D2711" i="2"/>
  <c r="C2711" i="2"/>
  <c r="B2711" i="2"/>
  <c r="V2710" i="2"/>
  <c r="U2710" i="2"/>
  <c r="T2710" i="2"/>
  <c r="S2710" i="2"/>
  <c r="R2710" i="2"/>
  <c r="Q2710" i="2"/>
  <c r="P2710" i="2"/>
  <c r="O2710" i="2"/>
  <c r="N2710" i="2"/>
  <c r="M2710" i="2"/>
  <c r="L2710" i="2"/>
  <c r="K2710" i="2"/>
  <c r="J2710" i="2"/>
  <c r="I2710" i="2"/>
  <c r="H2710" i="2"/>
  <c r="G2710" i="2"/>
  <c r="F2710" i="2"/>
  <c r="E2710" i="2"/>
  <c r="D2710" i="2"/>
  <c r="C2710" i="2"/>
  <c r="B2710" i="2"/>
  <c r="V2709" i="2"/>
  <c r="U2709" i="2"/>
  <c r="T2709" i="2"/>
  <c r="S2709" i="2"/>
  <c r="R2709" i="2"/>
  <c r="Q2709" i="2"/>
  <c r="P2709" i="2"/>
  <c r="O2709" i="2"/>
  <c r="N2709" i="2"/>
  <c r="M2709" i="2"/>
  <c r="L2709" i="2"/>
  <c r="K2709" i="2"/>
  <c r="J2709" i="2"/>
  <c r="I2709" i="2"/>
  <c r="H2709" i="2"/>
  <c r="G2709" i="2"/>
  <c r="F2709" i="2"/>
  <c r="E2709" i="2"/>
  <c r="D2709" i="2"/>
  <c r="C2709" i="2"/>
  <c r="B2709" i="2"/>
  <c r="V2708" i="2"/>
  <c r="U2708" i="2"/>
  <c r="T2708" i="2"/>
  <c r="S2708" i="2"/>
  <c r="R2708" i="2"/>
  <c r="Q2708" i="2"/>
  <c r="P2708" i="2"/>
  <c r="O2708" i="2"/>
  <c r="N2708" i="2"/>
  <c r="M2708" i="2"/>
  <c r="L2708" i="2"/>
  <c r="K2708" i="2"/>
  <c r="J2708" i="2"/>
  <c r="I2708" i="2"/>
  <c r="H2708" i="2"/>
  <c r="G2708" i="2"/>
  <c r="F2708" i="2"/>
  <c r="E2708" i="2"/>
  <c r="D2708" i="2"/>
  <c r="C2708" i="2"/>
  <c r="B2708" i="2"/>
  <c r="V2707" i="2"/>
  <c r="U2707" i="2"/>
  <c r="T2707" i="2"/>
  <c r="S2707" i="2"/>
  <c r="R2707" i="2"/>
  <c r="Q2707" i="2"/>
  <c r="P2707" i="2"/>
  <c r="O2707" i="2"/>
  <c r="N2707" i="2"/>
  <c r="M2707" i="2"/>
  <c r="L2707" i="2"/>
  <c r="K2707" i="2"/>
  <c r="J2707" i="2"/>
  <c r="I2707" i="2"/>
  <c r="H2707" i="2"/>
  <c r="G2707" i="2"/>
  <c r="F2707" i="2"/>
  <c r="E2707" i="2"/>
  <c r="D2707" i="2"/>
  <c r="C2707" i="2"/>
  <c r="B2707" i="2"/>
  <c r="V2706" i="2"/>
  <c r="U2706" i="2"/>
  <c r="T2706" i="2"/>
  <c r="S2706" i="2"/>
  <c r="R2706" i="2"/>
  <c r="Q2706" i="2"/>
  <c r="P2706" i="2"/>
  <c r="O2706" i="2"/>
  <c r="N2706" i="2"/>
  <c r="M2706" i="2"/>
  <c r="L2706" i="2"/>
  <c r="K2706" i="2"/>
  <c r="J2706" i="2"/>
  <c r="I2706" i="2"/>
  <c r="H2706" i="2"/>
  <c r="G2706" i="2"/>
  <c r="F2706" i="2"/>
  <c r="E2706" i="2"/>
  <c r="D2706" i="2"/>
  <c r="C2706" i="2"/>
  <c r="B2706" i="2"/>
  <c r="V2705" i="2"/>
  <c r="U2705" i="2"/>
  <c r="T2705" i="2"/>
  <c r="S2705" i="2"/>
  <c r="R2705" i="2"/>
  <c r="Q2705" i="2"/>
  <c r="P2705" i="2"/>
  <c r="O2705" i="2"/>
  <c r="N2705" i="2"/>
  <c r="M2705" i="2"/>
  <c r="L2705" i="2"/>
  <c r="K2705" i="2"/>
  <c r="J2705" i="2"/>
  <c r="I2705" i="2"/>
  <c r="H2705" i="2"/>
  <c r="G2705" i="2"/>
  <c r="F2705" i="2"/>
  <c r="E2705" i="2"/>
  <c r="D2705" i="2"/>
  <c r="C2705" i="2"/>
  <c r="B2705" i="2"/>
  <c r="V2704" i="2"/>
  <c r="U2704" i="2"/>
  <c r="T2704" i="2"/>
  <c r="S2704" i="2"/>
  <c r="R2704" i="2"/>
  <c r="Q2704" i="2"/>
  <c r="P2704" i="2"/>
  <c r="O2704" i="2"/>
  <c r="N2704" i="2"/>
  <c r="M2704" i="2"/>
  <c r="L2704" i="2"/>
  <c r="K2704" i="2"/>
  <c r="J2704" i="2"/>
  <c r="I2704" i="2"/>
  <c r="H2704" i="2"/>
  <c r="G2704" i="2"/>
  <c r="F2704" i="2"/>
  <c r="E2704" i="2"/>
  <c r="D2704" i="2"/>
  <c r="C2704" i="2"/>
  <c r="B2704" i="2"/>
  <c r="V2703" i="2"/>
  <c r="U2703" i="2"/>
  <c r="T2703" i="2"/>
  <c r="S2703" i="2"/>
  <c r="R2703" i="2"/>
  <c r="Q2703" i="2"/>
  <c r="P2703" i="2"/>
  <c r="O2703" i="2"/>
  <c r="N2703" i="2"/>
  <c r="M2703" i="2"/>
  <c r="L2703" i="2"/>
  <c r="K2703" i="2"/>
  <c r="J2703" i="2"/>
  <c r="I2703" i="2"/>
  <c r="H2703" i="2"/>
  <c r="G2703" i="2"/>
  <c r="F2703" i="2"/>
  <c r="E2703" i="2"/>
  <c r="D2703" i="2"/>
  <c r="C2703" i="2"/>
  <c r="B2703" i="2"/>
  <c r="V2702" i="2"/>
  <c r="U2702" i="2"/>
  <c r="T2702" i="2"/>
  <c r="S2702" i="2"/>
  <c r="R2702" i="2"/>
  <c r="Q2702" i="2"/>
  <c r="P2702" i="2"/>
  <c r="O2702" i="2"/>
  <c r="N2702" i="2"/>
  <c r="M2702" i="2"/>
  <c r="L2702" i="2"/>
  <c r="K2702" i="2"/>
  <c r="J2702" i="2"/>
  <c r="I2702" i="2"/>
  <c r="H2702" i="2"/>
  <c r="G2702" i="2"/>
  <c r="F2702" i="2"/>
  <c r="E2702" i="2"/>
  <c r="D2702" i="2"/>
  <c r="C2702" i="2"/>
  <c r="B2702" i="2"/>
  <c r="V2701" i="2"/>
  <c r="U2701" i="2"/>
  <c r="T2701" i="2"/>
  <c r="S2701" i="2"/>
  <c r="R2701" i="2"/>
  <c r="Q2701" i="2"/>
  <c r="P2701" i="2"/>
  <c r="O2701" i="2"/>
  <c r="N2701" i="2"/>
  <c r="M2701" i="2"/>
  <c r="L2701" i="2"/>
  <c r="K2701" i="2"/>
  <c r="J2701" i="2"/>
  <c r="I2701" i="2"/>
  <c r="H2701" i="2"/>
  <c r="G2701" i="2"/>
  <c r="F2701" i="2"/>
  <c r="E2701" i="2"/>
  <c r="D2701" i="2"/>
  <c r="C2701" i="2"/>
  <c r="B2701" i="2"/>
  <c r="V2700" i="2"/>
  <c r="U2700" i="2"/>
  <c r="T2700" i="2"/>
  <c r="S2700" i="2"/>
  <c r="R2700" i="2"/>
  <c r="Q2700" i="2"/>
  <c r="P2700" i="2"/>
  <c r="O2700" i="2"/>
  <c r="N2700" i="2"/>
  <c r="M2700" i="2"/>
  <c r="L2700" i="2"/>
  <c r="K2700" i="2"/>
  <c r="J2700" i="2"/>
  <c r="I2700" i="2"/>
  <c r="H2700" i="2"/>
  <c r="G2700" i="2"/>
  <c r="F2700" i="2"/>
  <c r="E2700" i="2"/>
  <c r="D2700" i="2"/>
  <c r="C2700" i="2"/>
  <c r="B2700" i="2"/>
  <c r="V2699" i="2"/>
  <c r="U2699" i="2"/>
  <c r="T2699" i="2"/>
  <c r="S2699" i="2"/>
  <c r="R2699" i="2"/>
  <c r="Q2699" i="2"/>
  <c r="P2699" i="2"/>
  <c r="O2699" i="2"/>
  <c r="N2699" i="2"/>
  <c r="M2699" i="2"/>
  <c r="L2699" i="2"/>
  <c r="K2699" i="2"/>
  <c r="J2699" i="2"/>
  <c r="I2699" i="2"/>
  <c r="H2699" i="2"/>
  <c r="G2699" i="2"/>
  <c r="F2699" i="2"/>
  <c r="E2699" i="2"/>
  <c r="D2699" i="2"/>
  <c r="C2699" i="2"/>
  <c r="B2699" i="2"/>
  <c r="V2698" i="2"/>
  <c r="U2698" i="2"/>
  <c r="T2698" i="2"/>
  <c r="S2698" i="2"/>
  <c r="R2698" i="2"/>
  <c r="Q2698" i="2"/>
  <c r="P2698" i="2"/>
  <c r="O2698" i="2"/>
  <c r="N2698" i="2"/>
  <c r="M2698" i="2"/>
  <c r="L2698" i="2"/>
  <c r="K2698" i="2"/>
  <c r="J2698" i="2"/>
  <c r="I2698" i="2"/>
  <c r="H2698" i="2"/>
  <c r="G2698" i="2"/>
  <c r="F2698" i="2"/>
  <c r="E2698" i="2"/>
  <c r="D2698" i="2"/>
  <c r="C2698" i="2"/>
  <c r="B2698" i="2"/>
  <c r="V2697" i="2"/>
  <c r="U2697" i="2"/>
  <c r="T2697" i="2"/>
  <c r="S2697" i="2"/>
  <c r="R2697" i="2"/>
  <c r="Q2697" i="2"/>
  <c r="P2697" i="2"/>
  <c r="O2697" i="2"/>
  <c r="N2697" i="2"/>
  <c r="M2697" i="2"/>
  <c r="L2697" i="2"/>
  <c r="K2697" i="2"/>
  <c r="J2697" i="2"/>
  <c r="I2697" i="2"/>
  <c r="H2697" i="2"/>
  <c r="G2697" i="2"/>
  <c r="F2697" i="2"/>
  <c r="E2697" i="2"/>
  <c r="D2697" i="2"/>
  <c r="C2697" i="2"/>
  <c r="B2697" i="2"/>
  <c r="V2696" i="2"/>
  <c r="U2696" i="2"/>
  <c r="T2696" i="2"/>
  <c r="S2696" i="2"/>
  <c r="R2696" i="2"/>
  <c r="Q2696" i="2"/>
  <c r="P2696" i="2"/>
  <c r="O2696" i="2"/>
  <c r="N2696" i="2"/>
  <c r="M2696" i="2"/>
  <c r="L2696" i="2"/>
  <c r="K2696" i="2"/>
  <c r="J2696" i="2"/>
  <c r="I2696" i="2"/>
  <c r="H2696" i="2"/>
  <c r="G2696" i="2"/>
  <c r="F2696" i="2"/>
  <c r="E2696" i="2"/>
  <c r="D2696" i="2"/>
  <c r="C2696" i="2"/>
  <c r="B2696" i="2"/>
  <c r="V2695" i="2"/>
  <c r="U2695" i="2"/>
  <c r="T2695" i="2"/>
  <c r="S2695" i="2"/>
  <c r="R2695" i="2"/>
  <c r="Q2695" i="2"/>
  <c r="P2695" i="2"/>
  <c r="O2695" i="2"/>
  <c r="N2695" i="2"/>
  <c r="M2695" i="2"/>
  <c r="L2695" i="2"/>
  <c r="K2695" i="2"/>
  <c r="J2695" i="2"/>
  <c r="I2695" i="2"/>
  <c r="H2695" i="2"/>
  <c r="G2695" i="2"/>
  <c r="F2695" i="2"/>
  <c r="E2695" i="2"/>
  <c r="D2695" i="2"/>
  <c r="C2695" i="2"/>
  <c r="B2695" i="2"/>
  <c r="V2694" i="2"/>
  <c r="U2694" i="2"/>
  <c r="T2694" i="2"/>
  <c r="S2694" i="2"/>
  <c r="R2694" i="2"/>
  <c r="Q2694" i="2"/>
  <c r="P2694" i="2"/>
  <c r="O2694" i="2"/>
  <c r="N2694" i="2"/>
  <c r="M2694" i="2"/>
  <c r="L2694" i="2"/>
  <c r="K2694" i="2"/>
  <c r="J2694" i="2"/>
  <c r="I2694" i="2"/>
  <c r="H2694" i="2"/>
  <c r="G2694" i="2"/>
  <c r="F2694" i="2"/>
  <c r="E2694" i="2"/>
  <c r="D2694" i="2"/>
  <c r="C2694" i="2"/>
  <c r="B2694" i="2"/>
  <c r="V2693" i="2"/>
  <c r="U2693" i="2"/>
  <c r="T2693" i="2"/>
  <c r="S2693" i="2"/>
  <c r="R2693" i="2"/>
  <c r="Q2693" i="2"/>
  <c r="P2693" i="2"/>
  <c r="O2693" i="2"/>
  <c r="N2693" i="2"/>
  <c r="M2693" i="2"/>
  <c r="L2693" i="2"/>
  <c r="K2693" i="2"/>
  <c r="J2693" i="2"/>
  <c r="I2693" i="2"/>
  <c r="H2693" i="2"/>
  <c r="G2693" i="2"/>
  <c r="F2693" i="2"/>
  <c r="E2693" i="2"/>
  <c r="D2693" i="2"/>
  <c r="C2693" i="2"/>
  <c r="B2693" i="2"/>
  <c r="V2692" i="2"/>
  <c r="U2692" i="2"/>
  <c r="T2692" i="2"/>
  <c r="S2692" i="2"/>
  <c r="R2692" i="2"/>
  <c r="Q2692" i="2"/>
  <c r="P2692" i="2"/>
  <c r="O2692" i="2"/>
  <c r="N2692" i="2"/>
  <c r="M2692" i="2"/>
  <c r="L2692" i="2"/>
  <c r="K2692" i="2"/>
  <c r="J2692" i="2"/>
  <c r="I2692" i="2"/>
  <c r="H2692" i="2"/>
  <c r="G2692" i="2"/>
  <c r="F2692" i="2"/>
  <c r="E2692" i="2"/>
  <c r="D2692" i="2"/>
  <c r="C2692" i="2"/>
  <c r="B2692" i="2"/>
  <c r="V2691" i="2"/>
  <c r="U2691" i="2"/>
  <c r="T2691" i="2"/>
  <c r="S2691" i="2"/>
  <c r="R2691" i="2"/>
  <c r="Q2691" i="2"/>
  <c r="P2691" i="2"/>
  <c r="O2691" i="2"/>
  <c r="N2691" i="2"/>
  <c r="M2691" i="2"/>
  <c r="L2691" i="2"/>
  <c r="K2691" i="2"/>
  <c r="J2691" i="2"/>
  <c r="I2691" i="2"/>
  <c r="H2691" i="2"/>
  <c r="G2691" i="2"/>
  <c r="F2691" i="2"/>
  <c r="E2691" i="2"/>
  <c r="D2691" i="2"/>
  <c r="C2691" i="2"/>
  <c r="B2691" i="2"/>
  <c r="V2690" i="2"/>
  <c r="U2690" i="2"/>
  <c r="T2690" i="2"/>
  <c r="S2690" i="2"/>
  <c r="R2690" i="2"/>
  <c r="Q2690" i="2"/>
  <c r="P2690" i="2"/>
  <c r="O2690" i="2"/>
  <c r="N2690" i="2"/>
  <c r="M2690" i="2"/>
  <c r="L2690" i="2"/>
  <c r="K2690" i="2"/>
  <c r="J2690" i="2"/>
  <c r="I2690" i="2"/>
  <c r="H2690" i="2"/>
  <c r="G2690" i="2"/>
  <c r="F2690" i="2"/>
  <c r="E2690" i="2"/>
  <c r="D2690" i="2"/>
  <c r="C2690" i="2"/>
  <c r="B2690" i="2"/>
  <c r="V2689" i="2"/>
  <c r="U2689" i="2"/>
  <c r="T2689" i="2"/>
  <c r="S2689" i="2"/>
  <c r="R2689" i="2"/>
  <c r="Q2689" i="2"/>
  <c r="P2689" i="2"/>
  <c r="O2689" i="2"/>
  <c r="N2689" i="2"/>
  <c r="M2689" i="2"/>
  <c r="L2689" i="2"/>
  <c r="K2689" i="2"/>
  <c r="J2689" i="2"/>
  <c r="I2689" i="2"/>
  <c r="H2689" i="2"/>
  <c r="G2689" i="2"/>
  <c r="F2689" i="2"/>
  <c r="E2689" i="2"/>
  <c r="D2689" i="2"/>
  <c r="C2689" i="2"/>
  <c r="B2689" i="2"/>
  <c r="V2688" i="2"/>
  <c r="U2688" i="2"/>
  <c r="T2688" i="2"/>
  <c r="S2688" i="2"/>
  <c r="R2688" i="2"/>
  <c r="Q2688" i="2"/>
  <c r="P2688" i="2"/>
  <c r="O2688" i="2"/>
  <c r="N2688" i="2"/>
  <c r="M2688" i="2"/>
  <c r="L2688" i="2"/>
  <c r="K2688" i="2"/>
  <c r="J2688" i="2"/>
  <c r="I2688" i="2"/>
  <c r="H2688" i="2"/>
  <c r="G2688" i="2"/>
  <c r="F2688" i="2"/>
  <c r="E2688" i="2"/>
  <c r="D2688" i="2"/>
  <c r="C2688" i="2"/>
  <c r="B2688" i="2"/>
  <c r="V2687" i="2"/>
  <c r="U2687" i="2"/>
  <c r="T2687" i="2"/>
  <c r="S2687" i="2"/>
  <c r="R2687" i="2"/>
  <c r="Q2687" i="2"/>
  <c r="P2687" i="2"/>
  <c r="O2687" i="2"/>
  <c r="N2687" i="2"/>
  <c r="M2687" i="2"/>
  <c r="L2687" i="2"/>
  <c r="K2687" i="2"/>
  <c r="J2687" i="2"/>
  <c r="I2687" i="2"/>
  <c r="H2687" i="2"/>
  <c r="G2687" i="2"/>
  <c r="F2687" i="2"/>
  <c r="E2687" i="2"/>
  <c r="D2687" i="2"/>
  <c r="C2687" i="2"/>
  <c r="B2687" i="2"/>
  <c r="V2686" i="2"/>
  <c r="U2686" i="2"/>
  <c r="T2686" i="2"/>
  <c r="S2686" i="2"/>
  <c r="R2686" i="2"/>
  <c r="Q2686" i="2"/>
  <c r="P2686" i="2"/>
  <c r="O2686" i="2"/>
  <c r="N2686" i="2"/>
  <c r="M2686" i="2"/>
  <c r="L2686" i="2"/>
  <c r="K2686" i="2"/>
  <c r="J2686" i="2"/>
  <c r="I2686" i="2"/>
  <c r="H2686" i="2"/>
  <c r="G2686" i="2"/>
  <c r="F2686" i="2"/>
  <c r="E2686" i="2"/>
  <c r="D2686" i="2"/>
  <c r="C2686" i="2"/>
  <c r="B2686" i="2"/>
  <c r="V2685" i="2"/>
  <c r="U2685" i="2"/>
  <c r="T2685" i="2"/>
  <c r="S2685" i="2"/>
  <c r="R2685" i="2"/>
  <c r="Q2685" i="2"/>
  <c r="P2685" i="2"/>
  <c r="O2685" i="2"/>
  <c r="N2685" i="2"/>
  <c r="M2685" i="2"/>
  <c r="L2685" i="2"/>
  <c r="K2685" i="2"/>
  <c r="J2685" i="2"/>
  <c r="I2685" i="2"/>
  <c r="H2685" i="2"/>
  <c r="G2685" i="2"/>
  <c r="F2685" i="2"/>
  <c r="E2685" i="2"/>
  <c r="D2685" i="2"/>
  <c r="C2685" i="2"/>
  <c r="B2685" i="2"/>
  <c r="V2684" i="2"/>
  <c r="U2684" i="2"/>
  <c r="T2684" i="2"/>
  <c r="S2684" i="2"/>
  <c r="R2684" i="2"/>
  <c r="Q2684" i="2"/>
  <c r="P2684" i="2"/>
  <c r="O2684" i="2"/>
  <c r="N2684" i="2"/>
  <c r="M2684" i="2"/>
  <c r="L2684" i="2"/>
  <c r="K2684" i="2"/>
  <c r="J2684" i="2"/>
  <c r="I2684" i="2"/>
  <c r="H2684" i="2"/>
  <c r="G2684" i="2"/>
  <c r="F2684" i="2"/>
  <c r="E2684" i="2"/>
  <c r="D2684" i="2"/>
  <c r="C2684" i="2"/>
  <c r="B2684" i="2"/>
  <c r="V2683" i="2"/>
  <c r="U2683" i="2"/>
  <c r="T2683" i="2"/>
  <c r="S2683" i="2"/>
  <c r="R2683" i="2"/>
  <c r="Q2683" i="2"/>
  <c r="P2683" i="2"/>
  <c r="O2683" i="2"/>
  <c r="N2683" i="2"/>
  <c r="M2683" i="2"/>
  <c r="L2683" i="2"/>
  <c r="K2683" i="2"/>
  <c r="J2683" i="2"/>
  <c r="I2683" i="2"/>
  <c r="H2683" i="2"/>
  <c r="G2683" i="2"/>
  <c r="F2683" i="2"/>
  <c r="E2683" i="2"/>
  <c r="D2683" i="2"/>
  <c r="C2683" i="2"/>
  <c r="B2683" i="2"/>
  <c r="V2682" i="2"/>
  <c r="U2682" i="2"/>
  <c r="T2682" i="2"/>
  <c r="S2682" i="2"/>
  <c r="R2682" i="2"/>
  <c r="Q2682" i="2"/>
  <c r="P2682" i="2"/>
  <c r="O2682" i="2"/>
  <c r="N2682" i="2"/>
  <c r="M2682" i="2"/>
  <c r="L2682" i="2"/>
  <c r="K2682" i="2"/>
  <c r="J2682" i="2"/>
  <c r="I2682" i="2"/>
  <c r="H2682" i="2"/>
  <c r="G2682" i="2"/>
  <c r="F2682" i="2"/>
  <c r="E2682" i="2"/>
  <c r="D2682" i="2"/>
  <c r="C2682" i="2"/>
  <c r="B2682" i="2"/>
  <c r="V2681" i="2"/>
  <c r="U2681" i="2"/>
  <c r="T2681" i="2"/>
  <c r="S2681" i="2"/>
  <c r="R2681" i="2"/>
  <c r="Q2681" i="2"/>
  <c r="P2681" i="2"/>
  <c r="O2681" i="2"/>
  <c r="N2681" i="2"/>
  <c r="M2681" i="2"/>
  <c r="L2681" i="2"/>
  <c r="K2681" i="2"/>
  <c r="J2681" i="2"/>
  <c r="I2681" i="2"/>
  <c r="H2681" i="2"/>
  <c r="G2681" i="2"/>
  <c r="F2681" i="2"/>
  <c r="E2681" i="2"/>
  <c r="D2681" i="2"/>
  <c r="C2681" i="2"/>
  <c r="B2681" i="2"/>
  <c r="V2680" i="2"/>
  <c r="U2680" i="2"/>
  <c r="T2680" i="2"/>
  <c r="S2680" i="2"/>
  <c r="R2680" i="2"/>
  <c r="Q2680" i="2"/>
  <c r="P2680" i="2"/>
  <c r="O2680" i="2"/>
  <c r="N2680" i="2"/>
  <c r="M2680" i="2"/>
  <c r="L2680" i="2"/>
  <c r="K2680" i="2"/>
  <c r="J2680" i="2"/>
  <c r="I2680" i="2"/>
  <c r="H2680" i="2"/>
  <c r="G2680" i="2"/>
  <c r="F2680" i="2"/>
  <c r="E2680" i="2"/>
  <c r="D2680" i="2"/>
  <c r="C2680" i="2"/>
  <c r="B2680" i="2"/>
  <c r="V2679" i="2"/>
  <c r="U2679" i="2"/>
  <c r="T2679" i="2"/>
  <c r="S2679" i="2"/>
  <c r="R2679" i="2"/>
  <c r="Q2679" i="2"/>
  <c r="P2679" i="2"/>
  <c r="O2679" i="2"/>
  <c r="N2679" i="2"/>
  <c r="M2679" i="2"/>
  <c r="L2679" i="2"/>
  <c r="K2679" i="2"/>
  <c r="J2679" i="2"/>
  <c r="I2679" i="2"/>
  <c r="H2679" i="2"/>
  <c r="G2679" i="2"/>
  <c r="F2679" i="2"/>
  <c r="E2679" i="2"/>
  <c r="D2679" i="2"/>
  <c r="C2679" i="2"/>
  <c r="B2679" i="2"/>
  <c r="V2678" i="2"/>
  <c r="U2678" i="2"/>
  <c r="T2678" i="2"/>
  <c r="S2678" i="2"/>
  <c r="R2678" i="2"/>
  <c r="Q2678" i="2"/>
  <c r="P2678" i="2"/>
  <c r="O2678" i="2"/>
  <c r="N2678" i="2"/>
  <c r="M2678" i="2"/>
  <c r="L2678" i="2"/>
  <c r="K2678" i="2"/>
  <c r="J2678" i="2"/>
  <c r="I2678" i="2"/>
  <c r="H2678" i="2"/>
  <c r="G2678" i="2"/>
  <c r="F2678" i="2"/>
  <c r="E2678" i="2"/>
  <c r="D2678" i="2"/>
  <c r="C2678" i="2"/>
  <c r="B2678" i="2"/>
  <c r="V2677" i="2"/>
  <c r="U2677" i="2"/>
  <c r="T2677" i="2"/>
  <c r="S2677" i="2"/>
  <c r="R2677" i="2"/>
  <c r="Q2677" i="2"/>
  <c r="P2677" i="2"/>
  <c r="O2677" i="2"/>
  <c r="N2677" i="2"/>
  <c r="M2677" i="2"/>
  <c r="L2677" i="2"/>
  <c r="K2677" i="2"/>
  <c r="J2677" i="2"/>
  <c r="I2677" i="2"/>
  <c r="H2677" i="2"/>
  <c r="G2677" i="2"/>
  <c r="F2677" i="2"/>
  <c r="E2677" i="2"/>
  <c r="D2677" i="2"/>
  <c r="C2677" i="2"/>
  <c r="B2677" i="2"/>
  <c r="V2676" i="2"/>
  <c r="U2676" i="2"/>
  <c r="T2676" i="2"/>
  <c r="S2676" i="2"/>
  <c r="R2676" i="2"/>
  <c r="Q2676" i="2"/>
  <c r="P2676" i="2"/>
  <c r="O2676" i="2"/>
  <c r="N2676" i="2"/>
  <c r="M2676" i="2"/>
  <c r="L2676" i="2"/>
  <c r="K2676" i="2"/>
  <c r="J2676" i="2"/>
  <c r="I2676" i="2"/>
  <c r="H2676" i="2"/>
  <c r="G2676" i="2"/>
  <c r="F2676" i="2"/>
  <c r="E2676" i="2"/>
  <c r="D2676" i="2"/>
  <c r="C2676" i="2"/>
  <c r="B2676" i="2"/>
  <c r="V2675" i="2"/>
  <c r="U2675" i="2"/>
  <c r="T2675" i="2"/>
  <c r="S2675" i="2"/>
  <c r="R2675" i="2"/>
  <c r="Q2675" i="2"/>
  <c r="P2675" i="2"/>
  <c r="O2675" i="2"/>
  <c r="N2675" i="2"/>
  <c r="M2675" i="2"/>
  <c r="L2675" i="2"/>
  <c r="K2675" i="2"/>
  <c r="J2675" i="2"/>
  <c r="I2675" i="2"/>
  <c r="H2675" i="2"/>
  <c r="G2675" i="2"/>
  <c r="F2675" i="2"/>
  <c r="E2675" i="2"/>
  <c r="D2675" i="2"/>
  <c r="C2675" i="2"/>
  <c r="B2675" i="2"/>
  <c r="V2674" i="2"/>
  <c r="U2674" i="2"/>
  <c r="T2674" i="2"/>
  <c r="S2674" i="2"/>
  <c r="R2674" i="2"/>
  <c r="Q2674" i="2"/>
  <c r="P2674" i="2"/>
  <c r="O2674" i="2"/>
  <c r="N2674" i="2"/>
  <c r="M2674" i="2"/>
  <c r="L2674" i="2"/>
  <c r="K2674" i="2"/>
  <c r="J2674" i="2"/>
  <c r="I2674" i="2"/>
  <c r="H2674" i="2"/>
  <c r="G2674" i="2"/>
  <c r="F2674" i="2"/>
  <c r="E2674" i="2"/>
  <c r="D2674" i="2"/>
  <c r="C2674" i="2"/>
  <c r="B2674" i="2"/>
  <c r="V2673" i="2"/>
  <c r="U2673" i="2"/>
  <c r="T2673" i="2"/>
  <c r="S2673" i="2"/>
  <c r="R2673" i="2"/>
  <c r="Q2673" i="2"/>
  <c r="P2673" i="2"/>
  <c r="O2673" i="2"/>
  <c r="N2673" i="2"/>
  <c r="M2673" i="2"/>
  <c r="L2673" i="2"/>
  <c r="K2673" i="2"/>
  <c r="J2673" i="2"/>
  <c r="I2673" i="2"/>
  <c r="H2673" i="2"/>
  <c r="G2673" i="2"/>
  <c r="F2673" i="2"/>
  <c r="E2673" i="2"/>
  <c r="D2673" i="2"/>
  <c r="C2673" i="2"/>
  <c r="B2673" i="2"/>
  <c r="V2672" i="2"/>
  <c r="U2672" i="2"/>
  <c r="T2672" i="2"/>
  <c r="S2672" i="2"/>
  <c r="R2672" i="2"/>
  <c r="Q2672" i="2"/>
  <c r="P2672" i="2"/>
  <c r="O2672" i="2"/>
  <c r="N2672" i="2"/>
  <c r="M2672" i="2"/>
  <c r="L2672" i="2"/>
  <c r="K2672" i="2"/>
  <c r="J2672" i="2"/>
  <c r="I2672" i="2"/>
  <c r="H2672" i="2"/>
  <c r="G2672" i="2"/>
  <c r="F2672" i="2"/>
  <c r="E2672" i="2"/>
  <c r="D2672" i="2"/>
  <c r="C2672" i="2"/>
  <c r="B2672" i="2"/>
  <c r="V2671" i="2"/>
  <c r="U2671" i="2"/>
  <c r="T2671" i="2"/>
  <c r="S2671" i="2"/>
  <c r="R2671" i="2"/>
  <c r="Q2671" i="2"/>
  <c r="P2671" i="2"/>
  <c r="O2671" i="2"/>
  <c r="N2671" i="2"/>
  <c r="M2671" i="2"/>
  <c r="L2671" i="2"/>
  <c r="K2671" i="2"/>
  <c r="J2671" i="2"/>
  <c r="I2671" i="2"/>
  <c r="H2671" i="2"/>
  <c r="G2671" i="2"/>
  <c r="F2671" i="2"/>
  <c r="E2671" i="2"/>
  <c r="D2671" i="2"/>
  <c r="C2671" i="2"/>
  <c r="B2671" i="2"/>
  <c r="V2670" i="2"/>
  <c r="U2670" i="2"/>
  <c r="T2670" i="2"/>
  <c r="S2670" i="2"/>
  <c r="R2670" i="2"/>
  <c r="Q2670" i="2"/>
  <c r="P2670" i="2"/>
  <c r="O2670" i="2"/>
  <c r="N2670" i="2"/>
  <c r="M2670" i="2"/>
  <c r="L2670" i="2"/>
  <c r="K2670" i="2"/>
  <c r="J2670" i="2"/>
  <c r="I2670" i="2"/>
  <c r="H2670" i="2"/>
  <c r="G2670" i="2"/>
  <c r="F2670" i="2"/>
  <c r="E2670" i="2"/>
  <c r="D2670" i="2"/>
  <c r="C2670" i="2"/>
  <c r="B2670" i="2"/>
  <c r="V2669" i="2"/>
  <c r="U2669" i="2"/>
  <c r="T2669" i="2"/>
  <c r="S2669" i="2"/>
  <c r="R2669" i="2"/>
  <c r="Q2669" i="2"/>
  <c r="P2669" i="2"/>
  <c r="O2669" i="2"/>
  <c r="N2669" i="2"/>
  <c r="M2669" i="2"/>
  <c r="L2669" i="2"/>
  <c r="K2669" i="2"/>
  <c r="J2669" i="2"/>
  <c r="I2669" i="2"/>
  <c r="H2669" i="2"/>
  <c r="G2669" i="2"/>
  <c r="F2669" i="2"/>
  <c r="E2669" i="2"/>
  <c r="D2669" i="2"/>
  <c r="C2669" i="2"/>
  <c r="B2669" i="2"/>
  <c r="V2668" i="2"/>
  <c r="U2668" i="2"/>
  <c r="T2668" i="2"/>
  <c r="S2668" i="2"/>
  <c r="R2668" i="2"/>
  <c r="Q2668" i="2"/>
  <c r="P2668" i="2"/>
  <c r="O2668" i="2"/>
  <c r="N2668" i="2"/>
  <c r="M2668" i="2"/>
  <c r="L2668" i="2"/>
  <c r="K2668" i="2"/>
  <c r="J2668" i="2"/>
  <c r="I2668" i="2"/>
  <c r="H2668" i="2"/>
  <c r="G2668" i="2"/>
  <c r="F2668" i="2"/>
  <c r="E2668" i="2"/>
  <c r="D2668" i="2"/>
  <c r="C2668" i="2"/>
  <c r="B2668" i="2"/>
  <c r="V2667" i="2"/>
  <c r="U2667" i="2"/>
  <c r="T2667" i="2"/>
  <c r="S2667" i="2"/>
  <c r="R2667" i="2"/>
  <c r="Q2667" i="2"/>
  <c r="P2667" i="2"/>
  <c r="O2667" i="2"/>
  <c r="N2667" i="2"/>
  <c r="M2667" i="2"/>
  <c r="L2667" i="2"/>
  <c r="K2667" i="2"/>
  <c r="J2667" i="2"/>
  <c r="I2667" i="2"/>
  <c r="H2667" i="2"/>
  <c r="G2667" i="2"/>
  <c r="F2667" i="2"/>
  <c r="E2667" i="2"/>
  <c r="D2667" i="2"/>
  <c r="C2667" i="2"/>
  <c r="B2667" i="2"/>
  <c r="V2666" i="2"/>
  <c r="U2666" i="2"/>
  <c r="T2666" i="2"/>
  <c r="S2666" i="2"/>
  <c r="R2666" i="2"/>
  <c r="Q2666" i="2"/>
  <c r="P2666" i="2"/>
  <c r="O2666" i="2"/>
  <c r="N2666" i="2"/>
  <c r="M2666" i="2"/>
  <c r="L2666" i="2"/>
  <c r="K2666" i="2"/>
  <c r="J2666" i="2"/>
  <c r="I2666" i="2"/>
  <c r="H2666" i="2"/>
  <c r="G2666" i="2"/>
  <c r="F2666" i="2"/>
  <c r="E2666" i="2"/>
  <c r="D2666" i="2"/>
  <c r="C2666" i="2"/>
  <c r="B2666" i="2"/>
  <c r="V2665" i="2"/>
  <c r="U2665" i="2"/>
  <c r="T2665" i="2"/>
  <c r="S2665" i="2"/>
  <c r="R2665" i="2"/>
  <c r="Q2665" i="2"/>
  <c r="P2665" i="2"/>
  <c r="O2665" i="2"/>
  <c r="N2665" i="2"/>
  <c r="M2665" i="2"/>
  <c r="L2665" i="2"/>
  <c r="K2665" i="2"/>
  <c r="J2665" i="2"/>
  <c r="I2665" i="2"/>
  <c r="H2665" i="2"/>
  <c r="G2665" i="2"/>
  <c r="F2665" i="2"/>
  <c r="E2665" i="2"/>
  <c r="D2665" i="2"/>
  <c r="C2665" i="2"/>
  <c r="B2665" i="2"/>
  <c r="V2664" i="2"/>
  <c r="U2664" i="2"/>
  <c r="T2664" i="2"/>
  <c r="S2664" i="2"/>
  <c r="R2664" i="2"/>
  <c r="Q2664" i="2"/>
  <c r="P2664" i="2"/>
  <c r="O2664" i="2"/>
  <c r="N2664" i="2"/>
  <c r="M2664" i="2"/>
  <c r="L2664" i="2"/>
  <c r="K2664" i="2"/>
  <c r="J2664" i="2"/>
  <c r="I2664" i="2"/>
  <c r="H2664" i="2"/>
  <c r="G2664" i="2"/>
  <c r="F2664" i="2"/>
  <c r="E2664" i="2"/>
  <c r="D2664" i="2"/>
  <c r="C2664" i="2"/>
  <c r="B2664" i="2"/>
  <c r="V2663" i="2"/>
  <c r="U2663" i="2"/>
  <c r="T2663" i="2"/>
  <c r="S2663" i="2"/>
  <c r="R2663" i="2"/>
  <c r="Q2663" i="2"/>
  <c r="P2663" i="2"/>
  <c r="O2663" i="2"/>
  <c r="N2663" i="2"/>
  <c r="M2663" i="2"/>
  <c r="L2663" i="2"/>
  <c r="K2663" i="2"/>
  <c r="J2663" i="2"/>
  <c r="I2663" i="2"/>
  <c r="H2663" i="2"/>
  <c r="G2663" i="2"/>
  <c r="F2663" i="2"/>
  <c r="E2663" i="2"/>
  <c r="D2663" i="2"/>
  <c r="C2663" i="2"/>
  <c r="B2663" i="2"/>
  <c r="V2662" i="2"/>
  <c r="U2662" i="2"/>
  <c r="T2662" i="2"/>
  <c r="S2662" i="2"/>
  <c r="R2662" i="2"/>
  <c r="Q2662" i="2"/>
  <c r="P2662" i="2"/>
  <c r="O2662" i="2"/>
  <c r="N2662" i="2"/>
  <c r="M2662" i="2"/>
  <c r="L2662" i="2"/>
  <c r="K2662" i="2"/>
  <c r="J2662" i="2"/>
  <c r="I2662" i="2"/>
  <c r="H2662" i="2"/>
  <c r="G2662" i="2"/>
  <c r="F2662" i="2"/>
  <c r="E2662" i="2"/>
  <c r="D2662" i="2"/>
  <c r="C2662" i="2"/>
  <c r="B2662" i="2"/>
  <c r="V2661" i="2"/>
  <c r="U2661" i="2"/>
  <c r="T2661" i="2"/>
  <c r="S2661" i="2"/>
  <c r="R2661" i="2"/>
  <c r="Q2661" i="2"/>
  <c r="P2661" i="2"/>
  <c r="O2661" i="2"/>
  <c r="N2661" i="2"/>
  <c r="M2661" i="2"/>
  <c r="L2661" i="2"/>
  <c r="K2661" i="2"/>
  <c r="J2661" i="2"/>
  <c r="I2661" i="2"/>
  <c r="H2661" i="2"/>
  <c r="G2661" i="2"/>
  <c r="F2661" i="2"/>
  <c r="E2661" i="2"/>
  <c r="D2661" i="2"/>
  <c r="C2661" i="2"/>
  <c r="B2661" i="2"/>
  <c r="V2660" i="2"/>
  <c r="U2660" i="2"/>
  <c r="T2660" i="2"/>
  <c r="S2660" i="2"/>
  <c r="R2660" i="2"/>
  <c r="Q2660" i="2"/>
  <c r="P2660" i="2"/>
  <c r="O2660" i="2"/>
  <c r="N2660" i="2"/>
  <c r="M2660" i="2"/>
  <c r="L2660" i="2"/>
  <c r="K2660" i="2"/>
  <c r="J2660" i="2"/>
  <c r="I2660" i="2"/>
  <c r="H2660" i="2"/>
  <c r="G2660" i="2"/>
  <c r="F2660" i="2"/>
  <c r="E2660" i="2"/>
  <c r="D2660" i="2"/>
  <c r="C2660" i="2"/>
  <c r="B2660" i="2"/>
  <c r="V2659" i="2"/>
  <c r="U2659" i="2"/>
  <c r="T2659" i="2"/>
  <c r="S2659" i="2"/>
  <c r="R2659" i="2"/>
  <c r="Q2659" i="2"/>
  <c r="P2659" i="2"/>
  <c r="O2659" i="2"/>
  <c r="N2659" i="2"/>
  <c r="M2659" i="2"/>
  <c r="L2659" i="2"/>
  <c r="K2659" i="2"/>
  <c r="J2659" i="2"/>
  <c r="I2659" i="2"/>
  <c r="H2659" i="2"/>
  <c r="G2659" i="2"/>
  <c r="F2659" i="2"/>
  <c r="E2659" i="2"/>
  <c r="D2659" i="2"/>
  <c r="C2659" i="2"/>
  <c r="B2659" i="2"/>
  <c r="V2658" i="2"/>
  <c r="U2658" i="2"/>
  <c r="T2658" i="2"/>
  <c r="S2658" i="2"/>
  <c r="R2658" i="2"/>
  <c r="Q2658" i="2"/>
  <c r="P2658" i="2"/>
  <c r="O2658" i="2"/>
  <c r="N2658" i="2"/>
  <c r="M2658" i="2"/>
  <c r="L2658" i="2"/>
  <c r="K2658" i="2"/>
  <c r="J2658" i="2"/>
  <c r="I2658" i="2"/>
  <c r="H2658" i="2"/>
  <c r="G2658" i="2"/>
  <c r="F2658" i="2"/>
  <c r="E2658" i="2"/>
  <c r="D2658" i="2"/>
  <c r="C2658" i="2"/>
  <c r="B2658" i="2"/>
  <c r="V2657" i="2"/>
  <c r="U2657" i="2"/>
  <c r="T2657" i="2"/>
  <c r="S2657" i="2"/>
  <c r="R2657" i="2"/>
  <c r="Q2657" i="2"/>
  <c r="P2657" i="2"/>
  <c r="O2657" i="2"/>
  <c r="N2657" i="2"/>
  <c r="M2657" i="2"/>
  <c r="L2657" i="2"/>
  <c r="K2657" i="2"/>
  <c r="J2657" i="2"/>
  <c r="I2657" i="2"/>
  <c r="H2657" i="2"/>
  <c r="G2657" i="2"/>
  <c r="F2657" i="2"/>
  <c r="E2657" i="2"/>
  <c r="D2657" i="2"/>
  <c r="C2657" i="2"/>
  <c r="B2657" i="2"/>
  <c r="V2656" i="2"/>
  <c r="U2656" i="2"/>
  <c r="T2656" i="2"/>
  <c r="S2656" i="2"/>
  <c r="R2656" i="2"/>
  <c r="Q2656" i="2"/>
  <c r="P2656" i="2"/>
  <c r="O2656" i="2"/>
  <c r="N2656" i="2"/>
  <c r="M2656" i="2"/>
  <c r="L2656" i="2"/>
  <c r="K2656" i="2"/>
  <c r="J2656" i="2"/>
  <c r="I2656" i="2"/>
  <c r="H2656" i="2"/>
  <c r="G2656" i="2"/>
  <c r="F2656" i="2"/>
  <c r="E2656" i="2"/>
  <c r="D2656" i="2"/>
  <c r="C2656" i="2"/>
  <c r="B2656" i="2"/>
  <c r="V2655" i="2"/>
  <c r="U2655" i="2"/>
  <c r="T2655" i="2"/>
  <c r="S2655" i="2"/>
  <c r="R2655" i="2"/>
  <c r="Q2655" i="2"/>
  <c r="P2655" i="2"/>
  <c r="O2655" i="2"/>
  <c r="N2655" i="2"/>
  <c r="M2655" i="2"/>
  <c r="L2655" i="2"/>
  <c r="K2655" i="2"/>
  <c r="J2655" i="2"/>
  <c r="I2655" i="2"/>
  <c r="H2655" i="2"/>
  <c r="G2655" i="2"/>
  <c r="F2655" i="2"/>
  <c r="E2655" i="2"/>
  <c r="D2655" i="2"/>
  <c r="C2655" i="2"/>
  <c r="B2655" i="2"/>
  <c r="V2654" i="2"/>
  <c r="U2654" i="2"/>
  <c r="T2654" i="2"/>
  <c r="S2654" i="2"/>
  <c r="R2654" i="2"/>
  <c r="Q2654" i="2"/>
  <c r="P2654" i="2"/>
  <c r="O2654" i="2"/>
  <c r="N2654" i="2"/>
  <c r="M2654" i="2"/>
  <c r="L2654" i="2"/>
  <c r="K2654" i="2"/>
  <c r="J2654" i="2"/>
  <c r="I2654" i="2"/>
  <c r="H2654" i="2"/>
  <c r="G2654" i="2"/>
  <c r="F2654" i="2"/>
  <c r="E2654" i="2"/>
  <c r="D2654" i="2"/>
  <c r="C2654" i="2"/>
  <c r="B2654" i="2"/>
  <c r="V2653" i="2"/>
  <c r="U2653" i="2"/>
  <c r="T2653" i="2"/>
  <c r="S2653" i="2"/>
  <c r="R2653" i="2"/>
  <c r="Q2653" i="2"/>
  <c r="P2653" i="2"/>
  <c r="O2653" i="2"/>
  <c r="N2653" i="2"/>
  <c r="M2653" i="2"/>
  <c r="L2653" i="2"/>
  <c r="K2653" i="2"/>
  <c r="J2653" i="2"/>
  <c r="I2653" i="2"/>
  <c r="H2653" i="2"/>
  <c r="G2653" i="2"/>
  <c r="F2653" i="2"/>
  <c r="E2653" i="2"/>
  <c r="D2653" i="2"/>
  <c r="C2653" i="2"/>
  <c r="B2653" i="2"/>
  <c r="V2652" i="2"/>
  <c r="U2652" i="2"/>
  <c r="T2652" i="2"/>
  <c r="S2652" i="2"/>
  <c r="R2652" i="2"/>
  <c r="Q2652" i="2"/>
  <c r="P2652" i="2"/>
  <c r="O2652" i="2"/>
  <c r="N2652" i="2"/>
  <c r="M2652" i="2"/>
  <c r="L2652" i="2"/>
  <c r="K2652" i="2"/>
  <c r="J2652" i="2"/>
  <c r="I2652" i="2"/>
  <c r="H2652" i="2"/>
  <c r="G2652" i="2"/>
  <c r="F2652" i="2"/>
  <c r="E2652" i="2"/>
  <c r="D2652" i="2"/>
  <c r="C2652" i="2"/>
  <c r="B2652" i="2"/>
  <c r="V2651" i="2"/>
  <c r="U2651" i="2"/>
  <c r="T2651" i="2"/>
  <c r="S2651" i="2"/>
  <c r="R2651" i="2"/>
  <c r="Q2651" i="2"/>
  <c r="P2651" i="2"/>
  <c r="O2651" i="2"/>
  <c r="N2651" i="2"/>
  <c r="M2651" i="2"/>
  <c r="L2651" i="2"/>
  <c r="K2651" i="2"/>
  <c r="J2651" i="2"/>
  <c r="I2651" i="2"/>
  <c r="H2651" i="2"/>
  <c r="G2651" i="2"/>
  <c r="F2651" i="2"/>
  <c r="E2651" i="2"/>
  <c r="D2651" i="2"/>
  <c r="C2651" i="2"/>
  <c r="B2651" i="2"/>
  <c r="V2650" i="2"/>
  <c r="U2650" i="2"/>
  <c r="T2650" i="2"/>
  <c r="S2650" i="2"/>
  <c r="R2650" i="2"/>
  <c r="Q2650" i="2"/>
  <c r="P2650" i="2"/>
  <c r="O2650" i="2"/>
  <c r="N2650" i="2"/>
  <c r="M2650" i="2"/>
  <c r="L2650" i="2"/>
  <c r="K2650" i="2"/>
  <c r="J2650" i="2"/>
  <c r="I2650" i="2"/>
  <c r="H2650" i="2"/>
  <c r="G2650" i="2"/>
  <c r="F2650" i="2"/>
  <c r="E2650" i="2"/>
  <c r="D2650" i="2"/>
  <c r="C2650" i="2"/>
  <c r="B2650" i="2"/>
  <c r="V2649" i="2"/>
  <c r="U2649" i="2"/>
  <c r="T2649" i="2"/>
  <c r="S2649" i="2"/>
  <c r="R2649" i="2"/>
  <c r="Q2649" i="2"/>
  <c r="P2649" i="2"/>
  <c r="O2649" i="2"/>
  <c r="N2649" i="2"/>
  <c r="M2649" i="2"/>
  <c r="L2649" i="2"/>
  <c r="K2649" i="2"/>
  <c r="J2649" i="2"/>
  <c r="I2649" i="2"/>
  <c r="H2649" i="2"/>
  <c r="G2649" i="2"/>
  <c r="F2649" i="2"/>
  <c r="E2649" i="2"/>
  <c r="D2649" i="2"/>
  <c r="C2649" i="2"/>
  <c r="B2649" i="2"/>
  <c r="V2648" i="2"/>
  <c r="U2648" i="2"/>
  <c r="T2648" i="2"/>
  <c r="S2648" i="2"/>
  <c r="R2648" i="2"/>
  <c r="Q2648" i="2"/>
  <c r="P2648" i="2"/>
  <c r="O2648" i="2"/>
  <c r="N2648" i="2"/>
  <c r="M2648" i="2"/>
  <c r="L2648" i="2"/>
  <c r="K2648" i="2"/>
  <c r="J2648" i="2"/>
  <c r="I2648" i="2"/>
  <c r="H2648" i="2"/>
  <c r="G2648" i="2"/>
  <c r="F2648" i="2"/>
  <c r="E2648" i="2"/>
  <c r="D2648" i="2"/>
  <c r="C2648" i="2"/>
  <c r="B2648" i="2"/>
  <c r="V2647" i="2"/>
  <c r="U2647" i="2"/>
  <c r="T2647" i="2"/>
  <c r="S2647" i="2"/>
  <c r="R2647" i="2"/>
  <c r="Q2647" i="2"/>
  <c r="P2647" i="2"/>
  <c r="O2647" i="2"/>
  <c r="N2647" i="2"/>
  <c r="M2647" i="2"/>
  <c r="L2647" i="2"/>
  <c r="K2647" i="2"/>
  <c r="J2647" i="2"/>
  <c r="I2647" i="2"/>
  <c r="H2647" i="2"/>
  <c r="G2647" i="2"/>
  <c r="F2647" i="2"/>
  <c r="E2647" i="2"/>
  <c r="D2647" i="2"/>
  <c r="C2647" i="2"/>
  <c r="B2647" i="2"/>
  <c r="V2646" i="2"/>
  <c r="U2646" i="2"/>
  <c r="T2646" i="2"/>
  <c r="S2646" i="2"/>
  <c r="R2646" i="2"/>
  <c r="Q2646" i="2"/>
  <c r="P2646" i="2"/>
  <c r="O2646" i="2"/>
  <c r="N2646" i="2"/>
  <c r="M2646" i="2"/>
  <c r="L2646" i="2"/>
  <c r="K2646" i="2"/>
  <c r="J2646" i="2"/>
  <c r="I2646" i="2"/>
  <c r="H2646" i="2"/>
  <c r="G2646" i="2"/>
  <c r="F2646" i="2"/>
  <c r="E2646" i="2"/>
  <c r="D2646" i="2"/>
  <c r="C2646" i="2"/>
  <c r="B2646" i="2"/>
  <c r="V2645" i="2"/>
  <c r="U2645" i="2"/>
  <c r="T2645" i="2"/>
  <c r="S2645" i="2"/>
  <c r="R2645" i="2"/>
  <c r="Q2645" i="2"/>
  <c r="P2645" i="2"/>
  <c r="O2645" i="2"/>
  <c r="N2645" i="2"/>
  <c r="M2645" i="2"/>
  <c r="L2645" i="2"/>
  <c r="K2645" i="2"/>
  <c r="J2645" i="2"/>
  <c r="I2645" i="2"/>
  <c r="H2645" i="2"/>
  <c r="G2645" i="2"/>
  <c r="F2645" i="2"/>
  <c r="E2645" i="2"/>
  <c r="D2645" i="2"/>
  <c r="C2645" i="2"/>
  <c r="B2645" i="2"/>
  <c r="V2644" i="2"/>
  <c r="U2644" i="2"/>
  <c r="T2644" i="2"/>
  <c r="S2644" i="2"/>
  <c r="R2644" i="2"/>
  <c r="Q2644" i="2"/>
  <c r="P2644" i="2"/>
  <c r="O2644" i="2"/>
  <c r="N2644" i="2"/>
  <c r="M2644" i="2"/>
  <c r="L2644" i="2"/>
  <c r="K2644" i="2"/>
  <c r="J2644" i="2"/>
  <c r="I2644" i="2"/>
  <c r="H2644" i="2"/>
  <c r="G2644" i="2"/>
  <c r="F2644" i="2"/>
  <c r="E2644" i="2"/>
  <c r="D2644" i="2"/>
  <c r="C2644" i="2"/>
  <c r="B2644" i="2"/>
  <c r="V2643" i="2"/>
  <c r="U2643" i="2"/>
  <c r="T2643" i="2"/>
  <c r="S2643" i="2"/>
  <c r="R2643" i="2"/>
  <c r="Q2643" i="2"/>
  <c r="P2643" i="2"/>
  <c r="O2643" i="2"/>
  <c r="N2643" i="2"/>
  <c r="M2643" i="2"/>
  <c r="L2643" i="2"/>
  <c r="K2643" i="2"/>
  <c r="J2643" i="2"/>
  <c r="I2643" i="2"/>
  <c r="H2643" i="2"/>
  <c r="G2643" i="2"/>
  <c r="F2643" i="2"/>
  <c r="E2643" i="2"/>
  <c r="D2643" i="2"/>
  <c r="C2643" i="2"/>
  <c r="B2643" i="2"/>
  <c r="V2642" i="2"/>
  <c r="U2642" i="2"/>
  <c r="T2642" i="2"/>
  <c r="S2642" i="2"/>
  <c r="R2642" i="2"/>
  <c r="Q2642" i="2"/>
  <c r="P2642" i="2"/>
  <c r="O2642" i="2"/>
  <c r="N2642" i="2"/>
  <c r="M2642" i="2"/>
  <c r="L2642" i="2"/>
  <c r="K2642" i="2"/>
  <c r="J2642" i="2"/>
  <c r="I2642" i="2"/>
  <c r="H2642" i="2"/>
  <c r="G2642" i="2"/>
  <c r="F2642" i="2"/>
  <c r="E2642" i="2"/>
  <c r="D2642" i="2"/>
  <c r="C2642" i="2"/>
  <c r="B2642" i="2"/>
  <c r="V2641" i="2"/>
  <c r="U2641" i="2"/>
  <c r="T2641" i="2"/>
  <c r="S2641" i="2"/>
  <c r="R2641" i="2"/>
  <c r="Q2641" i="2"/>
  <c r="P2641" i="2"/>
  <c r="O2641" i="2"/>
  <c r="N2641" i="2"/>
  <c r="M2641" i="2"/>
  <c r="L2641" i="2"/>
  <c r="K2641" i="2"/>
  <c r="J2641" i="2"/>
  <c r="I2641" i="2"/>
  <c r="H2641" i="2"/>
  <c r="G2641" i="2"/>
  <c r="F2641" i="2"/>
  <c r="E2641" i="2"/>
  <c r="D2641" i="2"/>
  <c r="C2641" i="2"/>
  <c r="B2641" i="2"/>
  <c r="V2640" i="2"/>
  <c r="U2640" i="2"/>
  <c r="T2640" i="2"/>
  <c r="S2640" i="2"/>
  <c r="R2640" i="2"/>
  <c r="Q2640" i="2"/>
  <c r="P2640" i="2"/>
  <c r="O2640" i="2"/>
  <c r="N2640" i="2"/>
  <c r="M2640" i="2"/>
  <c r="L2640" i="2"/>
  <c r="K2640" i="2"/>
  <c r="J2640" i="2"/>
  <c r="I2640" i="2"/>
  <c r="H2640" i="2"/>
  <c r="G2640" i="2"/>
  <c r="F2640" i="2"/>
  <c r="E2640" i="2"/>
  <c r="D2640" i="2"/>
  <c r="C2640" i="2"/>
  <c r="B2640" i="2"/>
  <c r="V2639" i="2"/>
  <c r="U2639" i="2"/>
  <c r="T2639" i="2"/>
  <c r="S2639" i="2"/>
  <c r="R2639" i="2"/>
  <c r="Q2639" i="2"/>
  <c r="P2639" i="2"/>
  <c r="O2639" i="2"/>
  <c r="N2639" i="2"/>
  <c r="M2639" i="2"/>
  <c r="L2639" i="2"/>
  <c r="K2639" i="2"/>
  <c r="J2639" i="2"/>
  <c r="I2639" i="2"/>
  <c r="H2639" i="2"/>
  <c r="G2639" i="2"/>
  <c r="F2639" i="2"/>
  <c r="E2639" i="2"/>
  <c r="D2639" i="2"/>
  <c r="C2639" i="2"/>
  <c r="B2639" i="2"/>
  <c r="V2638" i="2"/>
  <c r="U2638" i="2"/>
  <c r="T2638" i="2"/>
  <c r="S2638" i="2"/>
  <c r="R2638" i="2"/>
  <c r="Q2638" i="2"/>
  <c r="P2638" i="2"/>
  <c r="O2638" i="2"/>
  <c r="N2638" i="2"/>
  <c r="M2638" i="2"/>
  <c r="L2638" i="2"/>
  <c r="K2638" i="2"/>
  <c r="J2638" i="2"/>
  <c r="I2638" i="2"/>
  <c r="H2638" i="2"/>
  <c r="G2638" i="2"/>
  <c r="F2638" i="2"/>
  <c r="E2638" i="2"/>
  <c r="D2638" i="2"/>
  <c r="C2638" i="2"/>
  <c r="B2638" i="2"/>
  <c r="V2637" i="2"/>
  <c r="U2637" i="2"/>
  <c r="T2637" i="2"/>
  <c r="S2637" i="2"/>
  <c r="R2637" i="2"/>
  <c r="Q2637" i="2"/>
  <c r="P2637" i="2"/>
  <c r="O2637" i="2"/>
  <c r="N2637" i="2"/>
  <c r="M2637" i="2"/>
  <c r="L2637" i="2"/>
  <c r="K2637" i="2"/>
  <c r="J2637" i="2"/>
  <c r="I2637" i="2"/>
  <c r="H2637" i="2"/>
  <c r="G2637" i="2"/>
  <c r="F2637" i="2"/>
  <c r="E2637" i="2"/>
  <c r="D2637" i="2"/>
  <c r="C2637" i="2"/>
  <c r="B2637" i="2"/>
  <c r="V2636" i="2"/>
  <c r="U2636" i="2"/>
  <c r="T2636" i="2"/>
  <c r="S2636" i="2"/>
  <c r="R2636" i="2"/>
  <c r="Q2636" i="2"/>
  <c r="P2636" i="2"/>
  <c r="O2636" i="2"/>
  <c r="N2636" i="2"/>
  <c r="M2636" i="2"/>
  <c r="L2636" i="2"/>
  <c r="K2636" i="2"/>
  <c r="J2636" i="2"/>
  <c r="I2636" i="2"/>
  <c r="H2636" i="2"/>
  <c r="G2636" i="2"/>
  <c r="F2636" i="2"/>
  <c r="E2636" i="2"/>
  <c r="D2636" i="2"/>
  <c r="C2636" i="2"/>
  <c r="B2636" i="2"/>
  <c r="V2635" i="2"/>
  <c r="U2635" i="2"/>
  <c r="T2635" i="2"/>
  <c r="S2635" i="2"/>
  <c r="R2635" i="2"/>
  <c r="Q2635" i="2"/>
  <c r="P2635" i="2"/>
  <c r="O2635" i="2"/>
  <c r="N2635" i="2"/>
  <c r="M2635" i="2"/>
  <c r="L2635" i="2"/>
  <c r="K2635" i="2"/>
  <c r="J2635" i="2"/>
  <c r="I2635" i="2"/>
  <c r="H2635" i="2"/>
  <c r="G2635" i="2"/>
  <c r="F2635" i="2"/>
  <c r="E2635" i="2"/>
  <c r="D2635" i="2"/>
  <c r="C2635" i="2"/>
  <c r="B2635" i="2"/>
  <c r="V2634" i="2"/>
  <c r="U2634" i="2"/>
  <c r="T2634" i="2"/>
  <c r="S2634" i="2"/>
  <c r="R2634" i="2"/>
  <c r="Q2634" i="2"/>
  <c r="P2634" i="2"/>
  <c r="O2634" i="2"/>
  <c r="N2634" i="2"/>
  <c r="M2634" i="2"/>
  <c r="L2634" i="2"/>
  <c r="K2634" i="2"/>
  <c r="J2634" i="2"/>
  <c r="I2634" i="2"/>
  <c r="H2634" i="2"/>
  <c r="G2634" i="2"/>
  <c r="F2634" i="2"/>
  <c r="E2634" i="2"/>
  <c r="D2634" i="2"/>
  <c r="C2634" i="2"/>
  <c r="B2634" i="2"/>
  <c r="V2633" i="2"/>
  <c r="U2633" i="2"/>
  <c r="T2633" i="2"/>
  <c r="S2633" i="2"/>
  <c r="R2633" i="2"/>
  <c r="Q2633" i="2"/>
  <c r="P2633" i="2"/>
  <c r="O2633" i="2"/>
  <c r="N2633" i="2"/>
  <c r="M2633" i="2"/>
  <c r="L2633" i="2"/>
  <c r="K2633" i="2"/>
  <c r="J2633" i="2"/>
  <c r="I2633" i="2"/>
  <c r="H2633" i="2"/>
  <c r="G2633" i="2"/>
  <c r="F2633" i="2"/>
  <c r="E2633" i="2"/>
  <c r="D2633" i="2"/>
  <c r="C2633" i="2"/>
  <c r="B2633" i="2"/>
  <c r="V2632" i="2"/>
  <c r="U2632" i="2"/>
  <c r="T2632" i="2"/>
  <c r="S2632" i="2"/>
  <c r="R2632" i="2"/>
  <c r="Q2632" i="2"/>
  <c r="P2632" i="2"/>
  <c r="O2632" i="2"/>
  <c r="N2632" i="2"/>
  <c r="M2632" i="2"/>
  <c r="L2632" i="2"/>
  <c r="K2632" i="2"/>
  <c r="J2632" i="2"/>
  <c r="I2632" i="2"/>
  <c r="H2632" i="2"/>
  <c r="G2632" i="2"/>
  <c r="F2632" i="2"/>
  <c r="E2632" i="2"/>
  <c r="D2632" i="2"/>
  <c r="C2632" i="2"/>
  <c r="B2632" i="2"/>
  <c r="V2631" i="2"/>
  <c r="U2631" i="2"/>
  <c r="T2631" i="2"/>
  <c r="S2631" i="2"/>
  <c r="R2631" i="2"/>
  <c r="Q2631" i="2"/>
  <c r="P2631" i="2"/>
  <c r="O2631" i="2"/>
  <c r="N2631" i="2"/>
  <c r="M2631" i="2"/>
  <c r="L2631" i="2"/>
  <c r="K2631" i="2"/>
  <c r="J2631" i="2"/>
  <c r="I2631" i="2"/>
  <c r="H2631" i="2"/>
  <c r="G2631" i="2"/>
  <c r="F2631" i="2"/>
  <c r="E2631" i="2"/>
  <c r="D2631" i="2"/>
  <c r="C2631" i="2"/>
  <c r="B2631" i="2"/>
  <c r="V2630" i="2"/>
  <c r="U2630" i="2"/>
  <c r="T2630" i="2"/>
  <c r="S2630" i="2"/>
  <c r="R2630" i="2"/>
  <c r="Q2630" i="2"/>
  <c r="P2630" i="2"/>
  <c r="O2630" i="2"/>
  <c r="N2630" i="2"/>
  <c r="M2630" i="2"/>
  <c r="L2630" i="2"/>
  <c r="K2630" i="2"/>
  <c r="J2630" i="2"/>
  <c r="I2630" i="2"/>
  <c r="H2630" i="2"/>
  <c r="G2630" i="2"/>
  <c r="F2630" i="2"/>
  <c r="E2630" i="2"/>
  <c r="D2630" i="2"/>
  <c r="C2630" i="2"/>
  <c r="B2630" i="2"/>
  <c r="V2629" i="2"/>
  <c r="U2629" i="2"/>
  <c r="T2629" i="2"/>
  <c r="S2629" i="2"/>
  <c r="R2629" i="2"/>
  <c r="Q2629" i="2"/>
  <c r="P2629" i="2"/>
  <c r="O2629" i="2"/>
  <c r="N2629" i="2"/>
  <c r="M2629" i="2"/>
  <c r="L2629" i="2"/>
  <c r="K2629" i="2"/>
  <c r="J2629" i="2"/>
  <c r="I2629" i="2"/>
  <c r="H2629" i="2"/>
  <c r="G2629" i="2"/>
  <c r="F2629" i="2"/>
  <c r="E2629" i="2"/>
  <c r="D2629" i="2"/>
  <c r="C2629" i="2"/>
  <c r="B2629" i="2"/>
  <c r="V2628" i="2"/>
  <c r="U2628" i="2"/>
  <c r="T2628" i="2"/>
  <c r="S2628" i="2"/>
  <c r="R2628" i="2"/>
  <c r="Q2628" i="2"/>
  <c r="P2628" i="2"/>
  <c r="O2628" i="2"/>
  <c r="N2628" i="2"/>
  <c r="M2628" i="2"/>
  <c r="L2628" i="2"/>
  <c r="K2628" i="2"/>
  <c r="J2628" i="2"/>
  <c r="I2628" i="2"/>
  <c r="H2628" i="2"/>
  <c r="G2628" i="2"/>
  <c r="F2628" i="2"/>
  <c r="E2628" i="2"/>
  <c r="D2628" i="2"/>
  <c r="C2628" i="2"/>
  <c r="B2628" i="2"/>
  <c r="V2627" i="2"/>
  <c r="U2627" i="2"/>
  <c r="T2627" i="2"/>
  <c r="S2627" i="2"/>
  <c r="R2627" i="2"/>
  <c r="Q2627" i="2"/>
  <c r="P2627" i="2"/>
  <c r="O2627" i="2"/>
  <c r="N2627" i="2"/>
  <c r="M2627" i="2"/>
  <c r="L2627" i="2"/>
  <c r="K2627" i="2"/>
  <c r="J2627" i="2"/>
  <c r="I2627" i="2"/>
  <c r="H2627" i="2"/>
  <c r="G2627" i="2"/>
  <c r="F2627" i="2"/>
  <c r="E2627" i="2"/>
  <c r="D2627" i="2"/>
  <c r="C2627" i="2"/>
  <c r="B2627" i="2"/>
  <c r="V2626" i="2"/>
  <c r="U2626" i="2"/>
  <c r="T2626" i="2"/>
  <c r="S2626" i="2"/>
  <c r="R2626" i="2"/>
  <c r="Q2626" i="2"/>
  <c r="P2626" i="2"/>
  <c r="O2626" i="2"/>
  <c r="N2626" i="2"/>
  <c r="M2626" i="2"/>
  <c r="L2626" i="2"/>
  <c r="K2626" i="2"/>
  <c r="J2626" i="2"/>
  <c r="I2626" i="2"/>
  <c r="H2626" i="2"/>
  <c r="G2626" i="2"/>
  <c r="F2626" i="2"/>
  <c r="E2626" i="2"/>
  <c r="D2626" i="2"/>
  <c r="C2626" i="2"/>
  <c r="B2626" i="2"/>
  <c r="V2625" i="2"/>
  <c r="U2625" i="2"/>
  <c r="T2625" i="2"/>
  <c r="S2625" i="2"/>
  <c r="R2625" i="2"/>
  <c r="Q2625" i="2"/>
  <c r="P2625" i="2"/>
  <c r="O2625" i="2"/>
  <c r="N2625" i="2"/>
  <c r="M2625" i="2"/>
  <c r="L2625" i="2"/>
  <c r="K2625" i="2"/>
  <c r="J2625" i="2"/>
  <c r="I2625" i="2"/>
  <c r="H2625" i="2"/>
  <c r="G2625" i="2"/>
  <c r="F2625" i="2"/>
  <c r="E2625" i="2"/>
  <c r="D2625" i="2"/>
  <c r="C2625" i="2"/>
  <c r="B2625" i="2"/>
  <c r="V2624" i="2"/>
  <c r="U2624" i="2"/>
  <c r="T2624" i="2"/>
  <c r="S2624" i="2"/>
  <c r="R2624" i="2"/>
  <c r="Q2624" i="2"/>
  <c r="P2624" i="2"/>
  <c r="O2624" i="2"/>
  <c r="N2624" i="2"/>
  <c r="M2624" i="2"/>
  <c r="L2624" i="2"/>
  <c r="K2624" i="2"/>
  <c r="J2624" i="2"/>
  <c r="I2624" i="2"/>
  <c r="H2624" i="2"/>
  <c r="G2624" i="2"/>
  <c r="F2624" i="2"/>
  <c r="E2624" i="2"/>
  <c r="D2624" i="2"/>
  <c r="C2624" i="2"/>
  <c r="B2624" i="2"/>
  <c r="V2623" i="2"/>
  <c r="U2623" i="2"/>
  <c r="T2623" i="2"/>
  <c r="S2623" i="2"/>
  <c r="R2623" i="2"/>
  <c r="Q2623" i="2"/>
  <c r="P2623" i="2"/>
  <c r="O2623" i="2"/>
  <c r="N2623" i="2"/>
  <c r="M2623" i="2"/>
  <c r="L2623" i="2"/>
  <c r="K2623" i="2"/>
  <c r="J2623" i="2"/>
  <c r="I2623" i="2"/>
  <c r="H2623" i="2"/>
  <c r="G2623" i="2"/>
  <c r="F2623" i="2"/>
  <c r="E2623" i="2"/>
  <c r="D2623" i="2"/>
  <c r="C2623" i="2"/>
  <c r="B2623" i="2"/>
  <c r="V2622" i="2"/>
  <c r="U2622" i="2"/>
  <c r="T2622" i="2"/>
  <c r="S2622" i="2"/>
  <c r="R2622" i="2"/>
  <c r="Q2622" i="2"/>
  <c r="P2622" i="2"/>
  <c r="O2622" i="2"/>
  <c r="N2622" i="2"/>
  <c r="M2622" i="2"/>
  <c r="L2622" i="2"/>
  <c r="K2622" i="2"/>
  <c r="J2622" i="2"/>
  <c r="I2622" i="2"/>
  <c r="H2622" i="2"/>
  <c r="G2622" i="2"/>
  <c r="F2622" i="2"/>
  <c r="E2622" i="2"/>
  <c r="D2622" i="2"/>
  <c r="C2622" i="2"/>
  <c r="B2622" i="2"/>
  <c r="V2621" i="2"/>
  <c r="U2621" i="2"/>
  <c r="T2621" i="2"/>
  <c r="S2621" i="2"/>
  <c r="R2621" i="2"/>
  <c r="Q2621" i="2"/>
  <c r="P2621" i="2"/>
  <c r="O2621" i="2"/>
  <c r="N2621" i="2"/>
  <c r="M2621" i="2"/>
  <c r="L2621" i="2"/>
  <c r="K2621" i="2"/>
  <c r="J2621" i="2"/>
  <c r="I2621" i="2"/>
  <c r="H2621" i="2"/>
  <c r="G2621" i="2"/>
  <c r="F2621" i="2"/>
  <c r="E2621" i="2"/>
  <c r="D2621" i="2"/>
  <c r="C2621" i="2"/>
  <c r="B2621" i="2"/>
  <c r="V2620" i="2"/>
  <c r="U2620" i="2"/>
  <c r="T2620" i="2"/>
  <c r="S2620" i="2"/>
  <c r="R2620" i="2"/>
  <c r="Q2620" i="2"/>
  <c r="P2620" i="2"/>
  <c r="O2620" i="2"/>
  <c r="N2620" i="2"/>
  <c r="M2620" i="2"/>
  <c r="L2620" i="2"/>
  <c r="K2620" i="2"/>
  <c r="J2620" i="2"/>
  <c r="I2620" i="2"/>
  <c r="H2620" i="2"/>
  <c r="G2620" i="2"/>
  <c r="F2620" i="2"/>
  <c r="E2620" i="2"/>
  <c r="D2620" i="2"/>
  <c r="C2620" i="2"/>
  <c r="B2620" i="2"/>
  <c r="V2619" i="2"/>
  <c r="U2619" i="2"/>
  <c r="T2619" i="2"/>
  <c r="S2619" i="2"/>
  <c r="R2619" i="2"/>
  <c r="Q2619" i="2"/>
  <c r="P2619" i="2"/>
  <c r="O2619" i="2"/>
  <c r="N2619" i="2"/>
  <c r="M2619" i="2"/>
  <c r="L2619" i="2"/>
  <c r="K2619" i="2"/>
  <c r="J2619" i="2"/>
  <c r="I2619" i="2"/>
  <c r="H2619" i="2"/>
  <c r="G2619" i="2"/>
  <c r="F2619" i="2"/>
  <c r="E2619" i="2"/>
  <c r="D2619" i="2"/>
  <c r="C2619" i="2"/>
  <c r="B2619" i="2"/>
  <c r="V2618" i="2"/>
  <c r="U2618" i="2"/>
  <c r="T2618" i="2"/>
  <c r="S2618" i="2"/>
  <c r="R2618" i="2"/>
  <c r="Q2618" i="2"/>
  <c r="P2618" i="2"/>
  <c r="O2618" i="2"/>
  <c r="N2618" i="2"/>
  <c r="M2618" i="2"/>
  <c r="L2618" i="2"/>
  <c r="K2618" i="2"/>
  <c r="J2618" i="2"/>
  <c r="I2618" i="2"/>
  <c r="H2618" i="2"/>
  <c r="G2618" i="2"/>
  <c r="F2618" i="2"/>
  <c r="E2618" i="2"/>
  <c r="D2618" i="2"/>
  <c r="C2618" i="2"/>
  <c r="B2618" i="2"/>
  <c r="V2617" i="2"/>
  <c r="U2617" i="2"/>
  <c r="T2617" i="2"/>
  <c r="S2617" i="2"/>
  <c r="R2617" i="2"/>
  <c r="Q2617" i="2"/>
  <c r="P2617" i="2"/>
  <c r="O2617" i="2"/>
  <c r="N2617" i="2"/>
  <c r="M2617" i="2"/>
  <c r="L2617" i="2"/>
  <c r="K2617" i="2"/>
  <c r="J2617" i="2"/>
  <c r="I2617" i="2"/>
  <c r="H2617" i="2"/>
  <c r="G2617" i="2"/>
  <c r="F2617" i="2"/>
  <c r="E2617" i="2"/>
  <c r="D2617" i="2"/>
  <c r="C2617" i="2"/>
  <c r="B2617" i="2"/>
  <c r="V2616" i="2"/>
  <c r="U2616" i="2"/>
  <c r="T2616" i="2"/>
  <c r="S2616" i="2"/>
  <c r="R2616" i="2"/>
  <c r="Q2616" i="2"/>
  <c r="P2616" i="2"/>
  <c r="O2616" i="2"/>
  <c r="N2616" i="2"/>
  <c r="M2616" i="2"/>
  <c r="L2616" i="2"/>
  <c r="K2616" i="2"/>
  <c r="J2616" i="2"/>
  <c r="I2616" i="2"/>
  <c r="H2616" i="2"/>
  <c r="G2616" i="2"/>
  <c r="F2616" i="2"/>
  <c r="E2616" i="2"/>
  <c r="D2616" i="2"/>
  <c r="C2616" i="2"/>
  <c r="B2616" i="2"/>
  <c r="V2615" i="2"/>
  <c r="U2615" i="2"/>
  <c r="T2615" i="2"/>
  <c r="S2615" i="2"/>
  <c r="R2615" i="2"/>
  <c r="Q2615" i="2"/>
  <c r="P2615" i="2"/>
  <c r="O2615" i="2"/>
  <c r="N2615" i="2"/>
  <c r="M2615" i="2"/>
  <c r="L2615" i="2"/>
  <c r="K2615" i="2"/>
  <c r="J2615" i="2"/>
  <c r="I2615" i="2"/>
  <c r="H2615" i="2"/>
  <c r="G2615" i="2"/>
  <c r="F2615" i="2"/>
  <c r="E2615" i="2"/>
  <c r="D2615" i="2"/>
  <c r="C2615" i="2"/>
  <c r="B2615" i="2"/>
  <c r="V2614" i="2"/>
  <c r="U2614" i="2"/>
  <c r="T2614" i="2"/>
  <c r="S2614" i="2"/>
  <c r="R2614" i="2"/>
  <c r="Q2614" i="2"/>
  <c r="P2614" i="2"/>
  <c r="O2614" i="2"/>
  <c r="N2614" i="2"/>
  <c r="M2614" i="2"/>
  <c r="L2614" i="2"/>
  <c r="K2614" i="2"/>
  <c r="J2614" i="2"/>
  <c r="I2614" i="2"/>
  <c r="H2614" i="2"/>
  <c r="G2614" i="2"/>
  <c r="F2614" i="2"/>
  <c r="E2614" i="2"/>
  <c r="D2614" i="2"/>
  <c r="C2614" i="2"/>
  <c r="B2614" i="2"/>
  <c r="V2613" i="2"/>
  <c r="U2613" i="2"/>
  <c r="T2613" i="2"/>
  <c r="S2613" i="2"/>
  <c r="R2613" i="2"/>
  <c r="Q2613" i="2"/>
  <c r="P2613" i="2"/>
  <c r="O2613" i="2"/>
  <c r="N2613" i="2"/>
  <c r="M2613" i="2"/>
  <c r="L2613" i="2"/>
  <c r="K2613" i="2"/>
  <c r="J2613" i="2"/>
  <c r="I2613" i="2"/>
  <c r="H2613" i="2"/>
  <c r="G2613" i="2"/>
  <c r="F2613" i="2"/>
  <c r="E2613" i="2"/>
  <c r="D2613" i="2"/>
  <c r="C2613" i="2"/>
  <c r="B2613" i="2"/>
  <c r="V2612" i="2"/>
  <c r="U2612" i="2"/>
  <c r="T2612" i="2"/>
  <c r="S2612" i="2"/>
  <c r="R2612" i="2"/>
  <c r="Q2612" i="2"/>
  <c r="P2612" i="2"/>
  <c r="O2612" i="2"/>
  <c r="N2612" i="2"/>
  <c r="M2612" i="2"/>
  <c r="L2612" i="2"/>
  <c r="K2612" i="2"/>
  <c r="J2612" i="2"/>
  <c r="I2612" i="2"/>
  <c r="H2612" i="2"/>
  <c r="G2612" i="2"/>
  <c r="F2612" i="2"/>
  <c r="E2612" i="2"/>
  <c r="D2612" i="2"/>
  <c r="C2612" i="2"/>
  <c r="B2612" i="2"/>
  <c r="V2611" i="2"/>
  <c r="U2611" i="2"/>
  <c r="T2611" i="2"/>
  <c r="S2611" i="2"/>
  <c r="R2611" i="2"/>
  <c r="Q2611" i="2"/>
  <c r="P2611" i="2"/>
  <c r="O2611" i="2"/>
  <c r="N2611" i="2"/>
  <c r="M2611" i="2"/>
  <c r="L2611" i="2"/>
  <c r="K2611" i="2"/>
  <c r="J2611" i="2"/>
  <c r="I2611" i="2"/>
  <c r="H2611" i="2"/>
  <c r="G2611" i="2"/>
  <c r="F2611" i="2"/>
  <c r="E2611" i="2"/>
  <c r="D2611" i="2"/>
  <c r="C2611" i="2"/>
  <c r="B2611" i="2"/>
  <c r="V2610" i="2"/>
  <c r="U2610" i="2"/>
  <c r="T2610" i="2"/>
  <c r="S2610" i="2"/>
  <c r="R2610" i="2"/>
  <c r="Q2610" i="2"/>
  <c r="P2610" i="2"/>
  <c r="O2610" i="2"/>
  <c r="N2610" i="2"/>
  <c r="M2610" i="2"/>
  <c r="L2610" i="2"/>
  <c r="K2610" i="2"/>
  <c r="J2610" i="2"/>
  <c r="I2610" i="2"/>
  <c r="H2610" i="2"/>
  <c r="G2610" i="2"/>
  <c r="F2610" i="2"/>
  <c r="E2610" i="2"/>
  <c r="D2610" i="2"/>
  <c r="C2610" i="2"/>
  <c r="B2610" i="2"/>
  <c r="V2609" i="2"/>
  <c r="U2609" i="2"/>
  <c r="T2609" i="2"/>
  <c r="S2609" i="2"/>
  <c r="R2609" i="2"/>
  <c r="Q2609" i="2"/>
  <c r="P2609" i="2"/>
  <c r="O2609" i="2"/>
  <c r="N2609" i="2"/>
  <c r="M2609" i="2"/>
  <c r="L2609" i="2"/>
  <c r="K2609" i="2"/>
  <c r="J2609" i="2"/>
  <c r="I2609" i="2"/>
  <c r="H2609" i="2"/>
  <c r="G2609" i="2"/>
  <c r="F2609" i="2"/>
  <c r="E2609" i="2"/>
  <c r="D2609" i="2"/>
  <c r="C2609" i="2"/>
  <c r="B2609" i="2"/>
  <c r="V2608" i="2"/>
  <c r="U2608" i="2"/>
  <c r="T2608" i="2"/>
  <c r="S2608" i="2"/>
  <c r="R2608" i="2"/>
  <c r="Q2608" i="2"/>
  <c r="P2608" i="2"/>
  <c r="O2608" i="2"/>
  <c r="N2608" i="2"/>
  <c r="M2608" i="2"/>
  <c r="L2608" i="2"/>
  <c r="K2608" i="2"/>
  <c r="J2608" i="2"/>
  <c r="I2608" i="2"/>
  <c r="H2608" i="2"/>
  <c r="G2608" i="2"/>
  <c r="F2608" i="2"/>
  <c r="E2608" i="2"/>
  <c r="D2608" i="2"/>
  <c r="C2608" i="2"/>
  <c r="B2608" i="2"/>
  <c r="V2607" i="2"/>
  <c r="U2607" i="2"/>
  <c r="T2607" i="2"/>
  <c r="S2607" i="2"/>
  <c r="R2607" i="2"/>
  <c r="Q2607" i="2"/>
  <c r="P2607" i="2"/>
  <c r="O2607" i="2"/>
  <c r="N2607" i="2"/>
  <c r="M2607" i="2"/>
  <c r="L2607" i="2"/>
  <c r="K2607" i="2"/>
  <c r="J2607" i="2"/>
  <c r="I2607" i="2"/>
  <c r="H2607" i="2"/>
  <c r="G2607" i="2"/>
  <c r="F2607" i="2"/>
  <c r="E2607" i="2"/>
  <c r="D2607" i="2"/>
  <c r="C2607" i="2"/>
  <c r="B2607" i="2"/>
  <c r="V2606" i="2"/>
  <c r="U2606" i="2"/>
  <c r="T2606" i="2"/>
  <c r="S2606" i="2"/>
  <c r="R2606" i="2"/>
  <c r="Q2606" i="2"/>
  <c r="P2606" i="2"/>
  <c r="O2606" i="2"/>
  <c r="N2606" i="2"/>
  <c r="M2606" i="2"/>
  <c r="L2606" i="2"/>
  <c r="K2606" i="2"/>
  <c r="J2606" i="2"/>
  <c r="I2606" i="2"/>
  <c r="H2606" i="2"/>
  <c r="G2606" i="2"/>
  <c r="F2606" i="2"/>
  <c r="E2606" i="2"/>
  <c r="D2606" i="2"/>
  <c r="C2606" i="2"/>
  <c r="B2606" i="2"/>
  <c r="V2605" i="2"/>
  <c r="U2605" i="2"/>
  <c r="T2605" i="2"/>
  <c r="S2605" i="2"/>
  <c r="R2605" i="2"/>
  <c r="Q2605" i="2"/>
  <c r="P2605" i="2"/>
  <c r="O2605" i="2"/>
  <c r="N2605" i="2"/>
  <c r="M2605" i="2"/>
  <c r="L2605" i="2"/>
  <c r="K2605" i="2"/>
  <c r="J2605" i="2"/>
  <c r="I2605" i="2"/>
  <c r="H2605" i="2"/>
  <c r="G2605" i="2"/>
  <c r="F2605" i="2"/>
  <c r="E2605" i="2"/>
  <c r="D2605" i="2"/>
  <c r="C2605" i="2"/>
  <c r="B2605" i="2"/>
  <c r="V2604" i="2"/>
  <c r="U2604" i="2"/>
  <c r="T2604" i="2"/>
  <c r="S2604" i="2"/>
  <c r="R2604" i="2"/>
  <c r="Q2604" i="2"/>
  <c r="P2604" i="2"/>
  <c r="O2604" i="2"/>
  <c r="N2604" i="2"/>
  <c r="M2604" i="2"/>
  <c r="L2604" i="2"/>
  <c r="K2604" i="2"/>
  <c r="J2604" i="2"/>
  <c r="I2604" i="2"/>
  <c r="H2604" i="2"/>
  <c r="G2604" i="2"/>
  <c r="F2604" i="2"/>
  <c r="E2604" i="2"/>
  <c r="D2604" i="2"/>
  <c r="C2604" i="2"/>
  <c r="B2604" i="2"/>
  <c r="V2603" i="2"/>
  <c r="U2603" i="2"/>
  <c r="T2603" i="2"/>
  <c r="S2603" i="2"/>
  <c r="R2603" i="2"/>
  <c r="Q2603" i="2"/>
  <c r="P2603" i="2"/>
  <c r="O2603" i="2"/>
  <c r="N2603" i="2"/>
  <c r="M2603" i="2"/>
  <c r="L2603" i="2"/>
  <c r="K2603" i="2"/>
  <c r="J2603" i="2"/>
  <c r="I2603" i="2"/>
  <c r="H2603" i="2"/>
  <c r="G2603" i="2"/>
  <c r="F2603" i="2"/>
  <c r="E2603" i="2"/>
  <c r="D2603" i="2"/>
  <c r="C2603" i="2"/>
  <c r="B2603" i="2"/>
  <c r="V2602" i="2"/>
  <c r="U2602" i="2"/>
  <c r="T2602" i="2"/>
  <c r="S2602" i="2"/>
  <c r="R2602" i="2"/>
  <c r="Q2602" i="2"/>
  <c r="P2602" i="2"/>
  <c r="O2602" i="2"/>
  <c r="N2602" i="2"/>
  <c r="M2602" i="2"/>
  <c r="L2602" i="2"/>
  <c r="K2602" i="2"/>
  <c r="J2602" i="2"/>
  <c r="I2602" i="2"/>
  <c r="H2602" i="2"/>
  <c r="G2602" i="2"/>
  <c r="F2602" i="2"/>
  <c r="E2602" i="2"/>
  <c r="D2602" i="2"/>
  <c r="C2602" i="2"/>
  <c r="B2602" i="2"/>
  <c r="V2601" i="2"/>
  <c r="U2601" i="2"/>
  <c r="T2601" i="2"/>
  <c r="S2601" i="2"/>
  <c r="R2601" i="2"/>
  <c r="Q2601" i="2"/>
  <c r="P2601" i="2"/>
  <c r="O2601" i="2"/>
  <c r="N2601" i="2"/>
  <c r="M2601" i="2"/>
  <c r="L2601" i="2"/>
  <c r="K2601" i="2"/>
  <c r="J2601" i="2"/>
  <c r="I2601" i="2"/>
  <c r="H2601" i="2"/>
  <c r="G2601" i="2"/>
  <c r="F2601" i="2"/>
  <c r="E2601" i="2"/>
  <c r="D2601" i="2"/>
  <c r="C2601" i="2"/>
  <c r="B2601" i="2"/>
  <c r="V2600" i="2"/>
  <c r="U2600" i="2"/>
  <c r="T2600" i="2"/>
  <c r="S2600" i="2"/>
  <c r="R2600" i="2"/>
  <c r="Q2600" i="2"/>
  <c r="P2600" i="2"/>
  <c r="O2600" i="2"/>
  <c r="N2600" i="2"/>
  <c r="M2600" i="2"/>
  <c r="L2600" i="2"/>
  <c r="K2600" i="2"/>
  <c r="J2600" i="2"/>
  <c r="I2600" i="2"/>
  <c r="H2600" i="2"/>
  <c r="G2600" i="2"/>
  <c r="F2600" i="2"/>
  <c r="E2600" i="2"/>
  <c r="D2600" i="2"/>
  <c r="C2600" i="2"/>
  <c r="B2600" i="2"/>
  <c r="V2599" i="2"/>
  <c r="U2599" i="2"/>
  <c r="T2599" i="2"/>
  <c r="S2599" i="2"/>
  <c r="R2599" i="2"/>
  <c r="Q2599" i="2"/>
  <c r="P2599" i="2"/>
  <c r="O2599" i="2"/>
  <c r="N2599" i="2"/>
  <c r="M2599" i="2"/>
  <c r="L2599" i="2"/>
  <c r="K2599" i="2"/>
  <c r="J2599" i="2"/>
  <c r="I2599" i="2"/>
  <c r="H2599" i="2"/>
  <c r="G2599" i="2"/>
  <c r="F2599" i="2"/>
  <c r="E2599" i="2"/>
  <c r="D2599" i="2"/>
  <c r="C2599" i="2"/>
  <c r="B2599" i="2"/>
  <c r="V2598" i="2"/>
  <c r="U2598" i="2"/>
  <c r="T2598" i="2"/>
  <c r="S2598" i="2"/>
  <c r="R2598" i="2"/>
  <c r="Q2598" i="2"/>
  <c r="P2598" i="2"/>
  <c r="O2598" i="2"/>
  <c r="N2598" i="2"/>
  <c r="M2598" i="2"/>
  <c r="L2598" i="2"/>
  <c r="K2598" i="2"/>
  <c r="J2598" i="2"/>
  <c r="I2598" i="2"/>
  <c r="H2598" i="2"/>
  <c r="G2598" i="2"/>
  <c r="F2598" i="2"/>
  <c r="E2598" i="2"/>
  <c r="D2598" i="2"/>
  <c r="C2598" i="2"/>
  <c r="B2598" i="2"/>
  <c r="V2597" i="2"/>
  <c r="U2597" i="2"/>
  <c r="T2597" i="2"/>
  <c r="S2597" i="2"/>
  <c r="R2597" i="2"/>
  <c r="Q2597" i="2"/>
  <c r="P2597" i="2"/>
  <c r="O2597" i="2"/>
  <c r="N2597" i="2"/>
  <c r="M2597" i="2"/>
  <c r="L2597" i="2"/>
  <c r="K2597" i="2"/>
  <c r="J2597" i="2"/>
  <c r="I2597" i="2"/>
  <c r="H2597" i="2"/>
  <c r="G2597" i="2"/>
  <c r="F2597" i="2"/>
  <c r="E2597" i="2"/>
  <c r="D2597" i="2"/>
  <c r="C2597" i="2"/>
  <c r="B2597" i="2"/>
  <c r="V2596" i="2"/>
  <c r="U2596" i="2"/>
  <c r="T2596" i="2"/>
  <c r="S2596" i="2"/>
  <c r="R2596" i="2"/>
  <c r="Q2596" i="2"/>
  <c r="P2596" i="2"/>
  <c r="O2596" i="2"/>
  <c r="N2596" i="2"/>
  <c r="M2596" i="2"/>
  <c r="L2596" i="2"/>
  <c r="K2596" i="2"/>
  <c r="J2596" i="2"/>
  <c r="I2596" i="2"/>
  <c r="H2596" i="2"/>
  <c r="G2596" i="2"/>
  <c r="F2596" i="2"/>
  <c r="E2596" i="2"/>
  <c r="D2596" i="2"/>
  <c r="C2596" i="2"/>
  <c r="B2596" i="2"/>
  <c r="V2595" i="2"/>
  <c r="U2595" i="2"/>
  <c r="T2595" i="2"/>
  <c r="S2595" i="2"/>
  <c r="R2595" i="2"/>
  <c r="Q2595" i="2"/>
  <c r="P2595" i="2"/>
  <c r="O2595" i="2"/>
  <c r="N2595" i="2"/>
  <c r="M2595" i="2"/>
  <c r="L2595" i="2"/>
  <c r="K2595" i="2"/>
  <c r="J2595" i="2"/>
  <c r="I2595" i="2"/>
  <c r="H2595" i="2"/>
  <c r="G2595" i="2"/>
  <c r="F2595" i="2"/>
  <c r="E2595" i="2"/>
  <c r="D2595" i="2"/>
  <c r="C2595" i="2"/>
  <c r="B2595" i="2"/>
  <c r="V2594" i="2"/>
  <c r="U2594" i="2"/>
  <c r="T2594" i="2"/>
  <c r="S2594" i="2"/>
  <c r="R2594" i="2"/>
  <c r="Q2594" i="2"/>
  <c r="P2594" i="2"/>
  <c r="O2594" i="2"/>
  <c r="N2594" i="2"/>
  <c r="M2594" i="2"/>
  <c r="L2594" i="2"/>
  <c r="K2594" i="2"/>
  <c r="J2594" i="2"/>
  <c r="I2594" i="2"/>
  <c r="H2594" i="2"/>
  <c r="G2594" i="2"/>
  <c r="F2594" i="2"/>
  <c r="E2594" i="2"/>
  <c r="D2594" i="2"/>
  <c r="C2594" i="2"/>
  <c r="B2594" i="2"/>
  <c r="V2593" i="2"/>
  <c r="U2593" i="2"/>
  <c r="T2593" i="2"/>
  <c r="S2593" i="2"/>
  <c r="R2593" i="2"/>
  <c r="Q2593" i="2"/>
  <c r="P2593" i="2"/>
  <c r="O2593" i="2"/>
  <c r="N2593" i="2"/>
  <c r="M2593" i="2"/>
  <c r="L2593" i="2"/>
  <c r="K2593" i="2"/>
  <c r="J2593" i="2"/>
  <c r="I2593" i="2"/>
  <c r="H2593" i="2"/>
  <c r="G2593" i="2"/>
  <c r="F2593" i="2"/>
  <c r="E2593" i="2"/>
  <c r="D2593" i="2"/>
  <c r="C2593" i="2"/>
  <c r="B2593" i="2"/>
  <c r="V2592" i="2"/>
  <c r="U2592" i="2"/>
  <c r="T2592" i="2"/>
  <c r="S2592" i="2"/>
  <c r="R2592" i="2"/>
  <c r="Q2592" i="2"/>
  <c r="P2592" i="2"/>
  <c r="O2592" i="2"/>
  <c r="N2592" i="2"/>
  <c r="M2592" i="2"/>
  <c r="L2592" i="2"/>
  <c r="K2592" i="2"/>
  <c r="J2592" i="2"/>
  <c r="I2592" i="2"/>
  <c r="H2592" i="2"/>
  <c r="G2592" i="2"/>
  <c r="F2592" i="2"/>
  <c r="E2592" i="2"/>
  <c r="D2592" i="2"/>
  <c r="C2592" i="2"/>
  <c r="B2592" i="2"/>
  <c r="V2591" i="2"/>
  <c r="U2591" i="2"/>
  <c r="T2591" i="2"/>
  <c r="S2591" i="2"/>
  <c r="R2591" i="2"/>
  <c r="Q2591" i="2"/>
  <c r="P2591" i="2"/>
  <c r="O2591" i="2"/>
  <c r="N2591" i="2"/>
  <c r="M2591" i="2"/>
  <c r="L2591" i="2"/>
  <c r="K2591" i="2"/>
  <c r="J2591" i="2"/>
  <c r="I2591" i="2"/>
  <c r="H2591" i="2"/>
  <c r="G2591" i="2"/>
  <c r="F2591" i="2"/>
  <c r="E2591" i="2"/>
  <c r="D2591" i="2"/>
  <c r="C2591" i="2"/>
  <c r="B2591" i="2"/>
  <c r="V2590" i="2"/>
  <c r="U2590" i="2"/>
  <c r="T2590" i="2"/>
  <c r="S2590" i="2"/>
  <c r="R2590" i="2"/>
  <c r="Q2590" i="2"/>
  <c r="P2590" i="2"/>
  <c r="O2590" i="2"/>
  <c r="N2590" i="2"/>
  <c r="M2590" i="2"/>
  <c r="L2590" i="2"/>
  <c r="K2590" i="2"/>
  <c r="J2590" i="2"/>
  <c r="I2590" i="2"/>
  <c r="H2590" i="2"/>
  <c r="G2590" i="2"/>
  <c r="F2590" i="2"/>
  <c r="E2590" i="2"/>
  <c r="D2590" i="2"/>
  <c r="C2590" i="2"/>
  <c r="B2590" i="2"/>
  <c r="V2589" i="2"/>
  <c r="U2589" i="2"/>
  <c r="T2589" i="2"/>
  <c r="S2589" i="2"/>
  <c r="R2589" i="2"/>
  <c r="Q2589" i="2"/>
  <c r="P2589" i="2"/>
  <c r="O2589" i="2"/>
  <c r="N2589" i="2"/>
  <c r="M2589" i="2"/>
  <c r="L2589" i="2"/>
  <c r="K2589" i="2"/>
  <c r="J2589" i="2"/>
  <c r="I2589" i="2"/>
  <c r="H2589" i="2"/>
  <c r="G2589" i="2"/>
  <c r="F2589" i="2"/>
  <c r="E2589" i="2"/>
  <c r="D2589" i="2"/>
  <c r="C2589" i="2"/>
  <c r="B2589" i="2"/>
  <c r="V2588" i="2"/>
  <c r="U2588" i="2"/>
  <c r="T2588" i="2"/>
  <c r="S2588" i="2"/>
  <c r="R2588" i="2"/>
  <c r="Q2588" i="2"/>
  <c r="P2588" i="2"/>
  <c r="O2588" i="2"/>
  <c r="N2588" i="2"/>
  <c r="M2588" i="2"/>
  <c r="L2588" i="2"/>
  <c r="K2588" i="2"/>
  <c r="J2588" i="2"/>
  <c r="I2588" i="2"/>
  <c r="H2588" i="2"/>
  <c r="G2588" i="2"/>
  <c r="F2588" i="2"/>
  <c r="E2588" i="2"/>
  <c r="D2588" i="2"/>
  <c r="C2588" i="2"/>
  <c r="B2588" i="2"/>
  <c r="V2587" i="2"/>
  <c r="U2587" i="2"/>
  <c r="T2587" i="2"/>
  <c r="S2587" i="2"/>
  <c r="R2587" i="2"/>
  <c r="Q2587" i="2"/>
  <c r="P2587" i="2"/>
  <c r="O2587" i="2"/>
  <c r="N2587" i="2"/>
  <c r="M2587" i="2"/>
  <c r="L2587" i="2"/>
  <c r="K2587" i="2"/>
  <c r="J2587" i="2"/>
  <c r="I2587" i="2"/>
  <c r="H2587" i="2"/>
  <c r="G2587" i="2"/>
  <c r="F2587" i="2"/>
  <c r="E2587" i="2"/>
  <c r="D2587" i="2"/>
  <c r="C2587" i="2"/>
  <c r="B2587" i="2"/>
  <c r="V2586" i="2"/>
  <c r="U2586" i="2"/>
  <c r="T2586" i="2"/>
  <c r="S2586" i="2"/>
  <c r="R2586" i="2"/>
  <c r="Q2586" i="2"/>
  <c r="P2586" i="2"/>
  <c r="O2586" i="2"/>
  <c r="N2586" i="2"/>
  <c r="M2586" i="2"/>
  <c r="L2586" i="2"/>
  <c r="K2586" i="2"/>
  <c r="J2586" i="2"/>
  <c r="I2586" i="2"/>
  <c r="H2586" i="2"/>
  <c r="G2586" i="2"/>
  <c r="F2586" i="2"/>
  <c r="E2586" i="2"/>
  <c r="D2586" i="2"/>
  <c r="C2586" i="2"/>
  <c r="B2586" i="2"/>
  <c r="V2585" i="2"/>
  <c r="U2585" i="2"/>
  <c r="T2585" i="2"/>
  <c r="S2585" i="2"/>
  <c r="R2585" i="2"/>
  <c r="Q2585" i="2"/>
  <c r="P2585" i="2"/>
  <c r="O2585" i="2"/>
  <c r="N2585" i="2"/>
  <c r="M2585" i="2"/>
  <c r="L2585" i="2"/>
  <c r="K2585" i="2"/>
  <c r="J2585" i="2"/>
  <c r="I2585" i="2"/>
  <c r="H2585" i="2"/>
  <c r="G2585" i="2"/>
  <c r="F2585" i="2"/>
  <c r="E2585" i="2"/>
  <c r="D2585" i="2"/>
  <c r="C2585" i="2"/>
  <c r="B2585" i="2"/>
  <c r="V2584" i="2"/>
  <c r="U2584" i="2"/>
  <c r="T2584" i="2"/>
  <c r="S2584" i="2"/>
  <c r="R2584" i="2"/>
  <c r="Q2584" i="2"/>
  <c r="P2584" i="2"/>
  <c r="O2584" i="2"/>
  <c r="N2584" i="2"/>
  <c r="M2584" i="2"/>
  <c r="L2584" i="2"/>
  <c r="K2584" i="2"/>
  <c r="J2584" i="2"/>
  <c r="I2584" i="2"/>
  <c r="H2584" i="2"/>
  <c r="G2584" i="2"/>
  <c r="F2584" i="2"/>
  <c r="E2584" i="2"/>
  <c r="D2584" i="2"/>
  <c r="C2584" i="2"/>
  <c r="B2584" i="2"/>
  <c r="V2583" i="2"/>
  <c r="U2583" i="2"/>
  <c r="T2583" i="2"/>
  <c r="S2583" i="2"/>
  <c r="R2583" i="2"/>
  <c r="Q2583" i="2"/>
  <c r="P2583" i="2"/>
  <c r="O2583" i="2"/>
  <c r="N2583" i="2"/>
  <c r="M2583" i="2"/>
  <c r="L2583" i="2"/>
  <c r="K2583" i="2"/>
  <c r="J2583" i="2"/>
  <c r="I2583" i="2"/>
  <c r="H2583" i="2"/>
  <c r="G2583" i="2"/>
  <c r="F2583" i="2"/>
  <c r="E2583" i="2"/>
  <c r="D2583" i="2"/>
  <c r="C2583" i="2"/>
  <c r="B2583" i="2"/>
  <c r="V2582" i="2"/>
  <c r="U2582" i="2"/>
  <c r="T2582" i="2"/>
  <c r="S2582" i="2"/>
  <c r="R2582" i="2"/>
  <c r="Q2582" i="2"/>
  <c r="P2582" i="2"/>
  <c r="O2582" i="2"/>
  <c r="N2582" i="2"/>
  <c r="M2582" i="2"/>
  <c r="L2582" i="2"/>
  <c r="K2582" i="2"/>
  <c r="J2582" i="2"/>
  <c r="I2582" i="2"/>
  <c r="H2582" i="2"/>
  <c r="G2582" i="2"/>
  <c r="F2582" i="2"/>
  <c r="E2582" i="2"/>
  <c r="D2582" i="2"/>
  <c r="C2582" i="2"/>
  <c r="B2582" i="2"/>
  <c r="V2581" i="2"/>
  <c r="U2581" i="2"/>
  <c r="T2581" i="2"/>
  <c r="S2581" i="2"/>
  <c r="R2581" i="2"/>
  <c r="Q2581" i="2"/>
  <c r="P2581" i="2"/>
  <c r="O2581" i="2"/>
  <c r="N2581" i="2"/>
  <c r="M2581" i="2"/>
  <c r="L2581" i="2"/>
  <c r="K2581" i="2"/>
  <c r="J2581" i="2"/>
  <c r="I2581" i="2"/>
  <c r="H2581" i="2"/>
  <c r="G2581" i="2"/>
  <c r="F2581" i="2"/>
  <c r="E2581" i="2"/>
  <c r="D2581" i="2"/>
  <c r="C2581" i="2"/>
  <c r="B2581" i="2"/>
  <c r="V2580" i="2"/>
  <c r="U2580" i="2"/>
  <c r="T2580" i="2"/>
  <c r="S2580" i="2"/>
  <c r="R2580" i="2"/>
  <c r="Q2580" i="2"/>
  <c r="P2580" i="2"/>
  <c r="O2580" i="2"/>
  <c r="N2580" i="2"/>
  <c r="M2580" i="2"/>
  <c r="L2580" i="2"/>
  <c r="K2580" i="2"/>
  <c r="J2580" i="2"/>
  <c r="I2580" i="2"/>
  <c r="H2580" i="2"/>
  <c r="G2580" i="2"/>
  <c r="F2580" i="2"/>
  <c r="E2580" i="2"/>
  <c r="D2580" i="2"/>
  <c r="C2580" i="2"/>
  <c r="B2580" i="2"/>
  <c r="V2579" i="2"/>
  <c r="U2579" i="2"/>
  <c r="T2579" i="2"/>
  <c r="S2579" i="2"/>
  <c r="R2579" i="2"/>
  <c r="Q2579" i="2"/>
  <c r="P2579" i="2"/>
  <c r="O2579" i="2"/>
  <c r="N2579" i="2"/>
  <c r="M2579" i="2"/>
  <c r="L2579" i="2"/>
  <c r="K2579" i="2"/>
  <c r="J2579" i="2"/>
  <c r="I2579" i="2"/>
  <c r="H2579" i="2"/>
  <c r="G2579" i="2"/>
  <c r="F2579" i="2"/>
  <c r="E2579" i="2"/>
  <c r="D2579" i="2"/>
  <c r="C2579" i="2"/>
  <c r="B2579" i="2"/>
  <c r="V2578" i="2"/>
  <c r="U2578" i="2"/>
  <c r="T2578" i="2"/>
  <c r="S2578" i="2"/>
  <c r="R2578" i="2"/>
  <c r="Q2578" i="2"/>
  <c r="P2578" i="2"/>
  <c r="O2578" i="2"/>
  <c r="N2578" i="2"/>
  <c r="M2578" i="2"/>
  <c r="L2578" i="2"/>
  <c r="K2578" i="2"/>
  <c r="J2578" i="2"/>
  <c r="I2578" i="2"/>
  <c r="H2578" i="2"/>
  <c r="G2578" i="2"/>
  <c r="F2578" i="2"/>
  <c r="E2578" i="2"/>
  <c r="D2578" i="2"/>
  <c r="C2578" i="2"/>
  <c r="B2578" i="2"/>
  <c r="V2577" i="2"/>
  <c r="U2577" i="2"/>
  <c r="T2577" i="2"/>
  <c r="S2577" i="2"/>
  <c r="R2577" i="2"/>
  <c r="Q2577" i="2"/>
  <c r="P2577" i="2"/>
  <c r="O2577" i="2"/>
  <c r="N2577" i="2"/>
  <c r="M2577" i="2"/>
  <c r="L2577" i="2"/>
  <c r="K2577" i="2"/>
  <c r="J2577" i="2"/>
  <c r="I2577" i="2"/>
  <c r="H2577" i="2"/>
  <c r="G2577" i="2"/>
  <c r="F2577" i="2"/>
  <c r="E2577" i="2"/>
  <c r="D2577" i="2"/>
  <c r="C2577" i="2"/>
  <c r="B2577" i="2"/>
  <c r="V2576" i="2"/>
  <c r="U2576" i="2"/>
  <c r="T2576" i="2"/>
  <c r="S2576" i="2"/>
  <c r="R2576" i="2"/>
  <c r="Q2576" i="2"/>
  <c r="P2576" i="2"/>
  <c r="O2576" i="2"/>
  <c r="N2576" i="2"/>
  <c r="M2576" i="2"/>
  <c r="L2576" i="2"/>
  <c r="K2576" i="2"/>
  <c r="J2576" i="2"/>
  <c r="I2576" i="2"/>
  <c r="H2576" i="2"/>
  <c r="G2576" i="2"/>
  <c r="F2576" i="2"/>
  <c r="E2576" i="2"/>
  <c r="D2576" i="2"/>
  <c r="C2576" i="2"/>
  <c r="B2576" i="2"/>
  <c r="V2575" i="2"/>
  <c r="U2575" i="2"/>
  <c r="T2575" i="2"/>
  <c r="S2575" i="2"/>
  <c r="R2575" i="2"/>
  <c r="Q2575" i="2"/>
  <c r="P2575" i="2"/>
  <c r="O2575" i="2"/>
  <c r="N2575" i="2"/>
  <c r="M2575" i="2"/>
  <c r="L2575" i="2"/>
  <c r="K2575" i="2"/>
  <c r="J2575" i="2"/>
  <c r="I2575" i="2"/>
  <c r="H2575" i="2"/>
  <c r="G2575" i="2"/>
  <c r="F2575" i="2"/>
  <c r="E2575" i="2"/>
  <c r="D2575" i="2"/>
  <c r="C2575" i="2"/>
  <c r="B2575" i="2"/>
  <c r="V2574" i="2"/>
  <c r="U2574" i="2"/>
  <c r="T2574" i="2"/>
  <c r="S2574" i="2"/>
  <c r="R2574" i="2"/>
  <c r="Q2574" i="2"/>
  <c r="P2574" i="2"/>
  <c r="O2574" i="2"/>
  <c r="N2574" i="2"/>
  <c r="M2574" i="2"/>
  <c r="L2574" i="2"/>
  <c r="K2574" i="2"/>
  <c r="J2574" i="2"/>
  <c r="I2574" i="2"/>
  <c r="H2574" i="2"/>
  <c r="G2574" i="2"/>
  <c r="F2574" i="2"/>
  <c r="E2574" i="2"/>
  <c r="D2574" i="2"/>
  <c r="C2574" i="2"/>
  <c r="B2574" i="2"/>
  <c r="V2573" i="2"/>
  <c r="U2573" i="2"/>
  <c r="T2573" i="2"/>
  <c r="S2573" i="2"/>
  <c r="R2573" i="2"/>
  <c r="Q2573" i="2"/>
  <c r="P2573" i="2"/>
  <c r="O2573" i="2"/>
  <c r="N2573" i="2"/>
  <c r="M2573" i="2"/>
  <c r="L2573" i="2"/>
  <c r="K2573" i="2"/>
  <c r="J2573" i="2"/>
  <c r="I2573" i="2"/>
  <c r="H2573" i="2"/>
  <c r="G2573" i="2"/>
  <c r="F2573" i="2"/>
  <c r="E2573" i="2"/>
  <c r="D2573" i="2"/>
  <c r="C2573" i="2"/>
  <c r="B2573" i="2"/>
  <c r="V2572" i="2"/>
  <c r="U2572" i="2"/>
  <c r="T2572" i="2"/>
  <c r="S2572" i="2"/>
  <c r="R2572" i="2"/>
  <c r="Q2572" i="2"/>
  <c r="P2572" i="2"/>
  <c r="O2572" i="2"/>
  <c r="N2572" i="2"/>
  <c r="M2572" i="2"/>
  <c r="L2572" i="2"/>
  <c r="K2572" i="2"/>
  <c r="J2572" i="2"/>
  <c r="I2572" i="2"/>
  <c r="H2572" i="2"/>
  <c r="G2572" i="2"/>
  <c r="F2572" i="2"/>
  <c r="E2572" i="2"/>
  <c r="D2572" i="2"/>
  <c r="C2572" i="2"/>
  <c r="B2572" i="2"/>
  <c r="V2571" i="2"/>
  <c r="U2571" i="2"/>
  <c r="T2571" i="2"/>
  <c r="S2571" i="2"/>
  <c r="R2571" i="2"/>
  <c r="Q2571" i="2"/>
  <c r="P2571" i="2"/>
  <c r="O2571" i="2"/>
  <c r="N2571" i="2"/>
  <c r="M2571" i="2"/>
  <c r="L2571" i="2"/>
  <c r="K2571" i="2"/>
  <c r="J2571" i="2"/>
  <c r="I2571" i="2"/>
  <c r="H2571" i="2"/>
  <c r="G2571" i="2"/>
  <c r="F2571" i="2"/>
  <c r="E2571" i="2"/>
  <c r="D2571" i="2"/>
  <c r="C2571" i="2"/>
  <c r="B2571" i="2"/>
  <c r="V2570" i="2"/>
  <c r="U2570" i="2"/>
  <c r="T2570" i="2"/>
  <c r="S2570" i="2"/>
  <c r="R2570" i="2"/>
  <c r="Q2570" i="2"/>
  <c r="P2570" i="2"/>
  <c r="O2570" i="2"/>
  <c r="N2570" i="2"/>
  <c r="M2570" i="2"/>
  <c r="L2570" i="2"/>
  <c r="K2570" i="2"/>
  <c r="J2570" i="2"/>
  <c r="I2570" i="2"/>
  <c r="H2570" i="2"/>
  <c r="G2570" i="2"/>
  <c r="F2570" i="2"/>
  <c r="E2570" i="2"/>
  <c r="D2570" i="2"/>
  <c r="C2570" i="2"/>
  <c r="B2570" i="2"/>
  <c r="V2569" i="2"/>
  <c r="U2569" i="2"/>
  <c r="T2569" i="2"/>
  <c r="S2569" i="2"/>
  <c r="R2569" i="2"/>
  <c r="Q2569" i="2"/>
  <c r="P2569" i="2"/>
  <c r="O2569" i="2"/>
  <c r="N2569" i="2"/>
  <c r="M2569" i="2"/>
  <c r="L2569" i="2"/>
  <c r="K2569" i="2"/>
  <c r="J2569" i="2"/>
  <c r="I2569" i="2"/>
  <c r="H2569" i="2"/>
  <c r="G2569" i="2"/>
  <c r="F2569" i="2"/>
  <c r="E2569" i="2"/>
  <c r="D2569" i="2"/>
  <c r="C2569" i="2"/>
  <c r="B2569" i="2"/>
  <c r="V2568" i="2"/>
  <c r="U2568" i="2"/>
  <c r="T2568" i="2"/>
  <c r="S2568" i="2"/>
  <c r="R2568" i="2"/>
  <c r="Q2568" i="2"/>
  <c r="P2568" i="2"/>
  <c r="O2568" i="2"/>
  <c r="N2568" i="2"/>
  <c r="M2568" i="2"/>
  <c r="L2568" i="2"/>
  <c r="K2568" i="2"/>
  <c r="J2568" i="2"/>
  <c r="I2568" i="2"/>
  <c r="H2568" i="2"/>
  <c r="G2568" i="2"/>
  <c r="F2568" i="2"/>
  <c r="E2568" i="2"/>
  <c r="D2568" i="2"/>
  <c r="C2568" i="2"/>
  <c r="B2568" i="2"/>
  <c r="V2567" i="2"/>
  <c r="U2567" i="2"/>
  <c r="T2567" i="2"/>
  <c r="S2567" i="2"/>
  <c r="R2567" i="2"/>
  <c r="Q2567" i="2"/>
  <c r="P2567" i="2"/>
  <c r="O2567" i="2"/>
  <c r="N2567" i="2"/>
  <c r="M2567" i="2"/>
  <c r="L2567" i="2"/>
  <c r="K2567" i="2"/>
  <c r="J2567" i="2"/>
  <c r="I2567" i="2"/>
  <c r="H2567" i="2"/>
  <c r="G2567" i="2"/>
  <c r="F2567" i="2"/>
  <c r="E2567" i="2"/>
  <c r="D2567" i="2"/>
  <c r="C2567" i="2"/>
  <c r="B2567" i="2"/>
  <c r="V2566" i="2"/>
  <c r="U2566" i="2"/>
  <c r="T2566" i="2"/>
  <c r="S2566" i="2"/>
  <c r="R2566" i="2"/>
  <c r="Q2566" i="2"/>
  <c r="P2566" i="2"/>
  <c r="O2566" i="2"/>
  <c r="N2566" i="2"/>
  <c r="M2566" i="2"/>
  <c r="L2566" i="2"/>
  <c r="K2566" i="2"/>
  <c r="J2566" i="2"/>
  <c r="I2566" i="2"/>
  <c r="H2566" i="2"/>
  <c r="G2566" i="2"/>
  <c r="F2566" i="2"/>
  <c r="E2566" i="2"/>
  <c r="D2566" i="2"/>
  <c r="C2566" i="2"/>
  <c r="B2566" i="2"/>
  <c r="V2565" i="2"/>
  <c r="U2565" i="2"/>
  <c r="T2565" i="2"/>
  <c r="S2565" i="2"/>
  <c r="R2565" i="2"/>
  <c r="Q2565" i="2"/>
  <c r="P2565" i="2"/>
  <c r="O2565" i="2"/>
  <c r="N2565" i="2"/>
  <c r="M2565" i="2"/>
  <c r="L2565" i="2"/>
  <c r="K2565" i="2"/>
  <c r="J2565" i="2"/>
  <c r="I2565" i="2"/>
  <c r="H2565" i="2"/>
  <c r="G2565" i="2"/>
  <c r="F2565" i="2"/>
  <c r="E2565" i="2"/>
  <c r="D2565" i="2"/>
  <c r="C2565" i="2"/>
  <c r="B2565" i="2"/>
  <c r="V2564" i="2"/>
  <c r="U2564" i="2"/>
  <c r="T2564" i="2"/>
  <c r="S2564" i="2"/>
  <c r="R2564" i="2"/>
  <c r="Q2564" i="2"/>
  <c r="P2564" i="2"/>
  <c r="O2564" i="2"/>
  <c r="N2564" i="2"/>
  <c r="M2564" i="2"/>
  <c r="L2564" i="2"/>
  <c r="K2564" i="2"/>
  <c r="J2564" i="2"/>
  <c r="I2564" i="2"/>
  <c r="H2564" i="2"/>
  <c r="G2564" i="2"/>
  <c r="F2564" i="2"/>
  <c r="E2564" i="2"/>
  <c r="D2564" i="2"/>
  <c r="C2564" i="2"/>
  <c r="B2564" i="2"/>
  <c r="V2563" i="2"/>
  <c r="U2563" i="2"/>
  <c r="T2563" i="2"/>
  <c r="S2563" i="2"/>
  <c r="R2563" i="2"/>
  <c r="Q2563" i="2"/>
  <c r="P2563" i="2"/>
  <c r="O2563" i="2"/>
  <c r="N2563" i="2"/>
  <c r="M2563" i="2"/>
  <c r="L2563" i="2"/>
  <c r="K2563" i="2"/>
  <c r="J2563" i="2"/>
  <c r="I2563" i="2"/>
  <c r="H2563" i="2"/>
  <c r="G2563" i="2"/>
  <c r="F2563" i="2"/>
  <c r="E2563" i="2"/>
  <c r="D2563" i="2"/>
  <c r="C2563" i="2"/>
  <c r="B2563" i="2"/>
  <c r="V2562" i="2"/>
  <c r="U2562" i="2"/>
  <c r="T2562" i="2"/>
  <c r="S2562" i="2"/>
  <c r="R2562" i="2"/>
  <c r="Q2562" i="2"/>
  <c r="P2562" i="2"/>
  <c r="O2562" i="2"/>
  <c r="N2562" i="2"/>
  <c r="M2562" i="2"/>
  <c r="L2562" i="2"/>
  <c r="K2562" i="2"/>
  <c r="J2562" i="2"/>
  <c r="I2562" i="2"/>
  <c r="H2562" i="2"/>
  <c r="G2562" i="2"/>
  <c r="F2562" i="2"/>
  <c r="E2562" i="2"/>
  <c r="D2562" i="2"/>
  <c r="C2562" i="2"/>
  <c r="B2562" i="2"/>
  <c r="V2561" i="2"/>
  <c r="U2561" i="2"/>
  <c r="T2561" i="2"/>
  <c r="S2561" i="2"/>
  <c r="R2561" i="2"/>
  <c r="Q2561" i="2"/>
  <c r="P2561" i="2"/>
  <c r="O2561" i="2"/>
  <c r="N2561" i="2"/>
  <c r="M2561" i="2"/>
  <c r="L2561" i="2"/>
  <c r="K2561" i="2"/>
  <c r="J2561" i="2"/>
  <c r="I2561" i="2"/>
  <c r="H2561" i="2"/>
  <c r="G2561" i="2"/>
  <c r="F2561" i="2"/>
  <c r="E2561" i="2"/>
  <c r="D2561" i="2"/>
  <c r="C2561" i="2"/>
  <c r="B2561" i="2"/>
  <c r="V2560" i="2"/>
  <c r="U2560" i="2"/>
  <c r="T2560" i="2"/>
  <c r="S2560" i="2"/>
  <c r="R2560" i="2"/>
  <c r="Q2560" i="2"/>
  <c r="P2560" i="2"/>
  <c r="O2560" i="2"/>
  <c r="N2560" i="2"/>
  <c r="M2560" i="2"/>
  <c r="L2560" i="2"/>
  <c r="K2560" i="2"/>
  <c r="J2560" i="2"/>
  <c r="I2560" i="2"/>
  <c r="H2560" i="2"/>
  <c r="G2560" i="2"/>
  <c r="F2560" i="2"/>
  <c r="E2560" i="2"/>
  <c r="D2560" i="2"/>
  <c r="C2560" i="2"/>
  <c r="B2560" i="2"/>
  <c r="V2559" i="2"/>
  <c r="U2559" i="2"/>
  <c r="T2559" i="2"/>
  <c r="S2559" i="2"/>
  <c r="R2559" i="2"/>
  <c r="Q2559" i="2"/>
  <c r="P2559" i="2"/>
  <c r="O2559" i="2"/>
  <c r="N2559" i="2"/>
  <c r="M2559" i="2"/>
  <c r="L2559" i="2"/>
  <c r="K2559" i="2"/>
  <c r="J2559" i="2"/>
  <c r="I2559" i="2"/>
  <c r="H2559" i="2"/>
  <c r="G2559" i="2"/>
  <c r="F2559" i="2"/>
  <c r="E2559" i="2"/>
  <c r="D2559" i="2"/>
  <c r="C2559" i="2"/>
  <c r="B2559" i="2"/>
  <c r="V2558" i="2"/>
  <c r="U2558" i="2"/>
  <c r="T2558" i="2"/>
  <c r="S2558" i="2"/>
  <c r="R2558" i="2"/>
  <c r="Q2558" i="2"/>
  <c r="P2558" i="2"/>
  <c r="O2558" i="2"/>
  <c r="N2558" i="2"/>
  <c r="M2558" i="2"/>
  <c r="L2558" i="2"/>
  <c r="K2558" i="2"/>
  <c r="J2558" i="2"/>
  <c r="I2558" i="2"/>
  <c r="H2558" i="2"/>
  <c r="G2558" i="2"/>
  <c r="F2558" i="2"/>
  <c r="E2558" i="2"/>
  <c r="D2558" i="2"/>
  <c r="C2558" i="2"/>
  <c r="B2558" i="2"/>
  <c r="V2557" i="2"/>
  <c r="U2557" i="2"/>
  <c r="T2557" i="2"/>
  <c r="S2557" i="2"/>
  <c r="R2557" i="2"/>
  <c r="Q2557" i="2"/>
  <c r="P2557" i="2"/>
  <c r="O2557" i="2"/>
  <c r="N2557" i="2"/>
  <c r="M2557" i="2"/>
  <c r="L2557" i="2"/>
  <c r="K2557" i="2"/>
  <c r="J2557" i="2"/>
  <c r="I2557" i="2"/>
  <c r="H2557" i="2"/>
  <c r="G2557" i="2"/>
  <c r="F2557" i="2"/>
  <c r="E2557" i="2"/>
  <c r="D2557" i="2"/>
  <c r="C2557" i="2"/>
  <c r="B2557" i="2"/>
  <c r="V2556" i="2"/>
  <c r="U2556" i="2"/>
  <c r="T2556" i="2"/>
  <c r="S2556" i="2"/>
  <c r="R2556" i="2"/>
  <c r="Q2556" i="2"/>
  <c r="P2556" i="2"/>
  <c r="O2556" i="2"/>
  <c r="N2556" i="2"/>
  <c r="M2556" i="2"/>
  <c r="L2556" i="2"/>
  <c r="K2556" i="2"/>
  <c r="J2556" i="2"/>
  <c r="I2556" i="2"/>
  <c r="H2556" i="2"/>
  <c r="G2556" i="2"/>
  <c r="F2556" i="2"/>
  <c r="E2556" i="2"/>
  <c r="D2556" i="2"/>
  <c r="C2556" i="2"/>
  <c r="B2556" i="2"/>
  <c r="V2555" i="2"/>
  <c r="U2555" i="2"/>
  <c r="T2555" i="2"/>
  <c r="S2555" i="2"/>
  <c r="R2555" i="2"/>
  <c r="Q2555" i="2"/>
  <c r="P2555" i="2"/>
  <c r="O2555" i="2"/>
  <c r="N2555" i="2"/>
  <c r="M2555" i="2"/>
  <c r="L2555" i="2"/>
  <c r="K2555" i="2"/>
  <c r="J2555" i="2"/>
  <c r="I2555" i="2"/>
  <c r="H2555" i="2"/>
  <c r="G2555" i="2"/>
  <c r="F2555" i="2"/>
  <c r="E2555" i="2"/>
  <c r="D2555" i="2"/>
  <c r="C2555" i="2"/>
  <c r="B2555" i="2"/>
  <c r="V2554" i="2"/>
  <c r="U2554" i="2"/>
  <c r="T2554" i="2"/>
  <c r="S2554" i="2"/>
  <c r="R2554" i="2"/>
  <c r="Q2554" i="2"/>
  <c r="P2554" i="2"/>
  <c r="O2554" i="2"/>
  <c r="N2554" i="2"/>
  <c r="M2554" i="2"/>
  <c r="L2554" i="2"/>
  <c r="K2554" i="2"/>
  <c r="J2554" i="2"/>
  <c r="I2554" i="2"/>
  <c r="H2554" i="2"/>
  <c r="G2554" i="2"/>
  <c r="F2554" i="2"/>
  <c r="E2554" i="2"/>
  <c r="D2554" i="2"/>
  <c r="C2554" i="2"/>
  <c r="B2554" i="2"/>
  <c r="V2553" i="2"/>
  <c r="U2553" i="2"/>
  <c r="T2553" i="2"/>
  <c r="S2553" i="2"/>
  <c r="R2553" i="2"/>
  <c r="Q2553" i="2"/>
  <c r="P2553" i="2"/>
  <c r="O2553" i="2"/>
  <c r="N2553" i="2"/>
  <c r="M2553" i="2"/>
  <c r="L2553" i="2"/>
  <c r="K2553" i="2"/>
  <c r="J2553" i="2"/>
  <c r="I2553" i="2"/>
  <c r="H2553" i="2"/>
  <c r="G2553" i="2"/>
  <c r="F2553" i="2"/>
  <c r="E2553" i="2"/>
  <c r="D2553" i="2"/>
  <c r="C2553" i="2"/>
  <c r="B2553" i="2"/>
  <c r="V2552" i="2"/>
  <c r="U2552" i="2"/>
  <c r="T2552" i="2"/>
  <c r="S2552" i="2"/>
  <c r="R2552" i="2"/>
  <c r="Q2552" i="2"/>
  <c r="P2552" i="2"/>
  <c r="O2552" i="2"/>
  <c r="N2552" i="2"/>
  <c r="M2552" i="2"/>
  <c r="L2552" i="2"/>
  <c r="K2552" i="2"/>
  <c r="J2552" i="2"/>
  <c r="I2552" i="2"/>
  <c r="H2552" i="2"/>
  <c r="G2552" i="2"/>
  <c r="F2552" i="2"/>
  <c r="E2552" i="2"/>
  <c r="D2552" i="2"/>
  <c r="C2552" i="2"/>
  <c r="B2552" i="2"/>
  <c r="V2551" i="2"/>
  <c r="U2551" i="2"/>
  <c r="T2551" i="2"/>
  <c r="S2551" i="2"/>
  <c r="R2551" i="2"/>
  <c r="Q2551" i="2"/>
  <c r="P2551" i="2"/>
  <c r="O2551" i="2"/>
  <c r="N2551" i="2"/>
  <c r="M2551" i="2"/>
  <c r="L2551" i="2"/>
  <c r="K2551" i="2"/>
  <c r="J2551" i="2"/>
  <c r="I2551" i="2"/>
  <c r="H2551" i="2"/>
  <c r="G2551" i="2"/>
  <c r="F2551" i="2"/>
  <c r="E2551" i="2"/>
  <c r="D2551" i="2"/>
  <c r="C2551" i="2"/>
  <c r="B2551" i="2"/>
  <c r="V2550" i="2"/>
  <c r="U2550" i="2"/>
  <c r="T2550" i="2"/>
  <c r="S2550" i="2"/>
  <c r="R2550" i="2"/>
  <c r="Q2550" i="2"/>
  <c r="P2550" i="2"/>
  <c r="O2550" i="2"/>
  <c r="N2550" i="2"/>
  <c r="M2550" i="2"/>
  <c r="L2550" i="2"/>
  <c r="K2550" i="2"/>
  <c r="J2550" i="2"/>
  <c r="I2550" i="2"/>
  <c r="H2550" i="2"/>
  <c r="G2550" i="2"/>
  <c r="F2550" i="2"/>
  <c r="E2550" i="2"/>
  <c r="D2550" i="2"/>
  <c r="C2550" i="2"/>
  <c r="B2550" i="2"/>
  <c r="V2549" i="2"/>
  <c r="U2549" i="2"/>
  <c r="T2549" i="2"/>
  <c r="S2549" i="2"/>
  <c r="R2549" i="2"/>
  <c r="Q2549" i="2"/>
  <c r="P2549" i="2"/>
  <c r="O2549" i="2"/>
  <c r="N2549" i="2"/>
  <c r="M2549" i="2"/>
  <c r="L2549" i="2"/>
  <c r="K2549" i="2"/>
  <c r="J2549" i="2"/>
  <c r="I2549" i="2"/>
  <c r="H2549" i="2"/>
  <c r="G2549" i="2"/>
  <c r="F2549" i="2"/>
  <c r="E2549" i="2"/>
  <c r="D2549" i="2"/>
  <c r="C2549" i="2"/>
  <c r="B2549" i="2"/>
  <c r="V2548" i="2"/>
  <c r="U2548" i="2"/>
  <c r="T2548" i="2"/>
  <c r="S2548" i="2"/>
  <c r="R2548" i="2"/>
  <c r="Q2548" i="2"/>
  <c r="P2548" i="2"/>
  <c r="O2548" i="2"/>
  <c r="N2548" i="2"/>
  <c r="M2548" i="2"/>
  <c r="L2548" i="2"/>
  <c r="K2548" i="2"/>
  <c r="J2548" i="2"/>
  <c r="I2548" i="2"/>
  <c r="H2548" i="2"/>
  <c r="G2548" i="2"/>
  <c r="F2548" i="2"/>
  <c r="E2548" i="2"/>
  <c r="D2548" i="2"/>
  <c r="C2548" i="2"/>
  <c r="B2548" i="2"/>
  <c r="V2547" i="2"/>
  <c r="U2547" i="2"/>
  <c r="T2547" i="2"/>
  <c r="S2547" i="2"/>
  <c r="R2547" i="2"/>
  <c r="Q2547" i="2"/>
  <c r="P2547" i="2"/>
  <c r="O2547" i="2"/>
  <c r="N2547" i="2"/>
  <c r="M2547" i="2"/>
  <c r="L2547" i="2"/>
  <c r="K2547" i="2"/>
  <c r="J2547" i="2"/>
  <c r="I2547" i="2"/>
  <c r="H2547" i="2"/>
  <c r="G2547" i="2"/>
  <c r="F2547" i="2"/>
  <c r="E2547" i="2"/>
  <c r="D2547" i="2"/>
  <c r="C2547" i="2"/>
  <c r="B2547" i="2"/>
  <c r="V2546" i="2"/>
  <c r="U2546" i="2"/>
  <c r="T2546" i="2"/>
  <c r="S2546" i="2"/>
  <c r="R2546" i="2"/>
  <c r="Q2546" i="2"/>
  <c r="P2546" i="2"/>
  <c r="O2546" i="2"/>
  <c r="N2546" i="2"/>
  <c r="M2546" i="2"/>
  <c r="L2546" i="2"/>
  <c r="K2546" i="2"/>
  <c r="J2546" i="2"/>
  <c r="I2546" i="2"/>
  <c r="H2546" i="2"/>
  <c r="G2546" i="2"/>
  <c r="F2546" i="2"/>
  <c r="E2546" i="2"/>
  <c r="D2546" i="2"/>
  <c r="C2546" i="2"/>
  <c r="B2546" i="2"/>
  <c r="V2545" i="2"/>
  <c r="U2545" i="2"/>
  <c r="T2545" i="2"/>
  <c r="S2545" i="2"/>
  <c r="R2545" i="2"/>
  <c r="Q2545" i="2"/>
  <c r="P2545" i="2"/>
  <c r="O2545" i="2"/>
  <c r="N2545" i="2"/>
  <c r="M2545" i="2"/>
  <c r="L2545" i="2"/>
  <c r="K2545" i="2"/>
  <c r="J2545" i="2"/>
  <c r="I2545" i="2"/>
  <c r="H2545" i="2"/>
  <c r="G2545" i="2"/>
  <c r="F2545" i="2"/>
  <c r="E2545" i="2"/>
  <c r="D2545" i="2"/>
  <c r="C2545" i="2"/>
  <c r="B2545" i="2"/>
  <c r="V2544" i="2"/>
  <c r="U2544" i="2"/>
  <c r="T2544" i="2"/>
  <c r="S2544" i="2"/>
  <c r="R2544" i="2"/>
  <c r="Q2544" i="2"/>
  <c r="P2544" i="2"/>
  <c r="O2544" i="2"/>
  <c r="N2544" i="2"/>
  <c r="M2544" i="2"/>
  <c r="L2544" i="2"/>
  <c r="K2544" i="2"/>
  <c r="J2544" i="2"/>
  <c r="I2544" i="2"/>
  <c r="H2544" i="2"/>
  <c r="G2544" i="2"/>
  <c r="F2544" i="2"/>
  <c r="E2544" i="2"/>
  <c r="D2544" i="2"/>
  <c r="C2544" i="2"/>
  <c r="B2544" i="2"/>
  <c r="V2543" i="2"/>
  <c r="U2543" i="2"/>
  <c r="T2543" i="2"/>
  <c r="S2543" i="2"/>
  <c r="R2543" i="2"/>
  <c r="Q2543" i="2"/>
  <c r="P2543" i="2"/>
  <c r="O2543" i="2"/>
  <c r="N2543" i="2"/>
  <c r="M2543" i="2"/>
  <c r="L2543" i="2"/>
  <c r="K2543" i="2"/>
  <c r="J2543" i="2"/>
  <c r="I2543" i="2"/>
  <c r="H2543" i="2"/>
  <c r="G2543" i="2"/>
  <c r="F2543" i="2"/>
  <c r="E2543" i="2"/>
  <c r="D2543" i="2"/>
  <c r="C2543" i="2"/>
  <c r="B2543" i="2"/>
  <c r="V2542" i="2"/>
  <c r="U2542" i="2"/>
  <c r="T2542" i="2"/>
  <c r="S2542" i="2"/>
  <c r="R2542" i="2"/>
  <c r="Q2542" i="2"/>
  <c r="P2542" i="2"/>
  <c r="O2542" i="2"/>
  <c r="N2542" i="2"/>
  <c r="M2542" i="2"/>
  <c r="L2542" i="2"/>
  <c r="K2542" i="2"/>
  <c r="J2542" i="2"/>
  <c r="I2542" i="2"/>
  <c r="H2542" i="2"/>
  <c r="G2542" i="2"/>
  <c r="F2542" i="2"/>
  <c r="E2542" i="2"/>
  <c r="D2542" i="2"/>
  <c r="C2542" i="2"/>
  <c r="B2542" i="2"/>
  <c r="V2541" i="2"/>
  <c r="U2541" i="2"/>
  <c r="T2541" i="2"/>
  <c r="S2541" i="2"/>
  <c r="R2541" i="2"/>
  <c r="Q2541" i="2"/>
  <c r="P2541" i="2"/>
  <c r="O2541" i="2"/>
  <c r="N2541" i="2"/>
  <c r="M2541" i="2"/>
  <c r="L2541" i="2"/>
  <c r="K2541" i="2"/>
  <c r="J2541" i="2"/>
  <c r="I2541" i="2"/>
  <c r="H2541" i="2"/>
  <c r="G2541" i="2"/>
  <c r="F2541" i="2"/>
  <c r="E2541" i="2"/>
  <c r="D2541" i="2"/>
  <c r="C2541" i="2"/>
  <c r="B2541" i="2"/>
  <c r="V2540" i="2"/>
  <c r="U2540" i="2"/>
  <c r="T2540" i="2"/>
  <c r="S2540" i="2"/>
  <c r="R2540" i="2"/>
  <c r="Q2540" i="2"/>
  <c r="P2540" i="2"/>
  <c r="O2540" i="2"/>
  <c r="N2540" i="2"/>
  <c r="M2540" i="2"/>
  <c r="L2540" i="2"/>
  <c r="K2540" i="2"/>
  <c r="J2540" i="2"/>
  <c r="I2540" i="2"/>
  <c r="H2540" i="2"/>
  <c r="G2540" i="2"/>
  <c r="F2540" i="2"/>
  <c r="E2540" i="2"/>
  <c r="D2540" i="2"/>
  <c r="C2540" i="2"/>
  <c r="B2540" i="2"/>
  <c r="V2539" i="2"/>
  <c r="U2539" i="2"/>
  <c r="T2539" i="2"/>
  <c r="S2539" i="2"/>
  <c r="R2539" i="2"/>
  <c r="Q2539" i="2"/>
  <c r="P2539" i="2"/>
  <c r="O2539" i="2"/>
  <c r="N2539" i="2"/>
  <c r="M2539" i="2"/>
  <c r="L2539" i="2"/>
  <c r="K2539" i="2"/>
  <c r="J2539" i="2"/>
  <c r="I2539" i="2"/>
  <c r="H2539" i="2"/>
  <c r="G2539" i="2"/>
  <c r="F2539" i="2"/>
  <c r="E2539" i="2"/>
  <c r="D2539" i="2"/>
  <c r="C2539" i="2"/>
  <c r="B2539" i="2"/>
  <c r="V2538" i="2"/>
  <c r="U2538" i="2"/>
  <c r="T2538" i="2"/>
  <c r="S2538" i="2"/>
  <c r="R2538" i="2"/>
  <c r="Q2538" i="2"/>
  <c r="P2538" i="2"/>
  <c r="O2538" i="2"/>
  <c r="N2538" i="2"/>
  <c r="M2538" i="2"/>
  <c r="L2538" i="2"/>
  <c r="K2538" i="2"/>
  <c r="J2538" i="2"/>
  <c r="I2538" i="2"/>
  <c r="H2538" i="2"/>
  <c r="G2538" i="2"/>
  <c r="F2538" i="2"/>
  <c r="E2538" i="2"/>
  <c r="D2538" i="2"/>
  <c r="C2538" i="2"/>
  <c r="B2538" i="2"/>
  <c r="V2537" i="2"/>
  <c r="U2537" i="2"/>
  <c r="T2537" i="2"/>
  <c r="S2537" i="2"/>
  <c r="R2537" i="2"/>
  <c r="Q2537" i="2"/>
  <c r="P2537" i="2"/>
  <c r="O2537" i="2"/>
  <c r="N2537" i="2"/>
  <c r="M2537" i="2"/>
  <c r="L2537" i="2"/>
  <c r="K2537" i="2"/>
  <c r="J2537" i="2"/>
  <c r="I2537" i="2"/>
  <c r="H2537" i="2"/>
  <c r="G2537" i="2"/>
  <c r="F2537" i="2"/>
  <c r="E2537" i="2"/>
  <c r="D2537" i="2"/>
  <c r="C2537" i="2"/>
  <c r="B2537" i="2"/>
  <c r="V2536" i="2"/>
  <c r="U2536" i="2"/>
  <c r="T2536" i="2"/>
  <c r="S2536" i="2"/>
  <c r="R2536" i="2"/>
  <c r="Q2536" i="2"/>
  <c r="P2536" i="2"/>
  <c r="O2536" i="2"/>
  <c r="N2536" i="2"/>
  <c r="M2536" i="2"/>
  <c r="L2536" i="2"/>
  <c r="K2536" i="2"/>
  <c r="J2536" i="2"/>
  <c r="I2536" i="2"/>
  <c r="H2536" i="2"/>
  <c r="G2536" i="2"/>
  <c r="F2536" i="2"/>
  <c r="E2536" i="2"/>
  <c r="D2536" i="2"/>
  <c r="C2536" i="2"/>
  <c r="B2536" i="2"/>
  <c r="V2535" i="2"/>
  <c r="U2535" i="2"/>
  <c r="T2535" i="2"/>
  <c r="S2535" i="2"/>
  <c r="R2535" i="2"/>
  <c r="Q2535" i="2"/>
  <c r="P2535" i="2"/>
  <c r="O2535" i="2"/>
  <c r="N2535" i="2"/>
  <c r="M2535" i="2"/>
  <c r="L2535" i="2"/>
  <c r="K2535" i="2"/>
  <c r="J2535" i="2"/>
  <c r="I2535" i="2"/>
  <c r="H2535" i="2"/>
  <c r="G2535" i="2"/>
  <c r="F2535" i="2"/>
  <c r="E2535" i="2"/>
  <c r="D2535" i="2"/>
  <c r="C2535" i="2"/>
  <c r="B2535" i="2"/>
  <c r="V2534" i="2"/>
  <c r="U2534" i="2"/>
  <c r="T2534" i="2"/>
  <c r="S2534" i="2"/>
  <c r="R2534" i="2"/>
  <c r="Q2534" i="2"/>
  <c r="P2534" i="2"/>
  <c r="O2534" i="2"/>
  <c r="N2534" i="2"/>
  <c r="M2534" i="2"/>
  <c r="L2534" i="2"/>
  <c r="K2534" i="2"/>
  <c r="J2534" i="2"/>
  <c r="I2534" i="2"/>
  <c r="H2534" i="2"/>
  <c r="G2534" i="2"/>
  <c r="F2534" i="2"/>
  <c r="E2534" i="2"/>
  <c r="D2534" i="2"/>
  <c r="C2534" i="2"/>
  <c r="B2534" i="2"/>
  <c r="V2533" i="2"/>
  <c r="U2533" i="2"/>
  <c r="T2533" i="2"/>
  <c r="S2533" i="2"/>
  <c r="R2533" i="2"/>
  <c r="Q2533" i="2"/>
  <c r="P2533" i="2"/>
  <c r="O2533" i="2"/>
  <c r="N2533" i="2"/>
  <c r="M2533" i="2"/>
  <c r="L2533" i="2"/>
  <c r="K2533" i="2"/>
  <c r="J2533" i="2"/>
  <c r="I2533" i="2"/>
  <c r="H2533" i="2"/>
  <c r="G2533" i="2"/>
  <c r="F2533" i="2"/>
  <c r="E2533" i="2"/>
  <c r="D2533" i="2"/>
  <c r="C2533" i="2"/>
  <c r="B2533" i="2"/>
  <c r="V2532" i="2"/>
  <c r="U2532" i="2"/>
  <c r="T2532" i="2"/>
  <c r="S2532" i="2"/>
  <c r="R2532" i="2"/>
  <c r="Q2532" i="2"/>
  <c r="P2532" i="2"/>
  <c r="O2532" i="2"/>
  <c r="N2532" i="2"/>
  <c r="M2532" i="2"/>
  <c r="L2532" i="2"/>
  <c r="K2532" i="2"/>
  <c r="J2532" i="2"/>
  <c r="I2532" i="2"/>
  <c r="H2532" i="2"/>
  <c r="G2532" i="2"/>
  <c r="F2532" i="2"/>
  <c r="E2532" i="2"/>
  <c r="D2532" i="2"/>
  <c r="C2532" i="2"/>
  <c r="B2532" i="2"/>
  <c r="V2531" i="2"/>
  <c r="U2531" i="2"/>
  <c r="T2531" i="2"/>
  <c r="S2531" i="2"/>
  <c r="R2531" i="2"/>
  <c r="Q2531" i="2"/>
  <c r="P2531" i="2"/>
  <c r="O2531" i="2"/>
  <c r="N2531" i="2"/>
  <c r="M2531" i="2"/>
  <c r="L2531" i="2"/>
  <c r="K2531" i="2"/>
  <c r="J2531" i="2"/>
  <c r="I2531" i="2"/>
  <c r="H2531" i="2"/>
  <c r="G2531" i="2"/>
  <c r="F2531" i="2"/>
  <c r="E2531" i="2"/>
  <c r="D2531" i="2"/>
  <c r="C2531" i="2"/>
  <c r="B2531" i="2"/>
  <c r="V2530" i="2"/>
  <c r="U2530" i="2"/>
  <c r="T2530" i="2"/>
  <c r="S2530" i="2"/>
  <c r="R2530" i="2"/>
  <c r="Q2530" i="2"/>
  <c r="P2530" i="2"/>
  <c r="O2530" i="2"/>
  <c r="N2530" i="2"/>
  <c r="M2530" i="2"/>
  <c r="L2530" i="2"/>
  <c r="K2530" i="2"/>
  <c r="J2530" i="2"/>
  <c r="I2530" i="2"/>
  <c r="H2530" i="2"/>
  <c r="G2530" i="2"/>
  <c r="F2530" i="2"/>
  <c r="E2530" i="2"/>
  <c r="D2530" i="2"/>
  <c r="C2530" i="2"/>
  <c r="B2530" i="2"/>
  <c r="V2529" i="2"/>
  <c r="U2529" i="2"/>
  <c r="T2529" i="2"/>
  <c r="S2529" i="2"/>
  <c r="R2529" i="2"/>
  <c r="Q2529" i="2"/>
  <c r="P2529" i="2"/>
  <c r="O2529" i="2"/>
  <c r="N2529" i="2"/>
  <c r="M2529" i="2"/>
  <c r="L2529" i="2"/>
  <c r="K2529" i="2"/>
  <c r="J2529" i="2"/>
  <c r="I2529" i="2"/>
  <c r="H2529" i="2"/>
  <c r="G2529" i="2"/>
  <c r="F2529" i="2"/>
  <c r="E2529" i="2"/>
  <c r="D2529" i="2"/>
  <c r="C2529" i="2"/>
  <c r="B2529" i="2"/>
  <c r="V2528" i="2"/>
  <c r="U2528" i="2"/>
  <c r="T2528" i="2"/>
  <c r="S2528" i="2"/>
  <c r="R2528" i="2"/>
  <c r="Q2528" i="2"/>
  <c r="P2528" i="2"/>
  <c r="O2528" i="2"/>
  <c r="N2528" i="2"/>
  <c r="M2528" i="2"/>
  <c r="L2528" i="2"/>
  <c r="K2528" i="2"/>
  <c r="J2528" i="2"/>
  <c r="I2528" i="2"/>
  <c r="H2528" i="2"/>
  <c r="G2528" i="2"/>
  <c r="F2528" i="2"/>
  <c r="E2528" i="2"/>
  <c r="D2528" i="2"/>
  <c r="C2528" i="2"/>
  <c r="B2528" i="2"/>
  <c r="V2527" i="2"/>
  <c r="U2527" i="2"/>
  <c r="T2527" i="2"/>
  <c r="S2527" i="2"/>
  <c r="R2527" i="2"/>
  <c r="Q2527" i="2"/>
  <c r="P2527" i="2"/>
  <c r="O2527" i="2"/>
  <c r="N2527" i="2"/>
  <c r="M2527" i="2"/>
  <c r="L2527" i="2"/>
  <c r="K2527" i="2"/>
  <c r="J2527" i="2"/>
  <c r="I2527" i="2"/>
  <c r="H2527" i="2"/>
  <c r="G2527" i="2"/>
  <c r="F2527" i="2"/>
  <c r="E2527" i="2"/>
  <c r="D2527" i="2"/>
  <c r="C2527" i="2"/>
  <c r="B2527" i="2"/>
  <c r="V2526" i="2"/>
  <c r="U2526" i="2"/>
  <c r="T2526" i="2"/>
  <c r="S2526" i="2"/>
  <c r="R2526" i="2"/>
  <c r="Q2526" i="2"/>
  <c r="P2526" i="2"/>
  <c r="O2526" i="2"/>
  <c r="N2526" i="2"/>
  <c r="M2526" i="2"/>
  <c r="L2526" i="2"/>
  <c r="K2526" i="2"/>
  <c r="J2526" i="2"/>
  <c r="I2526" i="2"/>
  <c r="H2526" i="2"/>
  <c r="G2526" i="2"/>
  <c r="F2526" i="2"/>
  <c r="E2526" i="2"/>
  <c r="D2526" i="2"/>
  <c r="C2526" i="2"/>
  <c r="B2526" i="2"/>
  <c r="V2525" i="2"/>
  <c r="U2525" i="2"/>
  <c r="T2525" i="2"/>
  <c r="S2525" i="2"/>
  <c r="R2525" i="2"/>
  <c r="Q2525" i="2"/>
  <c r="P2525" i="2"/>
  <c r="O2525" i="2"/>
  <c r="N2525" i="2"/>
  <c r="M2525" i="2"/>
  <c r="L2525" i="2"/>
  <c r="K2525" i="2"/>
  <c r="J2525" i="2"/>
  <c r="I2525" i="2"/>
  <c r="H2525" i="2"/>
  <c r="G2525" i="2"/>
  <c r="F2525" i="2"/>
  <c r="E2525" i="2"/>
  <c r="D2525" i="2"/>
  <c r="C2525" i="2"/>
  <c r="B2525" i="2"/>
  <c r="V2524" i="2"/>
  <c r="U2524" i="2"/>
  <c r="T2524" i="2"/>
  <c r="S2524" i="2"/>
  <c r="R2524" i="2"/>
  <c r="Q2524" i="2"/>
  <c r="P2524" i="2"/>
  <c r="O2524" i="2"/>
  <c r="N2524" i="2"/>
  <c r="M2524" i="2"/>
  <c r="L2524" i="2"/>
  <c r="K2524" i="2"/>
  <c r="J2524" i="2"/>
  <c r="I2524" i="2"/>
  <c r="H2524" i="2"/>
  <c r="G2524" i="2"/>
  <c r="F2524" i="2"/>
  <c r="E2524" i="2"/>
  <c r="D2524" i="2"/>
  <c r="C2524" i="2"/>
  <c r="B2524" i="2"/>
  <c r="V2523" i="2"/>
  <c r="U2523" i="2"/>
  <c r="T2523" i="2"/>
  <c r="S2523" i="2"/>
  <c r="R2523" i="2"/>
  <c r="Q2523" i="2"/>
  <c r="P2523" i="2"/>
  <c r="O2523" i="2"/>
  <c r="N2523" i="2"/>
  <c r="M2523" i="2"/>
  <c r="L2523" i="2"/>
  <c r="K2523" i="2"/>
  <c r="J2523" i="2"/>
  <c r="I2523" i="2"/>
  <c r="H2523" i="2"/>
  <c r="G2523" i="2"/>
  <c r="F2523" i="2"/>
  <c r="E2523" i="2"/>
  <c r="D2523" i="2"/>
  <c r="C2523" i="2"/>
  <c r="B2523" i="2"/>
  <c r="V2522" i="2"/>
  <c r="U2522" i="2"/>
  <c r="T2522" i="2"/>
  <c r="S2522" i="2"/>
  <c r="R2522" i="2"/>
  <c r="Q2522" i="2"/>
  <c r="P2522" i="2"/>
  <c r="O2522" i="2"/>
  <c r="N2522" i="2"/>
  <c r="M2522" i="2"/>
  <c r="L2522" i="2"/>
  <c r="K2522" i="2"/>
  <c r="J2522" i="2"/>
  <c r="I2522" i="2"/>
  <c r="H2522" i="2"/>
  <c r="G2522" i="2"/>
  <c r="F2522" i="2"/>
  <c r="E2522" i="2"/>
  <c r="D2522" i="2"/>
  <c r="C2522" i="2"/>
  <c r="B2522" i="2"/>
  <c r="V2521" i="2"/>
  <c r="U2521" i="2"/>
  <c r="T2521" i="2"/>
  <c r="S2521" i="2"/>
  <c r="R2521" i="2"/>
  <c r="Q2521" i="2"/>
  <c r="P2521" i="2"/>
  <c r="O2521" i="2"/>
  <c r="N2521" i="2"/>
  <c r="M2521" i="2"/>
  <c r="L2521" i="2"/>
  <c r="K2521" i="2"/>
  <c r="J2521" i="2"/>
  <c r="I2521" i="2"/>
  <c r="H2521" i="2"/>
  <c r="G2521" i="2"/>
  <c r="F2521" i="2"/>
  <c r="E2521" i="2"/>
  <c r="D2521" i="2"/>
  <c r="C2521" i="2"/>
  <c r="B2521" i="2"/>
  <c r="V2520" i="2"/>
  <c r="U2520" i="2"/>
  <c r="T2520" i="2"/>
  <c r="S2520" i="2"/>
  <c r="R2520" i="2"/>
  <c r="Q2520" i="2"/>
  <c r="P2520" i="2"/>
  <c r="O2520" i="2"/>
  <c r="N2520" i="2"/>
  <c r="M2520" i="2"/>
  <c r="L2520" i="2"/>
  <c r="K2520" i="2"/>
  <c r="J2520" i="2"/>
  <c r="I2520" i="2"/>
  <c r="H2520" i="2"/>
  <c r="G2520" i="2"/>
  <c r="F2520" i="2"/>
  <c r="E2520" i="2"/>
  <c r="D2520" i="2"/>
  <c r="C2520" i="2"/>
  <c r="B2520" i="2"/>
  <c r="V2519" i="2"/>
  <c r="U2519" i="2"/>
  <c r="T2519" i="2"/>
  <c r="S2519" i="2"/>
  <c r="R2519" i="2"/>
  <c r="Q2519" i="2"/>
  <c r="P2519" i="2"/>
  <c r="O2519" i="2"/>
  <c r="N2519" i="2"/>
  <c r="M2519" i="2"/>
  <c r="L2519" i="2"/>
  <c r="K2519" i="2"/>
  <c r="J2519" i="2"/>
  <c r="I2519" i="2"/>
  <c r="H2519" i="2"/>
  <c r="G2519" i="2"/>
  <c r="F2519" i="2"/>
  <c r="E2519" i="2"/>
  <c r="D2519" i="2"/>
  <c r="C2519" i="2"/>
  <c r="B2519" i="2"/>
  <c r="V2518" i="2"/>
  <c r="U2518" i="2"/>
  <c r="T2518" i="2"/>
  <c r="S2518" i="2"/>
  <c r="R2518" i="2"/>
  <c r="Q2518" i="2"/>
  <c r="P2518" i="2"/>
  <c r="O2518" i="2"/>
  <c r="N2518" i="2"/>
  <c r="M2518" i="2"/>
  <c r="L2518" i="2"/>
  <c r="K2518" i="2"/>
  <c r="J2518" i="2"/>
  <c r="I2518" i="2"/>
  <c r="H2518" i="2"/>
  <c r="G2518" i="2"/>
  <c r="F2518" i="2"/>
  <c r="E2518" i="2"/>
  <c r="D2518" i="2"/>
  <c r="C2518" i="2"/>
  <c r="B2518" i="2"/>
  <c r="V2517" i="2"/>
  <c r="U2517" i="2"/>
  <c r="T2517" i="2"/>
  <c r="S2517" i="2"/>
  <c r="R2517" i="2"/>
  <c r="Q2517" i="2"/>
  <c r="P2517" i="2"/>
  <c r="O2517" i="2"/>
  <c r="N2517" i="2"/>
  <c r="M2517" i="2"/>
  <c r="L2517" i="2"/>
  <c r="K2517" i="2"/>
  <c r="J2517" i="2"/>
  <c r="I2517" i="2"/>
  <c r="H2517" i="2"/>
  <c r="G2517" i="2"/>
  <c r="F2517" i="2"/>
  <c r="E2517" i="2"/>
  <c r="D2517" i="2"/>
  <c r="C2517" i="2"/>
  <c r="B2517" i="2"/>
  <c r="V2516" i="2"/>
  <c r="U2516" i="2"/>
  <c r="T2516" i="2"/>
  <c r="S2516" i="2"/>
  <c r="R2516" i="2"/>
  <c r="Q2516" i="2"/>
  <c r="P2516" i="2"/>
  <c r="O2516" i="2"/>
  <c r="N2516" i="2"/>
  <c r="M2516" i="2"/>
  <c r="L2516" i="2"/>
  <c r="K2516" i="2"/>
  <c r="J2516" i="2"/>
  <c r="I2516" i="2"/>
  <c r="H2516" i="2"/>
  <c r="G2516" i="2"/>
  <c r="F2516" i="2"/>
  <c r="E2516" i="2"/>
  <c r="D2516" i="2"/>
  <c r="C2516" i="2"/>
  <c r="B2516" i="2"/>
  <c r="V2515" i="2"/>
  <c r="U2515" i="2"/>
  <c r="T2515" i="2"/>
  <c r="S2515" i="2"/>
  <c r="R2515" i="2"/>
  <c r="Q2515" i="2"/>
  <c r="P2515" i="2"/>
  <c r="O2515" i="2"/>
  <c r="N2515" i="2"/>
  <c r="M2515" i="2"/>
  <c r="L2515" i="2"/>
  <c r="K2515" i="2"/>
  <c r="J2515" i="2"/>
  <c r="I2515" i="2"/>
  <c r="H2515" i="2"/>
  <c r="G2515" i="2"/>
  <c r="F2515" i="2"/>
  <c r="E2515" i="2"/>
  <c r="D2515" i="2"/>
  <c r="C2515" i="2"/>
  <c r="B2515" i="2"/>
  <c r="V2514" i="2"/>
  <c r="U2514" i="2"/>
  <c r="T2514" i="2"/>
  <c r="S2514" i="2"/>
  <c r="R2514" i="2"/>
  <c r="Q2514" i="2"/>
  <c r="P2514" i="2"/>
  <c r="O2514" i="2"/>
  <c r="N2514" i="2"/>
  <c r="M2514" i="2"/>
  <c r="L2514" i="2"/>
  <c r="K2514" i="2"/>
  <c r="J2514" i="2"/>
  <c r="I2514" i="2"/>
  <c r="H2514" i="2"/>
  <c r="G2514" i="2"/>
  <c r="F2514" i="2"/>
  <c r="E2514" i="2"/>
  <c r="D2514" i="2"/>
  <c r="C2514" i="2"/>
  <c r="B2514" i="2"/>
  <c r="V2513" i="2"/>
  <c r="U2513" i="2"/>
  <c r="T2513" i="2"/>
  <c r="S2513" i="2"/>
  <c r="R2513" i="2"/>
  <c r="Q2513" i="2"/>
  <c r="P2513" i="2"/>
  <c r="O2513" i="2"/>
  <c r="N2513" i="2"/>
  <c r="M2513" i="2"/>
  <c r="L2513" i="2"/>
  <c r="K2513" i="2"/>
  <c r="J2513" i="2"/>
  <c r="I2513" i="2"/>
  <c r="H2513" i="2"/>
  <c r="G2513" i="2"/>
  <c r="F2513" i="2"/>
  <c r="E2513" i="2"/>
  <c r="D2513" i="2"/>
  <c r="C2513" i="2"/>
  <c r="B2513" i="2"/>
  <c r="V2512" i="2"/>
  <c r="U2512" i="2"/>
  <c r="T2512" i="2"/>
  <c r="S2512" i="2"/>
  <c r="R2512" i="2"/>
  <c r="Q2512" i="2"/>
  <c r="P2512" i="2"/>
  <c r="O2512" i="2"/>
  <c r="N2512" i="2"/>
  <c r="M2512" i="2"/>
  <c r="L2512" i="2"/>
  <c r="K2512" i="2"/>
  <c r="J2512" i="2"/>
  <c r="I2512" i="2"/>
  <c r="H2512" i="2"/>
  <c r="G2512" i="2"/>
  <c r="F2512" i="2"/>
  <c r="E2512" i="2"/>
  <c r="D2512" i="2"/>
  <c r="C2512" i="2"/>
  <c r="B2512" i="2"/>
  <c r="V2511" i="2"/>
  <c r="U2511" i="2"/>
  <c r="T2511" i="2"/>
  <c r="S2511" i="2"/>
  <c r="R2511" i="2"/>
  <c r="Q2511" i="2"/>
  <c r="P2511" i="2"/>
  <c r="O2511" i="2"/>
  <c r="N2511" i="2"/>
  <c r="M2511" i="2"/>
  <c r="L2511" i="2"/>
  <c r="K2511" i="2"/>
  <c r="J2511" i="2"/>
  <c r="I2511" i="2"/>
  <c r="H2511" i="2"/>
  <c r="G2511" i="2"/>
  <c r="F2511" i="2"/>
  <c r="E2511" i="2"/>
  <c r="D2511" i="2"/>
  <c r="C2511" i="2"/>
  <c r="B2511" i="2"/>
  <c r="V2510" i="2"/>
  <c r="U2510" i="2"/>
  <c r="T2510" i="2"/>
  <c r="S2510" i="2"/>
  <c r="R2510" i="2"/>
  <c r="Q2510" i="2"/>
  <c r="P2510" i="2"/>
  <c r="O2510" i="2"/>
  <c r="N2510" i="2"/>
  <c r="M2510" i="2"/>
  <c r="L2510" i="2"/>
  <c r="K2510" i="2"/>
  <c r="J2510" i="2"/>
  <c r="I2510" i="2"/>
  <c r="H2510" i="2"/>
  <c r="G2510" i="2"/>
  <c r="F2510" i="2"/>
  <c r="E2510" i="2"/>
  <c r="D2510" i="2"/>
  <c r="C2510" i="2"/>
  <c r="B2510" i="2"/>
  <c r="V2509" i="2"/>
  <c r="U2509" i="2"/>
  <c r="T2509" i="2"/>
  <c r="S2509" i="2"/>
  <c r="R2509" i="2"/>
  <c r="Q2509" i="2"/>
  <c r="P2509" i="2"/>
  <c r="O2509" i="2"/>
  <c r="N2509" i="2"/>
  <c r="M2509" i="2"/>
  <c r="L2509" i="2"/>
  <c r="K2509" i="2"/>
  <c r="J2509" i="2"/>
  <c r="I2509" i="2"/>
  <c r="H2509" i="2"/>
  <c r="G2509" i="2"/>
  <c r="F2509" i="2"/>
  <c r="E2509" i="2"/>
  <c r="D2509" i="2"/>
  <c r="C2509" i="2"/>
  <c r="B2509" i="2"/>
  <c r="V2508" i="2"/>
  <c r="U2508" i="2"/>
  <c r="T2508" i="2"/>
  <c r="S2508" i="2"/>
  <c r="R2508" i="2"/>
  <c r="Q2508" i="2"/>
  <c r="P2508" i="2"/>
  <c r="O2508" i="2"/>
  <c r="N2508" i="2"/>
  <c r="M2508" i="2"/>
  <c r="L2508" i="2"/>
  <c r="K2508" i="2"/>
  <c r="J2508" i="2"/>
  <c r="I2508" i="2"/>
  <c r="H2508" i="2"/>
  <c r="G2508" i="2"/>
  <c r="F2508" i="2"/>
  <c r="E2508" i="2"/>
  <c r="D2508" i="2"/>
  <c r="C2508" i="2"/>
  <c r="B2508" i="2"/>
  <c r="V2507" i="2"/>
  <c r="U2507" i="2"/>
  <c r="T2507" i="2"/>
  <c r="S2507" i="2"/>
  <c r="R2507" i="2"/>
  <c r="Q2507" i="2"/>
  <c r="P2507" i="2"/>
  <c r="O2507" i="2"/>
  <c r="N2507" i="2"/>
  <c r="M2507" i="2"/>
  <c r="L2507" i="2"/>
  <c r="K2507" i="2"/>
  <c r="J2507" i="2"/>
  <c r="I2507" i="2"/>
  <c r="H2507" i="2"/>
  <c r="G2507" i="2"/>
  <c r="F2507" i="2"/>
  <c r="E2507" i="2"/>
  <c r="D2507" i="2"/>
  <c r="C2507" i="2"/>
  <c r="B2507" i="2"/>
  <c r="V2506" i="2"/>
  <c r="U2506" i="2"/>
  <c r="T2506" i="2"/>
  <c r="S2506" i="2"/>
  <c r="R2506" i="2"/>
  <c r="Q2506" i="2"/>
  <c r="P2506" i="2"/>
  <c r="O2506" i="2"/>
  <c r="N2506" i="2"/>
  <c r="M2506" i="2"/>
  <c r="L2506" i="2"/>
  <c r="K2506" i="2"/>
  <c r="J2506" i="2"/>
  <c r="I2506" i="2"/>
  <c r="H2506" i="2"/>
  <c r="G2506" i="2"/>
  <c r="F2506" i="2"/>
  <c r="E2506" i="2"/>
  <c r="D2506" i="2"/>
  <c r="C2506" i="2"/>
  <c r="B2506" i="2"/>
  <c r="V2505" i="2"/>
  <c r="U2505" i="2"/>
  <c r="T2505" i="2"/>
  <c r="S2505" i="2"/>
  <c r="R2505" i="2"/>
  <c r="Q2505" i="2"/>
  <c r="P2505" i="2"/>
  <c r="O2505" i="2"/>
  <c r="N2505" i="2"/>
  <c r="M2505" i="2"/>
  <c r="L2505" i="2"/>
  <c r="K2505" i="2"/>
  <c r="J2505" i="2"/>
  <c r="I2505" i="2"/>
  <c r="H2505" i="2"/>
  <c r="G2505" i="2"/>
  <c r="F2505" i="2"/>
  <c r="E2505" i="2"/>
  <c r="D2505" i="2"/>
  <c r="C2505" i="2"/>
  <c r="B2505" i="2"/>
  <c r="V2504" i="2"/>
  <c r="U2504" i="2"/>
  <c r="T2504" i="2"/>
  <c r="S2504" i="2"/>
  <c r="R2504" i="2"/>
  <c r="Q2504" i="2"/>
  <c r="P2504" i="2"/>
  <c r="O2504" i="2"/>
  <c r="N2504" i="2"/>
  <c r="M2504" i="2"/>
  <c r="L2504" i="2"/>
  <c r="K2504" i="2"/>
  <c r="J2504" i="2"/>
  <c r="I2504" i="2"/>
  <c r="H2504" i="2"/>
  <c r="G2504" i="2"/>
  <c r="F2504" i="2"/>
  <c r="E2504" i="2"/>
  <c r="D2504" i="2"/>
  <c r="C2504" i="2"/>
  <c r="B2504" i="2"/>
  <c r="V2503" i="2"/>
  <c r="U2503" i="2"/>
  <c r="T2503" i="2"/>
  <c r="S2503" i="2"/>
  <c r="R2503" i="2"/>
  <c r="Q2503" i="2"/>
  <c r="P2503" i="2"/>
  <c r="O2503" i="2"/>
  <c r="N2503" i="2"/>
  <c r="M2503" i="2"/>
  <c r="L2503" i="2"/>
  <c r="K2503" i="2"/>
  <c r="J2503" i="2"/>
  <c r="I2503" i="2"/>
  <c r="H2503" i="2"/>
  <c r="G2503" i="2"/>
  <c r="F2503" i="2"/>
  <c r="E2503" i="2"/>
  <c r="D2503" i="2"/>
  <c r="C2503" i="2"/>
  <c r="B2503" i="2"/>
  <c r="V2502" i="2"/>
  <c r="U2502" i="2"/>
  <c r="T2502" i="2"/>
  <c r="S2502" i="2"/>
  <c r="R2502" i="2"/>
  <c r="Q2502" i="2"/>
  <c r="P2502" i="2"/>
  <c r="O2502" i="2"/>
  <c r="N2502" i="2"/>
  <c r="M2502" i="2"/>
  <c r="L2502" i="2"/>
  <c r="K2502" i="2"/>
  <c r="J2502" i="2"/>
  <c r="I2502" i="2"/>
  <c r="H2502" i="2"/>
  <c r="G2502" i="2"/>
  <c r="F2502" i="2"/>
  <c r="E2502" i="2"/>
  <c r="D2502" i="2"/>
  <c r="C2502" i="2"/>
  <c r="B2502" i="2"/>
  <c r="V2501" i="2"/>
  <c r="U2501" i="2"/>
  <c r="T2501" i="2"/>
  <c r="S2501" i="2"/>
  <c r="R2501" i="2"/>
  <c r="Q2501" i="2"/>
  <c r="P2501" i="2"/>
  <c r="O2501" i="2"/>
  <c r="N2501" i="2"/>
  <c r="M2501" i="2"/>
  <c r="L2501" i="2"/>
  <c r="K2501" i="2"/>
  <c r="J2501" i="2"/>
  <c r="I2501" i="2"/>
  <c r="H2501" i="2"/>
  <c r="G2501" i="2"/>
  <c r="F2501" i="2"/>
  <c r="E2501" i="2"/>
  <c r="D2501" i="2"/>
  <c r="C2501" i="2"/>
  <c r="B2501" i="2"/>
  <c r="V2500" i="2"/>
  <c r="U2500" i="2"/>
  <c r="T2500" i="2"/>
  <c r="S2500" i="2"/>
  <c r="R2500" i="2"/>
  <c r="Q2500" i="2"/>
  <c r="P2500" i="2"/>
  <c r="O2500" i="2"/>
  <c r="N2500" i="2"/>
  <c r="M2500" i="2"/>
  <c r="L2500" i="2"/>
  <c r="K2500" i="2"/>
  <c r="J2500" i="2"/>
  <c r="I2500" i="2"/>
  <c r="H2500" i="2"/>
  <c r="G2500" i="2"/>
  <c r="F2500" i="2"/>
  <c r="E2500" i="2"/>
  <c r="D2500" i="2"/>
  <c r="C2500" i="2"/>
  <c r="B2500" i="2"/>
  <c r="V2499" i="2"/>
  <c r="U2499" i="2"/>
  <c r="T2499" i="2"/>
  <c r="S2499" i="2"/>
  <c r="R2499" i="2"/>
  <c r="Q2499" i="2"/>
  <c r="P2499" i="2"/>
  <c r="O2499" i="2"/>
  <c r="N2499" i="2"/>
  <c r="M2499" i="2"/>
  <c r="L2499" i="2"/>
  <c r="K2499" i="2"/>
  <c r="J2499" i="2"/>
  <c r="I2499" i="2"/>
  <c r="H2499" i="2"/>
  <c r="G2499" i="2"/>
  <c r="F2499" i="2"/>
  <c r="E2499" i="2"/>
  <c r="D2499" i="2"/>
  <c r="C2499" i="2"/>
  <c r="B2499" i="2"/>
  <c r="V2498" i="2"/>
  <c r="U2498" i="2"/>
  <c r="T2498" i="2"/>
  <c r="S2498" i="2"/>
  <c r="R2498" i="2"/>
  <c r="Q2498" i="2"/>
  <c r="P2498" i="2"/>
  <c r="O2498" i="2"/>
  <c r="N2498" i="2"/>
  <c r="M2498" i="2"/>
  <c r="L2498" i="2"/>
  <c r="K2498" i="2"/>
  <c r="J2498" i="2"/>
  <c r="I2498" i="2"/>
  <c r="H2498" i="2"/>
  <c r="G2498" i="2"/>
  <c r="F2498" i="2"/>
  <c r="E2498" i="2"/>
  <c r="D2498" i="2"/>
  <c r="C2498" i="2"/>
  <c r="B2498" i="2"/>
  <c r="V2497" i="2"/>
  <c r="U2497" i="2"/>
  <c r="T2497" i="2"/>
  <c r="S2497" i="2"/>
  <c r="R2497" i="2"/>
  <c r="Q2497" i="2"/>
  <c r="P2497" i="2"/>
  <c r="O2497" i="2"/>
  <c r="N2497" i="2"/>
  <c r="M2497" i="2"/>
  <c r="L2497" i="2"/>
  <c r="K2497" i="2"/>
  <c r="J2497" i="2"/>
  <c r="I2497" i="2"/>
  <c r="H2497" i="2"/>
  <c r="G2497" i="2"/>
  <c r="F2497" i="2"/>
  <c r="E2497" i="2"/>
  <c r="D2497" i="2"/>
  <c r="C2497" i="2"/>
  <c r="B2497" i="2"/>
  <c r="V2496" i="2"/>
  <c r="U2496" i="2"/>
  <c r="T2496" i="2"/>
  <c r="S2496" i="2"/>
  <c r="R2496" i="2"/>
  <c r="Q2496" i="2"/>
  <c r="P2496" i="2"/>
  <c r="O2496" i="2"/>
  <c r="N2496" i="2"/>
  <c r="M2496" i="2"/>
  <c r="L2496" i="2"/>
  <c r="K2496" i="2"/>
  <c r="J2496" i="2"/>
  <c r="I2496" i="2"/>
  <c r="H2496" i="2"/>
  <c r="G2496" i="2"/>
  <c r="F2496" i="2"/>
  <c r="E2496" i="2"/>
  <c r="D2496" i="2"/>
  <c r="C2496" i="2"/>
  <c r="B2496" i="2"/>
  <c r="V2495" i="2"/>
  <c r="U2495" i="2"/>
  <c r="T2495" i="2"/>
  <c r="S2495" i="2"/>
  <c r="R2495" i="2"/>
  <c r="Q2495" i="2"/>
  <c r="P2495" i="2"/>
  <c r="O2495" i="2"/>
  <c r="N2495" i="2"/>
  <c r="M2495" i="2"/>
  <c r="L2495" i="2"/>
  <c r="K2495" i="2"/>
  <c r="J2495" i="2"/>
  <c r="I2495" i="2"/>
  <c r="H2495" i="2"/>
  <c r="G2495" i="2"/>
  <c r="F2495" i="2"/>
  <c r="E2495" i="2"/>
  <c r="D2495" i="2"/>
  <c r="C2495" i="2"/>
  <c r="B2495" i="2"/>
  <c r="V2494" i="2"/>
  <c r="U2494" i="2"/>
  <c r="T2494" i="2"/>
  <c r="S2494" i="2"/>
  <c r="R2494" i="2"/>
  <c r="Q2494" i="2"/>
  <c r="P2494" i="2"/>
  <c r="O2494" i="2"/>
  <c r="N2494" i="2"/>
  <c r="M2494" i="2"/>
  <c r="L2494" i="2"/>
  <c r="K2494" i="2"/>
  <c r="J2494" i="2"/>
  <c r="I2494" i="2"/>
  <c r="H2494" i="2"/>
  <c r="G2494" i="2"/>
  <c r="F2494" i="2"/>
  <c r="E2494" i="2"/>
  <c r="D2494" i="2"/>
  <c r="C2494" i="2"/>
  <c r="B2494" i="2"/>
  <c r="V2493" i="2"/>
  <c r="U2493" i="2"/>
  <c r="T2493" i="2"/>
  <c r="S2493" i="2"/>
  <c r="R2493" i="2"/>
  <c r="Q2493" i="2"/>
  <c r="P2493" i="2"/>
  <c r="O2493" i="2"/>
  <c r="N2493" i="2"/>
  <c r="M2493" i="2"/>
  <c r="L2493" i="2"/>
  <c r="K2493" i="2"/>
  <c r="J2493" i="2"/>
  <c r="I2493" i="2"/>
  <c r="H2493" i="2"/>
  <c r="G2493" i="2"/>
  <c r="F2493" i="2"/>
  <c r="E2493" i="2"/>
  <c r="D2493" i="2"/>
  <c r="C2493" i="2"/>
  <c r="B2493" i="2"/>
  <c r="V2492" i="2"/>
  <c r="U2492" i="2"/>
  <c r="T2492" i="2"/>
  <c r="S2492" i="2"/>
  <c r="R2492" i="2"/>
  <c r="Q2492" i="2"/>
  <c r="P2492" i="2"/>
  <c r="O2492" i="2"/>
  <c r="N2492" i="2"/>
  <c r="M2492" i="2"/>
  <c r="L2492" i="2"/>
  <c r="K2492" i="2"/>
  <c r="J2492" i="2"/>
  <c r="I2492" i="2"/>
  <c r="H2492" i="2"/>
  <c r="G2492" i="2"/>
  <c r="F2492" i="2"/>
  <c r="E2492" i="2"/>
  <c r="D2492" i="2"/>
  <c r="C2492" i="2"/>
  <c r="B2492" i="2"/>
  <c r="V2491" i="2"/>
  <c r="U2491" i="2"/>
  <c r="T2491" i="2"/>
  <c r="S2491" i="2"/>
  <c r="R2491" i="2"/>
  <c r="Q2491" i="2"/>
  <c r="P2491" i="2"/>
  <c r="O2491" i="2"/>
  <c r="N2491" i="2"/>
  <c r="M2491" i="2"/>
  <c r="L2491" i="2"/>
  <c r="K2491" i="2"/>
  <c r="J2491" i="2"/>
  <c r="I2491" i="2"/>
  <c r="H2491" i="2"/>
  <c r="G2491" i="2"/>
  <c r="F2491" i="2"/>
  <c r="E2491" i="2"/>
  <c r="D2491" i="2"/>
  <c r="C2491" i="2"/>
  <c r="B2491" i="2"/>
  <c r="V2490" i="2"/>
  <c r="U2490" i="2"/>
  <c r="T2490" i="2"/>
  <c r="S2490" i="2"/>
  <c r="R2490" i="2"/>
  <c r="Q2490" i="2"/>
  <c r="P2490" i="2"/>
  <c r="O2490" i="2"/>
  <c r="N2490" i="2"/>
  <c r="M2490" i="2"/>
  <c r="L2490" i="2"/>
  <c r="K2490" i="2"/>
  <c r="J2490" i="2"/>
  <c r="I2490" i="2"/>
  <c r="H2490" i="2"/>
  <c r="G2490" i="2"/>
  <c r="F2490" i="2"/>
  <c r="E2490" i="2"/>
  <c r="D2490" i="2"/>
  <c r="C2490" i="2"/>
  <c r="B2490" i="2"/>
  <c r="V2489" i="2"/>
  <c r="U2489" i="2"/>
  <c r="T2489" i="2"/>
  <c r="S2489" i="2"/>
  <c r="R2489" i="2"/>
  <c r="Q2489" i="2"/>
  <c r="P2489" i="2"/>
  <c r="O2489" i="2"/>
  <c r="N2489" i="2"/>
  <c r="M2489" i="2"/>
  <c r="L2489" i="2"/>
  <c r="K2489" i="2"/>
  <c r="J2489" i="2"/>
  <c r="I2489" i="2"/>
  <c r="H2489" i="2"/>
  <c r="G2489" i="2"/>
  <c r="F2489" i="2"/>
  <c r="E2489" i="2"/>
  <c r="D2489" i="2"/>
  <c r="C2489" i="2"/>
  <c r="B2489" i="2"/>
  <c r="V2488" i="2"/>
  <c r="U2488" i="2"/>
  <c r="T2488" i="2"/>
  <c r="S2488" i="2"/>
  <c r="R2488" i="2"/>
  <c r="Q2488" i="2"/>
  <c r="P2488" i="2"/>
  <c r="O2488" i="2"/>
  <c r="N2488" i="2"/>
  <c r="M2488" i="2"/>
  <c r="L2488" i="2"/>
  <c r="K2488" i="2"/>
  <c r="J2488" i="2"/>
  <c r="I2488" i="2"/>
  <c r="H2488" i="2"/>
  <c r="G2488" i="2"/>
  <c r="F2488" i="2"/>
  <c r="E2488" i="2"/>
  <c r="D2488" i="2"/>
  <c r="C2488" i="2"/>
  <c r="B2488" i="2"/>
  <c r="V2487" i="2"/>
  <c r="U2487" i="2"/>
  <c r="T2487" i="2"/>
  <c r="S2487" i="2"/>
  <c r="R2487" i="2"/>
  <c r="Q2487" i="2"/>
  <c r="P2487" i="2"/>
  <c r="O2487" i="2"/>
  <c r="N2487" i="2"/>
  <c r="M2487" i="2"/>
  <c r="L2487" i="2"/>
  <c r="K2487" i="2"/>
  <c r="J2487" i="2"/>
  <c r="I2487" i="2"/>
  <c r="H2487" i="2"/>
  <c r="G2487" i="2"/>
  <c r="F2487" i="2"/>
  <c r="E2487" i="2"/>
  <c r="D2487" i="2"/>
  <c r="C2487" i="2"/>
  <c r="B2487" i="2"/>
  <c r="V2486" i="2"/>
  <c r="U2486" i="2"/>
  <c r="T2486" i="2"/>
  <c r="S2486" i="2"/>
  <c r="R2486" i="2"/>
  <c r="Q2486" i="2"/>
  <c r="P2486" i="2"/>
  <c r="O2486" i="2"/>
  <c r="N2486" i="2"/>
  <c r="M2486" i="2"/>
  <c r="L2486" i="2"/>
  <c r="K2486" i="2"/>
  <c r="J2486" i="2"/>
  <c r="I2486" i="2"/>
  <c r="H2486" i="2"/>
  <c r="G2486" i="2"/>
  <c r="F2486" i="2"/>
  <c r="E2486" i="2"/>
  <c r="D2486" i="2"/>
  <c r="C2486" i="2"/>
  <c r="B2486" i="2"/>
  <c r="V2485" i="2"/>
  <c r="U2485" i="2"/>
  <c r="T2485" i="2"/>
  <c r="S2485" i="2"/>
  <c r="R2485" i="2"/>
  <c r="Q2485" i="2"/>
  <c r="P2485" i="2"/>
  <c r="O2485" i="2"/>
  <c r="N2485" i="2"/>
  <c r="M2485" i="2"/>
  <c r="L2485" i="2"/>
  <c r="K2485" i="2"/>
  <c r="J2485" i="2"/>
  <c r="I2485" i="2"/>
  <c r="H2485" i="2"/>
  <c r="G2485" i="2"/>
  <c r="F2485" i="2"/>
  <c r="E2485" i="2"/>
  <c r="D2485" i="2"/>
  <c r="C2485" i="2"/>
  <c r="B2485" i="2"/>
  <c r="V2484" i="2"/>
  <c r="U2484" i="2"/>
  <c r="T2484" i="2"/>
  <c r="S2484" i="2"/>
  <c r="R2484" i="2"/>
  <c r="Q2484" i="2"/>
  <c r="P2484" i="2"/>
  <c r="O2484" i="2"/>
  <c r="N2484" i="2"/>
  <c r="M2484" i="2"/>
  <c r="L2484" i="2"/>
  <c r="K2484" i="2"/>
  <c r="J2484" i="2"/>
  <c r="I2484" i="2"/>
  <c r="H2484" i="2"/>
  <c r="G2484" i="2"/>
  <c r="F2484" i="2"/>
  <c r="E2484" i="2"/>
  <c r="D2484" i="2"/>
  <c r="C2484" i="2"/>
  <c r="B2484" i="2"/>
  <c r="V2483" i="2"/>
  <c r="U2483" i="2"/>
  <c r="T2483" i="2"/>
  <c r="S2483" i="2"/>
  <c r="R2483" i="2"/>
  <c r="Q2483" i="2"/>
  <c r="P2483" i="2"/>
  <c r="O2483" i="2"/>
  <c r="N2483" i="2"/>
  <c r="M2483" i="2"/>
  <c r="L2483" i="2"/>
  <c r="K2483" i="2"/>
  <c r="J2483" i="2"/>
  <c r="I2483" i="2"/>
  <c r="H2483" i="2"/>
  <c r="G2483" i="2"/>
  <c r="F2483" i="2"/>
  <c r="E2483" i="2"/>
  <c r="D2483" i="2"/>
  <c r="C2483" i="2"/>
  <c r="B2483" i="2"/>
  <c r="V2482" i="2"/>
  <c r="U2482" i="2"/>
  <c r="T2482" i="2"/>
  <c r="S2482" i="2"/>
  <c r="R2482" i="2"/>
  <c r="Q2482" i="2"/>
  <c r="P2482" i="2"/>
  <c r="O2482" i="2"/>
  <c r="N2482" i="2"/>
  <c r="M2482" i="2"/>
  <c r="L2482" i="2"/>
  <c r="K2482" i="2"/>
  <c r="J2482" i="2"/>
  <c r="I2482" i="2"/>
  <c r="H2482" i="2"/>
  <c r="G2482" i="2"/>
  <c r="F2482" i="2"/>
  <c r="E2482" i="2"/>
  <c r="D2482" i="2"/>
  <c r="C2482" i="2"/>
  <c r="B2482" i="2"/>
  <c r="V2481" i="2"/>
  <c r="U2481" i="2"/>
  <c r="T2481" i="2"/>
  <c r="S2481" i="2"/>
  <c r="R2481" i="2"/>
  <c r="Q2481" i="2"/>
  <c r="P2481" i="2"/>
  <c r="O2481" i="2"/>
  <c r="N2481" i="2"/>
  <c r="M2481" i="2"/>
  <c r="L2481" i="2"/>
  <c r="K2481" i="2"/>
  <c r="J2481" i="2"/>
  <c r="I2481" i="2"/>
  <c r="H2481" i="2"/>
  <c r="G2481" i="2"/>
  <c r="F2481" i="2"/>
  <c r="E2481" i="2"/>
  <c r="D2481" i="2"/>
  <c r="C2481" i="2"/>
  <c r="B2481" i="2"/>
  <c r="V2480" i="2"/>
  <c r="U2480" i="2"/>
  <c r="T2480" i="2"/>
  <c r="S2480" i="2"/>
  <c r="R2480" i="2"/>
  <c r="Q2480" i="2"/>
  <c r="P2480" i="2"/>
  <c r="O2480" i="2"/>
  <c r="N2480" i="2"/>
  <c r="M2480" i="2"/>
  <c r="L2480" i="2"/>
  <c r="K2480" i="2"/>
  <c r="J2480" i="2"/>
  <c r="I2480" i="2"/>
  <c r="H2480" i="2"/>
  <c r="G2480" i="2"/>
  <c r="F2480" i="2"/>
  <c r="E2480" i="2"/>
  <c r="D2480" i="2"/>
  <c r="C2480" i="2"/>
  <c r="B2480" i="2"/>
  <c r="V2479" i="2"/>
  <c r="U2479" i="2"/>
  <c r="T2479" i="2"/>
  <c r="S2479" i="2"/>
  <c r="R2479" i="2"/>
  <c r="Q2479" i="2"/>
  <c r="P2479" i="2"/>
  <c r="O2479" i="2"/>
  <c r="N2479" i="2"/>
  <c r="M2479" i="2"/>
  <c r="L2479" i="2"/>
  <c r="K2479" i="2"/>
  <c r="J2479" i="2"/>
  <c r="I2479" i="2"/>
  <c r="H2479" i="2"/>
  <c r="G2479" i="2"/>
  <c r="F2479" i="2"/>
  <c r="E2479" i="2"/>
  <c r="D2479" i="2"/>
  <c r="C2479" i="2"/>
  <c r="B2479" i="2"/>
  <c r="V2478" i="2"/>
  <c r="U2478" i="2"/>
  <c r="T2478" i="2"/>
  <c r="S2478" i="2"/>
  <c r="R2478" i="2"/>
  <c r="Q2478" i="2"/>
  <c r="P2478" i="2"/>
  <c r="O2478" i="2"/>
  <c r="N2478" i="2"/>
  <c r="M2478" i="2"/>
  <c r="L2478" i="2"/>
  <c r="K2478" i="2"/>
  <c r="J2478" i="2"/>
  <c r="I2478" i="2"/>
  <c r="H2478" i="2"/>
  <c r="G2478" i="2"/>
  <c r="F2478" i="2"/>
  <c r="E2478" i="2"/>
  <c r="D2478" i="2"/>
  <c r="C2478" i="2"/>
  <c r="B2478" i="2"/>
  <c r="V2477" i="2"/>
  <c r="U2477" i="2"/>
  <c r="T2477" i="2"/>
  <c r="S2477" i="2"/>
  <c r="R2477" i="2"/>
  <c r="Q2477" i="2"/>
  <c r="P2477" i="2"/>
  <c r="O2477" i="2"/>
  <c r="N2477" i="2"/>
  <c r="M2477" i="2"/>
  <c r="L2477" i="2"/>
  <c r="K2477" i="2"/>
  <c r="J2477" i="2"/>
  <c r="I2477" i="2"/>
  <c r="H2477" i="2"/>
  <c r="G2477" i="2"/>
  <c r="F2477" i="2"/>
  <c r="E2477" i="2"/>
  <c r="D2477" i="2"/>
  <c r="C2477" i="2"/>
  <c r="B2477" i="2"/>
  <c r="V2476" i="2"/>
  <c r="U2476" i="2"/>
  <c r="T2476" i="2"/>
  <c r="S2476" i="2"/>
  <c r="R2476" i="2"/>
  <c r="Q2476" i="2"/>
  <c r="P2476" i="2"/>
  <c r="O2476" i="2"/>
  <c r="N2476" i="2"/>
  <c r="M2476" i="2"/>
  <c r="L2476" i="2"/>
  <c r="K2476" i="2"/>
  <c r="J2476" i="2"/>
  <c r="I2476" i="2"/>
  <c r="H2476" i="2"/>
  <c r="G2476" i="2"/>
  <c r="F2476" i="2"/>
  <c r="E2476" i="2"/>
  <c r="D2476" i="2"/>
  <c r="C2476" i="2"/>
  <c r="B2476" i="2"/>
  <c r="V2475" i="2"/>
  <c r="U2475" i="2"/>
  <c r="T2475" i="2"/>
  <c r="S2475" i="2"/>
  <c r="R2475" i="2"/>
  <c r="Q2475" i="2"/>
  <c r="P2475" i="2"/>
  <c r="O2475" i="2"/>
  <c r="N2475" i="2"/>
  <c r="M2475" i="2"/>
  <c r="L2475" i="2"/>
  <c r="K2475" i="2"/>
  <c r="J2475" i="2"/>
  <c r="I2475" i="2"/>
  <c r="H2475" i="2"/>
  <c r="G2475" i="2"/>
  <c r="F2475" i="2"/>
  <c r="E2475" i="2"/>
  <c r="D2475" i="2"/>
  <c r="C2475" i="2"/>
  <c r="B2475" i="2"/>
  <c r="V2474" i="2"/>
  <c r="U2474" i="2"/>
  <c r="T2474" i="2"/>
  <c r="S2474" i="2"/>
  <c r="R2474" i="2"/>
  <c r="Q2474" i="2"/>
  <c r="P2474" i="2"/>
  <c r="O2474" i="2"/>
  <c r="N2474" i="2"/>
  <c r="M2474" i="2"/>
  <c r="L2474" i="2"/>
  <c r="K2474" i="2"/>
  <c r="J2474" i="2"/>
  <c r="I2474" i="2"/>
  <c r="H2474" i="2"/>
  <c r="G2474" i="2"/>
  <c r="F2474" i="2"/>
  <c r="E2474" i="2"/>
  <c r="D2474" i="2"/>
  <c r="C2474" i="2"/>
  <c r="B2474" i="2"/>
  <c r="V2473" i="2"/>
  <c r="U2473" i="2"/>
  <c r="T2473" i="2"/>
  <c r="S2473" i="2"/>
  <c r="R2473" i="2"/>
  <c r="Q2473" i="2"/>
  <c r="P2473" i="2"/>
  <c r="O2473" i="2"/>
  <c r="N2473" i="2"/>
  <c r="M2473" i="2"/>
  <c r="L2473" i="2"/>
  <c r="K2473" i="2"/>
  <c r="J2473" i="2"/>
  <c r="I2473" i="2"/>
  <c r="H2473" i="2"/>
  <c r="G2473" i="2"/>
  <c r="F2473" i="2"/>
  <c r="E2473" i="2"/>
  <c r="D2473" i="2"/>
  <c r="C2473" i="2"/>
  <c r="B2473" i="2"/>
  <c r="V2472" i="2"/>
  <c r="U2472" i="2"/>
  <c r="T2472" i="2"/>
  <c r="S2472" i="2"/>
  <c r="R2472" i="2"/>
  <c r="Q2472" i="2"/>
  <c r="P2472" i="2"/>
  <c r="O2472" i="2"/>
  <c r="N2472" i="2"/>
  <c r="M2472" i="2"/>
  <c r="L2472" i="2"/>
  <c r="K2472" i="2"/>
  <c r="J2472" i="2"/>
  <c r="I2472" i="2"/>
  <c r="H2472" i="2"/>
  <c r="G2472" i="2"/>
  <c r="F2472" i="2"/>
  <c r="E2472" i="2"/>
  <c r="D2472" i="2"/>
  <c r="C2472" i="2"/>
  <c r="B2472" i="2"/>
  <c r="V2471" i="2"/>
  <c r="U2471" i="2"/>
  <c r="T2471" i="2"/>
  <c r="S2471" i="2"/>
  <c r="R2471" i="2"/>
  <c r="Q2471" i="2"/>
  <c r="P2471" i="2"/>
  <c r="O2471" i="2"/>
  <c r="N2471" i="2"/>
  <c r="M2471" i="2"/>
  <c r="L2471" i="2"/>
  <c r="K2471" i="2"/>
  <c r="J2471" i="2"/>
  <c r="I2471" i="2"/>
  <c r="H2471" i="2"/>
  <c r="G2471" i="2"/>
  <c r="F2471" i="2"/>
  <c r="E2471" i="2"/>
  <c r="D2471" i="2"/>
  <c r="C2471" i="2"/>
  <c r="B2471" i="2"/>
  <c r="V2470" i="2"/>
  <c r="U2470" i="2"/>
  <c r="T2470" i="2"/>
  <c r="S2470" i="2"/>
  <c r="R2470" i="2"/>
  <c r="Q2470" i="2"/>
  <c r="P2470" i="2"/>
  <c r="O2470" i="2"/>
  <c r="N2470" i="2"/>
  <c r="M2470" i="2"/>
  <c r="L2470" i="2"/>
  <c r="K2470" i="2"/>
  <c r="J2470" i="2"/>
  <c r="I2470" i="2"/>
  <c r="H2470" i="2"/>
  <c r="G2470" i="2"/>
  <c r="F2470" i="2"/>
  <c r="E2470" i="2"/>
  <c r="D2470" i="2"/>
  <c r="C2470" i="2"/>
  <c r="B2470" i="2"/>
  <c r="V2469" i="2"/>
  <c r="U2469" i="2"/>
  <c r="T2469" i="2"/>
  <c r="S2469" i="2"/>
  <c r="R2469" i="2"/>
  <c r="Q2469" i="2"/>
  <c r="P2469" i="2"/>
  <c r="O2469" i="2"/>
  <c r="N2469" i="2"/>
  <c r="M2469" i="2"/>
  <c r="L2469" i="2"/>
  <c r="K2469" i="2"/>
  <c r="J2469" i="2"/>
  <c r="I2469" i="2"/>
  <c r="H2469" i="2"/>
  <c r="G2469" i="2"/>
  <c r="F2469" i="2"/>
  <c r="E2469" i="2"/>
  <c r="D2469" i="2"/>
  <c r="C2469" i="2"/>
  <c r="B2469" i="2"/>
  <c r="V2468" i="2"/>
  <c r="U2468" i="2"/>
  <c r="T2468" i="2"/>
  <c r="S2468" i="2"/>
  <c r="R2468" i="2"/>
  <c r="Q2468" i="2"/>
  <c r="P2468" i="2"/>
  <c r="O2468" i="2"/>
  <c r="N2468" i="2"/>
  <c r="M2468" i="2"/>
  <c r="L2468" i="2"/>
  <c r="K2468" i="2"/>
  <c r="J2468" i="2"/>
  <c r="I2468" i="2"/>
  <c r="H2468" i="2"/>
  <c r="G2468" i="2"/>
  <c r="F2468" i="2"/>
  <c r="E2468" i="2"/>
  <c r="D2468" i="2"/>
  <c r="C2468" i="2"/>
  <c r="B2468" i="2"/>
  <c r="V2467" i="2"/>
  <c r="U2467" i="2"/>
  <c r="T2467" i="2"/>
  <c r="S2467" i="2"/>
  <c r="R2467" i="2"/>
  <c r="Q2467" i="2"/>
  <c r="P2467" i="2"/>
  <c r="O2467" i="2"/>
  <c r="N2467" i="2"/>
  <c r="M2467" i="2"/>
  <c r="L2467" i="2"/>
  <c r="K2467" i="2"/>
  <c r="J2467" i="2"/>
  <c r="I2467" i="2"/>
  <c r="H2467" i="2"/>
  <c r="G2467" i="2"/>
  <c r="F2467" i="2"/>
  <c r="E2467" i="2"/>
  <c r="D2467" i="2"/>
  <c r="C2467" i="2"/>
  <c r="B2467" i="2"/>
  <c r="V2466" i="2"/>
  <c r="U2466" i="2"/>
  <c r="T2466" i="2"/>
  <c r="S2466" i="2"/>
  <c r="R2466" i="2"/>
  <c r="Q2466" i="2"/>
  <c r="P2466" i="2"/>
  <c r="O2466" i="2"/>
  <c r="N2466" i="2"/>
  <c r="M2466" i="2"/>
  <c r="L2466" i="2"/>
  <c r="K2466" i="2"/>
  <c r="J2466" i="2"/>
  <c r="I2466" i="2"/>
  <c r="H2466" i="2"/>
  <c r="G2466" i="2"/>
  <c r="F2466" i="2"/>
  <c r="E2466" i="2"/>
  <c r="D2466" i="2"/>
  <c r="C2466" i="2"/>
  <c r="B2466" i="2"/>
  <c r="V2465" i="2"/>
  <c r="U2465" i="2"/>
  <c r="T2465" i="2"/>
  <c r="S2465" i="2"/>
  <c r="R2465" i="2"/>
  <c r="Q2465" i="2"/>
  <c r="P2465" i="2"/>
  <c r="O2465" i="2"/>
  <c r="N2465" i="2"/>
  <c r="M2465" i="2"/>
  <c r="L2465" i="2"/>
  <c r="K2465" i="2"/>
  <c r="J2465" i="2"/>
  <c r="I2465" i="2"/>
  <c r="H2465" i="2"/>
  <c r="G2465" i="2"/>
  <c r="F2465" i="2"/>
  <c r="E2465" i="2"/>
  <c r="D2465" i="2"/>
  <c r="C2465" i="2"/>
  <c r="B2465" i="2"/>
  <c r="V2464" i="2"/>
  <c r="U2464" i="2"/>
  <c r="T2464" i="2"/>
  <c r="S2464" i="2"/>
  <c r="R2464" i="2"/>
  <c r="Q2464" i="2"/>
  <c r="P2464" i="2"/>
  <c r="O2464" i="2"/>
  <c r="N2464" i="2"/>
  <c r="M2464" i="2"/>
  <c r="L2464" i="2"/>
  <c r="K2464" i="2"/>
  <c r="J2464" i="2"/>
  <c r="I2464" i="2"/>
  <c r="H2464" i="2"/>
  <c r="G2464" i="2"/>
  <c r="F2464" i="2"/>
  <c r="E2464" i="2"/>
  <c r="D2464" i="2"/>
  <c r="C2464" i="2"/>
  <c r="B2464" i="2"/>
  <c r="V2463" i="2"/>
  <c r="U2463" i="2"/>
  <c r="T2463" i="2"/>
  <c r="S2463" i="2"/>
  <c r="R2463" i="2"/>
  <c r="Q2463" i="2"/>
  <c r="P2463" i="2"/>
  <c r="O2463" i="2"/>
  <c r="N2463" i="2"/>
  <c r="M2463" i="2"/>
  <c r="L2463" i="2"/>
  <c r="K2463" i="2"/>
  <c r="J2463" i="2"/>
  <c r="I2463" i="2"/>
  <c r="H2463" i="2"/>
  <c r="G2463" i="2"/>
  <c r="F2463" i="2"/>
  <c r="E2463" i="2"/>
  <c r="D2463" i="2"/>
  <c r="C2463" i="2"/>
  <c r="B2463" i="2"/>
  <c r="V2462" i="2"/>
  <c r="U2462" i="2"/>
  <c r="T2462" i="2"/>
  <c r="S2462" i="2"/>
  <c r="R2462" i="2"/>
  <c r="Q2462" i="2"/>
  <c r="P2462" i="2"/>
  <c r="O2462" i="2"/>
  <c r="N2462" i="2"/>
  <c r="M2462" i="2"/>
  <c r="L2462" i="2"/>
  <c r="K2462" i="2"/>
  <c r="J2462" i="2"/>
  <c r="I2462" i="2"/>
  <c r="H2462" i="2"/>
  <c r="G2462" i="2"/>
  <c r="F2462" i="2"/>
  <c r="E2462" i="2"/>
  <c r="D2462" i="2"/>
  <c r="C2462" i="2"/>
  <c r="B2462" i="2"/>
  <c r="V2461" i="2"/>
  <c r="U2461" i="2"/>
  <c r="T2461" i="2"/>
  <c r="S2461" i="2"/>
  <c r="R2461" i="2"/>
  <c r="Q2461" i="2"/>
  <c r="P2461" i="2"/>
  <c r="O2461" i="2"/>
  <c r="N2461" i="2"/>
  <c r="M2461" i="2"/>
  <c r="L2461" i="2"/>
  <c r="K2461" i="2"/>
  <c r="J2461" i="2"/>
  <c r="I2461" i="2"/>
  <c r="H2461" i="2"/>
  <c r="G2461" i="2"/>
  <c r="F2461" i="2"/>
  <c r="E2461" i="2"/>
  <c r="D2461" i="2"/>
  <c r="C2461" i="2"/>
  <c r="B2461" i="2"/>
  <c r="V2460" i="2"/>
  <c r="U2460" i="2"/>
  <c r="T2460" i="2"/>
  <c r="S2460" i="2"/>
  <c r="R2460" i="2"/>
  <c r="Q2460" i="2"/>
  <c r="P2460" i="2"/>
  <c r="O2460" i="2"/>
  <c r="N2460" i="2"/>
  <c r="M2460" i="2"/>
  <c r="L2460" i="2"/>
  <c r="K2460" i="2"/>
  <c r="J2460" i="2"/>
  <c r="I2460" i="2"/>
  <c r="H2460" i="2"/>
  <c r="G2460" i="2"/>
  <c r="F2460" i="2"/>
  <c r="E2460" i="2"/>
  <c r="D2460" i="2"/>
  <c r="C2460" i="2"/>
  <c r="B2460" i="2"/>
  <c r="V2459" i="2"/>
  <c r="U2459" i="2"/>
  <c r="T2459" i="2"/>
  <c r="S2459" i="2"/>
  <c r="R2459" i="2"/>
  <c r="Q2459" i="2"/>
  <c r="P2459" i="2"/>
  <c r="O2459" i="2"/>
  <c r="N2459" i="2"/>
  <c r="M2459" i="2"/>
  <c r="L2459" i="2"/>
  <c r="K2459" i="2"/>
  <c r="J2459" i="2"/>
  <c r="I2459" i="2"/>
  <c r="H2459" i="2"/>
  <c r="G2459" i="2"/>
  <c r="F2459" i="2"/>
  <c r="E2459" i="2"/>
  <c r="D2459" i="2"/>
  <c r="C2459" i="2"/>
  <c r="B2459" i="2"/>
  <c r="V2458" i="2"/>
  <c r="U2458" i="2"/>
  <c r="T2458" i="2"/>
  <c r="S2458" i="2"/>
  <c r="R2458" i="2"/>
  <c r="Q2458" i="2"/>
  <c r="P2458" i="2"/>
  <c r="O2458" i="2"/>
  <c r="N2458" i="2"/>
  <c r="M2458" i="2"/>
  <c r="L2458" i="2"/>
  <c r="K2458" i="2"/>
  <c r="J2458" i="2"/>
  <c r="I2458" i="2"/>
  <c r="H2458" i="2"/>
  <c r="G2458" i="2"/>
  <c r="F2458" i="2"/>
  <c r="E2458" i="2"/>
  <c r="D2458" i="2"/>
  <c r="C2458" i="2"/>
  <c r="B2458" i="2"/>
  <c r="V2457" i="2"/>
  <c r="U2457" i="2"/>
  <c r="T2457" i="2"/>
  <c r="S2457" i="2"/>
  <c r="R2457" i="2"/>
  <c r="Q2457" i="2"/>
  <c r="P2457" i="2"/>
  <c r="O2457" i="2"/>
  <c r="N2457" i="2"/>
  <c r="M2457" i="2"/>
  <c r="L2457" i="2"/>
  <c r="K2457" i="2"/>
  <c r="J2457" i="2"/>
  <c r="I2457" i="2"/>
  <c r="H2457" i="2"/>
  <c r="G2457" i="2"/>
  <c r="F2457" i="2"/>
  <c r="E2457" i="2"/>
  <c r="D2457" i="2"/>
  <c r="C2457" i="2"/>
  <c r="B2457" i="2"/>
  <c r="V2456" i="2"/>
  <c r="U2456" i="2"/>
  <c r="T2456" i="2"/>
  <c r="S2456" i="2"/>
  <c r="R2456" i="2"/>
  <c r="Q2456" i="2"/>
  <c r="P2456" i="2"/>
  <c r="O2456" i="2"/>
  <c r="N2456" i="2"/>
  <c r="M2456" i="2"/>
  <c r="L2456" i="2"/>
  <c r="K2456" i="2"/>
  <c r="J2456" i="2"/>
  <c r="I2456" i="2"/>
  <c r="H2456" i="2"/>
  <c r="G2456" i="2"/>
  <c r="F2456" i="2"/>
  <c r="E2456" i="2"/>
  <c r="D2456" i="2"/>
  <c r="C2456" i="2"/>
  <c r="B2456" i="2"/>
  <c r="V2455" i="2"/>
  <c r="U2455" i="2"/>
  <c r="T2455" i="2"/>
  <c r="S2455" i="2"/>
  <c r="R2455" i="2"/>
  <c r="Q2455" i="2"/>
  <c r="P2455" i="2"/>
  <c r="O2455" i="2"/>
  <c r="N2455" i="2"/>
  <c r="M2455" i="2"/>
  <c r="L2455" i="2"/>
  <c r="K2455" i="2"/>
  <c r="J2455" i="2"/>
  <c r="I2455" i="2"/>
  <c r="H2455" i="2"/>
  <c r="G2455" i="2"/>
  <c r="F2455" i="2"/>
  <c r="E2455" i="2"/>
  <c r="D2455" i="2"/>
  <c r="C2455" i="2"/>
  <c r="B2455" i="2"/>
  <c r="V2454" i="2"/>
  <c r="U2454" i="2"/>
  <c r="T2454" i="2"/>
  <c r="S2454" i="2"/>
  <c r="R2454" i="2"/>
  <c r="Q2454" i="2"/>
  <c r="P2454" i="2"/>
  <c r="O2454" i="2"/>
  <c r="N2454" i="2"/>
  <c r="M2454" i="2"/>
  <c r="L2454" i="2"/>
  <c r="K2454" i="2"/>
  <c r="J2454" i="2"/>
  <c r="I2454" i="2"/>
  <c r="H2454" i="2"/>
  <c r="G2454" i="2"/>
  <c r="F2454" i="2"/>
  <c r="E2454" i="2"/>
  <c r="D2454" i="2"/>
  <c r="C2454" i="2"/>
  <c r="B2454" i="2"/>
  <c r="V2453" i="2"/>
  <c r="U2453" i="2"/>
  <c r="T2453" i="2"/>
  <c r="S2453" i="2"/>
  <c r="R2453" i="2"/>
  <c r="Q2453" i="2"/>
  <c r="P2453" i="2"/>
  <c r="O2453" i="2"/>
  <c r="N2453" i="2"/>
  <c r="M2453" i="2"/>
  <c r="L2453" i="2"/>
  <c r="K2453" i="2"/>
  <c r="J2453" i="2"/>
  <c r="I2453" i="2"/>
  <c r="H2453" i="2"/>
  <c r="G2453" i="2"/>
  <c r="F2453" i="2"/>
  <c r="E2453" i="2"/>
  <c r="D2453" i="2"/>
  <c r="C2453" i="2"/>
  <c r="B2453" i="2"/>
  <c r="V2452" i="2"/>
  <c r="U2452" i="2"/>
  <c r="T2452" i="2"/>
  <c r="S2452" i="2"/>
  <c r="R2452" i="2"/>
  <c r="Q2452" i="2"/>
  <c r="P2452" i="2"/>
  <c r="O2452" i="2"/>
  <c r="N2452" i="2"/>
  <c r="M2452" i="2"/>
  <c r="L2452" i="2"/>
  <c r="K2452" i="2"/>
  <c r="J2452" i="2"/>
  <c r="I2452" i="2"/>
  <c r="H2452" i="2"/>
  <c r="G2452" i="2"/>
  <c r="F2452" i="2"/>
  <c r="E2452" i="2"/>
  <c r="D2452" i="2"/>
  <c r="C2452" i="2"/>
  <c r="B2452" i="2"/>
  <c r="V2451" i="2"/>
  <c r="U2451" i="2"/>
  <c r="T2451" i="2"/>
  <c r="S2451" i="2"/>
  <c r="R2451" i="2"/>
  <c r="Q2451" i="2"/>
  <c r="P2451" i="2"/>
  <c r="O2451" i="2"/>
  <c r="N2451" i="2"/>
  <c r="M2451" i="2"/>
  <c r="L2451" i="2"/>
  <c r="K2451" i="2"/>
  <c r="J2451" i="2"/>
  <c r="I2451" i="2"/>
  <c r="H2451" i="2"/>
  <c r="G2451" i="2"/>
  <c r="F2451" i="2"/>
  <c r="E2451" i="2"/>
  <c r="D2451" i="2"/>
  <c r="C2451" i="2"/>
  <c r="B2451" i="2"/>
  <c r="V2450" i="2"/>
  <c r="U2450" i="2"/>
  <c r="T2450" i="2"/>
  <c r="S2450" i="2"/>
  <c r="R2450" i="2"/>
  <c r="Q2450" i="2"/>
  <c r="P2450" i="2"/>
  <c r="O2450" i="2"/>
  <c r="N2450" i="2"/>
  <c r="M2450" i="2"/>
  <c r="L2450" i="2"/>
  <c r="K2450" i="2"/>
  <c r="J2450" i="2"/>
  <c r="I2450" i="2"/>
  <c r="H2450" i="2"/>
  <c r="G2450" i="2"/>
  <c r="F2450" i="2"/>
  <c r="E2450" i="2"/>
  <c r="D2450" i="2"/>
  <c r="C2450" i="2"/>
  <c r="B2450" i="2"/>
  <c r="V2449" i="2"/>
  <c r="U2449" i="2"/>
  <c r="T2449" i="2"/>
  <c r="S2449" i="2"/>
  <c r="R2449" i="2"/>
  <c r="Q2449" i="2"/>
  <c r="P2449" i="2"/>
  <c r="O2449" i="2"/>
  <c r="N2449" i="2"/>
  <c r="M2449" i="2"/>
  <c r="L2449" i="2"/>
  <c r="K2449" i="2"/>
  <c r="J2449" i="2"/>
  <c r="I2449" i="2"/>
  <c r="H2449" i="2"/>
  <c r="G2449" i="2"/>
  <c r="F2449" i="2"/>
  <c r="E2449" i="2"/>
  <c r="D2449" i="2"/>
  <c r="C2449" i="2"/>
  <c r="B2449" i="2"/>
  <c r="V2448" i="2"/>
  <c r="U2448" i="2"/>
  <c r="T2448" i="2"/>
  <c r="S2448" i="2"/>
  <c r="R2448" i="2"/>
  <c r="Q2448" i="2"/>
  <c r="P2448" i="2"/>
  <c r="O2448" i="2"/>
  <c r="N2448" i="2"/>
  <c r="M2448" i="2"/>
  <c r="L2448" i="2"/>
  <c r="K2448" i="2"/>
  <c r="J2448" i="2"/>
  <c r="I2448" i="2"/>
  <c r="H2448" i="2"/>
  <c r="G2448" i="2"/>
  <c r="F2448" i="2"/>
  <c r="E2448" i="2"/>
  <c r="D2448" i="2"/>
  <c r="C2448" i="2"/>
  <c r="B2448" i="2"/>
  <c r="V2447" i="2"/>
  <c r="U2447" i="2"/>
  <c r="T2447" i="2"/>
  <c r="S2447" i="2"/>
  <c r="R2447" i="2"/>
  <c r="Q2447" i="2"/>
  <c r="P2447" i="2"/>
  <c r="O2447" i="2"/>
  <c r="N2447" i="2"/>
  <c r="M2447" i="2"/>
  <c r="L2447" i="2"/>
  <c r="K2447" i="2"/>
  <c r="J2447" i="2"/>
  <c r="I2447" i="2"/>
  <c r="H2447" i="2"/>
  <c r="G2447" i="2"/>
  <c r="F2447" i="2"/>
  <c r="E2447" i="2"/>
  <c r="D2447" i="2"/>
  <c r="C2447" i="2"/>
  <c r="B2447" i="2"/>
  <c r="V2446" i="2"/>
  <c r="U2446" i="2"/>
  <c r="T2446" i="2"/>
  <c r="S2446" i="2"/>
  <c r="R2446" i="2"/>
  <c r="Q2446" i="2"/>
  <c r="P2446" i="2"/>
  <c r="O2446" i="2"/>
  <c r="N2446" i="2"/>
  <c r="M2446" i="2"/>
  <c r="L2446" i="2"/>
  <c r="K2446" i="2"/>
  <c r="J2446" i="2"/>
  <c r="I2446" i="2"/>
  <c r="H2446" i="2"/>
  <c r="G2446" i="2"/>
  <c r="F2446" i="2"/>
  <c r="E2446" i="2"/>
  <c r="D2446" i="2"/>
  <c r="C2446" i="2"/>
  <c r="B2446" i="2"/>
  <c r="V2445" i="2"/>
  <c r="U2445" i="2"/>
  <c r="T2445" i="2"/>
  <c r="S2445" i="2"/>
  <c r="R2445" i="2"/>
  <c r="Q2445" i="2"/>
  <c r="P2445" i="2"/>
  <c r="O2445" i="2"/>
  <c r="N2445" i="2"/>
  <c r="M2445" i="2"/>
  <c r="L2445" i="2"/>
  <c r="K2445" i="2"/>
  <c r="J2445" i="2"/>
  <c r="I2445" i="2"/>
  <c r="H2445" i="2"/>
  <c r="G2445" i="2"/>
  <c r="F2445" i="2"/>
  <c r="E2445" i="2"/>
  <c r="D2445" i="2"/>
  <c r="C2445" i="2"/>
  <c r="B2445" i="2"/>
  <c r="V2444" i="2"/>
  <c r="U2444" i="2"/>
  <c r="T2444" i="2"/>
  <c r="S2444" i="2"/>
  <c r="R2444" i="2"/>
  <c r="Q2444" i="2"/>
  <c r="P2444" i="2"/>
  <c r="O2444" i="2"/>
  <c r="N2444" i="2"/>
  <c r="M2444" i="2"/>
  <c r="L2444" i="2"/>
  <c r="K2444" i="2"/>
  <c r="J2444" i="2"/>
  <c r="I2444" i="2"/>
  <c r="H2444" i="2"/>
  <c r="G2444" i="2"/>
  <c r="F2444" i="2"/>
  <c r="E2444" i="2"/>
  <c r="D2444" i="2"/>
  <c r="C2444" i="2"/>
  <c r="B2444" i="2"/>
  <c r="V2443" i="2"/>
  <c r="U2443" i="2"/>
  <c r="T2443" i="2"/>
  <c r="S2443" i="2"/>
  <c r="R2443" i="2"/>
  <c r="Q2443" i="2"/>
  <c r="P2443" i="2"/>
  <c r="O2443" i="2"/>
  <c r="N2443" i="2"/>
  <c r="M2443" i="2"/>
  <c r="L2443" i="2"/>
  <c r="K2443" i="2"/>
  <c r="J2443" i="2"/>
  <c r="I2443" i="2"/>
  <c r="H2443" i="2"/>
  <c r="G2443" i="2"/>
  <c r="F2443" i="2"/>
  <c r="E2443" i="2"/>
  <c r="D2443" i="2"/>
  <c r="C2443" i="2"/>
  <c r="B2443" i="2"/>
  <c r="V2442" i="2"/>
  <c r="U2442" i="2"/>
  <c r="T2442" i="2"/>
  <c r="S2442" i="2"/>
  <c r="R2442" i="2"/>
  <c r="Q2442" i="2"/>
  <c r="P2442" i="2"/>
  <c r="O2442" i="2"/>
  <c r="N2442" i="2"/>
  <c r="M2442" i="2"/>
  <c r="L2442" i="2"/>
  <c r="K2442" i="2"/>
  <c r="J2442" i="2"/>
  <c r="I2442" i="2"/>
  <c r="H2442" i="2"/>
  <c r="G2442" i="2"/>
  <c r="F2442" i="2"/>
  <c r="E2442" i="2"/>
  <c r="D2442" i="2"/>
  <c r="C2442" i="2"/>
  <c r="B2442" i="2"/>
  <c r="V2441" i="2"/>
  <c r="U2441" i="2"/>
  <c r="T2441" i="2"/>
  <c r="S2441" i="2"/>
  <c r="R2441" i="2"/>
  <c r="Q2441" i="2"/>
  <c r="P2441" i="2"/>
  <c r="O2441" i="2"/>
  <c r="N2441" i="2"/>
  <c r="M2441" i="2"/>
  <c r="L2441" i="2"/>
  <c r="K2441" i="2"/>
  <c r="J2441" i="2"/>
  <c r="I2441" i="2"/>
  <c r="H2441" i="2"/>
  <c r="G2441" i="2"/>
  <c r="F2441" i="2"/>
  <c r="E2441" i="2"/>
  <c r="D2441" i="2"/>
  <c r="C2441" i="2"/>
  <c r="B2441" i="2"/>
  <c r="V2440" i="2"/>
  <c r="U2440" i="2"/>
  <c r="T2440" i="2"/>
  <c r="S2440" i="2"/>
  <c r="R2440" i="2"/>
  <c r="Q2440" i="2"/>
  <c r="P2440" i="2"/>
  <c r="O2440" i="2"/>
  <c r="N2440" i="2"/>
  <c r="M2440" i="2"/>
  <c r="L2440" i="2"/>
  <c r="K2440" i="2"/>
  <c r="J2440" i="2"/>
  <c r="I2440" i="2"/>
  <c r="H2440" i="2"/>
  <c r="G2440" i="2"/>
  <c r="F2440" i="2"/>
  <c r="E2440" i="2"/>
  <c r="D2440" i="2"/>
  <c r="C2440" i="2"/>
  <c r="B2440" i="2"/>
  <c r="V2439" i="2"/>
  <c r="U2439" i="2"/>
  <c r="T2439" i="2"/>
  <c r="S2439" i="2"/>
  <c r="R2439" i="2"/>
  <c r="Q2439" i="2"/>
  <c r="P2439" i="2"/>
  <c r="O2439" i="2"/>
  <c r="N2439" i="2"/>
  <c r="M2439" i="2"/>
  <c r="L2439" i="2"/>
  <c r="K2439" i="2"/>
  <c r="J2439" i="2"/>
  <c r="I2439" i="2"/>
  <c r="H2439" i="2"/>
  <c r="G2439" i="2"/>
  <c r="F2439" i="2"/>
  <c r="E2439" i="2"/>
  <c r="D2439" i="2"/>
  <c r="C2439" i="2"/>
  <c r="B2439" i="2"/>
  <c r="V2438" i="2"/>
  <c r="U2438" i="2"/>
  <c r="T2438" i="2"/>
  <c r="S2438" i="2"/>
  <c r="R2438" i="2"/>
  <c r="Q2438" i="2"/>
  <c r="P2438" i="2"/>
  <c r="O2438" i="2"/>
  <c r="N2438" i="2"/>
  <c r="M2438" i="2"/>
  <c r="L2438" i="2"/>
  <c r="K2438" i="2"/>
  <c r="J2438" i="2"/>
  <c r="I2438" i="2"/>
  <c r="H2438" i="2"/>
  <c r="G2438" i="2"/>
  <c r="F2438" i="2"/>
  <c r="E2438" i="2"/>
  <c r="D2438" i="2"/>
  <c r="C2438" i="2"/>
  <c r="B2438" i="2"/>
  <c r="V2437" i="2"/>
  <c r="U2437" i="2"/>
  <c r="T2437" i="2"/>
  <c r="S2437" i="2"/>
  <c r="R2437" i="2"/>
  <c r="Q2437" i="2"/>
  <c r="P2437" i="2"/>
  <c r="O2437" i="2"/>
  <c r="N2437" i="2"/>
  <c r="M2437" i="2"/>
  <c r="L2437" i="2"/>
  <c r="K2437" i="2"/>
  <c r="J2437" i="2"/>
  <c r="I2437" i="2"/>
  <c r="H2437" i="2"/>
  <c r="G2437" i="2"/>
  <c r="F2437" i="2"/>
  <c r="E2437" i="2"/>
  <c r="D2437" i="2"/>
  <c r="C2437" i="2"/>
  <c r="B2437" i="2"/>
  <c r="V2436" i="2"/>
  <c r="U2436" i="2"/>
  <c r="T2436" i="2"/>
  <c r="S2436" i="2"/>
  <c r="R2436" i="2"/>
  <c r="Q2436" i="2"/>
  <c r="P2436" i="2"/>
  <c r="O2436" i="2"/>
  <c r="N2436" i="2"/>
  <c r="M2436" i="2"/>
  <c r="L2436" i="2"/>
  <c r="K2436" i="2"/>
  <c r="J2436" i="2"/>
  <c r="I2436" i="2"/>
  <c r="H2436" i="2"/>
  <c r="G2436" i="2"/>
  <c r="F2436" i="2"/>
  <c r="E2436" i="2"/>
  <c r="D2436" i="2"/>
  <c r="C2436" i="2"/>
  <c r="B2436" i="2"/>
  <c r="V2435" i="2"/>
  <c r="U2435" i="2"/>
  <c r="T2435" i="2"/>
  <c r="S2435" i="2"/>
  <c r="R2435" i="2"/>
  <c r="Q2435" i="2"/>
  <c r="P2435" i="2"/>
  <c r="O2435" i="2"/>
  <c r="N2435" i="2"/>
  <c r="M2435" i="2"/>
  <c r="L2435" i="2"/>
  <c r="K2435" i="2"/>
  <c r="J2435" i="2"/>
  <c r="I2435" i="2"/>
  <c r="H2435" i="2"/>
  <c r="G2435" i="2"/>
  <c r="F2435" i="2"/>
  <c r="E2435" i="2"/>
  <c r="D2435" i="2"/>
  <c r="C2435" i="2"/>
  <c r="B2435" i="2"/>
  <c r="V2434" i="2"/>
  <c r="U2434" i="2"/>
  <c r="T2434" i="2"/>
  <c r="S2434" i="2"/>
  <c r="R2434" i="2"/>
  <c r="Q2434" i="2"/>
  <c r="P2434" i="2"/>
  <c r="O2434" i="2"/>
  <c r="N2434" i="2"/>
  <c r="M2434" i="2"/>
  <c r="L2434" i="2"/>
  <c r="K2434" i="2"/>
  <c r="J2434" i="2"/>
  <c r="I2434" i="2"/>
  <c r="H2434" i="2"/>
  <c r="G2434" i="2"/>
  <c r="F2434" i="2"/>
  <c r="E2434" i="2"/>
  <c r="D2434" i="2"/>
  <c r="C2434" i="2"/>
  <c r="B2434" i="2"/>
  <c r="V2433" i="2"/>
  <c r="U2433" i="2"/>
  <c r="T2433" i="2"/>
  <c r="S2433" i="2"/>
  <c r="R2433" i="2"/>
  <c r="Q2433" i="2"/>
  <c r="P2433" i="2"/>
  <c r="O2433" i="2"/>
  <c r="N2433" i="2"/>
  <c r="M2433" i="2"/>
  <c r="L2433" i="2"/>
  <c r="K2433" i="2"/>
  <c r="J2433" i="2"/>
  <c r="I2433" i="2"/>
  <c r="H2433" i="2"/>
  <c r="G2433" i="2"/>
  <c r="F2433" i="2"/>
  <c r="E2433" i="2"/>
  <c r="D2433" i="2"/>
  <c r="C2433" i="2"/>
  <c r="B2433" i="2"/>
  <c r="V2432" i="2"/>
  <c r="U2432" i="2"/>
  <c r="T2432" i="2"/>
  <c r="S2432" i="2"/>
  <c r="R2432" i="2"/>
  <c r="Q2432" i="2"/>
  <c r="P2432" i="2"/>
  <c r="O2432" i="2"/>
  <c r="N2432" i="2"/>
  <c r="M2432" i="2"/>
  <c r="L2432" i="2"/>
  <c r="K2432" i="2"/>
  <c r="J2432" i="2"/>
  <c r="I2432" i="2"/>
  <c r="H2432" i="2"/>
  <c r="G2432" i="2"/>
  <c r="F2432" i="2"/>
  <c r="E2432" i="2"/>
  <c r="D2432" i="2"/>
  <c r="C2432" i="2"/>
  <c r="B2432" i="2"/>
  <c r="V2431" i="2"/>
  <c r="U2431" i="2"/>
  <c r="T2431" i="2"/>
  <c r="S2431" i="2"/>
  <c r="R2431" i="2"/>
  <c r="Q2431" i="2"/>
  <c r="P2431" i="2"/>
  <c r="O2431" i="2"/>
  <c r="N2431" i="2"/>
  <c r="M2431" i="2"/>
  <c r="L2431" i="2"/>
  <c r="K2431" i="2"/>
  <c r="J2431" i="2"/>
  <c r="I2431" i="2"/>
  <c r="H2431" i="2"/>
  <c r="G2431" i="2"/>
  <c r="F2431" i="2"/>
  <c r="E2431" i="2"/>
  <c r="D2431" i="2"/>
  <c r="C2431" i="2"/>
  <c r="B2431" i="2"/>
  <c r="V2430" i="2"/>
  <c r="U2430" i="2"/>
  <c r="T2430" i="2"/>
  <c r="S2430" i="2"/>
  <c r="R2430" i="2"/>
  <c r="Q2430" i="2"/>
  <c r="P2430" i="2"/>
  <c r="O2430" i="2"/>
  <c r="N2430" i="2"/>
  <c r="M2430" i="2"/>
  <c r="L2430" i="2"/>
  <c r="K2430" i="2"/>
  <c r="J2430" i="2"/>
  <c r="I2430" i="2"/>
  <c r="H2430" i="2"/>
  <c r="G2430" i="2"/>
  <c r="F2430" i="2"/>
  <c r="E2430" i="2"/>
  <c r="D2430" i="2"/>
  <c r="C2430" i="2"/>
  <c r="B2430" i="2"/>
  <c r="V2429" i="2"/>
  <c r="U2429" i="2"/>
  <c r="T2429" i="2"/>
  <c r="S2429" i="2"/>
  <c r="R2429" i="2"/>
  <c r="Q2429" i="2"/>
  <c r="P2429" i="2"/>
  <c r="O2429" i="2"/>
  <c r="N2429" i="2"/>
  <c r="M2429" i="2"/>
  <c r="L2429" i="2"/>
  <c r="K2429" i="2"/>
  <c r="J2429" i="2"/>
  <c r="I2429" i="2"/>
  <c r="H2429" i="2"/>
  <c r="G2429" i="2"/>
  <c r="F2429" i="2"/>
  <c r="E2429" i="2"/>
  <c r="D2429" i="2"/>
  <c r="C2429" i="2"/>
  <c r="B2429" i="2"/>
  <c r="V2428" i="2"/>
  <c r="U2428" i="2"/>
  <c r="T2428" i="2"/>
  <c r="S2428" i="2"/>
  <c r="R2428" i="2"/>
  <c r="Q2428" i="2"/>
  <c r="P2428" i="2"/>
  <c r="O2428" i="2"/>
  <c r="N2428" i="2"/>
  <c r="M2428" i="2"/>
  <c r="L2428" i="2"/>
  <c r="K2428" i="2"/>
  <c r="J2428" i="2"/>
  <c r="I2428" i="2"/>
  <c r="H2428" i="2"/>
  <c r="G2428" i="2"/>
  <c r="F2428" i="2"/>
  <c r="E2428" i="2"/>
  <c r="D2428" i="2"/>
  <c r="C2428" i="2"/>
  <c r="B2428" i="2"/>
  <c r="V2427" i="2"/>
  <c r="U2427" i="2"/>
  <c r="T2427" i="2"/>
  <c r="S2427" i="2"/>
  <c r="R2427" i="2"/>
  <c r="Q2427" i="2"/>
  <c r="P2427" i="2"/>
  <c r="O2427" i="2"/>
  <c r="N2427" i="2"/>
  <c r="M2427" i="2"/>
  <c r="L2427" i="2"/>
  <c r="K2427" i="2"/>
  <c r="J2427" i="2"/>
  <c r="I2427" i="2"/>
  <c r="H2427" i="2"/>
  <c r="G2427" i="2"/>
  <c r="F2427" i="2"/>
  <c r="E2427" i="2"/>
  <c r="D2427" i="2"/>
  <c r="C2427" i="2"/>
  <c r="B2427" i="2"/>
  <c r="V2426" i="2"/>
  <c r="U2426" i="2"/>
  <c r="T2426" i="2"/>
  <c r="S2426" i="2"/>
  <c r="R2426" i="2"/>
  <c r="Q2426" i="2"/>
  <c r="P2426" i="2"/>
  <c r="O2426" i="2"/>
  <c r="N2426" i="2"/>
  <c r="M2426" i="2"/>
  <c r="L2426" i="2"/>
  <c r="K2426" i="2"/>
  <c r="J2426" i="2"/>
  <c r="I2426" i="2"/>
  <c r="H2426" i="2"/>
  <c r="G2426" i="2"/>
  <c r="F2426" i="2"/>
  <c r="E2426" i="2"/>
  <c r="D2426" i="2"/>
  <c r="C2426" i="2"/>
  <c r="B2426" i="2"/>
  <c r="V2425" i="2"/>
  <c r="U2425" i="2"/>
  <c r="T2425" i="2"/>
  <c r="S2425" i="2"/>
  <c r="R2425" i="2"/>
  <c r="Q2425" i="2"/>
  <c r="P2425" i="2"/>
  <c r="O2425" i="2"/>
  <c r="N2425" i="2"/>
  <c r="M2425" i="2"/>
  <c r="L2425" i="2"/>
  <c r="K2425" i="2"/>
  <c r="J2425" i="2"/>
  <c r="I2425" i="2"/>
  <c r="H2425" i="2"/>
  <c r="G2425" i="2"/>
  <c r="F2425" i="2"/>
  <c r="E2425" i="2"/>
  <c r="D2425" i="2"/>
  <c r="C2425" i="2"/>
  <c r="B2425" i="2"/>
  <c r="V2424" i="2"/>
  <c r="U2424" i="2"/>
  <c r="T2424" i="2"/>
  <c r="S2424" i="2"/>
  <c r="R2424" i="2"/>
  <c r="Q2424" i="2"/>
  <c r="P2424" i="2"/>
  <c r="O2424" i="2"/>
  <c r="N2424" i="2"/>
  <c r="M2424" i="2"/>
  <c r="L2424" i="2"/>
  <c r="K2424" i="2"/>
  <c r="J2424" i="2"/>
  <c r="I2424" i="2"/>
  <c r="H2424" i="2"/>
  <c r="G2424" i="2"/>
  <c r="F2424" i="2"/>
  <c r="E2424" i="2"/>
  <c r="D2424" i="2"/>
  <c r="C2424" i="2"/>
  <c r="B2424" i="2"/>
  <c r="V2423" i="2"/>
  <c r="U2423" i="2"/>
  <c r="T2423" i="2"/>
  <c r="S2423" i="2"/>
  <c r="R2423" i="2"/>
  <c r="Q2423" i="2"/>
  <c r="P2423" i="2"/>
  <c r="O2423" i="2"/>
  <c r="N2423" i="2"/>
  <c r="M2423" i="2"/>
  <c r="L2423" i="2"/>
  <c r="K2423" i="2"/>
  <c r="J2423" i="2"/>
  <c r="I2423" i="2"/>
  <c r="H2423" i="2"/>
  <c r="G2423" i="2"/>
  <c r="F2423" i="2"/>
  <c r="E2423" i="2"/>
  <c r="D2423" i="2"/>
  <c r="C2423" i="2"/>
  <c r="B2423" i="2"/>
  <c r="V2422" i="2"/>
  <c r="U2422" i="2"/>
  <c r="T2422" i="2"/>
  <c r="S2422" i="2"/>
  <c r="R2422" i="2"/>
  <c r="Q2422" i="2"/>
  <c r="P2422" i="2"/>
  <c r="O2422" i="2"/>
  <c r="N2422" i="2"/>
  <c r="M2422" i="2"/>
  <c r="L2422" i="2"/>
  <c r="K2422" i="2"/>
  <c r="J2422" i="2"/>
  <c r="I2422" i="2"/>
  <c r="H2422" i="2"/>
  <c r="G2422" i="2"/>
  <c r="F2422" i="2"/>
  <c r="E2422" i="2"/>
  <c r="D2422" i="2"/>
  <c r="C2422" i="2"/>
  <c r="B2422" i="2"/>
  <c r="V2421" i="2"/>
  <c r="U2421" i="2"/>
  <c r="T2421" i="2"/>
  <c r="S2421" i="2"/>
  <c r="R2421" i="2"/>
  <c r="Q2421" i="2"/>
  <c r="P2421" i="2"/>
  <c r="O2421" i="2"/>
  <c r="N2421" i="2"/>
  <c r="M2421" i="2"/>
  <c r="L2421" i="2"/>
  <c r="K2421" i="2"/>
  <c r="J2421" i="2"/>
  <c r="I2421" i="2"/>
  <c r="H2421" i="2"/>
  <c r="G2421" i="2"/>
  <c r="F2421" i="2"/>
  <c r="E2421" i="2"/>
  <c r="D2421" i="2"/>
  <c r="C2421" i="2"/>
  <c r="B2421" i="2"/>
  <c r="V2420" i="2"/>
  <c r="U2420" i="2"/>
  <c r="T2420" i="2"/>
  <c r="S2420" i="2"/>
  <c r="R2420" i="2"/>
  <c r="Q2420" i="2"/>
  <c r="P2420" i="2"/>
  <c r="O2420" i="2"/>
  <c r="N2420" i="2"/>
  <c r="M2420" i="2"/>
  <c r="L2420" i="2"/>
  <c r="K2420" i="2"/>
  <c r="J2420" i="2"/>
  <c r="I2420" i="2"/>
  <c r="H2420" i="2"/>
  <c r="G2420" i="2"/>
  <c r="F2420" i="2"/>
  <c r="E2420" i="2"/>
  <c r="D2420" i="2"/>
  <c r="C2420" i="2"/>
  <c r="B2420" i="2"/>
  <c r="V2419" i="2"/>
  <c r="U2419" i="2"/>
  <c r="T2419" i="2"/>
  <c r="S2419" i="2"/>
  <c r="R2419" i="2"/>
  <c r="Q2419" i="2"/>
  <c r="P2419" i="2"/>
  <c r="O2419" i="2"/>
  <c r="N2419" i="2"/>
  <c r="M2419" i="2"/>
  <c r="L2419" i="2"/>
  <c r="K2419" i="2"/>
  <c r="J2419" i="2"/>
  <c r="I2419" i="2"/>
  <c r="H2419" i="2"/>
  <c r="G2419" i="2"/>
  <c r="F2419" i="2"/>
  <c r="E2419" i="2"/>
  <c r="D2419" i="2"/>
  <c r="C2419" i="2"/>
  <c r="B2419" i="2"/>
  <c r="V2418" i="2"/>
  <c r="U2418" i="2"/>
  <c r="T2418" i="2"/>
  <c r="S2418" i="2"/>
  <c r="R2418" i="2"/>
  <c r="Q2418" i="2"/>
  <c r="P2418" i="2"/>
  <c r="O2418" i="2"/>
  <c r="N2418" i="2"/>
  <c r="M2418" i="2"/>
  <c r="L2418" i="2"/>
  <c r="K2418" i="2"/>
  <c r="J2418" i="2"/>
  <c r="I2418" i="2"/>
  <c r="H2418" i="2"/>
  <c r="G2418" i="2"/>
  <c r="F2418" i="2"/>
  <c r="E2418" i="2"/>
  <c r="D2418" i="2"/>
  <c r="C2418" i="2"/>
  <c r="B2418" i="2"/>
  <c r="V2417" i="2"/>
  <c r="U2417" i="2"/>
  <c r="T2417" i="2"/>
  <c r="S2417" i="2"/>
  <c r="R2417" i="2"/>
  <c r="Q2417" i="2"/>
  <c r="P2417" i="2"/>
  <c r="O2417" i="2"/>
  <c r="N2417" i="2"/>
  <c r="M2417" i="2"/>
  <c r="L2417" i="2"/>
  <c r="K2417" i="2"/>
  <c r="J2417" i="2"/>
  <c r="I2417" i="2"/>
  <c r="H2417" i="2"/>
  <c r="G2417" i="2"/>
  <c r="F2417" i="2"/>
  <c r="E2417" i="2"/>
  <c r="D2417" i="2"/>
  <c r="C2417" i="2"/>
  <c r="B2417" i="2"/>
  <c r="V2416" i="2"/>
  <c r="U2416" i="2"/>
  <c r="T2416" i="2"/>
  <c r="S2416" i="2"/>
  <c r="R2416" i="2"/>
  <c r="Q2416" i="2"/>
  <c r="P2416" i="2"/>
  <c r="O2416" i="2"/>
  <c r="N2416" i="2"/>
  <c r="M2416" i="2"/>
  <c r="L2416" i="2"/>
  <c r="K2416" i="2"/>
  <c r="J2416" i="2"/>
  <c r="I2416" i="2"/>
  <c r="H2416" i="2"/>
  <c r="G2416" i="2"/>
  <c r="F2416" i="2"/>
  <c r="E2416" i="2"/>
  <c r="D2416" i="2"/>
  <c r="C2416" i="2"/>
  <c r="B2416" i="2"/>
  <c r="V2415" i="2"/>
  <c r="U2415" i="2"/>
  <c r="T2415" i="2"/>
  <c r="S2415" i="2"/>
  <c r="R2415" i="2"/>
  <c r="Q2415" i="2"/>
  <c r="P2415" i="2"/>
  <c r="O2415" i="2"/>
  <c r="N2415" i="2"/>
  <c r="M2415" i="2"/>
  <c r="L2415" i="2"/>
  <c r="K2415" i="2"/>
  <c r="J2415" i="2"/>
  <c r="I2415" i="2"/>
  <c r="H2415" i="2"/>
  <c r="G2415" i="2"/>
  <c r="F2415" i="2"/>
  <c r="E2415" i="2"/>
  <c r="D2415" i="2"/>
  <c r="C2415" i="2"/>
  <c r="B2415" i="2"/>
  <c r="V2414" i="2"/>
  <c r="U2414" i="2"/>
  <c r="T2414" i="2"/>
  <c r="S2414" i="2"/>
  <c r="R2414" i="2"/>
  <c r="Q2414" i="2"/>
  <c r="P2414" i="2"/>
  <c r="O2414" i="2"/>
  <c r="N2414" i="2"/>
  <c r="M2414" i="2"/>
  <c r="L2414" i="2"/>
  <c r="K2414" i="2"/>
  <c r="J2414" i="2"/>
  <c r="I2414" i="2"/>
  <c r="H2414" i="2"/>
  <c r="G2414" i="2"/>
  <c r="F2414" i="2"/>
  <c r="E2414" i="2"/>
  <c r="D2414" i="2"/>
  <c r="C2414" i="2"/>
  <c r="B2414" i="2"/>
  <c r="V2413" i="2"/>
  <c r="U2413" i="2"/>
  <c r="T2413" i="2"/>
  <c r="S2413" i="2"/>
  <c r="R2413" i="2"/>
  <c r="Q2413" i="2"/>
  <c r="P2413" i="2"/>
  <c r="O2413" i="2"/>
  <c r="N2413" i="2"/>
  <c r="M2413" i="2"/>
  <c r="L2413" i="2"/>
  <c r="K2413" i="2"/>
  <c r="J2413" i="2"/>
  <c r="I2413" i="2"/>
  <c r="H2413" i="2"/>
  <c r="G2413" i="2"/>
  <c r="F2413" i="2"/>
  <c r="E2413" i="2"/>
  <c r="D2413" i="2"/>
  <c r="C2413" i="2"/>
  <c r="B2413" i="2"/>
  <c r="V2412" i="2"/>
  <c r="U2412" i="2"/>
  <c r="T2412" i="2"/>
  <c r="S2412" i="2"/>
  <c r="R2412" i="2"/>
  <c r="Q2412" i="2"/>
  <c r="P2412" i="2"/>
  <c r="O2412" i="2"/>
  <c r="N2412" i="2"/>
  <c r="M2412" i="2"/>
  <c r="L2412" i="2"/>
  <c r="K2412" i="2"/>
  <c r="J2412" i="2"/>
  <c r="I2412" i="2"/>
  <c r="H2412" i="2"/>
  <c r="G2412" i="2"/>
  <c r="F2412" i="2"/>
  <c r="E2412" i="2"/>
  <c r="D2412" i="2"/>
  <c r="C2412" i="2"/>
  <c r="B2412" i="2"/>
  <c r="V2411" i="2"/>
  <c r="U2411" i="2"/>
  <c r="T2411" i="2"/>
  <c r="S2411" i="2"/>
  <c r="R2411" i="2"/>
  <c r="Q2411" i="2"/>
  <c r="P2411" i="2"/>
  <c r="O2411" i="2"/>
  <c r="N2411" i="2"/>
  <c r="M2411" i="2"/>
  <c r="L2411" i="2"/>
  <c r="K2411" i="2"/>
  <c r="J2411" i="2"/>
  <c r="I2411" i="2"/>
  <c r="H2411" i="2"/>
  <c r="G2411" i="2"/>
  <c r="F2411" i="2"/>
  <c r="E2411" i="2"/>
  <c r="D2411" i="2"/>
  <c r="C2411" i="2"/>
  <c r="B2411" i="2"/>
  <c r="V2410" i="2"/>
  <c r="U2410" i="2"/>
  <c r="T2410" i="2"/>
  <c r="S2410" i="2"/>
  <c r="R2410" i="2"/>
  <c r="Q2410" i="2"/>
  <c r="P2410" i="2"/>
  <c r="O2410" i="2"/>
  <c r="N2410" i="2"/>
  <c r="M2410" i="2"/>
  <c r="L2410" i="2"/>
  <c r="K2410" i="2"/>
  <c r="J2410" i="2"/>
  <c r="I2410" i="2"/>
  <c r="H2410" i="2"/>
  <c r="G2410" i="2"/>
  <c r="F2410" i="2"/>
  <c r="E2410" i="2"/>
  <c r="D2410" i="2"/>
  <c r="C2410" i="2"/>
  <c r="B2410" i="2"/>
  <c r="V2409" i="2"/>
  <c r="U2409" i="2"/>
  <c r="T2409" i="2"/>
  <c r="S2409" i="2"/>
  <c r="R2409" i="2"/>
  <c r="Q2409" i="2"/>
  <c r="P2409" i="2"/>
  <c r="O2409" i="2"/>
  <c r="N2409" i="2"/>
  <c r="M2409" i="2"/>
  <c r="L2409" i="2"/>
  <c r="K2409" i="2"/>
  <c r="J2409" i="2"/>
  <c r="I2409" i="2"/>
  <c r="H2409" i="2"/>
  <c r="G2409" i="2"/>
  <c r="F2409" i="2"/>
  <c r="E2409" i="2"/>
  <c r="D2409" i="2"/>
  <c r="C2409" i="2"/>
  <c r="B2409" i="2"/>
  <c r="V2408" i="2"/>
  <c r="U2408" i="2"/>
  <c r="T2408" i="2"/>
  <c r="S2408" i="2"/>
  <c r="R2408" i="2"/>
  <c r="Q2408" i="2"/>
  <c r="P2408" i="2"/>
  <c r="O2408" i="2"/>
  <c r="N2408" i="2"/>
  <c r="M2408" i="2"/>
  <c r="L2408" i="2"/>
  <c r="K2408" i="2"/>
  <c r="J2408" i="2"/>
  <c r="I2408" i="2"/>
  <c r="H2408" i="2"/>
  <c r="G2408" i="2"/>
  <c r="F2408" i="2"/>
  <c r="E2408" i="2"/>
  <c r="D2408" i="2"/>
  <c r="C2408" i="2"/>
  <c r="B2408" i="2"/>
  <c r="V2407" i="2"/>
  <c r="U2407" i="2"/>
  <c r="T2407" i="2"/>
  <c r="S2407" i="2"/>
  <c r="R2407" i="2"/>
  <c r="Q2407" i="2"/>
  <c r="P2407" i="2"/>
  <c r="O2407" i="2"/>
  <c r="N2407" i="2"/>
  <c r="M2407" i="2"/>
  <c r="L2407" i="2"/>
  <c r="K2407" i="2"/>
  <c r="J2407" i="2"/>
  <c r="I2407" i="2"/>
  <c r="H2407" i="2"/>
  <c r="G2407" i="2"/>
  <c r="F2407" i="2"/>
  <c r="E2407" i="2"/>
  <c r="D2407" i="2"/>
  <c r="C2407" i="2"/>
  <c r="B2407" i="2"/>
  <c r="V2406" i="2"/>
  <c r="U2406" i="2"/>
  <c r="T2406" i="2"/>
  <c r="S2406" i="2"/>
  <c r="R2406" i="2"/>
  <c r="Q2406" i="2"/>
  <c r="P2406" i="2"/>
  <c r="O2406" i="2"/>
  <c r="N2406" i="2"/>
  <c r="M2406" i="2"/>
  <c r="L2406" i="2"/>
  <c r="K2406" i="2"/>
  <c r="J2406" i="2"/>
  <c r="I2406" i="2"/>
  <c r="H2406" i="2"/>
  <c r="G2406" i="2"/>
  <c r="F2406" i="2"/>
  <c r="E2406" i="2"/>
  <c r="D2406" i="2"/>
  <c r="C2406" i="2"/>
  <c r="B2406" i="2"/>
  <c r="V2405" i="2"/>
  <c r="U2405" i="2"/>
  <c r="T2405" i="2"/>
  <c r="S2405" i="2"/>
  <c r="R2405" i="2"/>
  <c r="Q2405" i="2"/>
  <c r="P2405" i="2"/>
  <c r="O2405" i="2"/>
  <c r="N2405" i="2"/>
  <c r="M2405" i="2"/>
  <c r="L2405" i="2"/>
  <c r="K2405" i="2"/>
  <c r="J2405" i="2"/>
  <c r="I2405" i="2"/>
  <c r="H2405" i="2"/>
  <c r="G2405" i="2"/>
  <c r="F2405" i="2"/>
  <c r="E2405" i="2"/>
  <c r="D2405" i="2"/>
  <c r="C2405" i="2"/>
  <c r="B2405" i="2"/>
  <c r="V2404" i="2"/>
  <c r="U2404" i="2"/>
  <c r="T2404" i="2"/>
  <c r="S2404" i="2"/>
  <c r="R2404" i="2"/>
  <c r="Q2404" i="2"/>
  <c r="P2404" i="2"/>
  <c r="O2404" i="2"/>
  <c r="N2404" i="2"/>
  <c r="M2404" i="2"/>
  <c r="L2404" i="2"/>
  <c r="K2404" i="2"/>
  <c r="J2404" i="2"/>
  <c r="I2404" i="2"/>
  <c r="H2404" i="2"/>
  <c r="G2404" i="2"/>
  <c r="F2404" i="2"/>
  <c r="E2404" i="2"/>
  <c r="D2404" i="2"/>
  <c r="C2404" i="2"/>
  <c r="B2404" i="2"/>
  <c r="V2403" i="2"/>
  <c r="U2403" i="2"/>
  <c r="T2403" i="2"/>
  <c r="S2403" i="2"/>
  <c r="R2403" i="2"/>
  <c r="Q2403" i="2"/>
  <c r="P2403" i="2"/>
  <c r="O2403" i="2"/>
  <c r="N2403" i="2"/>
  <c r="M2403" i="2"/>
  <c r="L2403" i="2"/>
  <c r="K2403" i="2"/>
  <c r="J2403" i="2"/>
  <c r="I2403" i="2"/>
  <c r="H2403" i="2"/>
  <c r="G2403" i="2"/>
  <c r="F2403" i="2"/>
  <c r="E2403" i="2"/>
  <c r="D2403" i="2"/>
  <c r="C2403" i="2"/>
  <c r="B2403" i="2"/>
  <c r="V2402" i="2"/>
  <c r="U2402" i="2"/>
  <c r="T2402" i="2"/>
  <c r="S2402" i="2"/>
  <c r="R2402" i="2"/>
  <c r="Q2402" i="2"/>
  <c r="P2402" i="2"/>
  <c r="O2402" i="2"/>
  <c r="N2402" i="2"/>
  <c r="M2402" i="2"/>
  <c r="L2402" i="2"/>
  <c r="K2402" i="2"/>
  <c r="J2402" i="2"/>
  <c r="I2402" i="2"/>
  <c r="H2402" i="2"/>
  <c r="G2402" i="2"/>
  <c r="F2402" i="2"/>
  <c r="E2402" i="2"/>
  <c r="D2402" i="2"/>
  <c r="C2402" i="2"/>
  <c r="B2402" i="2"/>
  <c r="V2401" i="2"/>
  <c r="U2401" i="2"/>
  <c r="T2401" i="2"/>
  <c r="S2401" i="2"/>
  <c r="R2401" i="2"/>
  <c r="Q2401" i="2"/>
  <c r="P2401" i="2"/>
  <c r="O2401" i="2"/>
  <c r="N2401" i="2"/>
  <c r="M2401" i="2"/>
  <c r="L2401" i="2"/>
  <c r="K2401" i="2"/>
  <c r="J2401" i="2"/>
  <c r="I2401" i="2"/>
  <c r="H2401" i="2"/>
  <c r="G2401" i="2"/>
  <c r="F2401" i="2"/>
  <c r="E2401" i="2"/>
  <c r="D2401" i="2"/>
  <c r="C2401" i="2"/>
  <c r="B2401" i="2"/>
  <c r="V2400" i="2"/>
  <c r="U2400" i="2"/>
  <c r="T2400" i="2"/>
  <c r="S2400" i="2"/>
  <c r="R2400" i="2"/>
  <c r="Q2400" i="2"/>
  <c r="P2400" i="2"/>
  <c r="O2400" i="2"/>
  <c r="N2400" i="2"/>
  <c r="M2400" i="2"/>
  <c r="L2400" i="2"/>
  <c r="K2400" i="2"/>
  <c r="J2400" i="2"/>
  <c r="I2400" i="2"/>
  <c r="H2400" i="2"/>
  <c r="G2400" i="2"/>
  <c r="F2400" i="2"/>
  <c r="E2400" i="2"/>
  <c r="D2400" i="2"/>
  <c r="C2400" i="2"/>
  <c r="B2400" i="2"/>
  <c r="V2399" i="2"/>
  <c r="U2399" i="2"/>
  <c r="T2399" i="2"/>
  <c r="S2399" i="2"/>
  <c r="R2399" i="2"/>
  <c r="Q2399" i="2"/>
  <c r="P2399" i="2"/>
  <c r="O2399" i="2"/>
  <c r="N2399" i="2"/>
  <c r="M2399" i="2"/>
  <c r="L2399" i="2"/>
  <c r="K2399" i="2"/>
  <c r="J2399" i="2"/>
  <c r="I2399" i="2"/>
  <c r="H2399" i="2"/>
  <c r="G2399" i="2"/>
  <c r="F2399" i="2"/>
  <c r="E2399" i="2"/>
  <c r="D2399" i="2"/>
  <c r="C2399" i="2"/>
  <c r="B2399" i="2"/>
  <c r="V2398" i="2"/>
  <c r="U2398" i="2"/>
  <c r="T2398" i="2"/>
  <c r="S2398" i="2"/>
  <c r="R2398" i="2"/>
  <c r="Q2398" i="2"/>
  <c r="P2398" i="2"/>
  <c r="O2398" i="2"/>
  <c r="N2398" i="2"/>
  <c r="M2398" i="2"/>
  <c r="L2398" i="2"/>
  <c r="K2398" i="2"/>
  <c r="J2398" i="2"/>
  <c r="I2398" i="2"/>
  <c r="H2398" i="2"/>
  <c r="G2398" i="2"/>
  <c r="F2398" i="2"/>
  <c r="E2398" i="2"/>
  <c r="D2398" i="2"/>
  <c r="C2398" i="2"/>
  <c r="B2398" i="2"/>
  <c r="V2397" i="2"/>
  <c r="U2397" i="2"/>
  <c r="T2397" i="2"/>
  <c r="S2397" i="2"/>
  <c r="R2397" i="2"/>
  <c r="Q2397" i="2"/>
  <c r="P2397" i="2"/>
  <c r="O2397" i="2"/>
  <c r="N2397" i="2"/>
  <c r="M2397" i="2"/>
  <c r="L2397" i="2"/>
  <c r="K2397" i="2"/>
  <c r="J2397" i="2"/>
  <c r="I2397" i="2"/>
  <c r="H2397" i="2"/>
  <c r="G2397" i="2"/>
  <c r="F2397" i="2"/>
  <c r="E2397" i="2"/>
  <c r="D2397" i="2"/>
  <c r="C2397" i="2"/>
  <c r="B2397" i="2"/>
  <c r="V2396" i="2"/>
  <c r="U2396" i="2"/>
  <c r="T2396" i="2"/>
  <c r="S2396" i="2"/>
  <c r="R2396" i="2"/>
  <c r="Q2396" i="2"/>
  <c r="P2396" i="2"/>
  <c r="O2396" i="2"/>
  <c r="N2396" i="2"/>
  <c r="M2396" i="2"/>
  <c r="L2396" i="2"/>
  <c r="K2396" i="2"/>
  <c r="J2396" i="2"/>
  <c r="I2396" i="2"/>
  <c r="H2396" i="2"/>
  <c r="G2396" i="2"/>
  <c r="F2396" i="2"/>
  <c r="E2396" i="2"/>
  <c r="D2396" i="2"/>
  <c r="C2396" i="2"/>
  <c r="B2396" i="2"/>
  <c r="V2395" i="2"/>
  <c r="U2395" i="2"/>
  <c r="T2395" i="2"/>
  <c r="S2395" i="2"/>
  <c r="R2395" i="2"/>
  <c r="Q2395" i="2"/>
  <c r="P2395" i="2"/>
  <c r="O2395" i="2"/>
  <c r="N2395" i="2"/>
  <c r="M2395" i="2"/>
  <c r="L2395" i="2"/>
  <c r="K2395" i="2"/>
  <c r="J2395" i="2"/>
  <c r="I2395" i="2"/>
  <c r="H2395" i="2"/>
  <c r="G2395" i="2"/>
  <c r="F2395" i="2"/>
  <c r="E2395" i="2"/>
  <c r="D2395" i="2"/>
  <c r="C2395" i="2"/>
  <c r="B2395" i="2"/>
  <c r="V2394" i="2"/>
  <c r="U2394" i="2"/>
  <c r="T2394" i="2"/>
  <c r="S2394" i="2"/>
  <c r="R2394" i="2"/>
  <c r="Q2394" i="2"/>
  <c r="P2394" i="2"/>
  <c r="O2394" i="2"/>
  <c r="N2394" i="2"/>
  <c r="M2394" i="2"/>
  <c r="L2394" i="2"/>
  <c r="K2394" i="2"/>
  <c r="J2394" i="2"/>
  <c r="I2394" i="2"/>
  <c r="H2394" i="2"/>
  <c r="G2394" i="2"/>
  <c r="F2394" i="2"/>
  <c r="E2394" i="2"/>
  <c r="D2394" i="2"/>
  <c r="C2394" i="2"/>
  <c r="B2394" i="2"/>
  <c r="V2393" i="2"/>
  <c r="U2393" i="2"/>
  <c r="T2393" i="2"/>
  <c r="S2393" i="2"/>
  <c r="R2393" i="2"/>
  <c r="Q2393" i="2"/>
  <c r="P2393" i="2"/>
  <c r="O2393" i="2"/>
  <c r="N2393" i="2"/>
  <c r="M2393" i="2"/>
  <c r="L2393" i="2"/>
  <c r="K2393" i="2"/>
  <c r="J2393" i="2"/>
  <c r="I2393" i="2"/>
  <c r="H2393" i="2"/>
  <c r="G2393" i="2"/>
  <c r="F2393" i="2"/>
  <c r="E2393" i="2"/>
  <c r="D2393" i="2"/>
  <c r="C2393" i="2"/>
  <c r="B2393" i="2"/>
  <c r="V2392" i="2"/>
  <c r="U2392" i="2"/>
  <c r="T2392" i="2"/>
  <c r="S2392" i="2"/>
  <c r="R2392" i="2"/>
  <c r="Q2392" i="2"/>
  <c r="P2392" i="2"/>
  <c r="O2392" i="2"/>
  <c r="N2392" i="2"/>
  <c r="M2392" i="2"/>
  <c r="L2392" i="2"/>
  <c r="K2392" i="2"/>
  <c r="J2392" i="2"/>
  <c r="I2392" i="2"/>
  <c r="H2392" i="2"/>
  <c r="G2392" i="2"/>
  <c r="F2392" i="2"/>
  <c r="E2392" i="2"/>
  <c r="D2392" i="2"/>
  <c r="C2392" i="2"/>
  <c r="B2392" i="2"/>
  <c r="V2391" i="2"/>
  <c r="U2391" i="2"/>
  <c r="T2391" i="2"/>
  <c r="S2391" i="2"/>
  <c r="R2391" i="2"/>
  <c r="Q2391" i="2"/>
  <c r="P2391" i="2"/>
  <c r="O2391" i="2"/>
  <c r="N2391" i="2"/>
  <c r="M2391" i="2"/>
  <c r="L2391" i="2"/>
  <c r="K2391" i="2"/>
  <c r="J2391" i="2"/>
  <c r="I2391" i="2"/>
  <c r="H2391" i="2"/>
  <c r="G2391" i="2"/>
  <c r="F2391" i="2"/>
  <c r="E2391" i="2"/>
  <c r="D2391" i="2"/>
  <c r="C2391" i="2"/>
  <c r="B2391" i="2"/>
  <c r="V2390" i="2"/>
  <c r="U2390" i="2"/>
  <c r="T2390" i="2"/>
  <c r="S2390" i="2"/>
  <c r="R2390" i="2"/>
  <c r="Q2390" i="2"/>
  <c r="P2390" i="2"/>
  <c r="O2390" i="2"/>
  <c r="N2390" i="2"/>
  <c r="M2390" i="2"/>
  <c r="L2390" i="2"/>
  <c r="K2390" i="2"/>
  <c r="J2390" i="2"/>
  <c r="I2390" i="2"/>
  <c r="H2390" i="2"/>
  <c r="G2390" i="2"/>
  <c r="F2390" i="2"/>
  <c r="E2390" i="2"/>
  <c r="D2390" i="2"/>
  <c r="C2390" i="2"/>
  <c r="B2390" i="2"/>
  <c r="V2389" i="2"/>
  <c r="U2389" i="2"/>
  <c r="T2389" i="2"/>
  <c r="S2389" i="2"/>
  <c r="R2389" i="2"/>
  <c r="Q2389" i="2"/>
  <c r="P2389" i="2"/>
  <c r="O2389" i="2"/>
  <c r="N2389" i="2"/>
  <c r="M2389" i="2"/>
  <c r="L2389" i="2"/>
  <c r="K2389" i="2"/>
  <c r="J2389" i="2"/>
  <c r="I2389" i="2"/>
  <c r="H2389" i="2"/>
  <c r="G2389" i="2"/>
  <c r="F2389" i="2"/>
  <c r="E2389" i="2"/>
  <c r="D2389" i="2"/>
  <c r="C2389" i="2"/>
  <c r="B2389" i="2"/>
  <c r="V2388" i="2"/>
  <c r="U2388" i="2"/>
  <c r="T2388" i="2"/>
  <c r="S2388" i="2"/>
  <c r="R2388" i="2"/>
  <c r="Q2388" i="2"/>
  <c r="P2388" i="2"/>
  <c r="O2388" i="2"/>
  <c r="N2388" i="2"/>
  <c r="M2388" i="2"/>
  <c r="L2388" i="2"/>
  <c r="K2388" i="2"/>
  <c r="J2388" i="2"/>
  <c r="I2388" i="2"/>
  <c r="H2388" i="2"/>
  <c r="G2388" i="2"/>
  <c r="F2388" i="2"/>
  <c r="E2388" i="2"/>
  <c r="D2388" i="2"/>
  <c r="C2388" i="2"/>
  <c r="B2388" i="2"/>
  <c r="V2387" i="2"/>
  <c r="U2387" i="2"/>
  <c r="T2387" i="2"/>
  <c r="S2387" i="2"/>
  <c r="R2387" i="2"/>
  <c r="Q2387" i="2"/>
  <c r="P2387" i="2"/>
  <c r="O2387" i="2"/>
  <c r="N2387" i="2"/>
  <c r="M2387" i="2"/>
  <c r="L2387" i="2"/>
  <c r="K2387" i="2"/>
  <c r="J2387" i="2"/>
  <c r="I2387" i="2"/>
  <c r="H2387" i="2"/>
  <c r="G2387" i="2"/>
  <c r="F2387" i="2"/>
  <c r="E2387" i="2"/>
  <c r="D2387" i="2"/>
  <c r="C2387" i="2"/>
  <c r="B2387" i="2"/>
  <c r="V2386" i="2"/>
  <c r="U2386" i="2"/>
  <c r="T2386" i="2"/>
  <c r="S2386" i="2"/>
  <c r="R2386" i="2"/>
  <c r="Q2386" i="2"/>
  <c r="P2386" i="2"/>
  <c r="O2386" i="2"/>
  <c r="N2386" i="2"/>
  <c r="M2386" i="2"/>
  <c r="L2386" i="2"/>
  <c r="K2386" i="2"/>
  <c r="J2386" i="2"/>
  <c r="I2386" i="2"/>
  <c r="H2386" i="2"/>
  <c r="G2386" i="2"/>
  <c r="F2386" i="2"/>
  <c r="E2386" i="2"/>
  <c r="D2386" i="2"/>
  <c r="C2386" i="2"/>
  <c r="B2386" i="2"/>
  <c r="V2385" i="2"/>
  <c r="U2385" i="2"/>
  <c r="T2385" i="2"/>
  <c r="S2385" i="2"/>
  <c r="R2385" i="2"/>
  <c r="Q2385" i="2"/>
  <c r="P2385" i="2"/>
  <c r="O2385" i="2"/>
  <c r="N2385" i="2"/>
  <c r="M2385" i="2"/>
  <c r="L2385" i="2"/>
  <c r="K2385" i="2"/>
  <c r="J2385" i="2"/>
  <c r="I2385" i="2"/>
  <c r="H2385" i="2"/>
  <c r="G2385" i="2"/>
  <c r="F2385" i="2"/>
  <c r="E2385" i="2"/>
  <c r="D2385" i="2"/>
  <c r="C2385" i="2"/>
  <c r="B2385" i="2"/>
  <c r="V2384" i="2"/>
  <c r="U2384" i="2"/>
  <c r="T2384" i="2"/>
  <c r="S2384" i="2"/>
  <c r="R2384" i="2"/>
  <c r="Q2384" i="2"/>
  <c r="P2384" i="2"/>
  <c r="O2384" i="2"/>
  <c r="N2384" i="2"/>
  <c r="M2384" i="2"/>
  <c r="L2384" i="2"/>
  <c r="K2384" i="2"/>
  <c r="J2384" i="2"/>
  <c r="I2384" i="2"/>
  <c r="H2384" i="2"/>
  <c r="G2384" i="2"/>
  <c r="F2384" i="2"/>
  <c r="E2384" i="2"/>
  <c r="D2384" i="2"/>
  <c r="C2384" i="2"/>
  <c r="B2384" i="2"/>
  <c r="V2383" i="2"/>
  <c r="U2383" i="2"/>
  <c r="T2383" i="2"/>
  <c r="S2383" i="2"/>
  <c r="R2383" i="2"/>
  <c r="Q2383" i="2"/>
  <c r="P2383" i="2"/>
  <c r="O2383" i="2"/>
  <c r="N2383" i="2"/>
  <c r="M2383" i="2"/>
  <c r="L2383" i="2"/>
  <c r="K2383" i="2"/>
  <c r="J2383" i="2"/>
  <c r="I2383" i="2"/>
  <c r="H2383" i="2"/>
  <c r="G2383" i="2"/>
  <c r="F2383" i="2"/>
  <c r="E2383" i="2"/>
  <c r="D2383" i="2"/>
  <c r="C2383" i="2"/>
  <c r="B2383" i="2"/>
  <c r="V2382" i="2"/>
  <c r="U2382" i="2"/>
  <c r="T2382" i="2"/>
  <c r="S2382" i="2"/>
  <c r="R2382" i="2"/>
  <c r="Q2382" i="2"/>
  <c r="P2382" i="2"/>
  <c r="O2382" i="2"/>
  <c r="N2382" i="2"/>
  <c r="M2382" i="2"/>
  <c r="L2382" i="2"/>
  <c r="K2382" i="2"/>
  <c r="J2382" i="2"/>
  <c r="I2382" i="2"/>
  <c r="H2382" i="2"/>
  <c r="G2382" i="2"/>
  <c r="F2382" i="2"/>
  <c r="E2382" i="2"/>
  <c r="D2382" i="2"/>
  <c r="C2382" i="2"/>
  <c r="B2382" i="2"/>
  <c r="V2381" i="2"/>
  <c r="U2381" i="2"/>
  <c r="T2381" i="2"/>
  <c r="S2381" i="2"/>
  <c r="R2381" i="2"/>
  <c r="Q2381" i="2"/>
  <c r="P2381" i="2"/>
  <c r="O2381" i="2"/>
  <c r="N2381" i="2"/>
  <c r="M2381" i="2"/>
  <c r="L2381" i="2"/>
  <c r="K2381" i="2"/>
  <c r="J2381" i="2"/>
  <c r="I2381" i="2"/>
  <c r="H2381" i="2"/>
  <c r="G2381" i="2"/>
  <c r="F2381" i="2"/>
  <c r="E2381" i="2"/>
  <c r="D2381" i="2"/>
  <c r="C2381" i="2"/>
  <c r="B2381" i="2"/>
  <c r="V2380" i="2"/>
  <c r="U2380" i="2"/>
  <c r="T2380" i="2"/>
  <c r="S2380" i="2"/>
  <c r="R2380" i="2"/>
  <c r="Q2380" i="2"/>
  <c r="P2380" i="2"/>
  <c r="O2380" i="2"/>
  <c r="N2380" i="2"/>
  <c r="M2380" i="2"/>
  <c r="L2380" i="2"/>
  <c r="K2380" i="2"/>
  <c r="J2380" i="2"/>
  <c r="I2380" i="2"/>
  <c r="H2380" i="2"/>
  <c r="G2380" i="2"/>
  <c r="F2380" i="2"/>
  <c r="E2380" i="2"/>
  <c r="D2380" i="2"/>
  <c r="C2380" i="2"/>
  <c r="B2380" i="2"/>
  <c r="V2379" i="2"/>
  <c r="U2379" i="2"/>
  <c r="T2379" i="2"/>
  <c r="S2379" i="2"/>
  <c r="R2379" i="2"/>
  <c r="Q2379" i="2"/>
  <c r="P2379" i="2"/>
  <c r="O2379" i="2"/>
  <c r="N2379" i="2"/>
  <c r="M2379" i="2"/>
  <c r="L2379" i="2"/>
  <c r="K2379" i="2"/>
  <c r="J2379" i="2"/>
  <c r="I2379" i="2"/>
  <c r="H2379" i="2"/>
  <c r="G2379" i="2"/>
  <c r="F2379" i="2"/>
  <c r="E2379" i="2"/>
  <c r="D2379" i="2"/>
  <c r="C2379" i="2"/>
  <c r="B2379" i="2"/>
  <c r="V2378" i="2"/>
  <c r="U2378" i="2"/>
  <c r="T2378" i="2"/>
  <c r="S2378" i="2"/>
  <c r="R2378" i="2"/>
  <c r="Q2378" i="2"/>
  <c r="P2378" i="2"/>
  <c r="O2378" i="2"/>
  <c r="N2378" i="2"/>
  <c r="M2378" i="2"/>
  <c r="L2378" i="2"/>
  <c r="K2378" i="2"/>
  <c r="J2378" i="2"/>
  <c r="I2378" i="2"/>
  <c r="H2378" i="2"/>
  <c r="G2378" i="2"/>
  <c r="F2378" i="2"/>
  <c r="E2378" i="2"/>
  <c r="D2378" i="2"/>
  <c r="C2378" i="2"/>
  <c r="B2378" i="2"/>
  <c r="V2377" i="2"/>
  <c r="U2377" i="2"/>
  <c r="T2377" i="2"/>
  <c r="S2377" i="2"/>
  <c r="R2377" i="2"/>
  <c r="Q2377" i="2"/>
  <c r="P2377" i="2"/>
  <c r="O2377" i="2"/>
  <c r="N2377" i="2"/>
  <c r="M2377" i="2"/>
  <c r="L2377" i="2"/>
  <c r="K2377" i="2"/>
  <c r="J2377" i="2"/>
  <c r="I2377" i="2"/>
  <c r="H2377" i="2"/>
  <c r="G2377" i="2"/>
  <c r="F2377" i="2"/>
  <c r="E2377" i="2"/>
  <c r="D2377" i="2"/>
  <c r="C2377" i="2"/>
  <c r="B2377" i="2"/>
  <c r="V2376" i="2"/>
  <c r="U2376" i="2"/>
  <c r="T2376" i="2"/>
  <c r="S2376" i="2"/>
  <c r="R2376" i="2"/>
  <c r="Q2376" i="2"/>
  <c r="P2376" i="2"/>
  <c r="O2376" i="2"/>
  <c r="N2376" i="2"/>
  <c r="M2376" i="2"/>
  <c r="L2376" i="2"/>
  <c r="K2376" i="2"/>
  <c r="J2376" i="2"/>
  <c r="I2376" i="2"/>
  <c r="H2376" i="2"/>
  <c r="G2376" i="2"/>
  <c r="F2376" i="2"/>
  <c r="E2376" i="2"/>
  <c r="D2376" i="2"/>
  <c r="C2376" i="2"/>
  <c r="B2376" i="2"/>
  <c r="V2375" i="2"/>
  <c r="U2375" i="2"/>
  <c r="T2375" i="2"/>
  <c r="S2375" i="2"/>
  <c r="R2375" i="2"/>
  <c r="Q2375" i="2"/>
  <c r="P2375" i="2"/>
  <c r="O2375" i="2"/>
  <c r="N2375" i="2"/>
  <c r="M2375" i="2"/>
  <c r="L2375" i="2"/>
  <c r="K2375" i="2"/>
  <c r="J2375" i="2"/>
  <c r="I2375" i="2"/>
  <c r="H2375" i="2"/>
  <c r="G2375" i="2"/>
  <c r="F2375" i="2"/>
  <c r="E2375" i="2"/>
  <c r="D2375" i="2"/>
  <c r="C2375" i="2"/>
  <c r="B2375" i="2"/>
  <c r="V2374" i="2"/>
  <c r="U2374" i="2"/>
  <c r="T2374" i="2"/>
  <c r="S2374" i="2"/>
  <c r="R2374" i="2"/>
  <c r="Q2374" i="2"/>
  <c r="P2374" i="2"/>
  <c r="O2374" i="2"/>
  <c r="N2374" i="2"/>
  <c r="M2374" i="2"/>
  <c r="L2374" i="2"/>
  <c r="K2374" i="2"/>
  <c r="J2374" i="2"/>
  <c r="I2374" i="2"/>
  <c r="H2374" i="2"/>
  <c r="G2374" i="2"/>
  <c r="F2374" i="2"/>
  <c r="E2374" i="2"/>
  <c r="D2374" i="2"/>
  <c r="C2374" i="2"/>
  <c r="B2374" i="2"/>
  <c r="V2373" i="2"/>
  <c r="U2373" i="2"/>
  <c r="T2373" i="2"/>
  <c r="S2373" i="2"/>
  <c r="R2373" i="2"/>
  <c r="Q2373" i="2"/>
  <c r="P2373" i="2"/>
  <c r="O2373" i="2"/>
  <c r="N2373" i="2"/>
  <c r="M2373" i="2"/>
  <c r="L2373" i="2"/>
  <c r="K2373" i="2"/>
  <c r="J2373" i="2"/>
  <c r="I2373" i="2"/>
  <c r="H2373" i="2"/>
  <c r="G2373" i="2"/>
  <c r="F2373" i="2"/>
  <c r="E2373" i="2"/>
  <c r="D2373" i="2"/>
  <c r="C2373" i="2"/>
  <c r="B2373" i="2"/>
  <c r="V2372" i="2"/>
  <c r="U2372" i="2"/>
  <c r="T2372" i="2"/>
  <c r="S2372" i="2"/>
  <c r="R2372" i="2"/>
  <c r="Q2372" i="2"/>
  <c r="P2372" i="2"/>
  <c r="O2372" i="2"/>
  <c r="N2372" i="2"/>
  <c r="M2372" i="2"/>
  <c r="L2372" i="2"/>
  <c r="K2372" i="2"/>
  <c r="J2372" i="2"/>
  <c r="I2372" i="2"/>
  <c r="H2372" i="2"/>
  <c r="G2372" i="2"/>
  <c r="F2372" i="2"/>
  <c r="E2372" i="2"/>
  <c r="D2372" i="2"/>
  <c r="C2372" i="2"/>
  <c r="B2372" i="2"/>
  <c r="V2371" i="2"/>
  <c r="U2371" i="2"/>
  <c r="T2371" i="2"/>
  <c r="S2371" i="2"/>
  <c r="R2371" i="2"/>
  <c r="Q2371" i="2"/>
  <c r="P2371" i="2"/>
  <c r="O2371" i="2"/>
  <c r="N2371" i="2"/>
  <c r="M2371" i="2"/>
  <c r="L2371" i="2"/>
  <c r="K2371" i="2"/>
  <c r="J2371" i="2"/>
  <c r="I2371" i="2"/>
  <c r="H2371" i="2"/>
  <c r="G2371" i="2"/>
  <c r="F2371" i="2"/>
  <c r="E2371" i="2"/>
  <c r="D2371" i="2"/>
  <c r="C2371" i="2"/>
  <c r="B2371" i="2"/>
  <c r="V2370" i="2"/>
  <c r="U2370" i="2"/>
  <c r="T2370" i="2"/>
  <c r="S2370" i="2"/>
  <c r="R2370" i="2"/>
  <c r="Q2370" i="2"/>
  <c r="P2370" i="2"/>
  <c r="O2370" i="2"/>
  <c r="N2370" i="2"/>
  <c r="M2370" i="2"/>
  <c r="L2370" i="2"/>
  <c r="K2370" i="2"/>
  <c r="J2370" i="2"/>
  <c r="I2370" i="2"/>
  <c r="H2370" i="2"/>
  <c r="G2370" i="2"/>
  <c r="F2370" i="2"/>
  <c r="E2370" i="2"/>
  <c r="D2370" i="2"/>
  <c r="C2370" i="2"/>
  <c r="B2370" i="2"/>
  <c r="V2369" i="2"/>
  <c r="U2369" i="2"/>
  <c r="T2369" i="2"/>
  <c r="S2369" i="2"/>
  <c r="R2369" i="2"/>
  <c r="Q2369" i="2"/>
  <c r="P2369" i="2"/>
  <c r="O2369" i="2"/>
  <c r="N2369" i="2"/>
  <c r="M2369" i="2"/>
  <c r="L2369" i="2"/>
  <c r="K2369" i="2"/>
  <c r="J2369" i="2"/>
  <c r="I2369" i="2"/>
  <c r="H2369" i="2"/>
  <c r="G2369" i="2"/>
  <c r="F2369" i="2"/>
  <c r="E2369" i="2"/>
  <c r="D2369" i="2"/>
  <c r="C2369" i="2"/>
  <c r="B2369" i="2"/>
  <c r="V2368" i="2"/>
  <c r="U2368" i="2"/>
  <c r="T2368" i="2"/>
  <c r="S2368" i="2"/>
  <c r="R2368" i="2"/>
  <c r="Q2368" i="2"/>
  <c r="P2368" i="2"/>
  <c r="O2368" i="2"/>
  <c r="N2368" i="2"/>
  <c r="M2368" i="2"/>
  <c r="L2368" i="2"/>
  <c r="K2368" i="2"/>
  <c r="J2368" i="2"/>
  <c r="I2368" i="2"/>
  <c r="H2368" i="2"/>
  <c r="G2368" i="2"/>
  <c r="F2368" i="2"/>
  <c r="E2368" i="2"/>
  <c r="D2368" i="2"/>
  <c r="C2368" i="2"/>
  <c r="B2368" i="2"/>
  <c r="V2367" i="2"/>
  <c r="U2367" i="2"/>
  <c r="T2367" i="2"/>
  <c r="S2367" i="2"/>
  <c r="R2367" i="2"/>
  <c r="Q2367" i="2"/>
  <c r="P2367" i="2"/>
  <c r="O2367" i="2"/>
  <c r="N2367" i="2"/>
  <c r="M2367" i="2"/>
  <c r="L2367" i="2"/>
  <c r="K2367" i="2"/>
  <c r="J2367" i="2"/>
  <c r="I2367" i="2"/>
  <c r="H2367" i="2"/>
  <c r="G2367" i="2"/>
  <c r="F2367" i="2"/>
  <c r="E2367" i="2"/>
  <c r="D2367" i="2"/>
  <c r="C2367" i="2"/>
  <c r="B2367" i="2"/>
  <c r="V2366" i="2"/>
  <c r="U2366" i="2"/>
  <c r="T2366" i="2"/>
  <c r="S2366" i="2"/>
  <c r="R2366" i="2"/>
  <c r="Q2366" i="2"/>
  <c r="P2366" i="2"/>
  <c r="O2366" i="2"/>
  <c r="N2366" i="2"/>
  <c r="M2366" i="2"/>
  <c r="L2366" i="2"/>
  <c r="K2366" i="2"/>
  <c r="J2366" i="2"/>
  <c r="I2366" i="2"/>
  <c r="H2366" i="2"/>
  <c r="G2366" i="2"/>
  <c r="F2366" i="2"/>
  <c r="E2366" i="2"/>
  <c r="D2366" i="2"/>
  <c r="C2366" i="2"/>
  <c r="B2366" i="2"/>
  <c r="V2365" i="2"/>
  <c r="U2365" i="2"/>
  <c r="T2365" i="2"/>
  <c r="S2365" i="2"/>
  <c r="R2365" i="2"/>
  <c r="Q2365" i="2"/>
  <c r="P2365" i="2"/>
  <c r="O2365" i="2"/>
  <c r="N2365" i="2"/>
  <c r="M2365" i="2"/>
  <c r="L2365" i="2"/>
  <c r="K2365" i="2"/>
  <c r="J2365" i="2"/>
  <c r="I2365" i="2"/>
  <c r="H2365" i="2"/>
  <c r="G2365" i="2"/>
  <c r="F2365" i="2"/>
  <c r="E2365" i="2"/>
  <c r="D2365" i="2"/>
  <c r="C2365" i="2"/>
  <c r="B2365" i="2"/>
  <c r="V2364" i="2"/>
  <c r="U2364" i="2"/>
  <c r="T2364" i="2"/>
  <c r="S2364" i="2"/>
  <c r="R2364" i="2"/>
  <c r="Q2364" i="2"/>
  <c r="P2364" i="2"/>
  <c r="O2364" i="2"/>
  <c r="N2364" i="2"/>
  <c r="M2364" i="2"/>
  <c r="L2364" i="2"/>
  <c r="K2364" i="2"/>
  <c r="J2364" i="2"/>
  <c r="I2364" i="2"/>
  <c r="H2364" i="2"/>
  <c r="G2364" i="2"/>
  <c r="F2364" i="2"/>
  <c r="E2364" i="2"/>
  <c r="D2364" i="2"/>
  <c r="C2364" i="2"/>
  <c r="B2364" i="2"/>
  <c r="V2363" i="2"/>
  <c r="U2363" i="2"/>
  <c r="T2363" i="2"/>
  <c r="S2363" i="2"/>
  <c r="R2363" i="2"/>
  <c r="Q2363" i="2"/>
  <c r="P2363" i="2"/>
  <c r="O2363" i="2"/>
  <c r="N2363" i="2"/>
  <c r="M2363" i="2"/>
  <c r="L2363" i="2"/>
  <c r="K2363" i="2"/>
  <c r="J2363" i="2"/>
  <c r="I2363" i="2"/>
  <c r="H2363" i="2"/>
  <c r="G2363" i="2"/>
  <c r="F2363" i="2"/>
  <c r="E2363" i="2"/>
  <c r="D2363" i="2"/>
  <c r="C2363" i="2"/>
  <c r="B2363" i="2"/>
  <c r="V2362" i="2"/>
  <c r="U2362" i="2"/>
  <c r="T2362" i="2"/>
  <c r="S2362" i="2"/>
  <c r="R2362" i="2"/>
  <c r="Q2362" i="2"/>
  <c r="P2362" i="2"/>
  <c r="O2362" i="2"/>
  <c r="N2362" i="2"/>
  <c r="M2362" i="2"/>
  <c r="L2362" i="2"/>
  <c r="K2362" i="2"/>
  <c r="J2362" i="2"/>
  <c r="I2362" i="2"/>
  <c r="H2362" i="2"/>
  <c r="G2362" i="2"/>
  <c r="F2362" i="2"/>
  <c r="E2362" i="2"/>
  <c r="D2362" i="2"/>
  <c r="C2362" i="2"/>
  <c r="B2362" i="2"/>
  <c r="V2361" i="2"/>
  <c r="U2361" i="2"/>
  <c r="T2361" i="2"/>
  <c r="S2361" i="2"/>
  <c r="R2361" i="2"/>
  <c r="Q2361" i="2"/>
  <c r="P2361" i="2"/>
  <c r="O2361" i="2"/>
  <c r="N2361" i="2"/>
  <c r="M2361" i="2"/>
  <c r="L2361" i="2"/>
  <c r="K2361" i="2"/>
  <c r="J2361" i="2"/>
  <c r="I2361" i="2"/>
  <c r="H2361" i="2"/>
  <c r="G2361" i="2"/>
  <c r="F2361" i="2"/>
  <c r="E2361" i="2"/>
  <c r="D2361" i="2"/>
  <c r="C2361" i="2"/>
  <c r="B2361" i="2"/>
  <c r="V2360" i="2"/>
  <c r="U2360" i="2"/>
  <c r="T2360" i="2"/>
  <c r="S2360" i="2"/>
  <c r="R2360" i="2"/>
  <c r="Q2360" i="2"/>
  <c r="P2360" i="2"/>
  <c r="O2360" i="2"/>
  <c r="N2360" i="2"/>
  <c r="M2360" i="2"/>
  <c r="L2360" i="2"/>
  <c r="K2360" i="2"/>
  <c r="J2360" i="2"/>
  <c r="I2360" i="2"/>
  <c r="H2360" i="2"/>
  <c r="G2360" i="2"/>
  <c r="F2360" i="2"/>
  <c r="E2360" i="2"/>
  <c r="D2360" i="2"/>
  <c r="C2360" i="2"/>
  <c r="B2360" i="2"/>
  <c r="V2359" i="2"/>
  <c r="U2359" i="2"/>
  <c r="T2359" i="2"/>
  <c r="S2359" i="2"/>
  <c r="R2359" i="2"/>
  <c r="Q2359" i="2"/>
  <c r="P2359" i="2"/>
  <c r="O2359" i="2"/>
  <c r="N2359" i="2"/>
  <c r="M2359" i="2"/>
  <c r="L2359" i="2"/>
  <c r="K2359" i="2"/>
  <c r="J2359" i="2"/>
  <c r="I2359" i="2"/>
  <c r="H2359" i="2"/>
  <c r="G2359" i="2"/>
  <c r="F2359" i="2"/>
  <c r="E2359" i="2"/>
  <c r="D2359" i="2"/>
  <c r="C2359" i="2"/>
  <c r="B2359" i="2"/>
  <c r="V2358" i="2"/>
  <c r="U2358" i="2"/>
  <c r="T2358" i="2"/>
  <c r="S2358" i="2"/>
  <c r="R2358" i="2"/>
  <c r="Q2358" i="2"/>
  <c r="P2358" i="2"/>
  <c r="O2358" i="2"/>
  <c r="N2358" i="2"/>
  <c r="M2358" i="2"/>
  <c r="L2358" i="2"/>
  <c r="K2358" i="2"/>
  <c r="J2358" i="2"/>
  <c r="I2358" i="2"/>
  <c r="H2358" i="2"/>
  <c r="G2358" i="2"/>
  <c r="F2358" i="2"/>
  <c r="E2358" i="2"/>
  <c r="D2358" i="2"/>
  <c r="C2358" i="2"/>
  <c r="B2358" i="2"/>
  <c r="V2357" i="2"/>
  <c r="U2357" i="2"/>
  <c r="T2357" i="2"/>
  <c r="S2357" i="2"/>
  <c r="R2357" i="2"/>
  <c r="Q2357" i="2"/>
  <c r="P2357" i="2"/>
  <c r="O2357" i="2"/>
  <c r="N2357" i="2"/>
  <c r="M2357" i="2"/>
  <c r="L2357" i="2"/>
  <c r="K2357" i="2"/>
  <c r="J2357" i="2"/>
  <c r="I2357" i="2"/>
  <c r="H2357" i="2"/>
  <c r="G2357" i="2"/>
  <c r="F2357" i="2"/>
  <c r="E2357" i="2"/>
  <c r="D2357" i="2"/>
  <c r="C2357" i="2"/>
  <c r="B2357" i="2"/>
  <c r="V2356" i="2"/>
  <c r="U2356" i="2"/>
  <c r="T2356" i="2"/>
  <c r="S2356" i="2"/>
  <c r="R2356" i="2"/>
  <c r="Q2356" i="2"/>
  <c r="P2356" i="2"/>
  <c r="O2356" i="2"/>
  <c r="N2356" i="2"/>
  <c r="M2356" i="2"/>
  <c r="L2356" i="2"/>
  <c r="K2356" i="2"/>
  <c r="J2356" i="2"/>
  <c r="I2356" i="2"/>
  <c r="H2356" i="2"/>
  <c r="G2356" i="2"/>
  <c r="F2356" i="2"/>
  <c r="E2356" i="2"/>
  <c r="D2356" i="2"/>
  <c r="C2356" i="2"/>
  <c r="B2356" i="2"/>
  <c r="V2355" i="2"/>
  <c r="U2355" i="2"/>
  <c r="T2355" i="2"/>
  <c r="S2355" i="2"/>
  <c r="R2355" i="2"/>
  <c r="Q2355" i="2"/>
  <c r="P2355" i="2"/>
  <c r="O2355" i="2"/>
  <c r="N2355" i="2"/>
  <c r="M2355" i="2"/>
  <c r="L2355" i="2"/>
  <c r="K2355" i="2"/>
  <c r="J2355" i="2"/>
  <c r="I2355" i="2"/>
  <c r="H2355" i="2"/>
  <c r="G2355" i="2"/>
  <c r="F2355" i="2"/>
  <c r="E2355" i="2"/>
  <c r="D2355" i="2"/>
  <c r="C2355" i="2"/>
  <c r="B2355" i="2"/>
  <c r="V2354" i="2"/>
  <c r="U2354" i="2"/>
  <c r="T2354" i="2"/>
  <c r="S2354" i="2"/>
  <c r="R2354" i="2"/>
  <c r="Q2354" i="2"/>
  <c r="P2354" i="2"/>
  <c r="O2354" i="2"/>
  <c r="N2354" i="2"/>
  <c r="M2354" i="2"/>
  <c r="L2354" i="2"/>
  <c r="K2354" i="2"/>
  <c r="J2354" i="2"/>
  <c r="I2354" i="2"/>
  <c r="H2354" i="2"/>
  <c r="G2354" i="2"/>
  <c r="F2354" i="2"/>
  <c r="E2354" i="2"/>
  <c r="D2354" i="2"/>
  <c r="C2354" i="2"/>
  <c r="B2354" i="2"/>
  <c r="V2353" i="2"/>
  <c r="U2353" i="2"/>
  <c r="T2353" i="2"/>
  <c r="S2353" i="2"/>
  <c r="R2353" i="2"/>
  <c r="Q2353" i="2"/>
  <c r="P2353" i="2"/>
  <c r="O2353" i="2"/>
  <c r="N2353" i="2"/>
  <c r="M2353" i="2"/>
  <c r="L2353" i="2"/>
  <c r="K2353" i="2"/>
  <c r="J2353" i="2"/>
  <c r="I2353" i="2"/>
  <c r="H2353" i="2"/>
  <c r="G2353" i="2"/>
  <c r="F2353" i="2"/>
  <c r="E2353" i="2"/>
  <c r="D2353" i="2"/>
  <c r="C2353" i="2"/>
  <c r="B2353" i="2"/>
  <c r="V2352" i="2"/>
  <c r="U2352" i="2"/>
  <c r="T2352" i="2"/>
  <c r="S2352" i="2"/>
  <c r="R2352" i="2"/>
  <c r="Q2352" i="2"/>
  <c r="P2352" i="2"/>
  <c r="O2352" i="2"/>
  <c r="N2352" i="2"/>
  <c r="M2352" i="2"/>
  <c r="L2352" i="2"/>
  <c r="K2352" i="2"/>
  <c r="J2352" i="2"/>
  <c r="I2352" i="2"/>
  <c r="H2352" i="2"/>
  <c r="G2352" i="2"/>
  <c r="F2352" i="2"/>
  <c r="E2352" i="2"/>
  <c r="D2352" i="2"/>
  <c r="C2352" i="2"/>
  <c r="B2352" i="2"/>
  <c r="V2351" i="2"/>
  <c r="U2351" i="2"/>
  <c r="T2351" i="2"/>
  <c r="S2351" i="2"/>
  <c r="R2351" i="2"/>
  <c r="Q2351" i="2"/>
  <c r="P2351" i="2"/>
  <c r="O2351" i="2"/>
  <c r="N2351" i="2"/>
  <c r="M2351" i="2"/>
  <c r="L2351" i="2"/>
  <c r="K2351" i="2"/>
  <c r="J2351" i="2"/>
  <c r="I2351" i="2"/>
  <c r="H2351" i="2"/>
  <c r="G2351" i="2"/>
  <c r="F2351" i="2"/>
  <c r="E2351" i="2"/>
  <c r="D2351" i="2"/>
  <c r="C2351" i="2"/>
  <c r="B2351" i="2"/>
  <c r="V2350" i="2"/>
  <c r="U2350" i="2"/>
  <c r="T2350" i="2"/>
  <c r="S2350" i="2"/>
  <c r="R2350" i="2"/>
  <c r="Q2350" i="2"/>
  <c r="P2350" i="2"/>
  <c r="O2350" i="2"/>
  <c r="N2350" i="2"/>
  <c r="M2350" i="2"/>
  <c r="L2350" i="2"/>
  <c r="K2350" i="2"/>
  <c r="J2350" i="2"/>
  <c r="I2350" i="2"/>
  <c r="H2350" i="2"/>
  <c r="G2350" i="2"/>
  <c r="F2350" i="2"/>
  <c r="E2350" i="2"/>
  <c r="D2350" i="2"/>
  <c r="C2350" i="2"/>
  <c r="B2350" i="2"/>
  <c r="V2349" i="2"/>
  <c r="U2349" i="2"/>
  <c r="T2349" i="2"/>
  <c r="S2349" i="2"/>
  <c r="R2349" i="2"/>
  <c r="Q2349" i="2"/>
  <c r="P2349" i="2"/>
  <c r="O2349" i="2"/>
  <c r="N2349" i="2"/>
  <c r="M2349" i="2"/>
  <c r="L2349" i="2"/>
  <c r="K2349" i="2"/>
  <c r="J2349" i="2"/>
  <c r="I2349" i="2"/>
  <c r="H2349" i="2"/>
  <c r="G2349" i="2"/>
  <c r="F2349" i="2"/>
  <c r="E2349" i="2"/>
  <c r="D2349" i="2"/>
  <c r="C2349" i="2"/>
  <c r="B2349" i="2"/>
  <c r="V2348" i="2"/>
  <c r="U2348" i="2"/>
  <c r="T2348" i="2"/>
  <c r="S2348" i="2"/>
  <c r="R2348" i="2"/>
  <c r="Q2348" i="2"/>
  <c r="P2348" i="2"/>
  <c r="O2348" i="2"/>
  <c r="N2348" i="2"/>
  <c r="M2348" i="2"/>
  <c r="L2348" i="2"/>
  <c r="K2348" i="2"/>
  <c r="J2348" i="2"/>
  <c r="I2348" i="2"/>
  <c r="H2348" i="2"/>
  <c r="G2348" i="2"/>
  <c r="F2348" i="2"/>
  <c r="E2348" i="2"/>
  <c r="D2348" i="2"/>
  <c r="C2348" i="2"/>
  <c r="B2348" i="2"/>
  <c r="V2347" i="2"/>
  <c r="U2347" i="2"/>
  <c r="T2347" i="2"/>
  <c r="S2347" i="2"/>
  <c r="R2347" i="2"/>
  <c r="Q2347" i="2"/>
  <c r="P2347" i="2"/>
  <c r="O2347" i="2"/>
  <c r="N2347" i="2"/>
  <c r="M2347" i="2"/>
  <c r="L2347" i="2"/>
  <c r="K2347" i="2"/>
  <c r="J2347" i="2"/>
  <c r="I2347" i="2"/>
  <c r="H2347" i="2"/>
  <c r="G2347" i="2"/>
  <c r="F2347" i="2"/>
  <c r="E2347" i="2"/>
  <c r="D2347" i="2"/>
  <c r="C2347" i="2"/>
  <c r="B2347" i="2"/>
  <c r="V2346" i="2"/>
  <c r="U2346" i="2"/>
  <c r="T2346" i="2"/>
  <c r="S2346" i="2"/>
  <c r="R2346" i="2"/>
  <c r="Q2346" i="2"/>
  <c r="P2346" i="2"/>
  <c r="O2346" i="2"/>
  <c r="N2346" i="2"/>
  <c r="M2346" i="2"/>
  <c r="L2346" i="2"/>
  <c r="K2346" i="2"/>
  <c r="J2346" i="2"/>
  <c r="I2346" i="2"/>
  <c r="H2346" i="2"/>
  <c r="G2346" i="2"/>
  <c r="F2346" i="2"/>
  <c r="E2346" i="2"/>
  <c r="D2346" i="2"/>
  <c r="C2346" i="2"/>
  <c r="B2346" i="2"/>
  <c r="V2345" i="2"/>
  <c r="U2345" i="2"/>
  <c r="T2345" i="2"/>
  <c r="S2345" i="2"/>
  <c r="R2345" i="2"/>
  <c r="Q2345" i="2"/>
  <c r="P2345" i="2"/>
  <c r="O2345" i="2"/>
  <c r="N2345" i="2"/>
  <c r="M2345" i="2"/>
  <c r="L2345" i="2"/>
  <c r="K2345" i="2"/>
  <c r="J2345" i="2"/>
  <c r="I2345" i="2"/>
  <c r="H2345" i="2"/>
  <c r="G2345" i="2"/>
  <c r="F2345" i="2"/>
  <c r="E2345" i="2"/>
  <c r="D2345" i="2"/>
  <c r="C2345" i="2"/>
  <c r="B2345" i="2"/>
  <c r="V2344" i="2"/>
  <c r="U2344" i="2"/>
  <c r="T2344" i="2"/>
  <c r="S2344" i="2"/>
  <c r="R2344" i="2"/>
  <c r="Q2344" i="2"/>
  <c r="P2344" i="2"/>
  <c r="O2344" i="2"/>
  <c r="N2344" i="2"/>
  <c r="M2344" i="2"/>
  <c r="L2344" i="2"/>
  <c r="K2344" i="2"/>
  <c r="J2344" i="2"/>
  <c r="I2344" i="2"/>
  <c r="H2344" i="2"/>
  <c r="G2344" i="2"/>
  <c r="F2344" i="2"/>
  <c r="E2344" i="2"/>
  <c r="D2344" i="2"/>
  <c r="C2344" i="2"/>
  <c r="B2344" i="2"/>
  <c r="V2343" i="2"/>
  <c r="U2343" i="2"/>
  <c r="T2343" i="2"/>
  <c r="S2343" i="2"/>
  <c r="R2343" i="2"/>
  <c r="Q2343" i="2"/>
  <c r="P2343" i="2"/>
  <c r="O2343" i="2"/>
  <c r="N2343" i="2"/>
  <c r="M2343" i="2"/>
  <c r="L2343" i="2"/>
  <c r="K2343" i="2"/>
  <c r="J2343" i="2"/>
  <c r="I2343" i="2"/>
  <c r="H2343" i="2"/>
  <c r="G2343" i="2"/>
  <c r="F2343" i="2"/>
  <c r="E2343" i="2"/>
  <c r="D2343" i="2"/>
  <c r="C2343" i="2"/>
  <c r="B2343" i="2"/>
  <c r="V2342" i="2"/>
  <c r="U2342" i="2"/>
  <c r="T2342" i="2"/>
  <c r="S2342" i="2"/>
  <c r="R2342" i="2"/>
  <c r="Q2342" i="2"/>
  <c r="P2342" i="2"/>
  <c r="O2342" i="2"/>
  <c r="N2342" i="2"/>
  <c r="M2342" i="2"/>
  <c r="L2342" i="2"/>
  <c r="K2342" i="2"/>
  <c r="J2342" i="2"/>
  <c r="I2342" i="2"/>
  <c r="H2342" i="2"/>
  <c r="G2342" i="2"/>
  <c r="F2342" i="2"/>
  <c r="E2342" i="2"/>
  <c r="D2342" i="2"/>
  <c r="C2342" i="2"/>
  <c r="B2342" i="2"/>
  <c r="V2341" i="2"/>
  <c r="U2341" i="2"/>
  <c r="T2341" i="2"/>
  <c r="S2341" i="2"/>
  <c r="R2341" i="2"/>
  <c r="Q2341" i="2"/>
  <c r="P2341" i="2"/>
  <c r="O2341" i="2"/>
  <c r="N2341" i="2"/>
  <c r="M2341" i="2"/>
  <c r="L2341" i="2"/>
  <c r="K2341" i="2"/>
  <c r="J2341" i="2"/>
  <c r="I2341" i="2"/>
  <c r="H2341" i="2"/>
  <c r="G2341" i="2"/>
  <c r="F2341" i="2"/>
  <c r="E2341" i="2"/>
  <c r="D2341" i="2"/>
  <c r="C2341" i="2"/>
  <c r="B2341" i="2"/>
  <c r="V2340" i="2"/>
  <c r="U2340" i="2"/>
  <c r="T2340" i="2"/>
  <c r="S2340" i="2"/>
  <c r="R2340" i="2"/>
  <c r="Q2340" i="2"/>
  <c r="P2340" i="2"/>
  <c r="O2340" i="2"/>
  <c r="N2340" i="2"/>
  <c r="M2340" i="2"/>
  <c r="L2340" i="2"/>
  <c r="K2340" i="2"/>
  <c r="J2340" i="2"/>
  <c r="I2340" i="2"/>
  <c r="H2340" i="2"/>
  <c r="G2340" i="2"/>
  <c r="F2340" i="2"/>
  <c r="E2340" i="2"/>
  <c r="D2340" i="2"/>
  <c r="C2340" i="2"/>
  <c r="B2340" i="2"/>
  <c r="V2339" i="2"/>
  <c r="U2339" i="2"/>
  <c r="T2339" i="2"/>
  <c r="S2339" i="2"/>
  <c r="R2339" i="2"/>
  <c r="Q2339" i="2"/>
  <c r="P2339" i="2"/>
  <c r="O2339" i="2"/>
  <c r="N2339" i="2"/>
  <c r="M2339" i="2"/>
  <c r="L2339" i="2"/>
  <c r="K2339" i="2"/>
  <c r="J2339" i="2"/>
  <c r="I2339" i="2"/>
  <c r="H2339" i="2"/>
  <c r="G2339" i="2"/>
  <c r="F2339" i="2"/>
  <c r="E2339" i="2"/>
  <c r="D2339" i="2"/>
  <c r="C2339" i="2"/>
  <c r="B2339" i="2"/>
  <c r="V2338" i="2"/>
  <c r="U2338" i="2"/>
  <c r="T2338" i="2"/>
  <c r="S2338" i="2"/>
  <c r="R2338" i="2"/>
  <c r="Q2338" i="2"/>
  <c r="P2338" i="2"/>
  <c r="O2338" i="2"/>
  <c r="N2338" i="2"/>
  <c r="M2338" i="2"/>
  <c r="L2338" i="2"/>
  <c r="K2338" i="2"/>
  <c r="J2338" i="2"/>
  <c r="I2338" i="2"/>
  <c r="H2338" i="2"/>
  <c r="G2338" i="2"/>
  <c r="F2338" i="2"/>
  <c r="E2338" i="2"/>
  <c r="D2338" i="2"/>
  <c r="C2338" i="2"/>
  <c r="B2338" i="2"/>
  <c r="V2337" i="2"/>
  <c r="U2337" i="2"/>
  <c r="T2337" i="2"/>
  <c r="S2337" i="2"/>
  <c r="R2337" i="2"/>
  <c r="Q2337" i="2"/>
  <c r="P2337" i="2"/>
  <c r="O2337" i="2"/>
  <c r="N2337" i="2"/>
  <c r="M2337" i="2"/>
  <c r="L2337" i="2"/>
  <c r="K2337" i="2"/>
  <c r="J2337" i="2"/>
  <c r="I2337" i="2"/>
  <c r="H2337" i="2"/>
  <c r="G2337" i="2"/>
  <c r="F2337" i="2"/>
  <c r="E2337" i="2"/>
  <c r="D2337" i="2"/>
  <c r="C2337" i="2"/>
  <c r="B2337" i="2"/>
  <c r="V2336" i="2"/>
  <c r="U2336" i="2"/>
  <c r="T2336" i="2"/>
  <c r="S2336" i="2"/>
  <c r="R2336" i="2"/>
  <c r="Q2336" i="2"/>
  <c r="P2336" i="2"/>
  <c r="O2336" i="2"/>
  <c r="N2336" i="2"/>
  <c r="M2336" i="2"/>
  <c r="L2336" i="2"/>
  <c r="K2336" i="2"/>
  <c r="J2336" i="2"/>
  <c r="I2336" i="2"/>
  <c r="H2336" i="2"/>
  <c r="G2336" i="2"/>
  <c r="F2336" i="2"/>
  <c r="E2336" i="2"/>
  <c r="D2336" i="2"/>
  <c r="C2336" i="2"/>
  <c r="B2336" i="2"/>
  <c r="V2335" i="2"/>
  <c r="U2335" i="2"/>
  <c r="T2335" i="2"/>
  <c r="S2335" i="2"/>
  <c r="R2335" i="2"/>
  <c r="Q2335" i="2"/>
  <c r="P2335" i="2"/>
  <c r="O2335" i="2"/>
  <c r="N2335" i="2"/>
  <c r="M2335" i="2"/>
  <c r="L2335" i="2"/>
  <c r="K2335" i="2"/>
  <c r="J2335" i="2"/>
  <c r="I2335" i="2"/>
  <c r="H2335" i="2"/>
  <c r="G2335" i="2"/>
  <c r="F2335" i="2"/>
  <c r="E2335" i="2"/>
  <c r="D2335" i="2"/>
  <c r="C2335" i="2"/>
  <c r="B2335" i="2"/>
  <c r="V2334" i="2"/>
  <c r="U2334" i="2"/>
  <c r="T2334" i="2"/>
  <c r="S2334" i="2"/>
  <c r="R2334" i="2"/>
  <c r="Q2334" i="2"/>
  <c r="P2334" i="2"/>
  <c r="O2334" i="2"/>
  <c r="N2334" i="2"/>
  <c r="M2334" i="2"/>
  <c r="L2334" i="2"/>
  <c r="K2334" i="2"/>
  <c r="J2334" i="2"/>
  <c r="I2334" i="2"/>
  <c r="H2334" i="2"/>
  <c r="G2334" i="2"/>
  <c r="F2334" i="2"/>
  <c r="E2334" i="2"/>
  <c r="D2334" i="2"/>
  <c r="C2334" i="2"/>
  <c r="B2334" i="2"/>
  <c r="V2333" i="2"/>
  <c r="U2333" i="2"/>
  <c r="T2333" i="2"/>
  <c r="S2333" i="2"/>
  <c r="R2333" i="2"/>
  <c r="Q2333" i="2"/>
  <c r="P2333" i="2"/>
  <c r="O2333" i="2"/>
  <c r="N2333" i="2"/>
  <c r="M2333" i="2"/>
  <c r="L2333" i="2"/>
  <c r="K2333" i="2"/>
  <c r="J2333" i="2"/>
  <c r="I2333" i="2"/>
  <c r="H2333" i="2"/>
  <c r="G2333" i="2"/>
  <c r="F2333" i="2"/>
  <c r="E2333" i="2"/>
  <c r="D2333" i="2"/>
  <c r="C2333" i="2"/>
  <c r="B2333" i="2"/>
  <c r="V2332" i="2"/>
  <c r="U2332" i="2"/>
  <c r="T2332" i="2"/>
  <c r="S2332" i="2"/>
  <c r="R2332" i="2"/>
  <c r="Q2332" i="2"/>
  <c r="P2332" i="2"/>
  <c r="O2332" i="2"/>
  <c r="N2332" i="2"/>
  <c r="M2332" i="2"/>
  <c r="L2332" i="2"/>
  <c r="K2332" i="2"/>
  <c r="J2332" i="2"/>
  <c r="I2332" i="2"/>
  <c r="H2332" i="2"/>
  <c r="G2332" i="2"/>
  <c r="F2332" i="2"/>
  <c r="E2332" i="2"/>
  <c r="D2332" i="2"/>
  <c r="C2332" i="2"/>
  <c r="B2332" i="2"/>
  <c r="V2331" i="2"/>
  <c r="U2331" i="2"/>
  <c r="T2331" i="2"/>
  <c r="S2331" i="2"/>
  <c r="R2331" i="2"/>
  <c r="Q2331" i="2"/>
  <c r="P2331" i="2"/>
  <c r="O2331" i="2"/>
  <c r="N2331" i="2"/>
  <c r="M2331" i="2"/>
  <c r="L2331" i="2"/>
  <c r="K2331" i="2"/>
  <c r="J2331" i="2"/>
  <c r="I2331" i="2"/>
  <c r="H2331" i="2"/>
  <c r="G2331" i="2"/>
  <c r="F2331" i="2"/>
  <c r="E2331" i="2"/>
  <c r="D2331" i="2"/>
  <c r="C2331" i="2"/>
  <c r="B2331" i="2"/>
  <c r="V2330" i="2"/>
  <c r="U2330" i="2"/>
  <c r="T2330" i="2"/>
  <c r="S2330" i="2"/>
  <c r="R2330" i="2"/>
  <c r="Q2330" i="2"/>
  <c r="P2330" i="2"/>
  <c r="O2330" i="2"/>
  <c r="N2330" i="2"/>
  <c r="M2330" i="2"/>
  <c r="L2330" i="2"/>
  <c r="K2330" i="2"/>
  <c r="J2330" i="2"/>
  <c r="I2330" i="2"/>
  <c r="H2330" i="2"/>
  <c r="G2330" i="2"/>
  <c r="F2330" i="2"/>
  <c r="E2330" i="2"/>
  <c r="D2330" i="2"/>
  <c r="C2330" i="2"/>
  <c r="B2330" i="2"/>
  <c r="V2329" i="2"/>
  <c r="U2329" i="2"/>
  <c r="T2329" i="2"/>
  <c r="S2329" i="2"/>
  <c r="R2329" i="2"/>
  <c r="Q2329" i="2"/>
  <c r="P2329" i="2"/>
  <c r="O2329" i="2"/>
  <c r="N2329" i="2"/>
  <c r="M2329" i="2"/>
  <c r="L2329" i="2"/>
  <c r="K2329" i="2"/>
  <c r="J2329" i="2"/>
  <c r="I2329" i="2"/>
  <c r="H2329" i="2"/>
  <c r="G2329" i="2"/>
  <c r="F2329" i="2"/>
  <c r="E2329" i="2"/>
  <c r="D2329" i="2"/>
  <c r="C2329" i="2"/>
  <c r="B2329" i="2"/>
  <c r="V2328" i="2"/>
  <c r="U2328" i="2"/>
  <c r="T2328" i="2"/>
  <c r="S2328" i="2"/>
  <c r="R2328" i="2"/>
  <c r="Q2328" i="2"/>
  <c r="P2328" i="2"/>
  <c r="O2328" i="2"/>
  <c r="N2328" i="2"/>
  <c r="M2328" i="2"/>
  <c r="L2328" i="2"/>
  <c r="K2328" i="2"/>
  <c r="J2328" i="2"/>
  <c r="I2328" i="2"/>
  <c r="H2328" i="2"/>
  <c r="G2328" i="2"/>
  <c r="F2328" i="2"/>
  <c r="E2328" i="2"/>
  <c r="D2328" i="2"/>
  <c r="C2328" i="2"/>
  <c r="B2328" i="2"/>
  <c r="V2327" i="2"/>
  <c r="U2327" i="2"/>
  <c r="T2327" i="2"/>
  <c r="S2327" i="2"/>
  <c r="R2327" i="2"/>
  <c r="Q2327" i="2"/>
  <c r="P2327" i="2"/>
  <c r="O2327" i="2"/>
  <c r="N2327" i="2"/>
  <c r="M2327" i="2"/>
  <c r="L2327" i="2"/>
  <c r="K2327" i="2"/>
  <c r="J2327" i="2"/>
  <c r="I2327" i="2"/>
  <c r="H2327" i="2"/>
  <c r="G2327" i="2"/>
  <c r="F2327" i="2"/>
  <c r="E2327" i="2"/>
  <c r="D2327" i="2"/>
  <c r="C2327" i="2"/>
  <c r="B2327" i="2"/>
  <c r="V2326" i="2"/>
  <c r="U2326" i="2"/>
  <c r="T2326" i="2"/>
  <c r="S2326" i="2"/>
  <c r="R2326" i="2"/>
  <c r="Q2326" i="2"/>
  <c r="P2326" i="2"/>
  <c r="O2326" i="2"/>
  <c r="N2326" i="2"/>
  <c r="M2326" i="2"/>
  <c r="L2326" i="2"/>
  <c r="K2326" i="2"/>
  <c r="J2326" i="2"/>
  <c r="I2326" i="2"/>
  <c r="H2326" i="2"/>
  <c r="G2326" i="2"/>
  <c r="F2326" i="2"/>
  <c r="E2326" i="2"/>
  <c r="D2326" i="2"/>
  <c r="C2326" i="2"/>
  <c r="B2326" i="2"/>
  <c r="V2325" i="2"/>
  <c r="U2325" i="2"/>
  <c r="T2325" i="2"/>
  <c r="S2325" i="2"/>
  <c r="R2325" i="2"/>
  <c r="Q2325" i="2"/>
  <c r="P2325" i="2"/>
  <c r="O2325" i="2"/>
  <c r="N2325" i="2"/>
  <c r="M2325" i="2"/>
  <c r="L2325" i="2"/>
  <c r="K2325" i="2"/>
  <c r="J2325" i="2"/>
  <c r="I2325" i="2"/>
  <c r="H2325" i="2"/>
  <c r="G2325" i="2"/>
  <c r="F2325" i="2"/>
  <c r="E2325" i="2"/>
  <c r="D2325" i="2"/>
  <c r="C2325" i="2"/>
  <c r="B2325" i="2"/>
  <c r="V2324" i="2"/>
  <c r="U2324" i="2"/>
  <c r="T2324" i="2"/>
  <c r="S2324" i="2"/>
  <c r="R2324" i="2"/>
  <c r="Q2324" i="2"/>
  <c r="P2324" i="2"/>
  <c r="O2324" i="2"/>
  <c r="N2324" i="2"/>
  <c r="M2324" i="2"/>
  <c r="L2324" i="2"/>
  <c r="K2324" i="2"/>
  <c r="J2324" i="2"/>
  <c r="I2324" i="2"/>
  <c r="H2324" i="2"/>
  <c r="G2324" i="2"/>
  <c r="F2324" i="2"/>
  <c r="E2324" i="2"/>
  <c r="D2324" i="2"/>
  <c r="C2324" i="2"/>
  <c r="B2324" i="2"/>
  <c r="V2323" i="2"/>
  <c r="U2323" i="2"/>
  <c r="T2323" i="2"/>
  <c r="S2323" i="2"/>
  <c r="R2323" i="2"/>
  <c r="Q2323" i="2"/>
  <c r="P2323" i="2"/>
  <c r="O2323" i="2"/>
  <c r="N2323" i="2"/>
  <c r="M2323" i="2"/>
  <c r="L2323" i="2"/>
  <c r="K2323" i="2"/>
  <c r="J2323" i="2"/>
  <c r="I2323" i="2"/>
  <c r="H2323" i="2"/>
  <c r="G2323" i="2"/>
  <c r="F2323" i="2"/>
  <c r="E2323" i="2"/>
  <c r="D2323" i="2"/>
  <c r="C2323" i="2"/>
  <c r="B2323" i="2"/>
  <c r="V2322" i="2"/>
  <c r="U2322" i="2"/>
  <c r="T2322" i="2"/>
  <c r="S2322" i="2"/>
  <c r="R2322" i="2"/>
  <c r="Q2322" i="2"/>
  <c r="P2322" i="2"/>
  <c r="O2322" i="2"/>
  <c r="N2322" i="2"/>
  <c r="M2322" i="2"/>
  <c r="L2322" i="2"/>
  <c r="K2322" i="2"/>
  <c r="J2322" i="2"/>
  <c r="I2322" i="2"/>
  <c r="H2322" i="2"/>
  <c r="G2322" i="2"/>
  <c r="F2322" i="2"/>
  <c r="E2322" i="2"/>
  <c r="D2322" i="2"/>
  <c r="C2322" i="2"/>
  <c r="B2322" i="2"/>
  <c r="V2321" i="2"/>
  <c r="U2321" i="2"/>
  <c r="T2321" i="2"/>
  <c r="S2321" i="2"/>
  <c r="R2321" i="2"/>
  <c r="Q2321" i="2"/>
  <c r="P2321" i="2"/>
  <c r="O2321" i="2"/>
  <c r="N2321" i="2"/>
  <c r="M2321" i="2"/>
  <c r="L2321" i="2"/>
  <c r="K2321" i="2"/>
  <c r="J2321" i="2"/>
  <c r="I2321" i="2"/>
  <c r="H2321" i="2"/>
  <c r="G2321" i="2"/>
  <c r="F2321" i="2"/>
  <c r="E2321" i="2"/>
  <c r="D2321" i="2"/>
  <c r="C2321" i="2"/>
  <c r="B2321" i="2"/>
  <c r="V2320" i="2"/>
  <c r="U2320" i="2"/>
  <c r="T2320" i="2"/>
  <c r="S2320" i="2"/>
  <c r="R2320" i="2"/>
  <c r="Q2320" i="2"/>
  <c r="P2320" i="2"/>
  <c r="O2320" i="2"/>
  <c r="N2320" i="2"/>
  <c r="M2320" i="2"/>
  <c r="L2320" i="2"/>
  <c r="K2320" i="2"/>
  <c r="J2320" i="2"/>
  <c r="I2320" i="2"/>
  <c r="H2320" i="2"/>
  <c r="G2320" i="2"/>
  <c r="F2320" i="2"/>
  <c r="E2320" i="2"/>
  <c r="D2320" i="2"/>
  <c r="C2320" i="2"/>
  <c r="B2320" i="2"/>
  <c r="V2319" i="2"/>
  <c r="U2319" i="2"/>
  <c r="T2319" i="2"/>
  <c r="S2319" i="2"/>
  <c r="R2319" i="2"/>
  <c r="Q2319" i="2"/>
  <c r="P2319" i="2"/>
  <c r="O2319" i="2"/>
  <c r="N2319" i="2"/>
  <c r="M2319" i="2"/>
  <c r="L2319" i="2"/>
  <c r="K2319" i="2"/>
  <c r="J2319" i="2"/>
  <c r="I2319" i="2"/>
  <c r="H2319" i="2"/>
  <c r="G2319" i="2"/>
  <c r="F2319" i="2"/>
  <c r="E2319" i="2"/>
  <c r="D2319" i="2"/>
  <c r="C2319" i="2"/>
  <c r="B2319" i="2"/>
  <c r="V2318" i="2"/>
  <c r="U2318" i="2"/>
  <c r="T2318" i="2"/>
  <c r="S2318" i="2"/>
  <c r="R2318" i="2"/>
  <c r="Q2318" i="2"/>
  <c r="P2318" i="2"/>
  <c r="O2318" i="2"/>
  <c r="N2318" i="2"/>
  <c r="M2318" i="2"/>
  <c r="L2318" i="2"/>
  <c r="K2318" i="2"/>
  <c r="J2318" i="2"/>
  <c r="I2318" i="2"/>
  <c r="H2318" i="2"/>
  <c r="G2318" i="2"/>
  <c r="F2318" i="2"/>
  <c r="E2318" i="2"/>
  <c r="D2318" i="2"/>
  <c r="C2318" i="2"/>
  <c r="B2318" i="2"/>
  <c r="V2317" i="2"/>
  <c r="U2317" i="2"/>
  <c r="T2317" i="2"/>
  <c r="S2317" i="2"/>
  <c r="R2317" i="2"/>
  <c r="Q2317" i="2"/>
  <c r="P2317" i="2"/>
  <c r="O2317" i="2"/>
  <c r="N2317" i="2"/>
  <c r="M2317" i="2"/>
  <c r="L2317" i="2"/>
  <c r="K2317" i="2"/>
  <c r="J2317" i="2"/>
  <c r="I2317" i="2"/>
  <c r="H2317" i="2"/>
  <c r="G2317" i="2"/>
  <c r="F2317" i="2"/>
  <c r="E2317" i="2"/>
  <c r="D2317" i="2"/>
  <c r="C2317" i="2"/>
  <c r="B2317" i="2"/>
  <c r="V2316" i="2"/>
  <c r="U2316" i="2"/>
  <c r="T2316" i="2"/>
  <c r="S2316" i="2"/>
  <c r="R2316" i="2"/>
  <c r="Q2316" i="2"/>
  <c r="P2316" i="2"/>
  <c r="O2316" i="2"/>
  <c r="N2316" i="2"/>
  <c r="M2316" i="2"/>
  <c r="L2316" i="2"/>
  <c r="K2316" i="2"/>
  <c r="J2316" i="2"/>
  <c r="I2316" i="2"/>
  <c r="H2316" i="2"/>
  <c r="G2316" i="2"/>
  <c r="F2316" i="2"/>
  <c r="E2316" i="2"/>
  <c r="D2316" i="2"/>
  <c r="C2316" i="2"/>
  <c r="B2316" i="2"/>
  <c r="V2315" i="2"/>
  <c r="U2315" i="2"/>
  <c r="T2315" i="2"/>
  <c r="S2315" i="2"/>
  <c r="R2315" i="2"/>
  <c r="Q2315" i="2"/>
  <c r="P2315" i="2"/>
  <c r="O2315" i="2"/>
  <c r="N2315" i="2"/>
  <c r="M2315" i="2"/>
  <c r="L2315" i="2"/>
  <c r="K2315" i="2"/>
  <c r="J2315" i="2"/>
  <c r="I2315" i="2"/>
  <c r="H2315" i="2"/>
  <c r="G2315" i="2"/>
  <c r="F2315" i="2"/>
  <c r="E2315" i="2"/>
  <c r="D2315" i="2"/>
  <c r="C2315" i="2"/>
  <c r="B2315" i="2"/>
  <c r="V2314" i="2"/>
  <c r="U2314" i="2"/>
  <c r="T2314" i="2"/>
  <c r="S2314" i="2"/>
  <c r="R2314" i="2"/>
  <c r="Q2314" i="2"/>
  <c r="P2314" i="2"/>
  <c r="O2314" i="2"/>
  <c r="N2314" i="2"/>
  <c r="M2314" i="2"/>
  <c r="L2314" i="2"/>
  <c r="K2314" i="2"/>
  <c r="J2314" i="2"/>
  <c r="I2314" i="2"/>
  <c r="H2314" i="2"/>
  <c r="G2314" i="2"/>
  <c r="F2314" i="2"/>
  <c r="E2314" i="2"/>
  <c r="D2314" i="2"/>
  <c r="C2314" i="2"/>
  <c r="B2314" i="2"/>
  <c r="V2313" i="2"/>
  <c r="U2313" i="2"/>
  <c r="T2313" i="2"/>
  <c r="S2313" i="2"/>
  <c r="R2313" i="2"/>
  <c r="Q2313" i="2"/>
  <c r="P2313" i="2"/>
  <c r="O2313" i="2"/>
  <c r="N2313" i="2"/>
  <c r="M2313" i="2"/>
  <c r="L2313" i="2"/>
  <c r="K2313" i="2"/>
  <c r="J2313" i="2"/>
  <c r="I2313" i="2"/>
  <c r="H2313" i="2"/>
  <c r="G2313" i="2"/>
  <c r="F2313" i="2"/>
  <c r="E2313" i="2"/>
  <c r="D2313" i="2"/>
  <c r="C2313" i="2"/>
  <c r="B2313" i="2"/>
  <c r="V2312" i="2"/>
  <c r="U2312" i="2"/>
  <c r="T2312" i="2"/>
  <c r="S2312" i="2"/>
  <c r="R2312" i="2"/>
  <c r="Q2312" i="2"/>
  <c r="P2312" i="2"/>
  <c r="O2312" i="2"/>
  <c r="N2312" i="2"/>
  <c r="M2312" i="2"/>
  <c r="L2312" i="2"/>
  <c r="K2312" i="2"/>
  <c r="J2312" i="2"/>
  <c r="I2312" i="2"/>
  <c r="H2312" i="2"/>
  <c r="G2312" i="2"/>
  <c r="F2312" i="2"/>
  <c r="E2312" i="2"/>
  <c r="D2312" i="2"/>
  <c r="C2312" i="2"/>
  <c r="B2312" i="2"/>
  <c r="V2311" i="2"/>
  <c r="U2311" i="2"/>
  <c r="T2311" i="2"/>
  <c r="S2311" i="2"/>
  <c r="R2311" i="2"/>
  <c r="Q2311" i="2"/>
  <c r="P2311" i="2"/>
  <c r="O2311" i="2"/>
  <c r="N2311" i="2"/>
  <c r="M2311" i="2"/>
  <c r="L2311" i="2"/>
  <c r="K2311" i="2"/>
  <c r="J2311" i="2"/>
  <c r="I2311" i="2"/>
  <c r="H2311" i="2"/>
  <c r="G2311" i="2"/>
  <c r="F2311" i="2"/>
  <c r="E2311" i="2"/>
  <c r="D2311" i="2"/>
  <c r="C2311" i="2"/>
  <c r="B2311" i="2"/>
  <c r="V2310" i="2"/>
  <c r="U2310" i="2"/>
  <c r="T2310" i="2"/>
  <c r="S2310" i="2"/>
  <c r="R2310" i="2"/>
  <c r="Q2310" i="2"/>
  <c r="P2310" i="2"/>
  <c r="O2310" i="2"/>
  <c r="N2310" i="2"/>
  <c r="M2310" i="2"/>
  <c r="L2310" i="2"/>
  <c r="K2310" i="2"/>
  <c r="J2310" i="2"/>
  <c r="I2310" i="2"/>
  <c r="H2310" i="2"/>
  <c r="G2310" i="2"/>
  <c r="F2310" i="2"/>
  <c r="E2310" i="2"/>
  <c r="D2310" i="2"/>
  <c r="C2310" i="2"/>
  <c r="B2310" i="2"/>
  <c r="V2309" i="2"/>
  <c r="U2309" i="2"/>
  <c r="T2309" i="2"/>
  <c r="S2309" i="2"/>
  <c r="R2309" i="2"/>
  <c r="Q2309" i="2"/>
  <c r="P2309" i="2"/>
  <c r="O2309" i="2"/>
  <c r="N2309" i="2"/>
  <c r="M2309" i="2"/>
  <c r="L2309" i="2"/>
  <c r="K2309" i="2"/>
  <c r="J2309" i="2"/>
  <c r="I2309" i="2"/>
  <c r="H2309" i="2"/>
  <c r="G2309" i="2"/>
  <c r="F2309" i="2"/>
  <c r="E2309" i="2"/>
  <c r="D2309" i="2"/>
  <c r="C2309" i="2"/>
  <c r="B2309" i="2"/>
  <c r="V2308" i="2"/>
  <c r="U2308" i="2"/>
  <c r="T2308" i="2"/>
  <c r="S2308" i="2"/>
  <c r="R2308" i="2"/>
  <c r="Q2308" i="2"/>
  <c r="P2308" i="2"/>
  <c r="O2308" i="2"/>
  <c r="N2308" i="2"/>
  <c r="M2308" i="2"/>
  <c r="L2308" i="2"/>
  <c r="K2308" i="2"/>
  <c r="J2308" i="2"/>
  <c r="I2308" i="2"/>
  <c r="H2308" i="2"/>
  <c r="G2308" i="2"/>
  <c r="F2308" i="2"/>
  <c r="E2308" i="2"/>
  <c r="D2308" i="2"/>
  <c r="C2308" i="2"/>
  <c r="B2308" i="2"/>
  <c r="V2307" i="2"/>
  <c r="U2307" i="2"/>
  <c r="T2307" i="2"/>
  <c r="S2307" i="2"/>
  <c r="R2307" i="2"/>
  <c r="Q2307" i="2"/>
  <c r="P2307" i="2"/>
  <c r="O2307" i="2"/>
  <c r="N2307" i="2"/>
  <c r="M2307" i="2"/>
  <c r="L2307" i="2"/>
  <c r="K2307" i="2"/>
  <c r="J2307" i="2"/>
  <c r="I2307" i="2"/>
  <c r="H2307" i="2"/>
  <c r="G2307" i="2"/>
  <c r="F2307" i="2"/>
  <c r="E2307" i="2"/>
  <c r="D2307" i="2"/>
  <c r="C2307" i="2"/>
  <c r="B2307" i="2"/>
  <c r="V2306" i="2"/>
  <c r="U2306" i="2"/>
  <c r="T2306" i="2"/>
  <c r="S2306" i="2"/>
  <c r="R2306" i="2"/>
  <c r="Q2306" i="2"/>
  <c r="P2306" i="2"/>
  <c r="O2306" i="2"/>
  <c r="N2306" i="2"/>
  <c r="M2306" i="2"/>
  <c r="L2306" i="2"/>
  <c r="K2306" i="2"/>
  <c r="J2306" i="2"/>
  <c r="I2306" i="2"/>
  <c r="H2306" i="2"/>
  <c r="G2306" i="2"/>
  <c r="F2306" i="2"/>
  <c r="E2306" i="2"/>
  <c r="D2306" i="2"/>
  <c r="C2306" i="2"/>
  <c r="B2306" i="2"/>
  <c r="V2305" i="2"/>
  <c r="U2305" i="2"/>
  <c r="T2305" i="2"/>
  <c r="S2305" i="2"/>
  <c r="R2305" i="2"/>
  <c r="Q2305" i="2"/>
  <c r="P2305" i="2"/>
  <c r="O2305" i="2"/>
  <c r="N2305" i="2"/>
  <c r="M2305" i="2"/>
  <c r="L2305" i="2"/>
  <c r="K2305" i="2"/>
  <c r="J2305" i="2"/>
  <c r="I2305" i="2"/>
  <c r="H2305" i="2"/>
  <c r="G2305" i="2"/>
  <c r="F2305" i="2"/>
  <c r="E2305" i="2"/>
  <c r="D2305" i="2"/>
  <c r="C2305" i="2"/>
  <c r="B2305" i="2"/>
  <c r="V2304" i="2"/>
  <c r="U2304" i="2"/>
  <c r="T2304" i="2"/>
  <c r="S2304" i="2"/>
  <c r="R2304" i="2"/>
  <c r="Q2304" i="2"/>
  <c r="P2304" i="2"/>
  <c r="O2304" i="2"/>
  <c r="N2304" i="2"/>
  <c r="M2304" i="2"/>
  <c r="L2304" i="2"/>
  <c r="K2304" i="2"/>
  <c r="J2304" i="2"/>
  <c r="I2304" i="2"/>
  <c r="H2304" i="2"/>
  <c r="G2304" i="2"/>
  <c r="F2304" i="2"/>
  <c r="E2304" i="2"/>
  <c r="D2304" i="2"/>
  <c r="C2304" i="2"/>
  <c r="B2304" i="2"/>
  <c r="V2303" i="2"/>
  <c r="U2303" i="2"/>
  <c r="T2303" i="2"/>
  <c r="S2303" i="2"/>
  <c r="R2303" i="2"/>
  <c r="Q2303" i="2"/>
  <c r="P2303" i="2"/>
  <c r="O2303" i="2"/>
  <c r="N2303" i="2"/>
  <c r="M2303" i="2"/>
  <c r="L2303" i="2"/>
  <c r="K2303" i="2"/>
  <c r="J2303" i="2"/>
  <c r="I2303" i="2"/>
  <c r="H2303" i="2"/>
  <c r="G2303" i="2"/>
  <c r="F2303" i="2"/>
  <c r="E2303" i="2"/>
  <c r="D2303" i="2"/>
  <c r="C2303" i="2"/>
  <c r="B2303" i="2"/>
  <c r="V2302" i="2"/>
  <c r="U2302" i="2"/>
  <c r="T2302" i="2"/>
  <c r="S2302" i="2"/>
  <c r="R2302" i="2"/>
  <c r="Q2302" i="2"/>
  <c r="P2302" i="2"/>
  <c r="O2302" i="2"/>
  <c r="N2302" i="2"/>
  <c r="M2302" i="2"/>
  <c r="L2302" i="2"/>
  <c r="K2302" i="2"/>
  <c r="J2302" i="2"/>
  <c r="I2302" i="2"/>
  <c r="H2302" i="2"/>
  <c r="G2302" i="2"/>
  <c r="F2302" i="2"/>
  <c r="E2302" i="2"/>
  <c r="D2302" i="2"/>
  <c r="C2302" i="2"/>
  <c r="B2302" i="2"/>
  <c r="V2301" i="2"/>
  <c r="U2301" i="2"/>
  <c r="T2301" i="2"/>
  <c r="S2301" i="2"/>
  <c r="R2301" i="2"/>
  <c r="Q2301" i="2"/>
  <c r="P2301" i="2"/>
  <c r="O2301" i="2"/>
  <c r="N2301" i="2"/>
  <c r="M2301" i="2"/>
  <c r="L2301" i="2"/>
  <c r="K2301" i="2"/>
  <c r="J2301" i="2"/>
  <c r="I2301" i="2"/>
  <c r="H2301" i="2"/>
  <c r="G2301" i="2"/>
  <c r="F2301" i="2"/>
  <c r="E2301" i="2"/>
  <c r="D2301" i="2"/>
  <c r="C2301" i="2"/>
  <c r="B2301" i="2"/>
  <c r="V2300" i="2"/>
  <c r="U2300" i="2"/>
  <c r="T2300" i="2"/>
  <c r="S2300" i="2"/>
  <c r="R2300" i="2"/>
  <c r="Q2300" i="2"/>
  <c r="P2300" i="2"/>
  <c r="O2300" i="2"/>
  <c r="N2300" i="2"/>
  <c r="M2300" i="2"/>
  <c r="L2300" i="2"/>
  <c r="K2300" i="2"/>
  <c r="J2300" i="2"/>
  <c r="I2300" i="2"/>
  <c r="H2300" i="2"/>
  <c r="G2300" i="2"/>
  <c r="F2300" i="2"/>
  <c r="E2300" i="2"/>
  <c r="D2300" i="2"/>
  <c r="C2300" i="2"/>
  <c r="B2300" i="2"/>
  <c r="V2299" i="2"/>
  <c r="U2299" i="2"/>
  <c r="T2299" i="2"/>
  <c r="S2299" i="2"/>
  <c r="R2299" i="2"/>
  <c r="Q2299" i="2"/>
  <c r="P2299" i="2"/>
  <c r="O2299" i="2"/>
  <c r="N2299" i="2"/>
  <c r="M2299" i="2"/>
  <c r="L2299" i="2"/>
  <c r="K2299" i="2"/>
  <c r="J2299" i="2"/>
  <c r="I2299" i="2"/>
  <c r="H2299" i="2"/>
  <c r="G2299" i="2"/>
  <c r="F2299" i="2"/>
  <c r="E2299" i="2"/>
  <c r="D2299" i="2"/>
  <c r="C2299" i="2"/>
  <c r="B2299" i="2"/>
  <c r="V2298" i="2"/>
  <c r="U2298" i="2"/>
  <c r="T2298" i="2"/>
  <c r="S2298" i="2"/>
  <c r="R2298" i="2"/>
  <c r="Q2298" i="2"/>
  <c r="P2298" i="2"/>
  <c r="O2298" i="2"/>
  <c r="N2298" i="2"/>
  <c r="M2298" i="2"/>
  <c r="L2298" i="2"/>
  <c r="K2298" i="2"/>
  <c r="J2298" i="2"/>
  <c r="I2298" i="2"/>
  <c r="H2298" i="2"/>
  <c r="G2298" i="2"/>
  <c r="F2298" i="2"/>
  <c r="E2298" i="2"/>
  <c r="D2298" i="2"/>
  <c r="C2298" i="2"/>
  <c r="B2298" i="2"/>
  <c r="V2297" i="2"/>
  <c r="U2297" i="2"/>
  <c r="T2297" i="2"/>
  <c r="S2297" i="2"/>
  <c r="R2297" i="2"/>
  <c r="Q2297" i="2"/>
  <c r="P2297" i="2"/>
  <c r="O2297" i="2"/>
  <c r="N2297" i="2"/>
  <c r="M2297" i="2"/>
  <c r="L2297" i="2"/>
  <c r="K2297" i="2"/>
  <c r="J2297" i="2"/>
  <c r="I2297" i="2"/>
  <c r="H2297" i="2"/>
  <c r="G2297" i="2"/>
  <c r="F2297" i="2"/>
  <c r="E2297" i="2"/>
  <c r="D2297" i="2"/>
  <c r="C2297" i="2"/>
  <c r="B2297" i="2"/>
  <c r="V2296" i="2"/>
  <c r="U2296" i="2"/>
  <c r="T2296" i="2"/>
  <c r="S2296" i="2"/>
  <c r="R2296" i="2"/>
  <c r="Q2296" i="2"/>
  <c r="P2296" i="2"/>
  <c r="O2296" i="2"/>
  <c r="N2296" i="2"/>
  <c r="M2296" i="2"/>
  <c r="L2296" i="2"/>
  <c r="K2296" i="2"/>
  <c r="J2296" i="2"/>
  <c r="I2296" i="2"/>
  <c r="H2296" i="2"/>
  <c r="G2296" i="2"/>
  <c r="F2296" i="2"/>
  <c r="E2296" i="2"/>
  <c r="D2296" i="2"/>
  <c r="C2296" i="2"/>
  <c r="B2296" i="2"/>
  <c r="V2295" i="2"/>
  <c r="U2295" i="2"/>
  <c r="T2295" i="2"/>
  <c r="S2295" i="2"/>
  <c r="R2295" i="2"/>
  <c r="Q2295" i="2"/>
  <c r="P2295" i="2"/>
  <c r="O2295" i="2"/>
  <c r="N2295" i="2"/>
  <c r="M2295" i="2"/>
  <c r="L2295" i="2"/>
  <c r="K2295" i="2"/>
  <c r="J2295" i="2"/>
  <c r="I2295" i="2"/>
  <c r="H2295" i="2"/>
  <c r="G2295" i="2"/>
  <c r="F2295" i="2"/>
  <c r="E2295" i="2"/>
  <c r="D2295" i="2"/>
  <c r="C2295" i="2"/>
  <c r="B2295" i="2"/>
  <c r="V2294" i="2"/>
  <c r="U2294" i="2"/>
  <c r="T2294" i="2"/>
  <c r="S2294" i="2"/>
  <c r="R2294" i="2"/>
  <c r="Q2294" i="2"/>
  <c r="P2294" i="2"/>
  <c r="O2294" i="2"/>
  <c r="N2294" i="2"/>
  <c r="M2294" i="2"/>
  <c r="L2294" i="2"/>
  <c r="K2294" i="2"/>
  <c r="J2294" i="2"/>
  <c r="I2294" i="2"/>
  <c r="H2294" i="2"/>
  <c r="G2294" i="2"/>
  <c r="F2294" i="2"/>
  <c r="E2294" i="2"/>
  <c r="D2294" i="2"/>
  <c r="C2294" i="2"/>
  <c r="B2294" i="2"/>
  <c r="V2293" i="2"/>
  <c r="U2293" i="2"/>
  <c r="T2293" i="2"/>
  <c r="S2293" i="2"/>
  <c r="R2293" i="2"/>
  <c r="Q2293" i="2"/>
  <c r="P2293" i="2"/>
  <c r="O2293" i="2"/>
  <c r="N2293" i="2"/>
  <c r="M2293" i="2"/>
  <c r="L2293" i="2"/>
  <c r="K2293" i="2"/>
  <c r="J2293" i="2"/>
  <c r="I2293" i="2"/>
  <c r="H2293" i="2"/>
  <c r="G2293" i="2"/>
  <c r="F2293" i="2"/>
  <c r="E2293" i="2"/>
  <c r="D2293" i="2"/>
  <c r="C2293" i="2"/>
  <c r="B2293" i="2"/>
  <c r="V2292" i="2"/>
  <c r="U2292" i="2"/>
  <c r="T2292" i="2"/>
  <c r="S2292" i="2"/>
  <c r="R2292" i="2"/>
  <c r="Q2292" i="2"/>
  <c r="P2292" i="2"/>
  <c r="O2292" i="2"/>
  <c r="N2292" i="2"/>
  <c r="M2292" i="2"/>
  <c r="L2292" i="2"/>
  <c r="K2292" i="2"/>
  <c r="J2292" i="2"/>
  <c r="I2292" i="2"/>
  <c r="H2292" i="2"/>
  <c r="G2292" i="2"/>
  <c r="F2292" i="2"/>
  <c r="E2292" i="2"/>
  <c r="D2292" i="2"/>
  <c r="C2292" i="2"/>
  <c r="B2292" i="2"/>
  <c r="V2291" i="2"/>
  <c r="U2291" i="2"/>
  <c r="T2291" i="2"/>
  <c r="S2291" i="2"/>
  <c r="R2291" i="2"/>
  <c r="Q2291" i="2"/>
  <c r="P2291" i="2"/>
  <c r="O2291" i="2"/>
  <c r="N2291" i="2"/>
  <c r="M2291" i="2"/>
  <c r="L2291" i="2"/>
  <c r="K2291" i="2"/>
  <c r="J2291" i="2"/>
  <c r="I2291" i="2"/>
  <c r="H2291" i="2"/>
  <c r="G2291" i="2"/>
  <c r="F2291" i="2"/>
  <c r="E2291" i="2"/>
  <c r="D2291" i="2"/>
  <c r="C2291" i="2"/>
  <c r="B2291" i="2"/>
  <c r="V2290" i="2"/>
  <c r="U2290" i="2"/>
  <c r="T2290" i="2"/>
  <c r="S2290" i="2"/>
  <c r="R2290" i="2"/>
  <c r="Q2290" i="2"/>
  <c r="P2290" i="2"/>
  <c r="O2290" i="2"/>
  <c r="N2290" i="2"/>
  <c r="M2290" i="2"/>
  <c r="L2290" i="2"/>
  <c r="K2290" i="2"/>
  <c r="J2290" i="2"/>
  <c r="I2290" i="2"/>
  <c r="H2290" i="2"/>
  <c r="G2290" i="2"/>
  <c r="F2290" i="2"/>
  <c r="E2290" i="2"/>
  <c r="D2290" i="2"/>
  <c r="C2290" i="2"/>
  <c r="B2290" i="2"/>
  <c r="V2289" i="2"/>
  <c r="U2289" i="2"/>
  <c r="T2289" i="2"/>
  <c r="S2289" i="2"/>
  <c r="R2289" i="2"/>
  <c r="Q2289" i="2"/>
  <c r="P2289" i="2"/>
  <c r="O2289" i="2"/>
  <c r="N2289" i="2"/>
  <c r="M2289" i="2"/>
  <c r="L2289" i="2"/>
  <c r="K2289" i="2"/>
  <c r="J2289" i="2"/>
  <c r="I2289" i="2"/>
  <c r="H2289" i="2"/>
  <c r="G2289" i="2"/>
  <c r="F2289" i="2"/>
  <c r="E2289" i="2"/>
  <c r="D2289" i="2"/>
  <c r="C2289" i="2"/>
  <c r="B2289" i="2"/>
  <c r="V2288" i="2"/>
  <c r="U2288" i="2"/>
  <c r="T2288" i="2"/>
  <c r="S2288" i="2"/>
  <c r="R2288" i="2"/>
  <c r="Q2288" i="2"/>
  <c r="P2288" i="2"/>
  <c r="O2288" i="2"/>
  <c r="N2288" i="2"/>
  <c r="M2288" i="2"/>
  <c r="L2288" i="2"/>
  <c r="K2288" i="2"/>
  <c r="J2288" i="2"/>
  <c r="I2288" i="2"/>
  <c r="H2288" i="2"/>
  <c r="G2288" i="2"/>
  <c r="F2288" i="2"/>
  <c r="E2288" i="2"/>
  <c r="D2288" i="2"/>
  <c r="C2288" i="2"/>
  <c r="B2288" i="2"/>
  <c r="V2287" i="2"/>
  <c r="U2287" i="2"/>
  <c r="T2287" i="2"/>
  <c r="S2287" i="2"/>
  <c r="R2287" i="2"/>
  <c r="Q2287" i="2"/>
  <c r="P2287" i="2"/>
  <c r="O2287" i="2"/>
  <c r="N2287" i="2"/>
  <c r="M2287" i="2"/>
  <c r="L2287" i="2"/>
  <c r="K2287" i="2"/>
  <c r="J2287" i="2"/>
  <c r="I2287" i="2"/>
  <c r="H2287" i="2"/>
  <c r="G2287" i="2"/>
  <c r="F2287" i="2"/>
  <c r="E2287" i="2"/>
  <c r="D2287" i="2"/>
  <c r="C2287" i="2"/>
  <c r="B2287" i="2"/>
  <c r="V2286" i="2"/>
  <c r="U2286" i="2"/>
  <c r="T2286" i="2"/>
  <c r="S2286" i="2"/>
  <c r="R2286" i="2"/>
  <c r="Q2286" i="2"/>
  <c r="P2286" i="2"/>
  <c r="O2286" i="2"/>
  <c r="N2286" i="2"/>
  <c r="M2286" i="2"/>
  <c r="L2286" i="2"/>
  <c r="K2286" i="2"/>
  <c r="J2286" i="2"/>
  <c r="I2286" i="2"/>
  <c r="H2286" i="2"/>
  <c r="G2286" i="2"/>
  <c r="F2286" i="2"/>
  <c r="E2286" i="2"/>
  <c r="D2286" i="2"/>
  <c r="C2286" i="2"/>
  <c r="B2286" i="2"/>
  <c r="V2285" i="2"/>
  <c r="U2285" i="2"/>
  <c r="T2285" i="2"/>
  <c r="S2285" i="2"/>
  <c r="R2285" i="2"/>
  <c r="Q2285" i="2"/>
  <c r="P2285" i="2"/>
  <c r="O2285" i="2"/>
  <c r="N2285" i="2"/>
  <c r="M2285" i="2"/>
  <c r="L2285" i="2"/>
  <c r="K2285" i="2"/>
  <c r="J2285" i="2"/>
  <c r="I2285" i="2"/>
  <c r="H2285" i="2"/>
  <c r="G2285" i="2"/>
  <c r="F2285" i="2"/>
  <c r="E2285" i="2"/>
  <c r="D2285" i="2"/>
  <c r="C2285" i="2"/>
  <c r="B2285" i="2"/>
  <c r="V2284" i="2"/>
  <c r="U2284" i="2"/>
  <c r="T2284" i="2"/>
  <c r="S2284" i="2"/>
  <c r="R2284" i="2"/>
  <c r="Q2284" i="2"/>
  <c r="P2284" i="2"/>
  <c r="O2284" i="2"/>
  <c r="N2284" i="2"/>
  <c r="M2284" i="2"/>
  <c r="L2284" i="2"/>
  <c r="K2284" i="2"/>
  <c r="J2284" i="2"/>
  <c r="I2284" i="2"/>
  <c r="H2284" i="2"/>
  <c r="G2284" i="2"/>
  <c r="F2284" i="2"/>
  <c r="E2284" i="2"/>
  <c r="D2284" i="2"/>
  <c r="C2284" i="2"/>
  <c r="B2284" i="2"/>
  <c r="V2283" i="2"/>
  <c r="U2283" i="2"/>
  <c r="T2283" i="2"/>
  <c r="S2283" i="2"/>
  <c r="R2283" i="2"/>
  <c r="Q2283" i="2"/>
  <c r="P2283" i="2"/>
  <c r="O2283" i="2"/>
  <c r="N2283" i="2"/>
  <c r="M2283" i="2"/>
  <c r="L2283" i="2"/>
  <c r="K2283" i="2"/>
  <c r="J2283" i="2"/>
  <c r="I2283" i="2"/>
  <c r="H2283" i="2"/>
  <c r="G2283" i="2"/>
  <c r="F2283" i="2"/>
  <c r="E2283" i="2"/>
  <c r="D2283" i="2"/>
  <c r="C2283" i="2"/>
  <c r="B2283" i="2"/>
  <c r="V2282" i="2"/>
  <c r="U2282" i="2"/>
  <c r="T2282" i="2"/>
  <c r="S2282" i="2"/>
  <c r="R2282" i="2"/>
  <c r="Q2282" i="2"/>
  <c r="P2282" i="2"/>
  <c r="O2282" i="2"/>
  <c r="N2282" i="2"/>
  <c r="M2282" i="2"/>
  <c r="L2282" i="2"/>
  <c r="K2282" i="2"/>
  <c r="J2282" i="2"/>
  <c r="I2282" i="2"/>
  <c r="H2282" i="2"/>
  <c r="G2282" i="2"/>
  <c r="F2282" i="2"/>
  <c r="E2282" i="2"/>
  <c r="D2282" i="2"/>
  <c r="C2282" i="2"/>
  <c r="B2282" i="2"/>
  <c r="V2281" i="2"/>
  <c r="U2281" i="2"/>
  <c r="T2281" i="2"/>
  <c r="S2281" i="2"/>
  <c r="R2281" i="2"/>
  <c r="Q2281" i="2"/>
  <c r="P2281" i="2"/>
  <c r="O2281" i="2"/>
  <c r="N2281" i="2"/>
  <c r="M2281" i="2"/>
  <c r="L2281" i="2"/>
  <c r="K2281" i="2"/>
  <c r="J2281" i="2"/>
  <c r="I2281" i="2"/>
  <c r="H2281" i="2"/>
  <c r="G2281" i="2"/>
  <c r="F2281" i="2"/>
  <c r="E2281" i="2"/>
  <c r="D2281" i="2"/>
  <c r="C2281" i="2"/>
  <c r="B2281" i="2"/>
  <c r="V2280" i="2"/>
  <c r="U2280" i="2"/>
  <c r="T2280" i="2"/>
  <c r="S2280" i="2"/>
  <c r="R2280" i="2"/>
  <c r="Q2280" i="2"/>
  <c r="P2280" i="2"/>
  <c r="O2280" i="2"/>
  <c r="N2280" i="2"/>
  <c r="M2280" i="2"/>
  <c r="L2280" i="2"/>
  <c r="K2280" i="2"/>
  <c r="J2280" i="2"/>
  <c r="I2280" i="2"/>
  <c r="H2280" i="2"/>
  <c r="G2280" i="2"/>
  <c r="F2280" i="2"/>
  <c r="E2280" i="2"/>
  <c r="D2280" i="2"/>
  <c r="C2280" i="2"/>
  <c r="B2280" i="2"/>
  <c r="V2279" i="2"/>
  <c r="U2279" i="2"/>
  <c r="T2279" i="2"/>
  <c r="S2279" i="2"/>
  <c r="R2279" i="2"/>
  <c r="Q2279" i="2"/>
  <c r="P2279" i="2"/>
  <c r="O2279" i="2"/>
  <c r="N2279" i="2"/>
  <c r="M2279" i="2"/>
  <c r="L2279" i="2"/>
  <c r="K2279" i="2"/>
  <c r="J2279" i="2"/>
  <c r="I2279" i="2"/>
  <c r="H2279" i="2"/>
  <c r="G2279" i="2"/>
  <c r="F2279" i="2"/>
  <c r="E2279" i="2"/>
  <c r="D2279" i="2"/>
  <c r="C2279" i="2"/>
  <c r="B2279" i="2"/>
  <c r="V2278" i="2"/>
  <c r="U2278" i="2"/>
  <c r="T2278" i="2"/>
  <c r="S2278" i="2"/>
  <c r="R2278" i="2"/>
  <c r="Q2278" i="2"/>
  <c r="P2278" i="2"/>
  <c r="O2278" i="2"/>
  <c r="N2278" i="2"/>
  <c r="M2278" i="2"/>
  <c r="L2278" i="2"/>
  <c r="K2278" i="2"/>
  <c r="J2278" i="2"/>
  <c r="I2278" i="2"/>
  <c r="H2278" i="2"/>
  <c r="G2278" i="2"/>
  <c r="F2278" i="2"/>
  <c r="E2278" i="2"/>
  <c r="D2278" i="2"/>
  <c r="C2278" i="2"/>
  <c r="B2278" i="2"/>
  <c r="V2277" i="2"/>
  <c r="U2277" i="2"/>
  <c r="T2277" i="2"/>
  <c r="S2277" i="2"/>
  <c r="R2277" i="2"/>
  <c r="Q2277" i="2"/>
  <c r="P2277" i="2"/>
  <c r="O2277" i="2"/>
  <c r="N2277" i="2"/>
  <c r="M2277" i="2"/>
  <c r="L2277" i="2"/>
  <c r="K2277" i="2"/>
  <c r="J2277" i="2"/>
  <c r="I2277" i="2"/>
  <c r="H2277" i="2"/>
  <c r="G2277" i="2"/>
  <c r="F2277" i="2"/>
  <c r="E2277" i="2"/>
  <c r="D2277" i="2"/>
  <c r="C2277" i="2"/>
  <c r="B2277" i="2"/>
  <c r="V2276" i="2"/>
  <c r="U2276" i="2"/>
  <c r="T2276" i="2"/>
  <c r="S2276" i="2"/>
  <c r="R2276" i="2"/>
  <c r="Q2276" i="2"/>
  <c r="P2276" i="2"/>
  <c r="O2276" i="2"/>
  <c r="N2276" i="2"/>
  <c r="M2276" i="2"/>
  <c r="L2276" i="2"/>
  <c r="K2276" i="2"/>
  <c r="J2276" i="2"/>
  <c r="I2276" i="2"/>
  <c r="H2276" i="2"/>
  <c r="G2276" i="2"/>
  <c r="F2276" i="2"/>
  <c r="E2276" i="2"/>
  <c r="D2276" i="2"/>
  <c r="C2276" i="2"/>
  <c r="B2276" i="2"/>
  <c r="V2275" i="2"/>
  <c r="U2275" i="2"/>
  <c r="T2275" i="2"/>
  <c r="S2275" i="2"/>
  <c r="R2275" i="2"/>
  <c r="Q2275" i="2"/>
  <c r="P2275" i="2"/>
  <c r="O2275" i="2"/>
  <c r="N2275" i="2"/>
  <c r="M2275" i="2"/>
  <c r="L2275" i="2"/>
  <c r="K2275" i="2"/>
  <c r="J2275" i="2"/>
  <c r="I2275" i="2"/>
  <c r="H2275" i="2"/>
  <c r="G2275" i="2"/>
  <c r="F2275" i="2"/>
  <c r="E2275" i="2"/>
  <c r="D2275" i="2"/>
  <c r="C2275" i="2"/>
  <c r="B2275" i="2"/>
  <c r="V2274" i="2"/>
  <c r="U2274" i="2"/>
  <c r="T2274" i="2"/>
  <c r="S2274" i="2"/>
  <c r="R2274" i="2"/>
  <c r="Q2274" i="2"/>
  <c r="P2274" i="2"/>
  <c r="O2274" i="2"/>
  <c r="N2274" i="2"/>
  <c r="M2274" i="2"/>
  <c r="L2274" i="2"/>
  <c r="K2274" i="2"/>
  <c r="J2274" i="2"/>
  <c r="I2274" i="2"/>
  <c r="H2274" i="2"/>
  <c r="G2274" i="2"/>
  <c r="F2274" i="2"/>
  <c r="E2274" i="2"/>
  <c r="D2274" i="2"/>
  <c r="C2274" i="2"/>
  <c r="B2274" i="2"/>
  <c r="V2273" i="2"/>
  <c r="U2273" i="2"/>
  <c r="T2273" i="2"/>
  <c r="S2273" i="2"/>
  <c r="R2273" i="2"/>
  <c r="Q2273" i="2"/>
  <c r="P2273" i="2"/>
  <c r="O2273" i="2"/>
  <c r="N2273" i="2"/>
  <c r="M2273" i="2"/>
  <c r="L2273" i="2"/>
  <c r="K2273" i="2"/>
  <c r="J2273" i="2"/>
  <c r="I2273" i="2"/>
  <c r="H2273" i="2"/>
  <c r="G2273" i="2"/>
  <c r="F2273" i="2"/>
  <c r="E2273" i="2"/>
  <c r="D2273" i="2"/>
  <c r="C2273" i="2"/>
  <c r="B2273" i="2"/>
  <c r="V2272" i="2"/>
  <c r="U2272" i="2"/>
  <c r="T2272" i="2"/>
  <c r="S2272" i="2"/>
  <c r="R2272" i="2"/>
  <c r="Q2272" i="2"/>
  <c r="P2272" i="2"/>
  <c r="O2272" i="2"/>
  <c r="N2272" i="2"/>
  <c r="M2272" i="2"/>
  <c r="L2272" i="2"/>
  <c r="K2272" i="2"/>
  <c r="J2272" i="2"/>
  <c r="I2272" i="2"/>
  <c r="H2272" i="2"/>
  <c r="G2272" i="2"/>
  <c r="F2272" i="2"/>
  <c r="E2272" i="2"/>
  <c r="D2272" i="2"/>
  <c r="C2272" i="2"/>
  <c r="B2272" i="2"/>
  <c r="V2271" i="2"/>
  <c r="U2271" i="2"/>
  <c r="T2271" i="2"/>
  <c r="S2271" i="2"/>
  <c r="R2271" i="2"/>
  <c r="Q2271" i="2"/>
  <c r="P2271" i="2"/>
  <c r="O2271" i="2"/>
  <c r="N2271" i="2"/>
  <c r="M2271" i="2"/>
  <c r="L2271" i="2"/>
  <c r="K2271" i="2"/>
  <c r="J2271" i="2"/>
  <c r="I2271" i="2"/>
  <c r="H2271" i="2"/>
  <c r="G2271" i="2"/>
  <c r="F2271" i="2"/>
  <c r="E2271" i="2"/>
  <c r="D2271" i="2"/>
  <c r="C2271" i="2"/>
  <c r="B2271" i="2"/>
  <c r="V2270" i="2"/>
  <c r="U2270" i="2"/>
  <c r="T2270" i="2"/>
  <c r="S2270" i="2"/>
  <c r="R2270" i="2"/>
  <c r="Q2270" i="2"/>
  <c r="P2270" i="2"/>
  <c r="O2270" i="2"/>
  <c r="N2270" i="2"/>
  <c r="M2270" i="2"/>
  <c r="L2270" i="2"/>
  <c r="K2270" i="2"/>
  <c r="J2270" i="2"/>
  <c r="I2270" i="2"/>
  <c r="H2270" i="2"/>
  <c r="G2270" i="2"/>
  <c r="F2270" i="2"/>
  <c r="E2270" i="2"/>
  <c r="D2270" i="2"/>
  <c r="C2270" i="2"/>
  <c r="B2270" i="2"/>
  <c r="V2269" i="2"/>
  <c r="U2269" i="2"/>
  <c r="T2269" i="2"/>
  <c r="S2269" i="2"/>
  <c r="R2269" i="2"/>
  <c r="Q2269" i="2"/>
  <c r="P2269" i="2"/>
  <c r="O2269" i="2"/>
  <c r="N2269" i="2"/>
  <c r="M2269" i="2"/>
  <c r="L2269" i="2"/>
  <c r="K2269" i="2"/>
  <c r="J2269" i="2"/>
  <c r="I2269" i="2"/>
  <c r="H2269" i="2"/>
  <c r="G2269" i="2"/>
  <c r="F2269" i="2"/>
  <c r="E2269" i="2"/>
  <c r="D2269" i="2"/>
  <c r="C2269" i="2"/>
  <c r="B2269" i="2"/>
  <c r="V2268" i="2"/>
  <c r="U2268" i="2"/>
  <c r="T2268" i="2"/>
  <c r="S2268" i="2"/>
  <c r="R2268" i="2"/>
  <c r="Q2268" i="2"/>
  <c r="P2268" i="2"/>
  <c r="O2268" i="2"/>
  <c r="N2268" i="2"/>
  <c r="M2268" i="2"/>
  <c r="L2268" i="2"/>
  <c r="K2268" i="2"/>
  <c r="J2268" i="2"/>
  <c r="I2268" i="2"/>
  <c r="H2268" i="2"/>
  <c r="G2268" i="2"/>
  <c r="F2268" i="2"/>
  <c r="E2268" i="2"/>
  <c r="D2268" i="2"/>
  <c r="C2268" i="2"/>
  <c r="B2268" i="2"/>
  <c r="V2267" i="2"/>
  <c r="U2267" i="2"/>
  <c r="T2267" i="2"/>
  <c r="S2267" i="2"/>
  <c r="R2267" i="2"/>
  <c r="Q2267" i="2"/>
  <c r="P2267" i="2"/>
  <c r="O2267" i="2"/>
  <c r="N2267" i="2"/>
  <c r="M2267" i="2"/>
  <c r="L2267" i="2"/>
  <c r="K2267" i="2"/>
  <c r="J2267" i="2"/>
  <c r="I2267" i="2"/>
  <c r="H2267" i="2"/>
  <c r="G2267" i="2"/>
  <c r="F2267" i="2"/>
  <c r="E2267" i="2"/>
  <c r="D2267" i="2"/>
  <c r="C2267" i="2"/>
  <c r="B2267" i="2"/>
  <c r="V2266" i="2"/>
  <c r="U2266" i="2"/>
  <c r="T2266" i="2"/>
  <c r="S2266" i="2"/>
  <c r="R2266" i="2"/>
  <c r="Q2266" i="2"/>
  <c r="P2266" i="2"/>
  <c r="O2266" i="2"/>
  <c r="N2266" i="2"/>
  <c r="M2266" i="2"/>
  <c r="L2266" i="2"/>
  <c r="K2266" i="2"/>
  <c r="J2266" i="2"/>
  <c r="I2266" i="2"/>
  <c r="H2266" i="2"/>
  <c r="G2266" i="2"/>
  <c r="F2266" i="2"/>
  <c r="E2266" i="2"/>
  <c r="D2266" i="2"/>
  <c r="C2266" i="2"/>
  <c r="B2266" i="2"/>
  <c r="V2265" i="2"/>
  <c r="U2265" i="2"/>
  <c r="T2265" i="2"/>
  <c r="S2265" i="2"/>
  <c r="R2265" i="2"/>
  <c r="Q2265" i="2"/>
  <c r="P2265" i="2"/>
  <c r="O2265" i="2"/>
  <c r="N2265" i="2"/>
  <c r="M2265" i="2"/>
  <c r="L2265" i="2"/>
  <c r="K2265" i="2"/>
  <c r="J2265" i="2"/>
  <c r="I2265" i="2"/>
  <c r="H2265" i="2"/>
  <c r="G2265" i="2"/>
  <c r="F2265" i="2"/>
  <c r="E2265" i="2"/>
  <c r="D2265" i="2"/>
  <c r="C2265" i="2"/>
  <c r="B2265" i="2"/>
  <c r="V2264" i="2"/>
  <c r="U2264" i="2"/>
  <c r="T2264" i="2"/>
  <c r="S2264" i="2"/>
  <c r="R2264" i="2"/>
  <c r="Q2264" i="2"/>
  <c r="P2264" i="2"/>
  <c r="O2264" i="2"/>
  <c r="N2264" i="2"/>
  <c r="M2264" i="2"/>
  <c r="L2264" i="2"/>
  <c r="K2264" i="2"/>
  <c r="J2264" i="2"/>
  <c r="I2264" i="2"/>
  <c r="H2264" i="2"/>
  <c r="G2264" i="2"/>
  <c r="F2264" i="2"/>
  <c r="E2264" i="2"/>
  <c r="D2264" i="2"/>
  <c r="C2264" i="2"/>
  <c r="B2264" i="2"/>
  <c r="V2263" i="2"/>
  <c r="U2263" i="2"/>
  <c r="T2263" i="2"/>
  <c r="S2263" i="2"/>
  <c r="R2263" i="2"/>
  <c r="Q2263" i="2"/>
  <c r="P2263" i="2"/>
  <c r="O2263" i="2"/>
  <c r="N2263" i="2"/>
  <c r="M2263" i="2"/>
  <c r="L2263" i="2"/>
  <c r="K2263" i="2"/>
  <c r="J2263" i="2"/>
  <c r="I2263" i="2"/>
  <c r="H2263" i="2"/>
  <c r="G2263" i="2"/>
  <c r="F2263" i="2"/>
  <c r="E2263" i="2"/>
  <c r="D2263" i="2"/>
  <c r="C2263" i="2"/>
  <c r="B2263" i="2"/>
  <c r="V2262" i="2"/>
  <c r="U2262" i="2"/>
  <c r="T2262" i="2"/>
  <c r="S2262" i="2"/>
  <c r="R2262" i="2"/>
  <c r="Q2262" i="2"/>
  <c r="P2262" i="2"/>
  <c r="O2262" i="2"/>
  <c r="N2262" i="2"/>
  <c r="M2262" i="2"/>
  <c r="L2262" i="2"/>
  <c r="K2262" i="2"/>
  <c r="J2262" i="2"/>
  <c r="I2262" i="2"/>
  <c r="H2262" i="2"/>
  <c r="G2262" i="2"/>
  <c r="F2262" i="2"/>
  <c r="E2262" i="2"/>
  <c r="D2262" i="2"/>
  <c r="C2262" i="2"/>
  <c r="B2262" i="2"/>
  <c r="V2261" i="2"/>
  <c r="U2261" i="2"/>
  <c r="T2261" i="2"/>
  <c r="S2261" i="2"/>
  <c r="R2261" i="2"/>
  <c r="Q2261" i="2"/>
  <c r="P2261" i="2"/>
  <c r="O2261" i="2"/>
  <c r="N2261" i="2"/>
  <c r="M2261" i="2"/>
  <c r="L2261" i="2"/>
  <c r="K2261" i="2"/>
  <c r="J2261" i="2"/>
  <c r="I2261" i="2"/>
  <c r="H2261" i="2"/>
  <c r="G2261" i="2"/>
  <c r="F2261" i="2"/>
  <c r="E2261" i="2"/>
  <c r="D2261" i="2"/>
  <c r="C2261" i="2"/>
  <c r="B2261" i="2"/>
  <c r="V2260" i="2"/>
  <c r="U2260" i="2"/>
  <c r="T2260" i="2"/>
  <c r="S2260" i="2"/>
  <c r="R2260" i="2"/>
  <c r="Q2260" i="2"/>
  <c r="P2260" i="2"/>
  <c r="O2260" i="2"/>
  <c r="N2260" i="2"/>
  <c r="M2260" i="2"/>
  <c r="L2260" i="2"/>
  <c r="K2260" i="2"/>
  <c r="J2260" i="2"/>
  <c r="I2260" i="2"/>
  <c r="H2260" i="2"/>
  <c r="G2260" i="2"/>
  <c r="F2260" i="2"/>
  <c r="E2260" i="2"/>
  <c r="D2260" i="2"/>
  <c r="C2260" i="2"/>
  <c r="B2260" i="2"/>
  <c r="V2259" i="2"/>
  <c r="U2259" i="2"/>
  <c r="T2259" i="2"/>
  <c r="S2259" i="2"/>
  <c r="R2259" i="2"/>
  <c r="Q2259" i="2"/>
  <c r="P2259" i="2"/>
  <c r="O2259" i="2"/>
  <c r="N2259" i="2"/>
  <c r="M2259" i="2"/>
  <c r="L2259" i="2"/>
  <c r="K2259" i="2"/>
  <c r="J2259" i="2"/>
  <c r="I2259" i="2"/>
  <c r="H2259" i="2"/>
  <c r="G2259" i="2"/>
  <c r="F2259" i="2"/>
  <c r="E2259" i="2"/>
  <c r="D2259" i="2"/>
  <c r="C2259" i="2"/>
  <c r="B2259" i="2"/>
  <c r="V2258" i="2"/>
  <c r="U2258" i="2"/>
  <c r="T2258" i="2"/>
  <c r="S2258" i="2"/>
  <c r="R2258" i="2"/>
  <c r="Q2258" i="2"/>
  <c r="P2258" i="2"/>
  <c r="O2258" i="2"/>
  <c r="N2258" i="2"/>
  <c r="M2258" i="2"/>
  <c r="L2258" i="2"/>
  <c r="K2258" i="2"/>
  <c r="J2258" i="2"/>
  <c r="I2258" i="2"/>
  <c r="H2258" i="2"/>
  <c r="G2258" i="2"/>
  <c r="F2258" i="2"/>
  <c r="E2258" i="2"/>
  <c r="D2258" i="2"/>
  <c r="C2258" i="2"/>
  <c r="B2258" i="2"/>
  <c r="V2257" i="2"/>
  <c r="U2257" i="2"/>
  <c r="T2257" i="2"/>
  <c r="S2257" i="2"/>
  <c r="R2257" i="2"/>
  <c r="Q2257" i="2"/>
  <c r="P2257" i="2"/>
  <c r="O2257" i="2"/>
  <c r="N2257" i="2"/>
  <c r="M2257" i="2"/>
  <c r="L2257" i="2"/>
  <c r="K2257" i="2"/>
  <c r="J2257" i="2"/>
  <c r="I2257" i="2"/>
  <c r="H2257" i="2"/>
  <c r="G2257" i="2"/>
  <c r="F2257" i="2"/>
  <c r="E2257" i="2"/>
  <c r="D2257" i="2"/>
  <c r="C2257" i="2"/>
  <c r="B2257" i="2"/>
  <c r="V2256" i="2"/>
  <c r="U2256" i="2"/>
  <c r="T2256" i="2"/>
  <c r="S2256" i="2"/>
  <c r="R2256" i="2"/>
  <c r="Q2256" i="2"/>
  <c r="P2256" i="2"/>
  <c r="O2256" i="2"/>
  <c r="N2256" i="2"/>
  <c r="M2256" i="2"/>
  <c r="L2256" i="2"/>
  <c r="K2256" i="2"/>
  <c r="J2256" i="2"/>
  <c r="I2256" i="2"/>
  <c r="H2256" i="2"/>
  <c r="G2256" i="2"/>
  <c r="F2256" i="2"/>
  <c r="E2256" i="2"/>
  <c r="D2256" i="2"/>
  <c r="C2256" i="2"/>
  <c r="B2256" i="2"/>
  <c r="V2255" i="2"/>
  <c r="U2255" i="2"/>
  <c r="T2255" i="2"/>
  <c r="S2255" i="2"/>
  <c r="R2255" i="2"/>
  <c r="Q2255" i="2"/>
  <c r="P2255" i="2"/>
  <c r="O2255" i="2"/>
  <c r="N2255" i="2"/>
  <c r="M2255" i="2"/>
  <c r="L2255" i="2"/>
  <c r="K2255" i="2"/>
  <c r="J2255" i="2"/>
  <c r="I2255" i="2"/>
  <c r="H2255" i="2"/>
  <c r="G2255" i="2"/>
  <c r="F2255" i="2"/>
  <c r="E2255" i="2"/>
  <c r="D2255" i="2"/>
  <c r="C2255" i="2"/>
  <c r="B2255" i="2"/>
  <c r="V2254" i="2"/>
  <c r="U2254" i="2"/>
  <c r="T2254" i="2"/>
  <c r="S2254" i="2"/>
  <c r="R2254" i="2"/>
  <c r="Q2254" i="2"/>
  <c r="P2254" i="2"/>
  <c r="O2254" i="2"/>
  <c r="N2254" i="2"/>
  <c r="M2254" i="2"/>
  <c r="L2254" i="2"/>
  <c r="K2254" i="2"/>
  <c r="J2254" i="2"/>
  <c r="I2254" i="2"/>
  <c r="H2254" i="2"/>
  <c r="G2254" i="2"/>
  <c r="F2254" i="2"/>
  <c r="E2254" i="2"/>
  <c r="D2254" i="2"/>
  <c r="C2254" i="2"/>
  <c r="B2254" i="2"/>
  <c r="V2253" i="2"/>
  <c r="U2253" i="2"/>
  <c r="T2253" i="2"/>
  <c r="S2253" i="2"/>
  <c r="R2253" i="2"/>
  <c r="Q2253" i="2"/>
  <c r="P2253" i="2"/>
  <c r="O2253" i="2"/>
  <c r="N2253" i="2"/>
  <c r="M2253" i="2"/>
  <c r="L2253" i="2"/>
  <c r="K2253" i="2"/>
  <c r="J2253" i="2"/>
  <c r="I2253" i="2"/>
  <c r="H2253" i="2"/>
  <c r="G2253" i="2"/>
  <c r="F2253" i="2"/>
  <c r="E2253" i="2"/>
  <c r="D2253" i="2"/>
  <c r="C2253" i="2"/>
  <c r="B2253" i="2"/>
  <c r="V2252" i="2"/>
  <c r="U2252" i="2"/>
  <c r="T2252" i="2"/>
  <c r="S2252" i="2"/>
  <c r="R2252" i="2"/>
  <c r="Q2252" i="2"/>
  <c r="P2252" i="2"/>
  <c r="O2252" i="2"/>
  <c r="N2252" i="2"/>
  <c r="M2252" i="2"/>
  <c r="L2252" i="2"/>
  <c r="K2252" i="2"/>
  <c r="J2252" i="2"/>
  <c r="I2252" i="2"/>
  <c r="H2252" i="2"/>
  <c r="G2252" i="2"/>
  <c r="F2252" i="2"/>
  <c r="E2252" i="2"/>
  <c r="D2252" i="2"/>
  <c r="C2252" i="2"/>
  <c r="B2252" i="2"/>
  <c r="V2251" i="2"/>
  <c r="U2251" i="2"/>
  <c r="T2251" i="2"/>
  <c r="S2251" i="2"/>
  <c r="R2251" i="2"/>
  <c r="Q2251" i="2"/>
  <c r="P2251" i="2"/>
  <c r="O2251" i="2"/>
  <c r="N2251" i="2"/>
  <c r="M2251" i="2"/>
  <c r="L2251" i="2"/>
  <c r="K2251" i="2"/>
  <c r="J2251" i="2"/>
  <c r="I2251" i="2"/>
  <c r="H2251" i="2"/>
  <c r="G2251" i="2"/>
  <c r="F2251" i="2"/>
  <c r="E2251" i="2"/>
  <c r="D2251" i="2"/>
  <c r="C2251" i="2"/>
  <c r="B2251" i="2"/>
  <c r="V2250" i="2"/>
  <c r="U2250" i="2"/>
  <c r="T2250" i="2"/>
  <c r="S2250" i="2"/>
  <c r="R2250" i="2"/>
  <c r="Q2250" i="2"/>
  <c r="P2250" i="2"/>
  <c r="O2250" i="2"/>
  <c r="N2250" i="2"/>
  <c r="M2250" i="2"/>
  <c r="L2250" i="2"/>
  <c r="K2250" i="2"/>
  <c r="J2250" i="2"/>
  <c r="I2250" i="2"/>
  <c r="H2250" i="2"/>
  <c r="G2250" i="2"/>
  <c r="F2250" i="2"/>
  <c r="E2250" i="2"/>
  <c r="D2250" i="2"/>
  <c r="C2250" i="2"/>
  <c r="B2250" i="2"/>
  <c r="V2249" i="2"/>
  <c r="U2249" i="2"/>
  <c r="T2249" i="2"/>
  <c r="S2249" i="2"/>
  <c r="R2249" i="2"/>
  <c r="Q2249" i="2"/>
  <c r="P2249" i="2"/>
  <c r="O2249" i="2"/>
  <c r="N2249" i="2"/>
  <c r="M2249" i="2"/>
  <c r="L2249" i="2"/>
  <c r="K2249" i="2"/>
  <c r="J2249" i="2"/>
  <c r="I2249" i="2"/>
  <c r="H2249" i="2"/>
  <c r="G2249" i="2"/>
  <c r="F2249" i="2"/>
  <c r="E2249" i="2"/>
  <c r="D2249" i="2"/>
  <c r="C2249" i="2"/>
  <c r="B2249" i="2"/>
  <c r="V2248" i="2"/>
  <c r="U2248" i="2"/>
  <c r="T2248" i="2"/>
  <c r="S2248" i="2"/>
  <c r="R2248" i="2"/>
  <c r="Q2248" i="2"/>
  <c r="P2248" i="2"/>
  <c r="O2248" i="2"/>
  <c r="N2248" i="2"/>
  <c r="M2248" i="2"/>
  <c r="L2248" i="2"/>
  <c r="K2248" i="2"/>
  <c r="J2248" i="2"/>
  <c r="I2248" i="2"/>
  <c r="H2248" i="2"/>
  <c r="G2248" i="2"/>
  <c r="F2248" i="2"/>
  <c r="E2248" i="2"/>
  <c r="D2248" i="2"/>
  <c r="C2248" i="2"/>
  <c r="B2248" i="2"/>
  <c r="V2247" i="2"/>
  <c r="U2247" i="2"/>
  <c r="T2247" i="2"/>
  <c r="S2247" i="2"/>
  <c r="R2247" i="2"/>
  <c r="Q2247" i="2"/>
  <c r="P2247" i="2"/>
  <c r="O2247" i="2"/>
  <c r="N2247" i="2"/>
  <c r="M2247" i="2"/>
  <c r="L2247" i="2"/>
  <c r="K2247" i="2"/>
  <c r="J2247" i="2"/>
  <c r="I2247" i="2"/>
  <c r="H2247" i="2"/>
  <c r="G2247" i="2"/>
  <c r="F2247" i="2"/>
  <c r="E2247" i="2"/>
  <c r="D2247" i="2"/>
  <c r="C2247" i="2"/>
  <c r="B2247" i="2"/>
  <c r="V2246" i="2"/>
  <c r="U2246" i="2"/>
  <c r="T2246" i="2"/>
  <c r="S2246" i="2"/>
  <c r="R2246" i="2"/>
  <c r="Q2246" i="2"/>
  <c r="P2246" i="2"/>
  <c r="O2246" i="2"/>
  <c r="N2246" i="2"/>
  <c r="M2246" i="2"/>
  <c r="L2246" i="2"/>
  <c r="K2246" i="2"/>
  <c r="J2246" i="2"/>
  <c r="I2246" i="2"/>
  <c r="H2246" i="2"/>
  <c r="G2246" i="2"/>
  <c r="F2246" i="2"/>
  <c r="E2246" i="2"/>
  <c r="D2246" i="2"/>
  <c r="C2246" i="2"/>
  <c r="B2246" i="2"/>
  <c r="V2245" i="2"/>
  <c r="U2245" i="2"/>
  <c r="T2245" i="2"/>
  <c r="S2245" i="2"/>
  <c r="R2245" i="2"/>
  <c r="Q2245" i="2"/>
  <c r="P2245" i="2"/>
  <c r="O2245" i="2"/>
  <c r="N2245" i="2"/>
  <c r="M2245" i="2"/>
  <c r="L2245" i="2"/>
  <c r="K2245" i="2"/>
  <c r="J2245" i="2"/>
  <c r="I2245" i="2"/>
  <c r="H2245" i="2"/>
  <c r="G2245" i="2"/>
  <c r="F2245" i="2"/>
  <c r="E2245" i="2"/>
  <c r="D2245" i="2"/>
  <c r="C2245" i="2"/>
  <c r="B2245" i="2"/>
  <c r="V2244" i="2"/>
  <c r="U2244" i="2"/>
  <c r="T2244" i="2"/>
  <c r="S2244" i="2"/>
  <c r="R2244" i="2"/>
  <c r="Q2244" i="2"/>
  <c r="P2244" i="2"/>
  <c r="O2244" i="2"/>
  <c r="N2244" i="2"/>
  <c r="M2244" i="2"/>
  <c r="L2244" i="2"/>
  <c r="K2244" i="2"/>
  <c r="J2244" i="2"/>
  <c r="I2244" i="2"/>
  <c r="H2244" i="2"/>
  <c r="G2244" i="2"/>
  <c r="F2244" i="2"/>
  <c r="E2244" i="2"/>
  <c r="D2244" i="2"/>
  <c r="C2244" i="2"/>
  <c r="B2244" i="2"/>
  <c r="V2243" i="2"/>
  <c r="U2243" i="2"/>
  <c r="T2243" i="2"/>
  <c r="S2243" i="2"/>
  <c r="R2243" i="2"/>
  <c r="Q2243" i="2"/>
  <c r="P2243" i="2"/>
  <c r="O2243" i="2"/>
  <c r="N2243" i="2"/>
  <c r="M2243" i="2"/>
  <c r="L2243" i="2"/>
  <c r="K2243" i="2"/>
  <c r="J2243" i="2"/>
  <c r="I2243" i="2"/>
  <c r="H2243" i="2"/>
  <c r="G2243" i="2"/>
  <c r="F2243" i="2"/>
  <c r="E2243" i="2"/>
  <c r="D2243" i="2"/>
  <c r="C2243" i="2"/>
  <c r="B2243" i="2"/>
  <c r="V2242" i="2"/>
  <c r="U2242" i="2"/>
  <c r="T2242" i="2"/>
  <c r="S2242" i="2"/>
  <c r="R2242" i="2"/>
  <c r="Q2242" i="2"/>
  <c r="P2242" i="2"/>
  <c r="O2242" i="2"/>
  <c r="N2242" i="2"/>
  <c r="M2242" i="2"/>
  <c r="L2242" i="2"/>
  <c r="K2242" i="2"/>
  <c r="J2242" i="2"/>
  <c r="I2242" i="2"/>
  <c r="H2242" i="2"/>
  <c r="G2242" i="2"/>
  <c r="F2242" i="2"/>
  <c r="E2242" i="2"/>
  <c r="D2242" i="2"/>
  <c r="C2242" i="2"/>
  <c r="B2242" i="2"/>
  <c r="V2241" i="2"/>
  <c r="U2241" i="2"/>
  <c r="T2241" i="2"/>
  <c r="S2241" i="2"/>
  <c r="R2241" i="2"/>
  <c r="Q2241" i="2"/>
  <c r="P2241" i="2"/>
  <c r="O2241" i="2"/>
  <c r="N2241" i="2"/>
  <c r="M2241" i="2"/>
  <c r="L2241" i="2"/>
  <c r="K2241" i="2"/>
  <c r="J2241" i="2"/>
  <c r="I2241" i="2"/>
  <c r="H2241" i="2"/>
  <c r="G2241" i="2"/>
  <c r="F2241" i="2"/>
  <c r="E2241" i="2"/>
  <c r="D2241" i="2"/>
  <c r="C2241" i="2"/>
  <c r="B2241" i="2"/>
  <c r="V2240" i="2"/>
  <c r="U2240" i="2"/>
  <c r="T2240" i="2"/>
  <c r="S2240" i="2"/>
  <c r="R2240" i="2"/>
  <c r="Q2240" i="2"/>
  <c r="P2240" i="2"/>
  <c r="O2240" i="2"/>
  <c r="N2240" i="2"/>
  <c r="M2240" i="2"/>
  <c r="L2240" i="2"/>
  <c r="K2240" i="2"/>
  <c r="J2240" i="2"/>
  <c r="I2240" i="2"/>
  <c r="H2240" i="2"/>
  <c r="G2240" i="2"/>
  <c r="F2240" i="2"/>
  <c r="E2240" i="2"/>
  <c r="D2240" i="2"/>
  <c r="C2240" i="2"/>
  <c r="B2240" i="2"/>
  <c r="V2239" i="2"/>
  <c r="U2239" i="2"/>
  <c r="T2239" i="2"/>
  <c r="S2239" i="2"/>
  <c r="R2239" i="2"/>
  <c r="Q2239" i="2"/>
  <c r="P2239" i="2"/>
  <c r="O2239" i="2"/>
  <c r="N2239" i="2"/>
  <c r="M2239" i="2"/>
  <c r="L2239" i="2"/>
  <c r="K2239" i="2"/>
  <c r="J2239" i="2"/>
  <c r="I2239" i="2"/>
  <c r="H2239" i="2"/>
  <c r="G2239" i="2"/>
  <c r="F2239" i="2"/>
  <c r="E2239" i="2"/>
  <c r="D2239" i="2"/>
  <c r="C2239" i="2"/>
  <c r="B2239" i="2"/>
  <c r="V2238" i="2"/>
  <c r="U2238" i="2"/>
  <c r="T2238" i="2"/>
  <c r="S2238" i="2"/>
  <c r="R2238" i="2"/>
  <c r="Q2238" i="2"/>
  <c r="P2238" i="2"/>
  <c r="O2238" i="2"/>
  <c r="N2238" i="2"/>
  <c r="M2238" i="2"/>
  <c r="L2238" i="2"/>
  <c r="K2238" i="2"/>
  <c r="J2238" i="2"/>
  <c r="I2238" i="2"/>
  <c r="H2238" i="2"/>
  <c r="G2238" i="2"/>
  <c r="F2238" i="2"/>
  <c r="E2238" i="2"/>
  <c r="D2238" i="2"/>
  <c r="C2238" i="2"/>
  <c r="B2238" i="2"/>
  <c r="V2237" i="2"/>
  <c r="U2237" i="2"/>
  <c r="T2237" i="2"/>
  <c r="S2237" i="2"/>
  <c r="R2237" i="2"/>
  <c r="Q2237" i="2"/>
  <c r="P2237" i="2"/>
  <c r="O2237" i="2"/>
  <c r="N2237" i="2"/>
  <c r="M2237" i="2"/>
  <c r="L2237" i="2"/>
  <c r="K2237" i="2"/>
  <c r="J2237" i="2"/>
  <c r="I2237" i="2"/>
  <c r="H2237" i="2"/>
  <c r="G2237" i="2"/>
  <c r="F2237" i="2"/>
  <c r="E2237" i="2"/>
  <c r="D2237" i="2"/>
  <c r="C2237" i="2"/>
  <c r="B2237" i="2"/>
  <c r="V2236" i="2"/>
  <c r="U2236" i="2"/>
  <c r="T2236" i="2"/>
  <c r="S2236" i="2"/>
  <c r="R2236" i="2"/>
  <c r="Q2236" i="2"/>
  <c r="P2236" i="2"/>
  <c r="O2236" i="2"/>
  <c r="N2236" i="2"/>
  <c r="M2236" i="2"/>
  <c r="L2236" i="2"/>
  <c r="K2236" i="2"/>
  <c r="J2236" i="2"/>
  <c r="I2236" i="2"/>
  <c r="H2236" i="2"/>
  <c r="G2236" i="2"/>
  <c r="F2236" i="2"/>
  <c r="E2236" i="2"/>
  <c r="D2236" i="2"/>
  <c r="C2236" i="2"/>
  <c r="B2236" i="2"/>
  <c r="V2235" i="2"/>
  <c r="U2235" i="2"/>
  <c r="T2235" i="2"/>
  <c r="S2235" i="2"/>
  <c r="R2235" i="2"/>
  <c r="Q2235" i="2"/>
  <c r="P2235" i="2"/>
  <c r="O2235" i="2"/>
  <c r="N2235" i="2"/>
  <c r="M2235" i="2"/>
  <c r="L2235" i="2"/>
  <c r="K2235" i="2"/>
  <c r="J2235" i="2"/>
  <c r="I2235" i="2"/>
  <c r="H2235" i="2"/>
  <c r="G2235" i="2"/>
  <c r="F2235" i="2"/>
  <c r="E2235" i="2"/>
  <c r="D2235" i="2"/>
  <c r="C2235" i="2"/>
  <c r="B2235" i="2"/>
  <c r="V2234" i="2"/>
  <c r="U2234" i="2"/>
  <c r="T2234" i="2"/>
  <c r="S2234" i="2"/>
  <c r="R2234" i="2"/>
  <c r="Q2234" i="2"/>
  <c r="P2234" i="2"/>
  <c r="O2234" i="2"/>
  <c r="N2234" i="2"/>
  <c r="M2234" i="2"/>
  <c r="L2234" i="2"/>
  <c r="K2234" i="2"/>
  <c r="J2234" i="2"/>
  <c r="I2234" i="2"/>
  <c r="H2234" i="2"/>
  <c r="G2234" i="2"/>
  <c r="F2234" i="2"/>
  <c r="E2234" i="2"/>
  <c r="D2234" i="2"/>
  <c r="C2234" i="2"/>
  <c r="B2234" i="2"/>
  <c r="V2233" i="2"/>
  <c r="U2233" i="2"/>
  <c r="T2233" i="2"/>
  <c r="S2233" i="2"/>
  <c r="R2233" i="2"/>
  <c r="Q2233" i="2"/>
  <c r="P2233" i="2"/>
  <c r="O2233" i="2"/>
  <c r="N2233" i="2"/>
  <c r="M2233" i="2"/>
  <c r="L2233" i="2"/>
  <c r="K2233" i="2"/>
  <c r="J2233" i="2"/>
  <c r="I2233" i="2"/>
  <c r="H2233" i="2"/>
  <c r="G2233" i="2"/>
  <c r="F2233" i="2"/>
  <c r="E2233" i="2"/>
  <c r="D2233" i="2"/>
  <c r="C2233" i="2"/>
  <c r="B2233" i="2"/>
  <c r="V2232" i="2"/>
  <c r="U2232" i="2"/>
  <c r="T2232" i="2"/>
  <c r="S2232" i="2"/>
  <c r="R2232" i="2"/>
  <c r="Q2232" i="2"/>
  <c r="P2232" i="2"/>
  <c r="O2232" i="2"/>
  <c r="N2232" i="2"/>
  <c r="M2232" i="2"/>
  <c r="L2232" i="2"/>
  <c r="K2232" i="2"/>
  <c r="J2232" i="2"/>
  <c r="I2232" i="2"/>
  <c r="H2232" i="2"/>
  <c r="G2232" i="2"/>
  <c r="F2232" i="2"/>
  <c r="E2232" i="2"/>
  <c r="D2232" i="2"/>
  <c r="C2232" i="2"/>
  <c r="B2232" i="2"/>
  <c r="V2231" i="2"/>
  <c r="U2231" i="2"/>
  <c r="T2231" i="2"/>
  <c r="S2231" i="2"/>
  <c r="R2231" i="2"/>
  <c r="Q2231" i="2"/>
  <c r="P2231" i="2"/>
  <c r="O2231" i="2"/>
  <c r="N2231" i="2"/>
  <c r="M2231" i="2"/>
  <c r="L2231" i="2"/>
  <c r="K2231" i="2"/>
  <c r="J2231" i="2"/>
  <c r="I2231" i="2"/>
  <c r="H2231" i="2"/>
  <c r="G2231" i="2"/>
  <c r="F2231" i="2"/>
  <c r="E2231" i="2"/>
  <c r="D2231" i="2"/>
  <c r="C2231" i="2"/>
  <c r="B2231" i="2"/>
  <c r="V2230" i="2"/>
  <c r="U2230" i="2"/>
  <c r="T2230" i="2"/>
  <c r="S2230" i="2"/>
  <c r="R2230" i="2"/>
  <c r="Q2230" i="2"/>
  <c r="P2230" i="2"/>
  <c r="O2230" i="2"/>
  <c r="N2230" i="2"/>
  <c r="M2230" i="2"/>
  <c r="L2230" i="2"/>
  <c r="K2230" i="2"/>
  <c r="J2230" i="2"/>
  <c r="I2230" i="2"/>
  <c r="H2230" i="2"/>
  <c r="G2230" i="2"/>
  <c r="F2230" i="2"/>
  <c r="E2230" i="2"/>
  <c r="D2230" i="2"/>
  <c r="C2230" i="2"/>
  <c r="B2230" i="2"/>
  <c r="V2229" i="2"/>
  <c r="U2229" i="2"/>
  <c r="T2229" i="2"/>
  <c r="S2229" i="2"/>
  <c r="R2229" i="2"/>
  <c r="Q2229" i="2"/>
  <c r="P2229" i="2"/>
  <c r="O2229" i="2"/>
  <c r="N2229" i="2"/>
  <c r="M2229" i="2"/>
  <c r="L2229" i="2"/>
  <c r="K2229" i="2"/>
  <c r="J2229" i="2"/>
  <c r="I2229" i="2"/>
  <c r="H2229" i="2"/>
  <c r="G2229" i="2"/>
  <c r="F2229" i="2"/>
  <c r="E2229" i="2"/>
  <c r="D2229" i="2"/>
  <c r="C2229" i="2"/>
  <c r="B2229" i="2"/>
  <c r="V2228" i="2"/>
  <c r="U2228" i="2"/>
  <c r="T2228" i="2"/>
  <c r="S2228" i="2"/>
  <c r="R2228" i="2"/>
  <c r="Q2228" i="2"/>
  <c r="P2228" i="2"/>
  <c r="O2228" i="2"/>
  <c r="N2228" i="2"/>
  <c r="M2228" i="2"/>
  <c r="L2228" i="2"/>
  <c r="K2228" i="2"/>
  <c r="J2228" i="2"/>
  <c r="I2228" i="2"/>
  <c r="H2228" i="2"/>
  <c r="G2228" i="2"/>
  <c r="F2228" i="2"/>
  <c r="E2228" i="2"/>
  <c r="D2228" i="2"/>
  <c r="C2228" i="2"/>
  <c r="B2228" i="2"/>
  <c r="V2227" i="2"/>
  <c r="U2227" i="2"/>
  <c r="T2227" i="2"/>
  <c r="S2227" i="2"/>
  <c r="R2227" i="2"/>
  <c r="Q2227" i="2"/>
  <c r="P2227" i="2"/>
  <c r="O2227" i="2"/>
  <c r="N2227" i="2"/>
  <c r="M2227" i="2"/>
  <c r="L2227" i="2"/>
  <c r="K2227" i="2"/>
  <c r="J2227" i="2"/>
  <c r="I2227" i="2"/>
  <c r="H2227" i="2"/>
  <c r="G2227" i="2"/>
  <c r="F2227" i="2"/>
  <c r="E2227" i="2"/>
  <c r="D2227" i="2"/>
  <c r="C2227" i="2"/>
  <c r="B2227" i="2"/>
  <c r="V2226" i="2"/>
  <c r="U2226" i="2"/>
  <c r="T2226" i="2"/>
  <c r="S2226" i="2"/>
  <c r="R2226" i="2"/>
  <c r="Q2226" i="2"/>
  <c r="P2226" i="2"/>
  <c r="O2226" i="2"/>
  <c r="N2226" i="2"/>
  <c r="M2226" i="2"/>
  <c r="L2226" i="2"/>
  <c r="K2226" i="2"/>
  <c r="J2226" i="2"/>
  <c r="I2226" i="2"/>
  <c r="H2226" i="2"/>
  <c r="G2226" i="2"/>
  <c r="F2226" i="2"/>
  <c r="E2226" i="2"/>
  <c r="D2226" i="2"/>
  <c r="C2226" i="2"/>
  <c r="B2226" i="2"/>
  <c r="V2225" i="2"/>
  <c r="U2225" i="2"/>
  <c r="T2225" i="2"/>
  <c r="S2225" i="2"/>
  <c r="R2225" i="2"/>
  <c r="Q2225" i="2"/>
  <c r="P2225" i="2"/>
  <c r="O2225" i="2"/>
  <c r="N2225" i="2"/>
  <c r="M2225" i="2"/>
  <c r="L2225" i="2"/>
  <c r="K2225" i="2"/>
  <c r="J2225" i="2"/>
  <c r="I2225" i="2"/>
  <c r="H2225" i="2"/>
  <c r="G2225" i="2"/>
  <c r="F2225" i="2"/>
  <c r="E2225" i="2"/>
  <c r="D2225" i="2"/>
  <c r="C2225" i="2"/>
  <c r="B2225" i="2"/>
  <c r="V2224" i="2"/>
  <c r="U2224" i="2"/>
  <c r="T2224" i="2"/>
  <c r="S2224" i="2"/>
  <c r="R2224" i="2"/>
  <c r="Q2224" i="2"/>
  <c r="P2224" i="2"/>
  <c r="O2224" i="2"/>
  <c r="N2224" i="2"/>
  <c r="M2224" i="2"/>
  <c r="L2224" i="2"/>
  <c r="K2224" i="2"/>
  <c r="J2224" i="2"/>
  <c r="I2224" i="2"/>
  <c r="H2224" i="2"/>
  <c r="G2224" i="2"/>
  <c r="F2224" i="2"/>
  <c r="E2224" i="2"/>
  <c r="D2224" i="2"/>
  <c r="C2224" i="2"/>
  <c r="B2224" i="2"/>
  <c r="V2223" i="2"/>
  <c r="U2223" i="2"/>
  <c r="T2223" i="2"/>
  <c r="S2223" i="2"/>
  <c r="R2223" i="2"/>
  <c r="Q2223" i="2"/>
  <c r="P2223" i="2"/>
  <c r="O2223" i="2"/>
  <c r="N2223" i="2"/>
  <c r="M2223" i="2"/>
  <c r="L2223" i="2"/>
  <c r="K2223" i="2"/>
  <c r="J2223" i="2"/>
  <c r="I2223" i="2"/>
  <c r="H2223" i="2"/>
  <c r="G2223" i="2"/>
  <c r="F2223" i="2"/>
  <c r="E2223" i="2"/>
  <c r="D2223" i="2"/>
  <c r="C2223" i="2"/>
  <c r="B2223" i="2"/>
  <c r="V2222" i="2"/>
  <c r="U2222" i="2"/>
  <c r="T2222" i="2"/>
  <c r="S2222" i="2"/>
  <c r="R2222" i="2"/>
  <c r="Q2222" i="2"/>
  <c r="P2222" i="2"/>
  <c r="O2222" i="2"/>
  <c r="N2222" i="2"/>
  <c r="M2222" i="2"/>
  <c r="L2222" i="2"/>
  <c r="K2222" i="2"/>
  <c r="J2222" i="2"/>
  <c r="I2222" i="2"/>
  <c r="H2222" i="2"/>
  <c r="G2222" i="2"/>
  <c r="F2222" i="2"/>
  <c r="E2222" i="2"/>
  <c r="D2222" i="2"/>
  <c r="C2222" i="2"/>
  <c r="B2222" i="2"/>
  <c r="V2221" i="2"/>
  <c r="U2221" i="2"/>
  <c r="T2221" i="2"/>
  <c r="S2221" i="2"/>
  <c r="R2221" i="2"/>
  <c r="Q2221" i="2"/>
  <c r="P2221" i="2"/>
  <c r="O2221" i="2"/>
  <c r="N2221" i="2"/>
  <c r="M2221" i="2"/>
  <c r="L2221" i="2"/>
  <c r="K2221" i="2"/>
  <c r="J2221" i="2"/>
  <c r="I2221" i="2"/>
  <c r="H2221" i="2"/>
  <c r="G2221" i="2"/>
  <c r="F2221" i="2"/>
  <c r="E2221" i="2"/>
  <c r="D2221" i="2"/>
  <c r="C2221" i="2"/>
  <c r="B2221" i="2"/>
  <c r="V2220" i="2"/>
  <c r="U2220" i="2"/>
  <c r="T2220" i="2"/>
  <c r="S2220" i="2"/>
  <c r="R2220" i="2"/>
  <c r="Q2220" i="2"/>
  <c r="P2220" i="2"/>
  <c r="O2220" i="2"/>
  <c r="N2220" i="2"/>
  <c r="M2220" i="2"/>
  <c r="L2220" i="2"/>
  <c r="K2220" i="2"/>
  <c r="J2220" i="2"/>
  <c r="I2220" i="2"/>
  <c r="H2220" i="2"/>
  <c r="G2220" i="2"/>
  <c r="F2220" i="2"/>
  <c r="E2220" i="2"/>
  <c r="D2220" i="2"/>
  <c r="C2220" i="2"/>
  <c r="B2220" i="2"/>
  <c r="V2219" i="2"/>
  <c r="U2219" i="2"/>
  <c r="T2219" i="2"/>
  <c r="S2219" i="2"/>
  <c r="R2219" i="2"/>
  <c r="Q2219" i="2"/>
  <c r="P2219" i="2"/>
  <c r="O2219" i="2"/>
  <c r="N2219" i="2"/>
  <c r="M2219" i="2"/>
  <c r="L2219" i="2"/>
  <c r="K2219" i="2"/>
  <c r="J2219" i="2"/>
  <c r="I2219" i="2"/>
  <c r="H2219" i="2"/>
  <c r="G2219" i="2"/>
  <c r="F2219" i="2"/>
  <c r="E2219" i="2"/>
  <c r="D2219" i="2"/>
  <c r="C2219" i="2"/>
  <c r="B2219" i="2"/>
  <c r="V2218" i="2"/>
  <c r="U2218" i="2"/>
  <c r="T2218" i="2"/>
  <c r="S2218" i="2"/>
  <c r="R2218" i="2"/>
  <c r="Q2218" i="2"/>
  <c r="P2218" i="2"/>
  <c r="O2218" i="2"/>
  <c r="N2218" i="2"/>
  <c r="M2218" i="2"/>
  <c r="L2218" i="2"/>
  <c r="K2218" i="2"/>
  <c r="J2218" i="2"/>
  <c r="I2218" i="2"/>
  <c r="H2218" i="2"/>
  <c r="G2218" i="2"/>
  <c r="F2218" i="2"/>
  <c r="E2218" i="2"/>
  <c r="D2218" i="2"/>
  <c r="C2218" i="2"/>
  <c r="B2218" i="2"/>
  <c r="V2217" i="2"/>
  <c r="U2217" i="2"/>
  <c r="T2217" i="2"/>
  <c r="S2217" i="2"/>
  <c r="R2217" i="2"/>
  <c r="Q2217" i="2"/>
  <c r="P2217" i="2"/>
  <c r="O2217" i="2"/>
  <c r="N2217" i="2"/>
  <c r="M2217" i="2"/>
  <c r="L2217" i="2"/>
  <c r="K2217" i="2"/>
  <c r="J2217" i="2"/>
  <c r="I2217" i="2"/>
  <c r="H2217" i="2"/>
  <c r="G2217" i="2"/>
  <c r="F2217" i="2"/>
  <c r="E2217" i="2"/>
  <c r="D2217" i="2"/>
  <c r="C2217" i="2"/>
  <c r="B2217" i="2"/>
  <c r="V2216" i="2"/>
  <c r="U2216" i="2"/>
  <c r="T2216" i="2"/>
  <c r="S2216" i="2"/>
  <c r="R2216" i="2"/>
  <c r="Q2216" i="2"/>
  <c r="P2216" i="2"/>
  <c r="O2216" i="2"/>
  <c r="N2216" i="2"/>
  <c r="M2216" i="2"/>
  <c r="L2216" i="2"/>
  <c r="K2216" i="2"/>
  <c r="J2216" i="2"/>
  <c r="I2216" i="2"/>
  <c r="H2216" i="2"/>
  <c r="G2216" i="2"/>
  <c r="F2216" i="2"/>
  <c r="E2216" i="2"/>
  <c r="D2216" i="2"/>
  <c r="C2216" i="2"/>
  <c r="B2216" i="2"/>
  <c r="V2215" i="2"/>
  <c r="U2215" i="2"/>
  <c r="T2215" i="2"/>
  <c r="S2215" i="2"/>
  <c r="R2215" i="2"/>
  <c r="Q2215" i="2"/>
  <c r="P2215" i="2"/>
  <c r="O2215" i="2"/>
  <c r="N2215" i="2"/>
  <c r="M2215" i="2"/>
  <c r="L2215" i="2"/>
  <c r="K2215" i="2"/>
  <c r="J2215" i="2"/>
  <c r="I2215" i="2"/>
  <c r="H2215" i="2"/>
  <c r="G2215" i="2"/>
  <c r="F2215" i="2"/>
  <c r="E2215" i="2"/>
  <c r="D2215" i="2"/>
  <c r="C2215" i="2"/>
  <c r="B2215" i="2"/>
  <c r="V2214" i="2"/>
  <c r="U2214" i="2"/>
  <c r="T2214" i="2"/>
  <c r="S2214" i="2"/>
  <c r="R2214" i="2"/>
  <c r="Q2214" i="2"/>
  <c r="P2214" i="2"/>
  <c r="O2214" i="2"/>
  <c r="N2214" i="2"/>
  <c r="M2214" i="2"/>
  <c r="L2214" i="2"/>
  <c r="K2214" i="2"/>
  <c r="J2214" i="2"/>
  <c r="I2214" i="2"/>
  <c r="H2214" i="2"/>
  <c r="G2214" i="2"/>
  <c r="F2214" i="2"/>
  <c r="E2214" i="2"/>
  <c r="D2214" i="2"/>
  <c r="C2214" i="2"/>
  <c r="B2214" i="2"/>
  <c r="V2213" i="2"/>
  <c r="U2213" i="2"/>
  <c r="T2213" i="2"/>
  <c r="S2213" i="2"/>
  <c r="R2213" i="2"/>
  <c r="Q2213" i="2"/>
  <c r="P2213" i="2"/>
  <c r="O2213" i="2"/>
  <c r="N2213" i="2"/>
  <c r="M2213" i="2"/>
  <c r="L2213" i="2"/>
  <c r="K2213" i="2"/>
  <c r="J2213" i="2"/>
  <c r="I2213" i="2"/>
  <c r="H2213" i="2"/>
  <c r="G2213" i="2"/>
  <c r="F2213" i="2"/>
  <c r="E2213" i="2"/>
  <c r="D2213" i="2"/>
  <c r="C2213" i="2"/>
  <c r="B2213" i="2"/>
  <c r="V2212" i="2"/>
  <c r="U2212" i="2"/>
  <c r="T2212" i="2"/>
  <c r="S2212" i="2"/>
  <c r="R2212" i="2"/>
  <c r="Q2212" i="2"/>
  <c r="P2212" i="2"/>
  <c r="O2212" i="2"/>
  <c r="N2212" i="2"/>
  <c r="M2212" i="2"/>
  <c r="L2212" i="2"/>
  <c r="K2212" i="2"/>
  <c r="J2212" i="2"/>
  <c r="I2212" i="2"/>
  <c r="H2212" i="2"/>
  <c r="G2212" i="2"/>
  <c r="F2212" i="2"/>
  <c r="E2212" i="2"/>
  <c r="D2212" i="2"/>
  <c r="C2212" i="2"/>
  <c r="B2212" i="2"/>
  <c r="V2211" i="2"/>
  <c r="U2211" i="2"/>
  <c r="T2211" i="2"/>
  <c r="S2211" i="2"/>
  <c r="R2211" i="2"/>
  <c r="Q2211" i="2"/>
  <c r="P2211" i="2"/>
  <c r="O2211" i="2"/>
  <c r="N2211" i="2"/>
  <c r="M2211" i="2"/>
  <c r="L2211" i="2"/>
  <c r="K2211" i="2"/>
  <c r="J2211" i="2"/>
  <c r="I2211" i="2"/>
  <c r="H2211" i="2"/>
  <c r="G2211" i="2"/>
  <c r="F2211" i="2"/>
  <c r="E2211" i="2"/>
  <c r="D2211" i="2"/>
  <c r="C2211" i="2"/>
  <c r="B2211" i="2"/>
  <c r="V2210" i="2"/>
  <c r="U2210" i="2"/>
  <c r="T2210" i="2"/>
  <c r="S2210" i="2"/>
  <c r="R2210" i="2"/>
  <c r="Q2210" i="2"/>
  <c r="P2210" i="2"/>
  <c r="O2210" i="2"/>
  <c r="N2210" i="2"/>
  <c r="M2210" i="2"/>
  <c r="L2210" i="2"/>
  <c r="K2210" i="2"/>
  <c r="J2210" i="2"/>
  <c r="I2210" i="2"/>
  <c r="H2210" i="2"/>
  <c r="G2210" i="2"/>
  <c r="F2210" i="2"/>
  <c r="E2210" i="2"/>
  <c r="D2210" i="2"/>
  <c r="C2210" i="2"/>
  <c r="B2210" i="2"/>
  <c r="V2209" i="2"/>
  <c r="U2209" i="2"/>
  <c r="T2209" i="2"/>
  <c r="S2209" i="2"/>
  <c r="R2209" i="2"/>
  <c r="Q2209" i="2"/>
  <c r="P2209" i="2"/>
  <c r="O2209" i="2"/>
  <c r="N2209" i="2"/>
  <c r="M2209" i="2"/>
  <c r="L2209" i="2"/>
  <c r="K2209" i="2"/>
  <c r="J2209" i="2"/>
  <c r="I2209" i="2"/>
  <c r="H2209" i="2"/>
  <c r="G2209" i="2"/>
  <c r="F2209" i="2"/>
  <c r="E2209" i="2"/>
  <c r="D2209" i="2"/>
  <c r="C2209" i="2"/>
  <c r="B2209" i="2"/>
  <c r="V2208" i="2"/>
  <c r="U2208" i="2"/>
  <c r="T2208" i="2"/>
  <c r="S2208" i="2"/>
  <c r="R2208" i="2"/>
  <c r="Q2208" i="2"/>
  <c r="P2208" i="2"/>
  <c r="O2208" i="2"/>
  <c r="N2208" i="2"/>
  <c r="M2208" i="2"/>
  <c r="L2208" i="2"/>
  <c r="K2208" i="2"/>
  <c r="J2208" i="2"/>
  <c r="I2208" i="2"/>
  <c r="H2208" i="2"/>
  <c r="G2208" i="2"/>
  <c r="F2208" i="2"/>
  <c r="E2208" i="2"/>
  <c r="D2208" i="2"/>
  <c r="C2208" i="2"/>
  <c r="B2208" i="2"/>
  <c r="V2207" i="2"/>
  <c r="U2207" i="2"/>
  <c r="T2207" i="2"/>
  <c r="S2207" i="2"/>
  <c r="R2207" i="2"/>
  <c r="Q2207" i="2"/>
  <c r="P2207" i="2"/>
  <c r="O2207" i="2"/>
  <c r="N2207" i="2"/>
  <c r="M2207" i="2"/>
  <c r="L2207" i="2"/>
  <c r="K2207" i="2"/>
  <c r="J2207" i="2"/>
  <c r="I2207" i="2"/>
  <c r="H2207" i="2"/>
  <c r="G2207" i="2"/>
  <c r="F2207" i="2"/>
  <c r="E2207" i="2"/>
  <c r="D2207" i="2"/>
  <c r="C2207" i="2"/>
  <c r="B2207" i="2"/>
  <c r="V2206" i="2"/>
  <c r="U2206" i="2"/>
  <c r="T2206" i="2"/>
  <c r="S2206" i="2"/>
  <c r="R2206" i="2"/>
  <c r="Q2206" i="2"/>
  <c r="P2206" i="2"/>
  <c r="O2206" i="2"/>
  <c r="N2206" i="2"/>
  <c r="M2206" i="2"/>
  <c r="L2206" i="2"/>
  <c r="K2206" i="2"/>
  <c r="J2206" i="2"/>
  <c r="I2206" i="2"/>
  <c r="H2206" i="2"/>
  <c r="G2206" i="2"/>
  <c r="F2206" i="2"/>
  <c r="E2206" i="2"/>
  <c r="D2206" i="2"/>
  <c r="C2206" i="2"/>
  <c r="B2206" i="2"/>
  <c r="V2205" i="2"/>
  <c r="U2205" i="2"/>
  <c r="T2205" i="2"/>
  <c r="S2205" i="2"/>
  <c r="R2205" i="2"/>
  <c r="Q2205" i="2"/>
  <c r="P2205" i="2"/>
  <c r="O2205" i="2"/>
  <c r="N2205" i="2"/>
  <c r="M2205" i="2"/>
  <c r="L2205" i="2"/>
  <c r="K2205" i="2"/>
  <c r="J2205" i="2"/>
  <c r="I2205" i="2"/>
  <c r="H2205" i="2"/>
  <c r="G2205" i="2"/>
  <c r="F2205" i="2"/>
  <c r="E2205" i="2"/>
  <c r="D2205" i="2"/>
  <c r="C2205" i="2"/>
  <c r="B2205" i="2"/>
  <c r="V2204" i="2"/>
  <c r="U2204" i="2"/>
  <c r="T2204" i="2"/>
  <c r="S2204" i="2"/>
  <c r="R2204" i="2"/>
  <c r="Q2204" i="2"/>
  <c r="P2204" i="2"/>
  <c r="O2204" i="2"/>
  <c r="N2204" i="2"/>
  <c r="M2204" i="2"/>
  <c r="L2204" i="2"/>
  <c r="K2204" i="2"/>
  <c r="J2204" i="2"/>
  <c r="I2204" i="2"/>
  <c r="H2204" i="2"/>
  <c r="G2204" i="2"/>
  <c r="F2204" i="2"/>
  <c r="E2204" i="2"/>
  <c r="D2204" i="2"/>
  <c r="C2204" i="2"/>
  <c r="B2204" i="2"/>
  <c r="V2203" i="2"/>
  <c r="U2203" i="2"/>
  <c r="T2203" i="2"/>
  <c r="S2203" i="2"/>
  <c r="R2203" i="2"/>
  <c r="Q2203" i="2"/>
  <c r="P2203" i="2"/>
  <c r="O2203" i="2"/>
  <c r="N2203" i="2"/>
  <c r="M2203" i="2"/>
  <c r="L2203" i="2"/>
  <c r="K2203" i="2"/>
  <c r="J2203" i="2"/>
  <c r="I2203" i="2"/>
  <c r="H2203" i="2"/>
  <c r="G2203" i="2"/>
  <c r="F2203" i="2"/>
  <c r="E2203" i="2"/>
  <c r="D2203" i="2"/>
  <c r="C2203" i="2"/>
  <c r="B2203" i="2"/>
  <c r="V2202" i="2"/>
  <c r="U2202" i="2"/>
  <c r="T2202" i="2"/>
  <c r="S2202" i="2"/>
  <c r="R2202" i="2"/>
  <c r="Q2202" i="2"/>
  <c r="P2202" i="2"/>
  <c r="O2202" i="2"/>
  <c r="N2202" i="2"/>
  <c r="M2202" i="2"/>
  <c r="L2202" i="2"/>
  <c r="K2202" i="2"/>
  <c r="J2202" i="2"/>
  <c r="I2202" i="2"/>
  <c r="H2202" i="2"/>
  <c r="G2202" i="2"/>
  <c r="F2202" i="2"/>
  <c r="E2202" i="2"/>
  <c r="D2202" i="2"/>
  <c r="C2202" i="2"/>
  <c r="B2202" i="2"/>
  <c r="V2201" i="2"/>
  <c r="U2201" i="2"/>
  <c r="T2201" i="2"/>
  <c r="S2201" i="2"/>
  <c r="R2201" i="2"/>
  <c r="Q2201" i="2"/>
  <c r="P2201" i="2"/>
  <c r="O2201" i="2"/>
  <c r="N2201" i="2"/>
  <c r="M2201" i="2"/>
  <c r="L2201" i="2"/>
  <c r="K2201" i="2"/>
  <c r="J2201" i="2"/>
  <c r="I2201" i="2"/>
  <c r="H2201" i="2"/>
  <c r="G2201" i="2"/>
  <c r="F2201" i="2"/>
  <c r="E2201" i="2"/>
  <c r="D2201" i="2"/>
  <c r="C2201" i="2"/>
  <c r="B2201" i="2"/>
  <c r="V2200" i="2"/>
  <c r="U2200" i="2"/>
  <c r="T2200" i="2"/>
  <c r="S2200" i="2"/>
  <c r="R2200" i="2"/>
  <c r="Q2200" i="2"/>
  <c r="P2200" i="2"/>
  <c r="O2200" i="2"/>
  <c r="N2200" i="2"/>
  <c r="M2200" i="2"/>
  <c r="L2200" i="2"/>
  <c r="K2200" i="2"/>
  <c r="J2200" i="2"/>
  <c r="I2200" i="2"/>
  <c r="H2200" i="2"/>
  <c r="G2200" i="2"/>
  <c r="F2200" i="2"/>
  <c r="E2200" i="2"/>
  <c r="D2200" i="2"/>
  <c r="C2200" i="2"/>
  <c r="B2200" i="2"/>
  <c r="V2199" i="2"/>
  <c r="U2199" i="2"/>
  <c r="T2199" i="2"/>
  <c r="S2199" i="2"/>
  <c r="R2199" i="2"/>
  <c r="Q2199" i="2"/>
  <c r="P2199" i="2"/>
  <c r="O2199" i="2"/>
  <c r="N2199" i="2"/>
  <c r="M2199" i="2"/>
  <c r="L2199" i="2"/>
  <c r="K2199" i="2"/>
  <c r="J2199" i="2"/>
  <c r="I2199" i="2"/>
  <c r="H2199" i="2"/>
  <c r="G2199" i="2"/>
  <c r="F2199" i="2"/>
  <c r="E2199" i="2"/>
  <c r="D2199" i="2"/>
  <c r="C2199" i="2"/>
  <c r="B2199" i="2"/>
  <c r="V2198" i="2"/>
  <c r="U2198" i="2"/>
  <c r="T2198" i="2"/>
  <c r="S2198" i="2"/>
  <c r="R2198" i="2"/>
  <c r="Q2198" i="2"/>
  <c r="P2198" i="2"/>
  <c r="O2198" i="2"/>
  <c r="N2198" i="2"/>
  <c r="M2198" i="2"/>
  <c r="L2198" i="2"/>
  <c r="K2198" i="2"/>
  <c r="J2198" i="2"/>
  <c r="I2198" i="2"/>
  <c r="H2198" i="2"/>
  <c r="G2198" i="2"/>
  <c r="F2198" i="2"/>
  <c r="E2198" i="2"/>
  <c r="D2198" i="2"/>
  <c r="C2198" i="2"/>
  <c r="B2198" i="2"/>
  <c r="V2197" i="2"/>
  <c r="U2197" i="2"/>
  <c r="T2197" i="2"/>
  <c r="S2197" i="2"/>
  <c r="R2197" i="2"/>
  <c r="Q2197" i="2"/>
  <c r="P2197" i="2"/>
  <c r="O2197" i="2"/>
  <c r="N2197" i="2"/>
  <c r="M2197" i="2"/>
  <c r="L2197" i="2"/>
  <c r="K2197" i="2"/>
  <c r="J2197" i="2"/>
  <c r="I2197" i="2"/>
  <c r="H2197" i="2"/>
  <c r="G2197" i="2"/>
  <c r="F2197" i="2"/>
  <c r="E2197" i="2"/>
  <c r="D2197" i="2"/>
  <c r="C2197" i="2"/>
  <c r="B2197" i="2"/>
  <c r="V2196" i="2"/>
  <c r="U2196" i="2"/>
  <c r="T2196" i="2"/>
  <c r="S2196" i="2"/>
  <c r="R2196" i="2"/>
  <c r="Q2196" i="2"/>
  <c r="P2196" i="2"/>
  <c r="O2196" i="2"/>
  <c r="N2196" i="2"/>
  <c r="M2196" i="2"/>
  <c r="L2196" i="2"/>
  <c r="K2196" i="2"/>
  <c r="J2196" i="2"/>
  <c r="I2196" i="2"/>
  <c r="H2196" i="2"/>
  <c r="G2196" i="2"/>
  <c r="F2196" i="2"/>
  <c r="E2196" i="2"/>
  <c r="D2196" i="2"/>
  <c r="C2196" i="2"/>
  <c r="B2196" i="2"/>
  <c r="V2195" i="2"/>
  <c r="U2195" i="2"/>
  <c r="T2195" i="2"/>
  <c r="S2195" i="2"/>
  <c r="R2195" i="2"/>
  <c r="Q2195" i="2"/>
  <c r="P2195" i="2"/>
  <c r="O2195" i="2"/>
  <c r="N2195" i="2"/>
  <c r="M2195" i="2"/>
  <c r="L2195" i="2"/>
  <c r="K2195" i="2"/>
  <c r="J2195" i="2"/>
  <c r="I2195" i="2"/>
  <c r="H2195" i="2"/>
  <c r="G2195" i="2"/>
  <c r="F2195" i="2"/>
  <c r="E2195" i="2"/>
  <c r="D2195" i="2"/>
  <c r="C2195" i="2"/>
  <c r="B2195" i="2"/>
  <c r="V2194" i="2"/>
  <c r="U2194" i="2"/>
  <c r="T2194" i="2"/>
  <c r="S2194" i="2"/>
  <c r="R2194" i="2"/>
  <c r="Q2194" i="2"/>
  <c r="P2194" i="2"/>
  <c r="O2194" i="2"/>
  <c r="N2194" i="2"/>
  <c r="M2194" i="2"/>
  <c r="L2194" i="2"/>
  <c r="K2194" i="2"/>
  <c r="J2194" i="2"/>
  <c r="I2194" i="2"/>
  <c r="H2194" i="2"/>
  <c r="G2194" i="2"/>
  <c r="F2194" i="2"/>
  <c r="E2194" i="2"/>
  <c r="D2194" i="2"/>
  <c r="C2194" i="2"/>
  <c r="B2194" i="2"/>
  <c r="V2193" i="2"/>
  <c r="U2193" i="2"/>
  <c r="T2193" i="2"/>
  <c r="S2193" i="2"/>
  <c r="R2193" i="2"/>
  <c r="Q2193" i="2"/>
  <c r="P2193" i="2"/>
  <c r="O2193" i="2"/>
  <c r="N2193" i="2"/>
  <c r="M2193" i="2"/>
  <c r="L2193" i="2"/>
  <c r="K2193" i="2"/>
  <c r="J2193" i="2"/>
  <c r="I2193" i="2"/>
  <c r="H2193" i="2"/>
  <c r="G2193" i="2"/>
  <c r="F2193" i="2"/>
  <c r="E2193" i="2"/>
  <c r="D2193" i="2"/>
  <c r="C2193" i="2"/>
  <c r="B2193" i="2"/>
  <c r="V2192" i="2"/>
  <c r="U2192" i="2"/>
  <c r="T2192" i="2"/>
  <c r="S2192" i="2"/>
  <c r="R2192" i="2"/>
  <c r="Q2192" i="2"/>
  <c r="P2192" i="2"/>
  <c r="O2192" i="2"/>
  <c r="N2192" i="2"/>
  <c r="M2192" i="2"/>
  <c r="L2192" i="2"/>
  <c r="K2192" i="2"/>
  <c r="J2192" i="2"/>
  <c r="I2192" i="2"/>
  <c r="H2192" i="2"/>
  <c r="G2192" i="2"/>
  <c r="F2192" i="2"/>
  <c r="E2192" i="2"/>
  <c r="D2192" i="2"/>
  <c r="C2192" i="2"/>
  <c r="B2192" i="2"/>
  <c r="V2191" i="2"/>
  <c r="U2191" i="2"/>
  <c r="T2191" i="2"/>
  <c r="S2191" i="2"/>
  <c r="R2191" i="2"/>
  <c r="Q2191" i="2"/>
  <c r="P2191" i="2"/>
  <c r="O2191" i="2"/>
  <c r="N2191" i="2"/>
  <c r="M2191" i="2"/>
  <c r="L2191" i="2"/>
  <c r="K2191" i="2"/>
  <c r="J2191" i="2"/>
  <c r="I2191" i="2"/>
  <c r="H2191" i="2"/>
  <c r="G2191" i="2"/>
  <c r="F2191" i="2"/>
  <c r="E2191" i="2"/>
  <c r="D2191" i="2"/>
  <c r="C2191" i="2"/>
  <c r="B2191" i="2"/>
  <c r="V2190" i="2"/>
  <c r="U2190" i="2"/>
  <c r="T2190" i="2"/>
  <c r="S2190" i="2"/>
  <c r="R2190" i="2"/>
  <c r="Q2190" i="2"/>
  <c r="P2190" i="2"/>
  <c r="O2190" i="2"/>
  <c r="N2190" i="2"/>
  <c r="M2190" i="2"/>
  <c r="L2190" i="2"/>
  <c r="K2190" i="2"/>
  <c r="J2190" i="2"/>
  <c r="I2190" i="2"/>
  <c r="H2190" i="2"/>
  <c r="G2190" i="2"/>
  <c r="F2190" i="2"/>
  <c r="E2190" i="2"/>
  <c r="D2190" i="2"/>
  <c r="C2190" i="2"/>
  <c r="B2190" i="2"/>
  <c r="V2189" i="2"/>
  <c r="U2189" i="2"/>
  <c r="T2189" i="2"/>
  <c r="S2189" i="2"/>
  <c r="R2189" i="2"/>
  <c r="Q2189" i="2"/>
  <c r="P2189" i="2"/>
  <c r="O2189" i="2"/>
  <c r="N2189" i="2"/>
  <c r="M2189" i="2"/>
  <c r="L2189" i="2"/>
  <c r="K2189" i="2"/>
  <c r="J2189" i="2"/>
  <c r="I2189" i="2"/>
  <c r="H2189" i="2"/>
  <c r="G2189" i="2"/>
  <c r="F2189" i="2"/>
  <c r="E2189" i="2"/>
  <c r="D2189" i="2"/>
  <c r="C2189" i="2"/>
  <c r="B2189" i="2"/>
  <c r="V2188" i="2"/>
  <c r="U2188" i="2"/>
  <c r="T2188" i="2"/>
  <c r="S2188" i="2"/>
  <c r="R2188" i="2"/>
  <c r="Q2188" i="2"/>
  <c r="P2188" i="2"/>
  <c r="O2188" i="2"/>
  <c r="N2188" i="2"/>
  <c r="M2188" i="2"/>
  <c r="L2188" i="2"/>
  <c r="K2188" i="2"/>
  <c r="J2188" i="2"/>
  <c r="I2188" i="2"/>
  <c r="H2188" i="2"/>
  <c r="G2188" i="2"/>
  <c r="F2188" i="2"/>
  <c r="E2188" i="2"/>
  <c r="D2188" i="2"/>
  <c r="C2188" i="2"/>
  <c r="B2188" i="2"/>
  <c r="V2187" i="2"/>
  <c r="U2187" i="2"/>
  <c r="T2187" i="2"/>
  <c r="S2187" i="2"/>
  <c r="R2187" i="2"/>
  <c r="Q2187" i="2"/>
  <c r="P2187" i="2"/>
  <c r="O2187" i="2"/>
  <c r="N2187" i="2"/>
  <c r="M2187" i="2"/>
  <c r="L2187" i="2"/>
  <c r="K2187" i="2"/>
  <c r="J2187" i="2"/>
  <c r="I2187" i="2"/>
  <c r="H2187" i="2"/>
  <c r="G2187" i="2"/>
  <c r="F2187" i="2"/>
  <c r="E2187" i="2"/>
  <c r="D2187" i="2"/>
  <c r="C2187" i="2"/>
  <c r="B2187" i="2"/>
  <c r="V2186" i="2"/>
  <c r="U2186" i="2"/>
  <c r="T2186" i="2"/>
  <c r="S2186" i="2"/>
  <c r="R2186" i="2"/>
  <c r="Q2186" i="2"/>
  <c r="P2186" i="2"/>
  <c r="O2186" i="2"/>
  <c r="N2186" i="2"/>
  <c r="M2186" i="2"/>
  <c r="L2186" i="2"/>
  <c r="K2186" i="2"/>
  <c r="J2186" i="2"/>
  <c r="I2186" i="2"/>
  <c r="H2186" i="2"/>
  <c r="G2186" i="2"/>
  <c r="F2186" i="2"/>
  <c r="E2186" i="2"/>
  <c r="D2186" i="2"/>
  <c r="C2186" i="2"/>
  <c r="B2186" i="2"/>
  <c r="V2185" i="2"/>
  <c r="U2185" i="2"/>
  <c r="T2185" i="2"/>
  <c r="S2185" i="2"/>
  <c r="R2185" i="2"/>
  <c r="Q2185" i="2"/>
  <c r="P2185" i="2"/>
  <c r="O2185" i="2"/>
  <c r="N2185" i="2"/>
  <c r="M2185" i="2"/>
  <c r="L2185" i="2"/>
  <c r="K2185" i="2"/>
  <c r="J2185" i="2"/>
  <c r="I2185" i="2"/>
  <c r="H2185" i="2"/>
  <c r="G2185" i="2"/>
  <c r="F2185" i="2"/>
  <c r="E2185" i="2"/>
  <c r="D2185" i="2"/>
  <c r="C2185" i="2"/>
  <c r="B2185" i="2"/>
  <c r="V2184" i="2"/>
  <c r="U2184" i="2"/>
  <c r="T2184" i="2"/>
  <c r="S2184" i="2"/>
  <c r="R2184" i="2"/>
  <c r="Q2184" i="2"/>
  <c r="P2184" i="2"/>
  <c r="O2184" i="2"/>
  <c r="N2184" i="2"/>
  <c r="M2184" i="2"/>
  <c r="L2184" i="2"/>
  <c r="K2184" i="2"/>
  <c r="J2184" i="2"/>
  <c r="I2184" i="2"/>
  <c r="H2184" i="2"/>
  <c r="G2184" i="2"/>
  <c r="F2184" i="2"/>
  <c r="E2184" i="2"/>
  <c r="D2184" i="2"/>
  <c r="C2184" i="2"/>
  <c r="B2184" i="2"/>
  <c r="V2183" i="2"/>
  <c r="U2183" i="2"/>
  <c r="T2183" i="2"/>
  <c r="S2183" i="2"/>
  <c r="R2183" i="2"/>
  <c r="Q2183" i="2"/>
  <c r="P2183" i="2"/>
  <c r="O2183" i="2"/>
  <c r="N2183" i="2"/>
  <c r="M2183" i="2"/>
  <c r="L2183" i="2"/>
  <c r="K2183" i="2"/>
  <c r="J2183" i="2"/>
  <c r="I2183" i="2"/>
  <c r="H2183" i="2"/>
  <c r="G2183" i="2"/>
  <c r="F2183" i="2"/>
  <c r="E2183" i="2"/>
  <c r="D2183" i="2"/>
  <c r="C2183" i="2"/>
  <c r="B2183" i="2"/>
  <c r="V2182" i="2"/>
  <c r="U2182" i="2"/>
  <c r="T2182" i="2"/>
  <c r="S2182" i="2"/>
  <c r="R2182" i="2"/>
  <c r="Q2182" i="2"/>
  <c r="P2182" i="2"/>
  <c r="O2182" i="2"/>
  <c r="N2182" i="2"/>
  <c r="M2182" i="2"/>
  <c r="L2182" i="2"/>
  <c r="K2182" i="2"/>
  <c r="J2182" i="2"/>
  <c r="I2182" i="2"/>
  <c r="H2182" i="2"/>
  <c r="G2182" i="2"/>
  <c r="F2182" i="2"/>
  <c r="E2182" i="2"/>
  <c r="D2182" i="2"/>
  <c r="C2182" i="2"/>
  <c r="B2182" i="2"/>
  <c r="V2181" i="2"/>
  <c r="U2181" i="2"/>
  <c r="T2181" i="2"/>
  <c r="S2181" i="2"/>
  <c r="R2181" i="2"/>
  <c r="Q2181" i="2"/>
  <c r="P2181" i="2"/>
  <c r="O2181" i="2"/>
  <c r="N2181" i="2"/>
  <c r="M2181" i="2"/>
  <c r="L2181" i="2"/>
  <c r="K2181" i="2"/>
  <c r="J2181" i="2"/>
  <c r="I2181" i="2"/>
  <c r="H2181" i="2"/>
  <c r="G2181" i="2"/>
  <c r="F2181" i="2"/>
  <c r="E2181" i="2"/>
  <c r="D2181" i="2"/>
  <c r="C2181" i="2"/>
  <c r="B2181" i="2"/>
  <c r="V2180" i="2"/>
  <c r="U2180" i="2"/>
  <c r="T2180" i="2"/>
  <c r="S2180" i="2"/>
  <c r="R2180" i="2"/>
  <c r="Q2180" i="2"/>
  <c r="P2180" i="2"/>
  <c r="O2180" i="2"/>
  <c r="N2180" i="2"/>
  <c r="M2180" i="2"/>
  <c r="L2180" i="2"/>
  <c r="K2180" i="2"/>
  <c r="J2180" i="2"/>
  <c r="I2180" i="2"/>
  <c r="H2180" i="2"/>
  <c r="G2180" i="2"/>
  <c r="F2180" i="2"/>
  <c r="E2180" i="2"/>
  <c r="D2180" i="2"/>
  <c r="C2180" i="2"/>
  <c r="B2180" i="2"/>
  <c r="V2179" i="2"/>
  <c r="U2179" i="2"/>
  <c r="T2179" i="2"/>
  <c r="S2179" i="2"/>
  <c r="R2179" i="2"/>
  <c r="Q2179" i="2"/>
  <c r="P2179" i="2"/>
  <c r="O2179" i="2"/>
  <c r="N2179" i="2"/>
  <c r="M2179" i="2"/>
  <c r="L2179" i="2"/>
  <c r="K2179" i="2"/>
  <c r="J2179" i="2"/>
  <c r="I2179" i="2"/>
  <c r="H2179" i="2"/>
  <c r="G2179" i="2"/>
  <c r="F2179" i="2"/>
  <c r="E2179" i="2"/>
  <c r="D2179" i="2"/>
  <c r="C2179" i="2"/>
  <c r="B2179" i="2"/>
  <c r="V2178" i="2"/>
  <c r="U2178" i="2"/>
  <c r="T2178" i="2"/>
  <c r="S2178" i="2"/>
  <c r="R2178" i="2"/>
  <c r="Q2178" i="2"/>
  <c r="P2178" i="2"/>
  <c r="O2178" i="2"/>
  <c r="N2178" i="2"/>
  <c r="M2178" i="2"/>
  <c r="L2178" i="2"/>
  <c r="K2178" i="2"/>
  <c r="J2178" i="2"/>
  <c r="I2178" i="2"/>
  <c r="H2178" i="2"/>
  <c r="G2178" i="2"/>
  <c r="F2178" i="2"/>
  <c r="E2178" i="2"/>
  <c r="D2178" i="2"/>
  <c r="C2178" i="2"/>
  <c r="B2178" i="2"/>
  <c r="V2177" i="2"/>
  <c r="U2177" i="2"/>
  <c r="T2177" i="2"/>
  <c r="S2177" i="2"/>
  <c r="R2177" i="2"/>
  <c r="Q2177" i="2"/>
  <c r="P2177" i="2"/>
  <c r="O2177" i="2"/>
  <c r="N2177" i="2"/>
  <c r="M2177" i="2"/>
  <c r="L2177" i="2"/>
  <c r="K2177" i="2"/>
  <c r="J2177" i="2"/>
  <c r="I2177" i="2"/>
  <c r="H2177" i="2"/>
  <c r="G2177" i="2"/>
  <c r="F2177" i="2"/>
  <c r="E2177" i="2"/>
  <c r="D2177" i="2"/>
  <c r="C2177" i="2"/>
  <c r="B2177" i="2"/>
  <c r="V2176" i="2"/>
  <c r="U2176" i="2"/>
  <c r="T2176" i="2"/>
  <c r="S2176" i="2"/>
  <c r="R2176" i="2"/>
  <c r="Q2176" i="2"/>
  <c r="P2176" i="2"/>
  <c r="O2176" i="2"/>
  <c r="N2176" i="2"/>
  <c r="M2176" i="2"/>
  <c r="L2176" i="2"/>
  <c r="K2176" i="2"/>
  <c r="J2176" i="2"/>
  <c r="I2176" i="2"/>
  <c r="H2176" i="2"/>
  <c r="G2176" i="2"/>
  <c r="F2176" i="2"/>
  <c r="E2176" i="2"/>
  <c r="D2176" i="2"/>
  <c r="C2176" i="2"/>
  <c r="B2176" i="2"/>
  <c r="V2175" i="2"/>
  <c r="U2175" i="2"/>
  <c r="T2175" i="2"/>
  <c r="S2175" i="2"/>
  <c r="R2175" i="2"/>
  <c r="Q2175" i="2"/>
  <c r="P2175" i="2"/>
  <c r="O2175" i="2"/>
  <c r="N2175" i="2"/>
  <c r="M2175" i="2"/>
  <c r="L2175" i="2"/>
  <c r="K2175" i="2"/>
  <c r="J2175" i="2"/>
  <c r="I2175" i="2"/>
  <c r="H2175" i="2"/>
  <c r="G2175" i="2"/>
  <c r="F2175" i="2"/>
  <c r="E2175" i="2"/>
  <c r="D2175" i="2"/>
  <c r="C2175" i="2"/>
  <c r="B2175" i="2"/>
  <c r="V2174" i="2"/>
  <c r="U2174" i="2"/>
  <c r="T2174" i="2"/>
  <c r="S2174" i="2"/>
  <c r="R2174" i="2"/>
  <c r="Q2174" i="2"/>
  <c r="P2174" i="2"/>
  <c r="O2174" i="2"/>
  <c r="N2174" i="2"/>
  <c r="M2174" i="2"/>
  <c r="L2174" i="2"/>
  <c r="K2174" i="2"/>
  <c r="J2174" i="2"/>
  <c r="I2174" i="2"/>
  <c r="H2174" i="2"/>
  <c r="G2174" i="2"/>
  <c r="F2174" i="2"/>
  <c r="E2174" i="2"/>
  <c r="D2174" i="2"/>
  <c r="C2174" i="2"/>
  <c r="B2174" i="2"/>
  <c r="V2173" i="2"/>
  <c r="U2173" i="2"/>
  <c r="T2173" i="2"/>
  <c r="S2173" i="2"/>
  <c r="R2173" i="2"/>
  <c r="Q2173" i="2"/>
  <c r="P2173" i="2"/>
  <c r="O2173" i="2"/>
  <c r="N2173" i="2"/>
  <c r="M2173" i="2"/>
  <c r="L2173" i="2"/>
  <c r="K2173" i="2"/>
  <c r="J2173" i="2"/>
  <c r="I2173" i="2"/>
  <c r="H2173" i="2"/>
  <c r="G2173" i="2"/>
  <c r="F2173" i="2"/>
  <c r="E2173" i="2"/>
  <c r="D2173" i="2"/>
  <c r="C2173" i="2"/>
  <c r="B2173" i="2"/>
  <c r="V2172" i="2"/>
  <c r="U2172" i="2"/>
  <c r="T2172" i="2"/>
  <c r="S2172" i="2"/>
  <c r="R2172" i="2"/>
  <c r="Q2172" i="2"/>
  <c r="P2172" i="2"/>
  <c r="O2172" i="2"/>
  <c r="N2172" i="2"/>
  <c r="M2172" i="2"/>
  <c r="L2172" i="2"/>
  <c r="K2172" i="2"/>
  <c r="J2172" i="2"/>
  <c r="I2172" i="2"/>
  <c r="H2172" i="2"/>
  <c r="G2172" i="2"/>
  <c r="F2172" i="2"/>
  <c r="E2172" i="2"/>
  <c r="D2172" i="2"/>
  <c r="C2172" i="2"/>
  <c r="B2172" i="2"/>
  <c r="V2171" i="2"/>
  <c r="U2171" i="2"/>
  <c r="T2171" i="2"/>
  <c r="S2171" i="2"/>
  <c r="R2171" i="2"/>
  <c r="Q2171" i="2"/>
  <c r="P2171" i="2"/>
  <c r="O2171" i="2"/>
  <c r="N2171" i="2"/>
  <c r="M2171" i="2"/>
  <c r="L2171" i="2"/>
  <c r="K2171" i="2"/>
  <c r="J2171" i="2"/>
  <c r="I2171" i="2"/>
  <c r="H2171" i="2"/>
  <c r="G2171" i="2"/>
  <c r="F2171" i="2"/>
  <c r="E2171" i="2"/>
  <c r="D2171" i="2"/>
  <c r="C2171" i="2"/>
  <c r="B2171" i="2"/>
  <c r="V2170" i="2"/>
  <c r="U2170" i="2"/>
  <c r="T2170" i="2"/>
  <c r="S2170" i="2"/>
  <c r="R2170" i="2"/>
  <c r="Q2170" i="2"/>
  <c r="P2170" i="2"/>
  <c r="O2170" i="2"/>
  <c r="N2170" i="2"/>
  <c r="M2170" i="2"/>
  <c r="L2170" i="2"/>
  <c r="K2170" i="2"/>
  <c r="J2170" i="2"/>
  <c r="I2170" i="2"/>
  <c r="H2170" i="2"/>
  <c r="G2170" i="2"/>
  <c r="F2170" i="2"/>
  <c r="E2170" i="2"/>
  <c r="D2170" i="2"/>
  <c r="C2170" i="2"/>
  <c r="B2170" i="2"/>
  <c r="V2169" i="2"/>
  <c r="U2169" i="2"/>
  <c r="T2169" i="2"/>
  <c r="S2169" i="2"/>
  <c r="R2169" i="2"/>
  <c r="Q2169" i="2"/>
  <c r="P2169" i="2"/>
  <c r="O2169" i="2"/>
  <c r="N2169" i="2"/>
  <c r="M2169" i="2"/>
  <c r="L2169" i="2"/>
  <c r="K2169" i="2"/>
  <c r="J2169" i="2"/>
  <c r="I2169" i="2"/>
  <c r="H2169" i="2"/>
  <c r="G2169" i="2"/>
  <c r="F2169" i="2"/>
  <c r="E2169" i="2"/>
  <c r="D2169" i="2"/>
  <c r="C2169" i="2"/>
  <c r="B2169" i="2"/>
  <c r="V2168" i="2"/>
  <c r="U2168" i="2"/>
  <c r="T2168" i="2"/>
  <c r="S2168" i="2"/>
  <c r="R2168" i="2"/>
  <c r="Q2168" i="2"/>
  <c r="P2168" i="2"/>
  <c r="O2168" i="2"/>
  <c r="N2168" i="2"/>
  <c r="M2168" i="2"/>
  <c r="L2168" i="2"/>
  <c r="K2168" i="2"/>
  <c r="J2168" i="2"/>
  <c r="I2168" i="2"/>
  <c r="H2168" i="2"/>
  <c r="G2168" i="2"/>
  <c r="F2168" i="2"/>
  <c r="E2168" i="2"/>
  <c r="D2168" i="2"/>
  <c r="C2168" i="2"/>
  <c r="B2168" i="2"/>
  <c r="V2167" i="2"/>
  <c r="U2167" i="2"/>
  <c r="T2167" i="2"/>
  <c r="S2167" i="2"/>
  <c r="R2167" i="2"/>
  <c r="Q2167" i="2"/>
  <c r="P2167" i="2"/>
  <c r="O2167" i="2"/>
  <c r="N2167" i="2"/>
  <c r="M2167" i="2"/>
  <c r="L2167" i="2"/>
  <c r="K2167" i="2"/>
  <c r="J2167" i="2"/>
  <c r="I2167" i="2"/>
  <c r="H2167" i="2"/>
  <c r="G2167" i="2"/>
  <c r="F2167" i="2"/>
  <c r="E2167" i="2"/>
  <c r="D2167" i="2"/>
  <c r="C2167" i="2"/>
  <c r="B2167" i="2"/>
  <c r="V2166" i="2"/>
  <c r="U2166" i="2"/>
  <c r="T2166" i="2"/>
  <c r="S2166" i="2"/>
  <c r="R2166" i="2"/>
  <c r="Q2166" i="2"/>
  <c r="P2166" i="2"/>
  <c r="O2166" i="2"/>
  <c r="N2166" i="2"/>
  <c r="M2166" i="2"/>
  <c r="L2166" i="2"/>
  <c r="K2166" i="2"/>
  <c r="J2166" i="2"/>
  <c r="I2166" i="2"/>
  <c r="H2166" i="2"/>
  <c r="G2166" i="2"/>
  <c r="F2166" i="2"/>
  <c r="E2166" i="2"/>
  <c r="D2166" i="2"/>
  <c r="C2166" i="2"/>
  <c r="B2166" i="2"/>
  <c r="V2165" i="2"/>
  <c r="U2165" i="2"/>
  <c r="T2165" i="2"/>
  <c r="S2165" i="2"/>
  <c r="R2165" i="2"/>
  <c r="Q2165" i="2"/>
  <c r="P2165" i="2"/>
  <c r="O2165" i="2"/>
  <c r="N2165" i="2"/>
  <c r="M2165" i="2"/>
  <c r="L2165" i="2"/>
  <c r="K2165" i="2"/>
  <c r="J2165" i="2"/>
  <c r="I2165" i="2"/>
  <c r="H2165" i="2"/>
  <c r="G2165" i="2"/>
  <c r="F2165" i="2"/>
  <c r="E2165" i="2"/>
  <c r="D2165" i="2"/>
  <c r="C2165" i="2"/>
  <c r="B2165" i="2"/>
  <c r="V2164" i="2"/>
  <c r="U2164" i="2"/>
  <c r="T2164" i="2"/>
  <c r="S2164" i="2"/>
  <c r="R2164" i="2"/>
  <c r="Q2164" i="2"/>
  <c r="P2164" i="2"/>
  <c r="O2164" i="2"/>
  <c r="N2164" i="2"/>
  <c r="M2164" i="2"/>
  <c r="L2164" i="2"/>
  <c r="K2164" i="2"/>
  <c r="J2164" i="2"/>
  <c r="I2164" i="2"/>
  <c r="H2164" i="2"/>
  <c r="G2164" i="2"/>
  <c r="F2164" i="2"/>
  <c r="E2164" i="2"/>
  <c r="D2164" i="2"/>
  <c r="C2164" i="2"/>
  <c r="B2164" i="2"/>
  <c r="V2163" i="2"/>
  <c r="U2163" i="2"/>
  <c r="T2163" i="2"/>
  <c r="S2163" i="2"/>
  <c r="R2163" i="2"/>
  <c r="Q2163" i="2"/>
  <c r="P2163" i="2"/>
  <c r="O2163" i="2"/>
  <c r="N2163" i="2"/>
  <c r="M2163" i="2"/>
  <c r="L2163" i="2"/>
  <c r="K2163" i="2"/>
  <c r="J2163" i="2"/>
  <c r="I2163" i="2"/>
  <c r="H2163" i="2"/>
  <c r="G2163" i="2"/>
  <c r="F2163" i="2"/>
  <c r="E2163" i="2"/>
  <c r="D2163" i="2"/>
  <c r="C2163" i="2"/>
  <c r="B2163" i="2"/>
  <c r="V2162" i="2"/>
  <c r="U2162" i="2"/>
  <c r="T2162" i="2"/>
  <c r="S2162" i="2"/>
  <c r="R2162" i="2"/>
  <c r="Q2162" i="2"/>
  <c r="P2162" i="2"/>
  <c r="O2162" i="2"/>
  <c r="N2162" i="2"/>
  <c r="M2162" i="2"/>
  <c r="L2162" i="2"/>
  <c r="K2162" i="2"/>
  <c r="J2162" i="2"/>
  <c r="I2162" i="2"/>
  <c r="H2162" i="2"/>
  <c r="G2162" i="2"/>
  <c r="F2162" i="2"/>
  <c r="E2162" i="2"/>
  <c r="D2162" i="2"/>
  <c r="C2162" i="2"/>
  <c r="B2162" i="2"/>
  <c r="V2161" i="2"/>
  <c r="U2161" i="2"/>
  <c r="T2161" i="2"/>
  <c r="S2161" i="2"/>
  <c r="R2161" i="2"/>
  <c r="Q2161" i="2"/>
  <c r="P2161" i="2"/>
  <c r="O2161" i="2"/>
  <c r="N2161" i="2"/>
  <c r="M2161" i="2"/>
  <c r="L2161" i="2"/>
  <c r="K2161" i="2"/>
  <c r="J2161" i="2"/>
  <c r="I2161" i="2"/>
  <c r="H2161" i="2"/>
  <c r="G2161" i="2"/>
  <c r="F2161" i="2"/>
  <c r="E2161" i="2"/>
  <c r="D2161" i="2"/>
  <c r="C2161" i="2"/>
  <c r="B2161" i="2"/>
  <c r="V2160" i="2"/>
  <c r="U2160" i="2"/>
  <c r="T2160" i="2"/>
  <c r="S2160" i="2"/>
  <c r="R2160" i="2"/>
  <c r="Q2160" i="2"/>
  <c r="P2160" i="2"/>
  <c r="O2160" i="2"/>
  <c r="N2160" i="2"/>
  <c r="M2160" i="2"/>
  <c r="L2160" i="2"/>
  <c r="K2160" i="2"/>
  <c r="J2160" i="2"/>
  <c r="I2160" i="2"/>
  <c r="H2160" i="2"/>
  <c r="G2160" i="2"/>
  <c r="F2160" i="2"/>
  <c r="E2160" i="2"/>
  <c r="D2160" i="2"/>
  <c r="C2160" i="2"/>
  <c r="B2160" i="2"/>
  <c r="V2159" i="2"/>
  <c r="U2159" i="2"/>
  <c r="T2159" i="2"/>
  <c r="S2159" i="2"/>
  <c r="R2159" i="2"/>
  <c r="Q2159" i="2"/>
  <c r="P2159" i="2"/>
  <c r="O2159" i="2"/>
  <c r="N2159" i="2"/>
  <c r="M2159" i="2"/>
  <c r="L2159" i="2"/>
  <c r="K2159" i="2"/>
  <c r="J2159" i="2"/>
  <c r="I2159" i="2"/>
  <c r="H2159" i="2"/>
  <c r="G2159" i="2"/>
  <c r="F2159" i="2"/>
  <c r="E2159" i="2"/>
  <c r="D2159" i="2"/>
  <c r="C2159" i="2"/>
  <c r="B2159" i="2"/>
  <c r="V2158" i="2"/>
  <c r="U2158" i="2"/>
  <c r="T2158" i="2"/>
  <c r="S2158" i="2"/>
  <c r="R2158" i="2"/>
  <c r="Q2158" i="2"/>
  <c r="P2158" i="2"/>
  <c r="O2158" i="2"/>
  <c r="N2158" i="2"/>
  <c r="M2158" i="2"/>
  <c r="L2158" i="2"/>
  <c r="K2158" i="2"/>
  <c r="J2158" i="2"/>
  <c r="I2158" i="2"/>
  <c r="H2158" i="2"/>
  <c r="G2158" i="2"/>
  <c r="F2158" i="2"/>
  <c r="E2158" i="2"/>
  <c r="D2158" i="2"/>
  <c r="C2158" i="2"/>
  <c r="B2158" i="2"/>
  <c r="V2157" i="2"/>
  <c r="U2157" i="2"/>
  <c r="T2157" i="2"/>
  <c r="S2157" i="2"/>
  <c r="R2157" i="2"/>
  <c r="Q2157" i="2"/>
  <c r="P2157" i="2"/>
  <c r="O2157" i="2"/>
  <c r="N2157" i="2"/>
  <c r="M2157" i="2"/>
  <c r="L2157" i="2"/>
  <c r="K2157" i="2"/>
  <c r="J2157" i="2"/>
  <c r="I2157" i="2"/>
  <c r="H2157" i="2"/>
  <c r="G2157" i="2"/>
  <c r="F2157" i="2"/>
  <c r="E2157" i="2"/>
  <c r="D2157" i="2"/>
  <c r="C2157" i="2"/>
  <c r="B2157" i="2"/>
  <c r="V2156" i="2"/>
  <c r="U2156" i="2"/>
  <c r="T2156" i="2"/>
  <c r="S2156" i="2"/>
  <c r="R2156" i="2"/>
  <c r="Q2156" i="2"/>
  <c r="P2156" i="2"/>
  <c r="O2156" i="2"/>
  <c r="N2156" i="2"/>
  <c r="M2156" i="2"/>
  <c r="L2156" i="2"/>
  <c r="K2156" i="2"/>
  <c r="J2156" i="2"/>
  <c r="I2156" i="2"/>
  <c r="H2156" i="2"/>
  <c r="G2156" i="2"/>
  <c r="F2156" i="2"/>
  <c r="E2156" i="2"/>
  <c r="D2156" i="2"/>
  <c r="C2156" i="2"/>
  <c r="B2156" i="2"/>
  <c r="V2155" i="2"/>
  <c r="U2155" i="2"/>
  <c r="T2155" i="2"/>
  <c r="S2155" i="2"/>
  <c r="R2155" i="2"/>
  <c r="Q2155" i="2"/>
  <c r="P2155" i="2"/>
  <c r="O2155" i="2"/>
  <c r="N2155" i="2"/>
  <c r="M2155" i="2"/>
  <c r="L2155" i="2"/>
  <c r="K2155" i="2"/>
  <c r="J2155" i="2"/>
  <c r="I2155" i="2"/>
  <c r="H2155" i="2"/>
  <c r="G2155" i="2"/>
  <c r="F2155" i="2"/>
  <c r="E2155" i="2"/>
  <c r="D2155" i="2"/>
  <c r="C2155" i="2"/>
  <c r="B2155" i="2"/>
  <c r="V2154" i="2"/>
  <c r="U2154" i="2"/>
  <c r="T2154" i="2"/>
  <c r="S2154" i="2"/>
  <c r="R2154" i="2"/>
  <c r="Q2154" i="2"/>
  <c r="P2154" i="2"/>
  <c r="O2154" i="2"/>
  <c r="N2154" i="2"/>
  <c r="M2154" i="2"/>
  <c r="L2154" i="2"/>
  <c r="K2154" i="2"/>
  <c r="J2154" i="2"/>
  <c r="I2154" i="2"/>
  <c r="H2154" i="2"/>
  <c r="G2154" i="2"/>
  <c r="F2154" i="2"/>
  <c r="E2154" i="2"/>
  <c r="D2154" i="2"/>
  <c r="C2154" i="2"/>
  <c r="B2154" i="2"/>
  <c r="V2153" i="2"/>
  <c r="U2153" i="2"/>
  <c r="T2153" i="2"/>
  <c r="S2153" i="2"/>
  <c r="R2153" i="2"/>
  <c r="Q2153" i="2"/>
  <c r="P2153" i="2"/>
  <c r="O2153" i="2"/>
  <c r="N2153" i="2"/>
  <c r="M2153" i="2"/>
  <c r="L2153" i="2"/>
  <c r="K2153" i="2"/>
  <c r="J2153" i="2"/>
  <c r="I2153" i="2"/>
  <c r="H2153" i="2"/>
  <c r="G2153" i="2"/>
  <c r="F2153" i="2"/>
  <c r="E2153" i="2"/>
  <c r="D2153" i="2"/>
  <c r="C2153" i="2"/>
  <c r="B2153" i="2"/>
  <c r="V2152" i="2"/>
  <c r="U2152" i="2"/>
  <c r="T2152" i="2"/>
  <c r="S2152" i="2"/>
  <c r="R2152" i="2"/>
  <c r="Q2152" i="2"/>
  <c r="P2152" i="2"/>
  <c r="O2152" i="2"/>
  <c r="N2152" i="2"/>
  <c r="M2152" i="2"/>
  <c r="L2152" i="2"/>
  <c r="K2152" i="2"/>
  <c r="J2152" i="2"/>
  <c r="I2152" i="2"/>
  <c r="H2152" i="2"/>
  <c r="G2152" i="2"/>
  <c r="F2152" i="2"/>
  <c r="E2152" i="2"/>
  <c r="D2152" i="2"/>
  <c r="C2152" i="2"/>
  <c r="B2152" i="2"/>
  <c r="V2151" i="2"/>
  <c r="U2151" i="2"/>
  <c r="T2151" i="2"/>
  <c r="S2151" i="2"/>
  <c r="R2151" i="2"/>
  <c r="Q2151" i="2"/>
  <c r="P2151" i="2"/>
  <c r="O2151" i="2"/>
  <c r="N2151" i="2"/>
  <c r="M2151" i="2"/>
  <c r="L2151" i="2"/>
  <c r="K2151" i="2"/>
  <c r="J2151" i="2"/>
  <c r="I2151" i="2"/>
  <c r="H2151" i="2"/>
  <c r="G2151" i="2"/>
  <c r="F2151" i="2"/>
  <c r="E2151" i="2"/>
  <c r="D2151" i="2"/>
  <c r="C2151" i="2"/>
  <c r="B2151" i="2"/>
  <c r="V2150" i="2"/>
  <c r="U2150" i="2"/>
  <c r="T2150" i="2"/>
  <c r="S2150" i="2"/>
  <c r="R2150" i="2"/>
  <c r="Q2150" i="2"/>
  <c r="P2150" i="2"/>
  <c r="O2150" i="2"/>
  <c r="N2150" i="2"/>
  <c r="M2150" i="2"/>
  <c r="L2150" i="2"/>
  <c r="K2150" i="2"/>
  <c r="J2150" i="2"/>
  <c r="I2150" i="2"/>
  <c r="H2150" i="2"/>
  <c r="G2150" i="2"/>
  <c r="F2150" i="2"/>
  <c r="E2150" i="2"/>
  <c r="D2150" i="2"/>
  <c r="C2150" i="2"/>
  <c r="B2150" i="2"/>
  <c r="V2149" i="2"/>
  <c r="U2149" i="2"/>
  <c r="T2149" i="2"/>
  <c r="S2149" i="2"/>
  <c r="R2149" i="2"/>
  <c r="Q2149" i="2"/>
  <c r="P2149" i="2"/>
  <c r="O2149" i="2"/>
  <c r="N2149" i="2"/>
  <c r="M2149" i="2"/>
  <c r="L2149" i="2"/>
  <c r="K2149" i="2"/>
  <c r="J2149" i="2"/>
  <c r="I2149" i="2"/>
  <c r="H2149" i="2"/>
  <c r="G2149" i="2"/>
  <c r="F2149" i="2"/>
  <c r="E2149" i="2"/>
  <c r="D2149" i="2"/>
  <c r="C2149" i="2"/>
  <c r="B2149" i="2"/>
  <c r="V2148" i="2"/>
  <c r="U2148" i="2"/>
  <c r="T2148" i="2"/>
  <c r="S2148" i="2"/>
  <c r="R2148" i="2"/>
  <c r="Q2148" i="2"/>
  <c r="P2148" i="2"/>
  <c r="O2148" i="2"/>
  <c r="N2148" i="2"/>
  <c r="M2148" i="2"/>
  <c r="L2148" i="2"/>
  <c r="K2148" i="2"/>
  <c r="J2148" i="2"/>
  <c r="I2148" i="2"/>
  <c r="H2148" i="2"/>
  <c r="G2148" i="2"/>
  <c r="F2148" i="2"/>
  <c r="E2148" i="2"/>
  <c r="D2148" i="2"/>
  <c r="C2148" i="2"/>
  <c r="B2148" i="2"/>
  <c r="V2147" i="2"/>
  <c r="U2147" i="2"/>
  <c r="T2147" i="2"/>
  <c r="S2147" i="2"/>
  <c r="R2147" i="2"/>
  <c r="Q2147" i="2"/>
  <c r="P2147" i="2"/>
  <c r="O2147" i="2"/>
  <c r="N2147" i="2"/>
  <c r="M2147" i="2"/>
  <c r="L2147" i="2"/>
  <c r="K2147" i="2"/>
  <c r="J2147" i="2"/>
  <c r="I2147" i="2"/>
  <c r="H2147" i="2"/>
  <c r="G2147" i="2"/>
  <c r="F2147" i="2"/>
  <c r="E2147" i="2"/>
  <c r="D2147" i="2"/>
  <c r="C2147" i="2"/>
  <c r="B2147" i="2"/>
  <c r="V2146" i="2"/>
  <c r="U2146" i="2"/>
  <c r="T2146" i="2"/>
  <c r="S2146" i="2"/>
  <c r="R2146" i="2"/>
  <c r="Q2146" i="2"/>
  <c r="P2146" i="2"/>
  <c r="O2146" i="2"/>
  <c r="N2146" i="2"/>
  <c r="M2146" i="2"/>
  <c r="L2146" i="2"/>
  <c r="K2146" i="2"/>
  <c r="J2146" i="2"/>
  <c r="I2146" i="2"/>
  <c r="H2146" i="2"/>
  <c r="G2146" i="2"/>
  <c r="F2146" i="2"/>
  <c r="E2146" i="2"/>
  <c r="D2146" i="2"/>
  <c r="C2146" i="2"/>
  <c r="B2146" i="2"/>
  <c r="V2145" i="2"/>
  <c r="U2145" i="2"/>
  <c r="T2145" i="2"/>
  <c r="S2145" i="2"/>
  <c r="R2145" i="2"/>
  <c r="Q2145" i="2"/>
  <c r="P2145" i="2"/>
  <c r="O2145" i="2"/>
  <c r="N2145" i="2"/>
  <c r="M2145" i="2"/>
  <c r="L2145" i="2"/>
  <c r="K2145" i="2"/>
  <c r="J2145" i="2"/>
  <c r="I2145" i="2"/>
  <c r="H2145" i="2"/>
  <c r="G2145" i="2"/>
  <c r="F2145" i="2"/>
  <c r="E2145" i="2"/>
  <c r="D2145" i="2"/>
  <c r="C2145" i="2"/>
  <c r="B2145" i="2"/>
  <c r="V2144" i="2"/>
  <c r="U2144" i="2"/>
  <c r="T2144" i="2"/>
  <c r="S2144" i="2"/>
  <c r="R2144" i="2"/>
  <c r="Q2144" i="2"/>
  <c r="P2144" i="2"/>
  <c r="O2144" i="2"/>
  <c r="N2144" i="2"/>
  <c r="M2144" i="2"/>
  <c r="L2144" i="2"/>
  <c r="K2144" i="2"/>
  <c r="J2144" i="2"/>
  <c r="I2144" i="2"/>
  <c r="H2144" i="2"/>
  <c r="G2144" i="2"/>
  <c r="F2144" i="2"/>
  <c r="E2144" i="2"/>
  <c r="D2144" i="2"/>
  <c r="C2144" i="2"/>
  <c r="B2144" i="2"/>
  <c r="V2143" i="2"/>
  <c r="U2143" i="2"/>
  <c r="T2143" i="2"/>
  <c r="S2143" i="2"/>
  <c r="R2143" i="2"/>
  <c r="Q2143" i="2"/>
  <c r="P2143" i="2"/>
  <c r="O2143" i="2"/>
  <c r="N2143" i="2"/>
  <c r="M2143" i="2"/>
  <c r="L2143" i="2"/>
  <c r="K2143" i="2"/>
  <c r="J2143" i="2"/>
  <c r="I2143" i="2"/>
  <c r="H2143" i="2"/>
  <c r="G2143" i="2"/>
  <c r="F2143" i="2"/>
  <c r="E2143" i="2"/>
  <c r="D2143" i="2"/>
  <c r="C2143" i="2"/>
  <c r="B2143" i="2"/>
  <c r="V2142" i="2"/>
  <c r="U2142" i="2"/>
  <c r="T2142" i="2"/>
  <c r="S2142" i="2"/>
  <c r="R2142" i="2"/>
  <c r="Q2142" i="2"/>
  <c r="P2142" i="2"/>
  <c r="O2142" i="2"/>
  <c r="N2142" i="2"/>
  <c r="M2142" i="2"/>
  <c r="L2142" i="2"/>
  <c r="K2142" i="2"/>
  <c r="J2142" i="2"/>
  <c r="I2142" i="2"/>
  <c r="H2142" i="2"/>
  <c r="G2142" i="2"/>
  <c r="F2142" i="2"/>
  <c r="E2142" i="2"/>
  <c r="D2142" i="2"/>
  <c r="C2142" i="2"/>
  <c r="B2142" i="2"/>
  <c r="V2141" i="2"/>
  <c r="U2141" i="2"/>
  <c r="T2141" i="2"/>
  <c r="S2141" i="2"/>
  <c r="R2141" i="2"/>
  <c r="Q2141" i="2"/>
  <c r="P2141" i="2"/>
  <c r="O2141" i="2"/>
  <c r="N2141" i="2"/>
  <c r="M2141" i="2"/>
  <c r="L2141" i="2"/>
  <c r="K2141" i="2"/>
  <c r="J2141" i="2"/>
  <c r="I2141" i="2"/>
  <c r="H2141" i="2"/>
  <c r="G2141" i="2"/>
  <c r="F2141" i="2"/>
  <c r="E2141" i="2"/>
  <c r="D2141" i="2"/>
  <c r="C2141" i="2"/>
  <c r="B2141" i="2"/>
  <c r="V2140" i="2"/>
  <c r="U2140" i="2"/>
  <c r="T2140" i="2"/>
  <c r="S2140" i="2"/>
  <c r="R2140" i="2"/>
  <c r="Q2140" i="2"/>
  <c r="P2140" i="2"/>
  <c r="O2140" i="2"/>
  <c r="N2140" i="2"/>
  <c r="M2140" i="2"/>
  <c r="L2140" i="2"/>
  <c r="K2140" i="2"/>
  <c r="J2140" i="2"/>
  <c r="I2140" i="2"/>
  <c r="H2140" i="2"/>
  <c r="G2140" i="2"/>
  <c r="F2140" i="2"/>
  <c r="E2140" i="2"/>
  <c r="D2140" i="2"/>
  <c r="C2140" i="2"/>
  <c r="B2140" i="2"/>
  <c r="V2139" i="2"/>
  <c r="U2139" i="2"/>
  <c r="T2139" i="2"/>
  <c r="S2139" i="2"/>
  <c r="R2139" i="2"/>
  <c r="Q2139" i="2"/>
  <c r="P2139" i="2"/>
  <c r="O2139" i="2"/>
  <c r="N2139" i="2"/>
  <c r="M2139" i="2"/>
  <c r="L2139" i="2"/>
  <c r="K2139" i="2"/>
  <c r="J2139" i="2"/>
  <c r="I2139" i="2"/>
  <c r="H2139" i="2"/>
  <c r="G2139" i="2"/>
  <c r="F2139" i="2"/>
  <c r="E2139" i="2"/>
  <c r="D2139" i="2"/>
  <c r="C2139" i="2"/>
  <c r="B2139" i="2"/>
  <c r="V2138" i="2"/>
  <c r="U2138" i="2"/>
  <c r="T2138" i="2"/>
  <c r="S2138" i="2"/>
  <c r="R2138" i="2"/>
  <c r="Q2138" i="2"/>
  <c r="P2138" i="2"/>
  <c r="O2138" i="2"/>
  <c r="N2138" i="2"/>
  <c r="M2138" i="2"/>
  <c r="L2138" i="2"/>
  <c r="K2138" i="2"/>
  <c r="J2138" i="2"/>
  <c r="I2138" i="2"/>
  <c r="H2138" i="2"/>
  <c r="G2138" i="2"/>
  <c r="F2138" i="2"/>
  <c r="E2138" i="2"/>
  <c r="D2138" i="2"/>
  <c r="C2138" i="2"/>
  <c r="B2138" i="2"/>
  <c r="V2137" i="2"/>
  <c r="U2137" i="2"/>
  <c r="T2137" i="2"/>
  <c r="S2137" i="2"/>
  <c r="R2137" i="2"/>
  <c r="Q2137" i="2"/>
  <c r="P2137" i="2"/>
  <c r="O2137" i="2"/>
  <c r="N2137" i="2"/>
  <c r="M2137" i="2"/>
  <c r="L2137" i="2"/>
  <c r="K2137" i="2"/>
  <c r="J2137" i="2"/>
  <c r="I2137" i="2"/>
  <c r="H2137" i="2"/>
  <c r="G2137" i="2"/>
  <c r="F2137" i="2"/>
  <c r="E2137" i="2"/>
  <c r="D2137" i="2"/>
  <c r="C2137" i="2"/>
  <c r="B2137" i="2"/>
  <c r="V2136" i="2"/>
  <c r="U2136" i="2"/>
  <c r="T2136" i="2"/>
  <c r="S2136" i="2"/>
  <c r="R2136" i="2"/>
  <c r="Q2136" i="2"/>
  <c r="P2136" i="2"/>
  <c r="O2136" i="2"/>
  <c r="N2136" i="2"/>
  <c r="M2136" i="2"/>
  <c r="L2136" i="2"/>
  <c r="K2136" i="2"/>
  <c r="J2136" i="2"/>
  <c r="I2136" i="2"/>
  <c r="H2136" i="2"/>
  <c r="G2136" i="2"/>
  <c r="F2136" i="2"/>
  <c r="E2136" i="2"/>
  <c r="D2136" i="2"/>
  <c r="C2136" i="2"/>
  <c r="B2136" i="2"/>
  <c r="V2135" i="2"/>
  <c r="U2135" i="2"/>
  <c r="T2135" i="2"/>
  <c r="S2135" i="2"/>
  <c r="R2135" i="2"/>
  <c r="Q2135" i="2"/>
  <c r="P2135" i="2"/>
  <c r="O2135" i="2"/>
  <c r="N2135" i="2"/>
  <c r="M2135" i="2"/>
  <c r="L2135" i="2"/>
  <c r="K2135" i="2"/>
  <c r="J2135" i="2"/>
  <c r="I2135" i="2"/>
  <c r="H2135" i="2"/>
  <c r="G2135" i="2"/>
  <c r="F2135" i="2"/>
  <c r="E2135" i="2"/>
  <c r="D2135" i="2"/>
  <c r="C2135" i="2"/>
  <c r="B2135" i="2"/>
  <c r="V2134" i="2"/>
  <c r="U2134" i="2"/>
  <c r="T2134" i="2"/>
  <c r="S2134" i="2"/>
  <c r="R2134" i="2"/>
  <c r="Q2134" i="2"/>
  <c r="P2134" i="2"/>
  <c r="O2134" i="2"/>
  <c r="N2134" i="2"/>
  <c r="M2134" i="2"/>
  <c r="L2134" i="2"/>
  <c r="K2134" i="2"/>
  <c r="J2134" i="2"/>
  <c r="I2134" i="2"/>
  <c r="H2134" i="2"/>
  <c r="G2134" i="2"/>
  <c r="F2134" i="2"/>
  <c r="E2134" i="2"/>
  <c r="D2134" i="2"/>
  <c r="C2134" i="2"/>
  <c r="B2134" i="2"/>
  <c r="V2133" i="2"/>
  <c r="U2133" i="2"/>
  <c r="T2133" i="2"/>
  <c r="S2133" i="2"/>
  <c r="R2133" i="2"/>
  <c r="Q2133" i="2"/>
  <c r="P2133" i="2"/>
  <c r="O2133" i="2"/>
  <c r="N2133" i="2"/>
  <c r="M2133" i="2"/>
  <c r="L2133" i="2"/>
  <c r="K2133" i="2"/>
  <c r="J2133" i="2"/>
  <c r="I2133" i="2"/>
  <c r="H2133" i="2"/>
  <c r="G2133" i="2"/>
  <c r="F2133" i="2"/>
  <c r="E2133" i="2"/>
  <c r="D2133" i="2"/>
  <c r="C2133" i="2"/>
  <c r="B2133" i="2"/>
  <c r="V2132" i="2"/>
  <c r="U2132" i="2"/>
  <c r="T2132" i="2"/>
  <c r="S2132" i="2"/>
  <c r="R2132" i="2"/>
  <c r="Q2132" i="2"/>
  <c r="P2132" i="2"/>
  <c r="O2132" i="2"/>
  <c r="N2132" i="2"/>
  <c r="M2132" i="2"/>
  <c r="L2132" i="2"/>
  <c r="K2132" i="2"/>
  <c r="J2132" i="2"/>
  <c r="I2132" i="2"/>
  <c r="H2132" i="2"/>
  <c r="G2132" i="2"/>
  <c r="F2132" i="2"/>
  <c r="E2132" i="2"/>
  <c r="D2132" i="2"/>
  <c r="C2132" i="2"/>
  <c r="B2132" i="2"/>
  <c r="V2131" i="2"/>
  <c r="U2131" i="2"/>
  <c r="T2131" i="2"/>
  <c r="S2131" i="2"/>
  <c r="R2131" i="2"/>
  <c r="Q2131" i="2"/>
  <c r="P2131" i="2"/>
  <c r="O2131" i="2"/>
  <c r="N2131" i="2"/>
  <c r="M2131" i="2"/>
  <c r="L2131" i="2"/>
  <c r="K2131" i="2"/>
  <c r="J2131" i="2"/>
  <c r="I2131" i="2"/>
  <c r="H2131" i="2"/>
  <c r="G2131" i="2"/>
  <c r="F2131" i="2"/>
  <c r="E2131" i="2"/>
  <c r="D2131" i="2"/>
  <c r="C2131" i="2"/>
  <c r="B2131" i="2"/>
  <c r="V2130" i="2"/>
  <c r="U2130" i="2"/>
  <c r="T2130" i="2"/>
  <c r="S2130" i="2"/>
  <c r="R2130" i="2"/>
  <c r="Q2130" i="2"/>
  <c r="P2130" i="2"/>
  <c r="O2130" i="2"/>
  <c r="N2130" i="2"/>
  <c r="M2130" i="2"/>
  <c r="L2130" i="2"/>
  <c r="K2130" i="2"/>
  <c r="J2130" i="2"/>
  <c r="I2130" i="2"/>
  <c r="H2130" i="2"/>
  <c r="G2130" i="2"/>
  <c r="F2130" i="2"/>
  <c r="E2130" i="2"/>
  <c r="D2130" i="2"/>
  <c r="C2130" i="2"/>
  <c r="B2130" i="2"/>
  <c r="V2129" i="2"/>
  <c r="U2129" i="2"/>
  <c r="T2129" i="2"/>
  <c r="S2129" i="2"/>
  <c r="R2129" i="2"/>
  <c r="Q2129" i="2"/>
  <c r="P2129" i="2"/>
  <c r="O2129" i="2"/>
  <c r="N2129" i="2"/>
  <c r="M2129" i="2"/>
  <c r="L2129" i="2"/>
  <c r="K2129" i="2"/>
  <c r="J2129" i="2"/>
  <c r="I2129" i="2"/>
  <c r="H2129" i="2"/>
  <c r="G2129" i="2"/>
  <c r="F2129" i="2"/>
  <c r="E2129" i="2"/>
  <c r="D2129" i="2"/>
  <c r="C2129" i="2"/>
  <c r="B2129" i="2"/>
  <c r="V2128" i="2"/>
  <c r="U2128" i="2"/>
  <c r="T2128" i="2"/>
  <c r="S2128" i="2"/>
  <c r="R2128" i="2"/>
  <c r="Q2128" i="2"/>
  <c r="P2128" i="2"/>
  <c r="O2128" i="2"/>
  <c r="N2128" i="2"/>
  <c r="M2128" i="2"/>
  <c r="L2128" i="2"/>
  <c r="K2128" i="2"/>
  <c r="J2128" i="2"/>
  <c r="I2128" i="2"/>
  <c r="H2128" i="2"/>
  <c r="G2128" i="2"/>
  <c r="F2128" i="2"/>
  <c r="E2128" i="2"/>
  <c r="D2128" i="2"/>
  <c r="C2128" i="2"/>
  <c r="B2128" i="2"/>
  <c r="V2127" i="2"/>
  <c r="U2127" i="2"/>
  <c r="T2127" i="2"/>
  <c r="S2127" i="2"/>
  <c r="R2127" i="2"/>
  <c r="Q2127" i="2"/>
  <c r="P2127" i="2"/>
  <c r="O2127" i="2"/>
  <c r="N2127" i="2"/>
  <c r="M2127" i="2"/>
  <c r="L2127" i="2"/>
  <c r="K2127" i="2"/>
  <c r="J2127" i="2"/>
  <c r="I2127" i="2"/>
  <c r="H2127" i="2"/>
  <c r="G2127" i="2"/>
  <c r="F2127" i="2"/>
  <c r="E2127" i="2"/>
  <c r="D2127" i="2"/>
  <c r="C2127" i="2"/>
  <c r="B2127" i="2"/>
  <c r="V2126" i="2"/>
  <c r="U2126" i="2"/>
  <c r="T2126" i="2"/>
  <c r="S2126" i="2"/>
  <c r="R2126" i="2"/>
  <c r="Q2126" i="2"/>
  <c r="P2126" i="2"/>
  <c r="O2126" i="2"/>
  <c r="N2126" i="2"/>
  <c r="M2126" i="2"/>
  <c r="L2126" i="2"/>
  <c r="K2126" i="2"/>
  <c r="J2126" i="2"/>
  <c r="I2126" i="2"/>
  <c r="H2126" i="2"/>
  <c r="G2126" i="2"/>
  <c r="F2126" i="2"/>
  <c r="E2126" i="2"/>
  <c r="D2126" i="2"/>
  <c r="C2126" i="2"/>
  <c r="B2126" i="2"/>
  <c r="V2125" i="2"/>
  <c r="U2125" i="2"/>
  <c r="T2125" i="2"/>
  <c r="S2125" i="2"/>
  <c r="R2125" i="2"/>
  <c r="Q2125" i="2"/>
  <c r="P2125" i="2"/>
  <c r="O2125" i="2"/>
  <c r="N2125" i="2"/>
  <c r="M2125" i="2"/>
  <c r="L2125" i="2"/>
  <c r="K2125" i="2"/>
  <c r="J2125" i="2"/>
  <c r="I2125" i="2"/>
  <c r="H2125" i="2"/>
  <c r="G2125" i="2"/>
  <c r="F2125" i="2"/>
  <c r="E2125" i="2"/>
  <c r="D2125" i="2"/>
  <c r="C2125" i="2"/>
  <c r="B2125" i="2"/>
  <c r="V2124" i="2"/>
  <c r="U2124" i="2"/>
  <c r="T2124" i="2"/>
  <c r="S2124" i="2"/>
  <c r="R2124" i="2"/>
  <c r="Q2124" i="2"/>
  <c r="P2124" i="2"/>
  <c r="O2124" i="2"/>
  <c r="N2124" i="2"/>
  <c r="M2124" i="2"/>
  <c r="L2124" i="2"/>
  <c r="K2124" i="2"/>
  <c r="J2124" i="2"/>
  <c r="I2124" i="2"/>
  <c r="H2124" i="2"/>
  <c r="G2124" i="2"/>
  <c r="F2124" i="2"/>
  <c r="E2124" i="2"/>
  <c r="D2124" i="2"/>
  <c r="C2124" i="2"/>
  <c r="B2124" i="2"/>
  <c r="V2123" i="2"/>
  <c r="U2123" i="2"/>
  <c r="T2123" i="2"/>
  <c r="S2123" i="2"/>
  <c r="R2123" i="2"/>
  <c r="Q2123" i="2"/>
  <c r="P2123" i="2"/>
  <c r="O2123" i="2"/>
  <c r="N2123" i="2"/>
  <c r="M2123" i="2"/>
  <c r="L2123" i="2"/>
  <c r="K2123" i="2"/>
  <c r="J2123" i="2"/>
  <c r="I2123" i="2"/>
  <c r="H2123" i="2"/>
  <c r="G2123" i="2"/>
  <c r="F2123" i="2"/>
  <c r="E2123" i="2"/>
  <c r="D2123" i="2"/>
  <c r="C2123" i="2"/>
  <c r="B2123" i="2"/>
  <c r="V2122" i="2"/>
  <c r="U2122" i="2"/>
  <c r="T2122" i="2"/>
  <c r="S2122" i="2"/>
  <c r="R2122" i="2"/>
  <c r="Q2122" i="2"/>
  <c r="P2122" i="2"/>
  <c r="O2122" i="2"/>
  <c r="N2122" i="2"/>
  <c r="M2122" i="2"/>
  <c r="L2122" i="2"/>
  <c r="K2122" i="2"/>
  <c r="J2122" i="2"/>
  <c r="I2122" i="2"/>
  <c r="H2122" i="2"/>
  <c r="G2122" i="2"/>
  <c r="F2122" i="2"/>
  <c r="E2122" i="2"/>
  <c r="D2122" i="2"/>
  <c r="C2122" i="2"/>
  <c r="B2122" i="2"/>
  <c r="V2121" i="2"/>
  <c r="U2121" i="2"/>
  <c r="T2121" i="2"/>
  <c r="S2121" i="2"/>
  <c r="R2121" i="2"/>
  <c r="Q2121" i="2"/>
  <c r="P2121" i="2"/>
  <c r="O2121" i="2"/>
  <c r="N2121" i="2"/>
  <c r="M2121" i="2"/>
  <c r="L2121" i="2"/>
  <c r="K2121" i="2"/>
  <c r="J2121" i="2"/>
  <c r="I2121" i="2"/>
  <c r="H2121" i="2"/>
  <c r="G2121" i="2"/>
  <c r="F2121" i="2"/>
  <c r="E2121" i="2"/>
  <c r="D2121" i="2"/>
  <c r="C2121" i="2"/>
  <c r="B2121" i="2"/>
  <c r="V2120" i="2"/>
  <c r="U2120" i="2"/>
  <c r="T2120" i="2"/>
  <c r="S2120" i="2"/>
  <c r="R2120" i="2"/>
  <c r="Q2120" i="2"/>
  <c r="P2120" i="2"/>
  <c r="O2120" i="2"/>
  <c r="N2120" i="2"/>
  <c r="M2120" i="2"/>
  <c r="L2120" i="2"/>
  <c r="K2120" i="2"/>
  <c r="J2120" i="2"/>
  <c r="I2120" i="2"/>
  <c r="H2120" i="2"/>
  <c r="G2120" i="2"/>
  <c r="F2120" i="2"/>
  <c r="E2120" i="2"/>
  <c r="D2120" i="2"/>
  <c r="C2120" i="2"/>
  <c r="B2120" i="2"/>
  <c r="V2119" i="2"/>
  <c r="U2119" i="2"/>
  <c r="T2119" i="2"/>
  <c r="S2119" i="2"/>
  <c r="R2119" i="2"/>
  <c r="Q2119" i="2"/>
  <c r="P2119" i="2"/>
  <c r="O2119" i="2"/>
  <c r="N2119" i="2"/>
  <c r="M2119" i="2"/>
  <c r="L2119" i="2"/>
  <c r="K2119" i="2"/>
  <c r="J2119" i="2"/>
  <c r="I2119" i="2"/>
  <c r="H2119" i="2"/>
  <c r="G2119" i="2"/>
  <c r="F2119" i="2"/>
  <c r="E2119" i="2"/>
  <c r="D2119" i="2"/>
  <c r="C2119" i="2"/>
  <c r="B2119" i="2"/>
  <c r="V2118" i="2"/>
  <c r="U2118" i="2"/>
  <c r="T2118" i="2"/>
  <c r="S2118" i="2"/>
  <c r="R2118" i="2"/>
  <c r="Q2118" i="2"/>
  <c r="P2118" i="2"/>
  <c r="O2118" i="2"/>
  <c r="N2118" i="2"/>
  <c r="M2118" i="2"/>
  <c r="L2118" i="2"/>
  <c r="K2118" i="2"/>
  <c r="J2118" i="2"/>
  <c r="I2118" i="2"/>
  <c r="H2118" i="2"/>
  <c r="G2118" i="2"/>
  <c r="F2118" i="2"/>
  <c r="E2118" i="2"/>
  <c r="D2118" i="2"/>
  <c r="C2118" i="2"/>
  <c r="B2118" i="2"/>
  <c r="V2117" i="2"/>
  <c r="U2117" i="2"/>
  <c r="T2117" i="2"/>
  <c r="S2117" i="2"/>
  <c r="R2117" i="2"/>
  <c r="Q2117" i="2"/>
  <c r="P2117" i="2"/>
  <c r="O2117" i="2"/>
  <c r="N2117" i="2"/>
  <c r="M2117" i="2"/>
  <c r="L2117" i="2"/>
  <c r="K2117" i="2"/>
  <c r="J2117" i="2"/>
  <c r="I2117" i="2"/>
  <c r="H2117" i="2"/>
  <c r="G2117" i="2"/>
  <c r="F2117" i="2"/>
  <c r="E2117" i="2"/>
  <c r="D2117" i="2"/>
  <c r="C2117" i="2"/>
  <c r="B2117" i="2"/>
  <c r="V2116" i="2"/>
  <c r="U2116" i="2"/>
  <c r="T2116" i="2"/>
  <c r="S2116" i="2"/>
  <c r="R2116" i="2"/>
  <c r="Q2116" i="2"/>
  <c r="P2116" i="2"/>
  <c r="O2116" i="2"/>
  <c r="N2116" i="2"/>
  <c r="M2116" i="2"/>
  <c r="L2116" i="2"/>
  <c r="K2116" i="2"/>
  <c r="J2116" i="2"/>
  <c r="I2116" i="2"/>
  <c r="H2116" i="2"/>
  <c r="G2116" i="2"/>
  <c r="F2116" i="2"/>
  <c r="E2116" i="2"/>
  <c r="D2116" i="2"/>
  <c r="C2116" i="2"/>
  <c r="B2116" i="2"/>
  <c r="V2115" i="2"/>
  <c r="U2115" i="2"/>
  <c r="T2115" i="2"/>
  <c r="S2115" i="2"/>
  <c r="R2115" i="2"/>
  <c r="Q2115" i="2"/>
  <c r="P2115" i="2"/>
  <c r="O2115" i="2"/>
  <c r="N2115" i="2"/>
  <c r="M2115" i="2"/>
  <c r="L2115" i="2"/>
  <c r="K2115" i="2"/>
  <c r="J2115" i="2"/>
  <c r="I2115" i="2"/>
  <c r="H2115" i="2"/>
  <c r="G2115" i="2"/>
  <c r="F2115" i="2"/>
  <c r="E2115" i="2"/>
  <c r="D2115" i="2"/>
  <c r="C2115" i="2"/>
  <c r="B2115" i="2"/>
  <c r="V2114" i="2"/>
  <c r="U2114" i="2"/>
  <c r="T2114" i="2"/>
  <c r="S2114" i="2"/>
  <c r="R2114" i="2"/>
  <c r="Q2114" i="2"/>
  <c r="P2114" i="2"/>
  <c r="O2114" i="2"/>
  <c r="N2114" i="2"/>
  <c r="M2114" i="2"/>
  <c r="L2114" i="2"/>
  <c r="K2114" i="2"/>
  <c r="J2114" i="2"/>
  <c r="I2114" i="2"/>
  <c r="H2114" i="2"/>
  <c r="G2114" i="2"/>
  <c r="F2114" i="2"/>
  <c r="E2114" i="2"/>
  <c r="D2114" i="2"/>
  <c r="C2114" i="2"/>
  <c r="B2114" i="2"/>
  <c r="V2113" i="2"/>
  <c r="U2113" i="2"/>
  <c r="T2113" i="2"/>
  <c r="S2113" i="2"/>
  <c r="R2113" i="2"/>
  <c r="Q2113" i="2"/>
  <c r="P2113" i="2"/>
  <c r="O2113" i="2"/>
  <c r="N2113" i="2"/>
  <c r="M2113" i="2"/>
  <c r="L2113" i="2"/>
  <c r="K2113" i="2"/>
  <c r="J2113" i="2"/>
  <c r="I2113" i="2"/>
  <c r="H2113" i="2"/>
  <c r="G2113" i="2"/>
  <c r="F2113" i="2"/>
  <c r="E2113" i="2"/>
  <c r="D2113" i="2"/>
  <c r="C2113" i="2"/>
  <c r="B2113" i="2"/>
  <c r="V2112" i="2"/>
  <c r="U2112" i="2"/>
  <c r="T2112" i="2"/>
  <c r="S2112" i="2"/>
  <c r="R2112" i="2"/>
  <c r="Q2112" i="2"/>
  <c r="P2112" i="2"/>
  <c r="O2112" i="2"/>
  <c r="N2112" i="2"/>
  <c r="M2112" i="2"/>
  <c r="L2112" i="2"/>
  <c r="K2112" i="2"/>
  <c r="J2112" i="2"/>
  <c r="I2112" i="2"/>
  <c r="H2112" i="2"/>
  <c r="G2112" i="2"/>
  <c r="F2112" i="2"/>
  <c r="E2112" i="2"/>
  <c r="D2112" i="2"/>
  <c r="C2112" i="2"/>
  <c r="B2112" i="2"/>
  <c r="V2111" i="2"/>
  <c r="U2111" i="2"/>
  <c r="T2111" i="2"/>
  <c r="S2111" i="2"/>
  <c r="R2111" i="2"/>
  <c r="Q2111" i="2"/>
  <c r="P2111" i="2"/>
  <c r="O2111" i="2"/>
  <c r="N2111" i="2"/>
  <c r="M2111" i="2"/>
  <c r="L2111" i="2"/>
  <c r="K2111" i="2"/>
  <c r="J2111" i="2"/>
  <c r="I2111" i="2"/>
  <c r="H2111" i="2"/>
  <c r="G2111" i="2"/>
  <c r="F2111" i="2"/>
  <c r="E2111" i="2"/>
  <c r="D2111" i="2"/>
  <c r="C2111" i="2"/>
  <c r="B2111" i="2"/>
  <c r="V2110" i="2"/>
  <c r="U2110" i="2"/>
  <c r="T2110" i="2"/>
  <c r="S2110" i="2"/>
  <c r="R2110" i="2"/>
  <c r="Q2110" i="2"/>
  <c r="P2110" i="2"/>
  <c r="O2110" i="2"/>
  <c r="N2110" i="2"/>
  <c r="M2110" i="2"/>
  <c r="L2110" i="2"/>
  <c r="K2110" i="2"/>
  <c r="J2110" i="2"/>
  <c r="I2110" i="2"/>
  <c r="H2110" i="2"/>
  <c r="G2110" i="2"/>
  <c r="F2110" i="2"/>
  <c r="E2110" i="2"/>
  <c r="D2110" i="2"/>
  <c r="C2110" i="2"/>
  <c r="B2110" i="2"/>
  <c r="V2109" i="2"/>
  <c r="U2109" i="2"/>
  <c r="T2109" i="2"/>
  <c r="S2109" i="2"/>
  <c r="R2109" i="2"/>
  <c r="Q2109" i="2"/>
  <c r="P2109" i="2"/>
  <c r="O2109" i="2"/>
  <c r="N2109" i="2"/>
  <c r="M2109" i="2"/>
  <c r="L2109" i="2"/>
  <c r="K2109" i="2"/>
  <c r="J2109" i="2"/>
  <c r="I2109" i="2"/>
  <c r="H2109" i="2"/>
  <c r="G2109" i="2"/>
  <c r="F2109" i="2"/>
  <c r="E2109" i="2"/>
  <c r="D2109" i="2"/>
  <c r="C2109" i="2"/>
  <c r="B2109" i="2"/>
  <c r="V2108" i="2"/>
  <c r="U2108" i="2"/>
  <c r="T2108" i="2"/>
  <c r="S2108" i="2"/>
  <c r="R2108" i="2"/>
  <c r="Q2108" i="2"/>
  <c r="P2108" i="2"/>
  <c r="O2108" i="2"/>
  <c r="N2108" i="2"/>
  <c r="M2108" i="2"/>
  <c r="L2108" i="2"/>
  <c r="K2108" i="2"/>
  <c r="J2108" i="2"/>
  <c r="I2108" i="2"/>
  <c r="H2108" i="2"/>
  <c r="G2108" i="2"/>
  <c r="F2108" i="2"/>
  <c r="E2108" i="2"/>
  <c r="D2108" i="2"/>
  <c r="C2108" i="2"/>
  <c r="B2108" i="2"/>
  <c r="V2107" i="2"/>
  <c r="U2107" i="2"/>
  <c r="T2107" i="2"/>
  <c r="S2107" i="2"/>
  <c r="R2107" i="2"/>
  <c r="Q2107" i="2"/>
  <c r="P2107" i="2"/>
  <c r="O2107" i="2"/>
  <c r="N2107" i="2"/>
  <c r="M2107" i="2"/>
  <c r="L2107" i="2"/>
  <c r="K2107" i="2"/>
  <c r="J2107" i="2"/>
  <c r="I2107" i="2"/>
  <c r="H2107" i="2"/>
  <c r="G2107" i="2"/>
  <c r="F2107" i="2"/>
  <c r="E2107" i="2"/>
  <c r="D2107" i="2"/>
  <c r="C2107" i="2"/>
  <c r="B2107" i="2"/>
  <c r="V2106" i="2"/>
  <c r="U2106" i="2"/>
  <c r="T2106" i="2"/>
  <c r="S2106" i="2"/>
  <c r="R2106" i="2"/>
  <c r="Q2106" i="2"/>
  <c r="P2106" i="2"/>
  <c r="O2106" i="2"/>
  <c r="N2106" i="2"/>
  <c r="M2106" i="2"/>
  <c r="L2106" i="2"/>
  <c r="K2106" i="2"/>
  <c r="J2106" i="2"/>
  <c r="I2106" i="2"/>
  <c r="H2106" i="2"/>
  <c r="G2106" i="2"/>
  <c r="F2106" i="2"/>
  <c r="E2106" i="2"/>
  <c r="D2106" i="2"/>
  <c r="C2106" i="2"/>
  <c r="B2106" i="2"/>
  <c r="V2105" i="2"/>
  <c r="U2105" i="2"/>
  <c r="T2105" i="2"/>
  <c r="S2105" i="2"/>
  <c r="R2105" i="2"/>
  <c r="Q2105" i="2"/>
  <c r="P2105" i="2"/>
  <c r="O2105" i="2"/>
  <c r="N2105" i="2"/>
  <c r="M2105" i="2"/>
  <c r="L2105" i="2"/>
  <c r="K2105" i="2"/>
  <c r="J2105" i="2"/>
  <c r="I2105" i="2"/>
  <c r="H2105" i="2"/>
  <c r="G2105" i="2"/>
  <c r="F2105" i="2"/>
  <c r="E2105" i="2"/>
  <c r="D2105" i="2"/>
  <c r="C2105" i="2"/>
  <c r="B2105" i="2"/>
  <c r="V2104" i="2"/>
  <c r="U2104" i="2"/>
  <c r="T2104" i="2"/>
  <c r="S2104" i="2"/>
  <c r="R2104" i="2"/>
  <c r="Q2104" i="2"/>
  <c r="P2104" i="2"/>
  <c r="O2104" i="2"/>
  <c r="N2104" i="2"/>
  <c r="M2104" i="2"/>
  <c r="L2104" i="2"/>
  <c r="K2104" i="2"/>
  <c r="J2104" i="2"/>
  <c r="I2104" i="2"/>
  <c r="H2104" i="2"/>
  <c r="G2104" i="2"/>
  <c r="F2104" i="2"/>
  <c r="E2104" i="2"/>
  <c r="D2104" i="2"/>
  <c r="C2104" i="2"/>
  <c r="B2104" i="2"/>
  <c r="V2103" i="2"/>
  <c r="U2103" i="2"/>
  <c r="T2103" i="2"/>
  <c r="S2103" i="2"/>
  <c r="R2103" i="2"/>
  <c r="Q2103" i="2"/>
  <c r="P2103" i="2"/>
  <c r="O2103" i="2"/>
  <c r="N2103" i="2"/>
  <c r="M2103" i="2"/>
  <c r="L2103" i="2"/>
  <c r="K2103" i="2"/>
  <c r="J2103" i="2"/>
  <c r="I2103" i="2"/>
  <c r="H2103" i="2"/>
  <c r="G2103" i="2"/>
  <c r="F2103" i="2"/>
  <c r="E2103" i="2"/>
  <c r="D2103" i="2"/>
  <c r="C2103" i="2"/>
  <c r="B2103" i="2"/>
  <c r="V2102" i="2"/>
  <c r="U2102" i="2"/>
  <c r="T2102" i="2"/>
  <c r="S2102" i="2"/>
  <c r="R2102" i="2"/>
  <c r="Q2102" i="2"/>
  <c r="P2102" i="2"/>
  <c r="O2102" i="2"/>
  <c r="N2102" i="2"/>
  <c r="M2102" i="2"/>
  <c r="L2102" i="2"/>
  <c r="K2102" i="2"/>
  <c r="J2102" i="2"/>
  <c r="I2102" i="2"/>
  <c r="H2102" i="2"/>
  <c r="G2102" i="2"/>
  <c r="F2102" i="2"/>
  <c r="E2102" i="2"/>
  <c r="D2102" i="2"/>
  <c r="C2102" i="2"/>
  <c r="B2102" i="2"/>
  <c r="V2101" i="2"/>
  <c r="U2101" i="2"/>
  <c r="T2101" i="2"/>
  <c r="S2101" i="2"/>
  <c r="R2101" i="2"/>
  <c r="Q2101" i="2"/>
  <c r="P2101" i="2"/>
  <c r="O2101" i="2"/>
  <c r="N2101" i="2"/>
  <c r="M2101" i="2"/>
  <c r="L2101" i="2"/>
  <c r="K2101" i="2"/>
  <c r="J2101" i="2"/>
  <c r="I2101" i="2"/>
  <c r="H2101" i="2"/>
  <c r="G2101" i="2"/>
  <c r="F2101" i="2"/>
  <c r="E2101" i="2"/>
  <c r="D2101" i="2"/>
  <c r="C2101" i="2"/>
  <c r="B2101" i="2"/>
  <c r="V2100" i="2"/>
  <c r="U2100" i="2"/>
  <c r="T2100" i="2"/>
  <c r="S2100" i="2"/>
  <c r="R2100" i="2"/>
  <c r="Q2100" i="2"/>
  <c r="P2100" i="2"/>
  <c r="O2100" i="2"/>
  <c r="N2100" i="2"/>
  <c r="M2100" i="2"/>
  <c r="L2100" i="2"/>
  <c r="K2100" i="2"/>
  <c r="J2100" i="2"/>
  <c r="I2100" i="2"/>
  <c r="H2100" i="2"/>
  <c r="G2100" i="2"/>
  <c r="F2100" i="2"/>
  <c r="E2100" i="2"/>
  <c r="D2100" i="2"/>
  <c r="C2100" i="2"/>
  <c r="B2100" i="2"/>
  <c r="V2099" i="2"/>
  <c r="U2099" i="2"/>
  <c r="T2099" i="2"/>
  <c r="S2099" i="2"/>
  <c r="R2099" i="2"/>
  <c r="Q2099" i="2"/>
  <c r="P2099" i="2"/>
  <c r="O2099" i="2"/>
  <c r="N2099" i="2"/>
  <c r="M2099" i="2"/>
  <c r="L2099" i="2"/>
  <c r="K2099" i="2"/>
  <c r="J2099" i="2"/>
  <c r="I2099" i="2"/>
  <c r="H2099" i="2"/>
  <c r="G2099" i="2"/>
  <c r="F2099" i="2"/>
  <c r="E2099" i="2"/>
  <c r="D2099" i="2"/>
  <c r="C2099" i="2"/>
  <c r="B2099" i="2"/>
  <c r="V2098" i="2"/>
  <c r="U2098" i="2"/>
  <c r="T2098" i="2"/>
  <c r="S2098" i="2"/>
  <c r="R2098" i="2"/>
  <c r="Q2098" i="2"/>
  <c r="P2098" i="2"/>
  <c r="O2098" i="2"/>
  <c r="N2098" i="2"/>
  <c r="M2098" i="2"/>
  <c r="L2098" i="2"/>
  <c r="K2098" i="2"/>
  <c r="J2098" i="2"/>
  <c r="I2098" i="2"/>
  <c r="H2098" i="2"/>
  <c r="G2098" i="2"/>
  <c r="F2098" i="2"/>
  <c r="E2098" i="2"/>
  <c r="D2098" i="2"/>
  <c r="C2098" i="2"/>
  <c r="B2098" i="2"/>
  <c r="V2097" i="2"/>
  <c r="U2097" i="2"/>
  <c r="T2097" i="2"/>
  <c r="S2097" i="2"/>
  <c r="R2097" i="2"/>
  <c r="Q2097" i="2"/>
  <c r="P2097" i="2"/>
  <c r="O2097" i="2"/>
  <c r="N2097" i="2"/>
  <c r="M2097" i="2"/>
  <c r="L2097" i="2"/>
  <c r="K2097" i="2"/>
  <c r="J2097" i="2"/>
  <c r="I2097" i="2"/>
  <c r="H2097" i="2"/>
  <c r="G2097" i="2"/>
  <c r="F2097" i="2"/>
  <c r="E2097" i="2"/>
  <c r="D2097" i="2"/>
  <c r="C2097" i="2"/>
  <c r="B2097" i="2"/>
  <c r="V2096" i="2"/>
  <c r="U2096" i="2"/>
  <c r="T2096" i="2"/>
  <c r="S2096" i="2"/>
  <c r="R2096" i="2"/>
  <c r="Q2096" i="2"/>
  <c r="P2096" i="2"/>
  <c r="O2096" i="2"/>
  <c r="N2096" i="2"/>
  <c r="M2096" i="2"/>
  <c r="L2096" i="2"/>
  <c r="K2096" i="2"/>
  <c r="J2096" i="2"/>
  <c r="I2096" i="2"/>
  <c r="H2096" i="2"/>
  <c r="G2096" i="2"/>
  <c r="F2096" i="2"/>
  <c r="E2096" i="2"/>
  <c r="D2096" i="2"/>
  <c r="C2096" i="2"/>
  <c r="B2096" i="2"/>
  <c r="V2095" i="2"/>
  <c r="U2095" i="2"/>
  <c r="T2095" i="2"/>
  <c r="S2095" i="2"/>
  <c r="R2095" i="2"/>
  <c r="Q2095" i="2"/>
  <c r="P2095" i="2"/>
  <c r="O2095" i="2"/>
  <c r="N2095" i="2"/>
  <c r="M2095" i="2"/>
  <c r="L2095" i="2"/>
  <c r="K2095" i="2"/>
  <c r="J2095" i="2"/>
  <c r="I2095" i="2"/>
  <c r="H2095" i="2"/>
  <c r="G2095" i="2"/>
  <c r="F2095" i="2"/>
  <c r="E2095" i="2"/>
  <c r="D2095" i="2"/>
  <c r="C2095" i="2"/>
  <c r="B2095" i="2"/>
  <c r="V2094" i="2"/>
  <c r="U2094" i="2"/>
  <c r="T2094" i="2"/>
  <c r="S2094" i="2"/>
  <c r="R2094" i="2"/>
  <c r="Q2094" i="2"/>
  <c r="P2094" i="2"/>
  <c r="O2094" i="2"/>
  <c r="N2094" i="2"/>
  <c r="M2094" i="2"/>
  <c r="L2094" i="2"/>
  <c r="K2094" i="2"/>
  <c r="J2094" i="2"/>
  <c r="I2094" i="2"/>
  <c r="H2094" i="2"/>
  <c r="G2094" i="2"/>
  <c r="F2094" i="2"/>
  <c r="E2094" i="2"/>
  <c r="D2094" i="2"/>
  <c r="C2094" i="2"/>
  <c r="B2094" i="2"/>
  <c r="V2093" i="2"/>
  <c r="U2093" i="2"/>
  <c r="T2093" i="2"/>
  <c r="S2093" i="2"/>
  <c r="R2093" i="2"/>
  <c r="Q2093" i="2"/>
  <c r="P2093" i="2"/>
  <c r="O2093" i="2"/>
  <c r="N2093" i="2"/>
  <c r="M2093" i="2"/>
  <c r="L2093" i="2"/>
  <c r="K2093" i="2"/>
  <c r="J2093" i="2"/>
  <c r="I2093" i="2"/>
  <c r="H2093" i="2"/>
  <c r="G2093" i="2"/>
  <c r="F2093" i="2"/>
  <c r="E2093" i="2"/>
  <c r="D2093" i="2"/>
  <c r="C2093" i="2"/>
  <c r="B2093" i="2"/>
  <c r="V2092" i="2"/>
  <c r="U2092" i="2"/>
  <c r="T2092" i="2"/>
  <c r="S2092" i="2"/>
  <c r="R2092" i="2"/>
  <c r="Q2092" i="2"/>
  <c r="P2092" i="2"/>
  <c r="O2092" i="2"/>
  <c r="N2092" i="2"/>
  <c r="M2092" i="2"/>
  <c r="L2092" i="2"/>
  <c r="K2092" i="2"/>
  <c r="J2092" i="2"/>
  <c r="I2092" i="2"/>
  <c r="H2092" i="2"/>
  <c r="G2092" i="2"/>
  <c r="F2092" i="2"/>
  <c r="E2092" i="2"/>
  <c r="D2092" i="2"/>
  <c r="C2092" i="2"/>
  <c r="B2092" i="2"/>
  <c r="V2091" i="2"/>
  <c r="U2091" i="2"/>
  <c r="T2091" i="2"/>
  <c r="S2091" i="2"/>
  <c r="R2091" i="2"/>
  <c r="Q2091" i="2"/>
  <c r="P2091" i="2"/>
  <c r="O2091" i="2"/>
  <c r="N2091" i="2"/>
  <c r="M2091" i="2"/>
  <c r="L2091" i="2"/>
  <c r="K2091" i="2"/>
  <c r="J2091" i="2"/>
  <c r="I2091" i="2"/>
  <c r="H2091" i="2"/>
  <c r="G2091" i="2"/>
  <c r="F2091" i="2"/>
  <c r="E2091" i="2"/>
  <c r="D2091" i="2"/>
  <c r="C2091" i="2"/>
  <c r="B2091" i="2"/>
  <c r="V2090" i="2"/>
  <c r="U2090" i="2"/>
  <c r="T2090" i="2"/>
  <c r="S2090" i="2"/>
  <c r="R2090" i="2"/>
  <c r="Q2090" i="2"/>
  <c r="P2090" i="2"/>
  <c r="O2090" i="2"/>
  <c r="N2090" i="2"/>
  <c r="M2090" i="2"/>
  <c r="L2090" i="2"/>
  <c r="K2090" i="2"/>
  <c r="J2090" i="2"/>
  <c r="I2090" i="2"/>
  <c r="H2090" i="2"/>
  <c r="G2090" i="2"/>
  <c r="F2090" i="2"/>
  <c r="E2090" i="2"/>
  <c r="D2090" i="2"/>
  <c r="C2090" i="2"/>
  <c r="B2090" i="2"/>
  <c r="V2089" i="2"/>
  <c r="U2089" i="2"/>
  <c r="T2089" i="2"/>
  <c r="S2089" i="2"/>
  <c r="R2089" i="2"/>
  <c r="Q2089" i="2"/>
  <c r="P2089" i="2"/>
  <c r="O2089" i="2"/>
  <c r="N2089" i="2"/>
  <c r="M2089" i="2"/>
  <c r="L2089" i="2"/>
  <c r="K2089" i="2"/>
  <c r="J2089" i="2"/>
  <c r="I2089" i="2"/>
  <c r="H2089" i="2"/>
  <c r="G2089" i="2"/>
  <c r="F2089" i="2"/>
  <c r="E2089" i="2"/>
  <c r="D2089" i="2"/>
  <c r="C2089" i="2"/>
  <c r="B2089" i="2"/>
  <c r="V2088" i="2"/>
  <c r="U2088" i="2"/>
  <c r="T2088" i="2"/>
  <c r="S2088" i="2"/>
  <c r="R2088" i="2"/>
  <c r="Q2088" i="2"/>
  <c r="P2088" i="2"/>
  <c r="O2088" i="2"/>
  <c r="N2088" i="2"/>
  <c r="M2088" i="2"/>
  <c r="L2088" i="2"/>
  <c r="K2088" i="2"/>
  <c r="J2088" i="2"/>
  <c r="I2088" i="2"/>
  <c r="H2088" i="2"/>
  <c r="G2088" i="2"/>
  <c r="F2088" i="2"/>
  <c r="E2088" i="2"/>
  <c r="D2088" i="2"/>
  <c r="C2088" i="2"/>
  <c r="B2088" i="2"/>
  <c r="V2087" i="2"/>
  <c r="U2087" i="2"/>
  <c r="T2087" i="2"/>
  <c r="S2087" i="2"/>
  <c r="R2087" i="2"/>
  <c r="Q2087" i="2"/>
  <c r="P2087" i="2"/>
  <c r="O2087" i="2"/>
  <c r="N2087" i="2"/>
  <c r="M2087" i="2"/>
  <c r="L2087" i="2"/>
  <c r="K2087" i="2"/>
  <c r="J2087" i="2"/>
  <c r="I2087" i="2"/>
  <c r="H2087" i="2"/>
  <c r="G2087" i="2"/>
  <c r="F2087" i="2"/>
  <c r="E2087" i="2"/>
  <c r="D2087" i="2"/>
  <c r="C2087" i="2"/>
  <c r="B2087" i="2"/>
  <c r="V2086" i="2"/>
  <c r="U2086" i="2"/>
  <c r="T2086" i="2"/>
  <c r="S2086" i="2"/>
  <c r="R2086" i="2"/>
  <c r="Q2086" i="2"/>
  <c r="P2086" i="2"/>
  <c r="O2086" i="2"/>
  <c r="N2086" i="2"/>
  <c r="M2086" i="2"/>
  <c r="L2086" i="2"/>
  <c r="K2086" i="2"/>
  <c r="J2086" i="2"/>
  <c r="I2086" i="2"/>
  <c r="H2086" i="2"/>
  <c r="G2086" i="2"/>
  <c r="F2086" i="2"/>
  <c r="E2086" i="2"/>
  <c r="D2086" i="2"/>
  <c r="C2086" i="2"/>
  <c r="B2086" i="2"/>
  <c r="V2085" i="2"/>
  <c r="U2085" i="2"/>
  <c r="T2085" i="2"/>
  <c r="S2085" i="2"/>
  <c r="R2085" i="2"/>
  <c r="Q2085" i="2"/>
  <c r="P2085" i="2"/>
  <c r="O2085" i="2"/>
  <c r="N2085" i="2"/>
  <c r="M2085" i="2"/>
  <c r="L2085" i="2"/>
  <c r="K2085" i="2"/>
  <c r="J2085" i="2"/>
  <c r="I2085" i="2"/>
  <c r="H2085" i="2"/>
  <c r="G2085" i="2"/>
  <c r="F2085" i="2"/>
  <c r="E2085" i="2"/>
  <c r="D2085" i="2"/>
  <c r="C2085" i="2"/>
  <c r="B2085" i="2"/>
  <c r="V2084" i="2"/>
  <c r="U2084" i="2"/>
  <c r="T2084" i="2"/>
  <c r="S2084" i="2"/>
  <c r="R2084" i="2"/>
  <c r="Q2084" i="2"/>
  <c r="P2084" i="2"/>
  <c r="O2084" i="2"/>
  <c r="N2084" i="2"/>
  <c r="M2084" i="2"/>
  <c r="L2084" i="2"/>
  <c r="K2084" i="2"/>
  <c r="J2084" i="2"/>
  <c r="I2084" i="2"/>
  <c r="H2084" i="2"/>
  <c r="G2084" i="2"/>
  <c r="F2084" i="2"/>
  <c r="E2084" i="2"/>
  <c r="D2084" i="2"/>
  <c r="C2084" i="2"/>
  <c r="B2084" i="2"/>
  <c r="V2083" i="2"/>
  <c r="U2083" i="2"/>
  <c r="T2083" i="2"/>
  <c r="S2083" i="2"/>
  <c r="R2083" i="2"/>
  <c r="Q2083" i="2"/>
  <c r="P2083" i="2"/>
  <c r="O2083" i="2"/>
  <c r="N2083" i="2"/>
  <c r="M2083" i="2"/>
  <c r="L2083" i="2"/>
  <c r="K2083" i="2"/>
  <c r="J2083" i="2"/>
  <c r="I2083" i="2"/>
  <c r="H2083" i="2"/>
  <c r="G2083" i="2"/>
  <c r="F2083" i="2"/>
  <c r="E2083" i="2"/>
  <c r="D2083" i="2"/>
  <c r="C2083" i="2"/>
  <c r="B2083" i="2"/>
  <c r="V2082" i="2"/>
  <c r="U2082" i="2"/>
  <c r="T2082" i="2"/>
  <c r="S2082" i="2"/>
  <c r="R2082" i="2"/>
  <c r="Q2082" i="2"/>
  <c r="P2082" i="2"/>
  <c r="O2082" i="2"/>
  <c r="N2082" i="2"/>
  <c r="M2082" i="2"/>
  <c r="L2082" i="2"/>
  <c r="K2082" i="2"/>
  <c r="J2082" i="2"/>
  <c r="I2082" i="2"/>
  <c r="H2082" i="2"/>
  <c r="G2082" i="2"/>
  <c r="F2082" i="2"/>
  <c r="E2082" i="2"/>
  <c r="D2082" i="2"/>
  <c r="C2082" i="2"/>
  <c r="B2082" i="2"/>
  <c r="V2081" i="2"/>
  <c r="U2081" i="2"/>
  <c r="T2081" i="2"/>
  <c r="S2081" i="2"/>
  <c r="R2081" i="2"/>
  <c r="Q2081" i="2"/>
  <c r="P2081" i="2"/>
  <c r="O2081" i="2"/>
  <c r="N2081" i="2"/>
  <c r="M2081" i="2"/>
  <c r="L2081" i="2"/>
  <c r="K2081" i="2"/>
  <c r="J2081" i="2"/>
  <c r="I2081" i="2"/>
  <c r="H2081" i="2"/>
  <c r="G2081" i="2"/>
  <c r="F2081" i="2"/>
  <c r="E2081" i="2"/>
  <c r="D2081" i="2"/>
  <c r="C2081" i="2"/>
  <c r="B2081" i="2"/>
  <c r="V2080" i="2"/>
  <c r="U2080" i="2"/>
  <c r="T2080" i="2"/>
  <c r="S2080" i="2"/>
  <c r="R2080" i="2"/>
  <c r="Q2080" i="2"/>
  <c r="P2080" i="2"/>
  <c r="O2080" i="2"/>
  <c r="N2080" i="2"/>
  <c r="M2080" i="2"/>
  <c r="L2080" i="2"/>
  <c r="K2080" i="2"/>
  <c r="J2080" i="2"/>
  <c r="I2080" i="2"/>
  <c r="H2080" i="2"/>
  <c r="G2080" i="2"/>
  <c r="F2080" i="2"/>
  <c r="E2080" i="2"/>
  <c r="D2080" i="2"/>
  <c r="C2080" i="2"/>
  <c r="B2080" i="2"/>
  <c r="V2079" i="2"/>
  <c r="U2079" i="2"/>
  <c r="T2079" i="2"/>
  <c r="S2079" i="2"/>
  <c r="R2079" i="2"/>
  <c r="Q2079" i="2"/>
  <c r="P2079" i="2"/>
  <c r="O2079" i="2"/>
  <c r="N2079" i="2"/>
  <c r="M2079" i="2"/>
  <c r="L2079" i="2"/>
  <c r="K2079" i="2"/>
  <c r="J2079" i="2"/>
  <c r="I2079" i="2"/>
  <c r="H2079" i="2"/>
  <c r="G2079" i="2"/>
  <c r="F2079" i="2"/>
  <c r="E2079" i="2"/>
  <c r="D2079" i="2"/>
  <c r="C2079" i="2"/>
  <c r="B2079" i="2"/>
  <c r="V2078" i="2"/>
  <c r="U2078" i="2"/>
  <c r="T2078" i="2"/>
  <c r="S2078" i="2"/>
  <c r="R2078" i="2"/>
  <c r="Q2078" i="2"/>
  <c r="P2078" i="2"/>
  <c r="O2078" i="2"/>
  <c r="N2078" i="2"/>
  <c r="M2078" i="2"/>
  <c r="L2078" i="2"/>
  <c r="K2078" i="2"/>
  <c r="J2078" i="2"/>
  <c r="I2078" i="2"/>
  <c r="H2078" i="2"/>
  <c r="G2078" i="2"/>
  <c r="F2078" i="2"/>
  <c r="E2078" i="2"/>
  <c r="D2078" i="2"/>
  <c r="C2078" i="2"/>
  <c r="B2078" i="2"/>
  <c r="V2077" i="2"/>
  <c r="U2077" i="2"/>
  <c r="T2077" i="2"/>
  <c r="S2077" i="2"/>
  <c r="R2077" i="2"/>
  <c r="Q2077" i="2"/>
  <c r="P2077" i="2"/>
  <c r="O2077" i="2"/>
  <c r="N2077" i="2"/>
  <c r="M2077" i="2"/>
  <c r="L2077" i="2"/>
  <c r="K2077" i="2"/>
  <c r="J2077" i="2"/>
  <c r="I2077" i="2"/>
  <c r="H2077" i="2"/>
  <c r="G2077" i="2"/>
  <c r="F2077" i="2"/>
  <c r="E2077" i="2"/>
  <c r="D2077" i="2"/>
  <c r="C2077" i="2"/>
  <c r="B2077" i="2"/>
  <c r="V2076" i="2"/>
  <c r="U2076" i="2"/>
  <c r="T2076" i="2"/>
  <c r="S2076" i="2"/>
  <c r="R2076" i="2"/>
  <c r="Q2076" i="2"/>
  <c r="P2076" i="2"/>
  <c r="O2076" i="2"/>
  <c r="N2076" i="2"/>
  <c r="M2076" i="2"/>
  <c r="L2076" i="2"/>
  <c r="K2076" i="2"/>
  <c r="J2076" i="2"/>
  <c r="I2076" i="2"/>
  <c r="H2076" i="2"/>
  <c r="G2076" i="2"/>
  <c r="F2076" i="2"/>
  <c r="E2076" i="2"/>
  <c r="D2076" i="2"/>
  <c r="C2076" i="2"/>
  <c r="B2076" i="2"/>
  <c r="V2075" i="2"/>
  <c r="U2075" i="2"/>
  <c r="T2075" i="2"/>
  <c r="S2075" i="2"/>
  <c r="R2075" i="2"/>
  <c r="Q2075" i="2"/>
  <c r="P2075" i="2"/>
  <c r="O2075" i="2"/>
  <c r="N2075" i="2"/>
  <c r="M2075" i="2"/>
  <c r="L2075" i="2"/>
  <c r="K2075" i="2"/>
  <c r="J2075" i="2"/>
  <c r="I2075" i="2"/>
  <c r="H2075" i="2"/>
  <c r="G2075" i="2"/>
  <c r="F2075" i="2"/>
  <c r="E2075" i="2"/>
  <c r="D2075" i="2"/>
  <c r="C2075" i="2"/>
  <c r="B2075" i="2"/>
  <c r="V2074" i="2"/>
  <c r="U2074" i="2"/>
  <c r="T2074" i="2"/>
  <c r="S2074" i="2"/>
  <c r="R2074" i="2"/>
  <c r="Q2074" i="2"/>
  <c r="P2074" i="2"/>
  <c r="O2074" i="2"/>
  <c r="N2074" i="2"/>
  <c r="M2074" i="2"/>
  <c r="L2074" i="2"/>
  <c r="K2074" i="2"/>
  <c r="J2074" i="2"/>
  <c r="I2074" i="2"/>
  <c r="H2074" i="2"/>
  <c r="G2074" i="2"/>
  <c r="F2074" i="2"/>
  <c r="E2074" i="2"/>
  <c r="D2074" i="2"/>
  <c r="C2074" i="2"/>
  <c r="B2074" i="2"/>
  <c r="V2073" i="2"/>
  <c r="U2073" i="2"/>
  <c r="T2073" i="2"/>
  <c r="S2073" i="2"/>
  <c r="R2073" i="2"/>
  <c r="Q2073" i="2"/>
  <c r="P2073" i="2"/>
  <c r="O2073" i="2"/>
  <c r="N2073" i="2"/>
  <c r="M2073" i="2"/>
  <c r="L2073" i="2"/>
  <c r="K2073" i="2"/>
  <c r="J2073" i="2"/>
  <c r="I2073" i="2"/>
  <c r="H2073" i="2"/>
  <c r="G2073" i="2"/>
  <c r="F2073" i="2"/>
  <c r="E2073" i="2"/>
  <c r="D2073" i="2"/>
  <c r="C2073" i="2"/>
  <c r="B2073" i="2"/>
  <c r="V2072" i="2"/>
  <c r="U2072" i="2"/>
  <c r="T2072" i="2"/>
  <c r="S2072" i="2"/>
  <c r="R2072" i="2"/>
  <c r="Q2072" i="2"/>
  <c r="P2072" i="2"/>
  <c r="O2072" i="2"/>
  <c r="N2072" i="2"/>
  <c r="M2072" i="2"/>
  <c r="L2072" i="2"/>
  <c r="K2072" i="2"/>
  <c r="J2072" i="2"/>
  <c r="I2072" i="2"/>
  <c r="H2072" i="2"/>
  <c r="G2072" i="2"/>
  <c r="F2072" i="2"/>
  <c r="E2072" i="2"/>
  <c r="D2072" i="2"/>
  <c r="C2072" i="2"/>
  <c r="B2072" i="2"/>
  <c r="V2071" i="2"/>
  <c r="U2071" i="2"/>
  <c r="T2071" i="2"/>
  <c r="S2071" i="2"/>
  <c r="R2071" i="2"/>
  <c r="Q2071" i="2"/>
  <c r="P2071" i="2"/>
  <c r="O2071" i="2"/>
  <c r="N2071" i="2"/>
  <c r="M2071" i="2"/>
  <c r="L2071" i="2"/>
  <c r="K2071" i="2"/>
  <c r="J2071" i="2"/>
  <c r="I2071" i="2"/>
  <c r="H2071" i="2"/>
  <c r="G2071" i="2"/>
  <c r="F2071" i="2"/>
  <c r="E2071" i="2"/>
  <c r="D2071" i="2"/>
  <c r="C2071" i="2"/>
  <c r="B2071" i="2"/>
  <c r="V2070" i="2"/>
  <c r="U2070" i="2"/>
  <c r="T2070" i="2"/>
  <c r="S2070" i="2"/>
  <c r="R2070" i="2"/>
  <c r="Q2070" i="2"/>
  <c r="P2070" i="2"/>
  <c r="O2070" i="2"/>
  <c r="N2070" i="2"/>
  <c r="M2070" i="2"/>
  <c r="L2070" i="2"/>
  <c r="K2070" i="2"/>
  <c r="J2070" i="2"/>
  <c r="I2070" i="2"/>
  <c r="H2070" i="2"/>
  <c r="G2070" i="2"/>
  <c r="F2070" i="2"/>
  <c r="E2070" i="2"/>
  <c r="D2070" i="2"/>
  <c r="C2070" i="2"/>
  <c r="B2070" i="2"/>
  <c r="V2069" i="2"/>
  <c r="U2069" i="2"/>
  <c r="T2069" i="2"/>
  <c r="S2069" i="2"/>
  <c r="R2069" i="2"/>
  <c r="Q2069" i="2"/>
  <c r="P2069" i="2"/>
  <c r="O2069" i="2"/>
  <c r="N2069" i="2"/>
  <c r="M2069" i="2"/>
  <c r="L2069" i="2"/>
  <c r="K2069" i="2"/>
  <c r="J2069" i="2"/>
  <c r="I2069" i="2"/>
  <c r="H2069" i="2"/>
  <c r="G2069" i="2"/>
  <c r="F2069" i="2"/>
  <c r="E2069" i="2"/>
  <c r="D2069" i="2"/>
  <c r="C2069" i="2"/>
  <c r="B2069" i="2"/>
  <c r="V2068" i="2"/>
  <c r="U2068" i="2"/>
  <c r="T2068" i="2"/>
  <c r="S2068" i="2"/>
  <c r="R2068" i="2"/>
  <c r="Q2068" i="2"/>
  <c r="P2068" i="2"/>
  <c r="O2068" i="2"/>
  <c r="N2068" i="2"/>
  <c r="M2068" i="2"/>
  <c r="L2068" i="2"/>
  <c r="K2068" i="2"/>
  <c r="J2068" i="2"/>
  <c r="I2068" i="2"/>
  <c r="H2068" i="2"/>
  <c r="G2068" i="2"/>
  <c r="F2068" i="2"/>
  <c r="E2068" i="2"/>
  <c r="D2068" i="2"/>
  <c r="C2068" i="2"/>
  <c r="B2068" i="2"/>
  <c r="V2067" i="2"/>
  <c r="U2067" i="2"/>
  <c r="T2067" i="2"/>
  <c r="S2067" i="2"/>
  <c r="R2067" i="2"/>
  <c r="Q2067" i="2"/>
  <c r="P2067" i="2"/>
  <c r="O2067" i="2"/>
  <c r="N2067" i="2"/>
  <c r="M2067" i="2"/>
  <c r="L2067" i="2"/>
  <c r="K2067" i="2"/>
  <c r="J2067" i="2"/>
  <c r="I2067" i="2"/>
  <c r="H2067" i="2"/>
  <c r="G2067" i="2"/>
  <c r="F2067" i="2"/>
  <c r="E2067" i="2"/>
  <c r="D2067" i="2"/>
  <c r="C2067" i="2"/>
  <c r="B2067" i="2"/>
  <c r="V2066" i="2"/>
  <c r="U2066" i="2"/>
  <c r="T2066" i="2"/>
  <c r="S2066" i="2"/>
  <c r="R2066" i="2"/>
  <c r="Q2066" i="2"/>
  <c r="P2066" i="2"/>
  <c r="O2066" i="2"/>
  <c r="N2066" i="2"/>
  <c r="M2066" i="2"/>
  <c r="L2066" i="2"/>
  <c r="K2066" i="2"/>
  <c r="J2066" i="2"/>
  <c r="I2066" i="2"/>
  <c r="H2066" i="2"/>
  <c r="G2066" i="2"/>
  <c r="F2066" i="2"/>
  <c r="E2066" i="2"/>
  <c r="D2066" i="2"/>
  <c r="C2066" i="2"/>
  <c r="B2066" i="2"/>
  <c r="V2065" i="2"/>
  <c r="U2065" i="2"/>
  <c r="T2065" i="2"/>
  <c r="S2065" i="2"/>
  <c r="R2065" i="2"/>
  <c r="Q2065" i="2"/>
  <c r="P2065" i="2"/>
  <c r="O2065" i="2"/>
  <c r="N2065" i="2"/>
  <c r="M2065" i="2"/>
  <c r="L2065" i="2"/>
  <c r="K2065" i="2"/>
  <c r="J2065" i="2"/>
  <c r="I2065" i="2"/>
  <c r="H2065" i="2"/>
  <c r="G2065" i="2"/>
  <c r="F2065" i="2"/>
  <c r="E2065" i="2"/>
  <c r="D2065" i="2"/>
  <c r="C2065" i="2"/>
  <c r="B2065" i="2"/>
  <c r="V2064" i="2"/>
  <c r="U2064" i="2"/>
  <c r="T2064" i="2"/>
  <c r="S2064" i="2"/>
  <c r="R2064" i="2"/>
  <c r="Q2064" i="2"/>
  <c r="P2064" i="2"/>
  <c r="O2064" i="2"/>
  <c r="N2064" i="2"/>
  <c r="M2064" i="2"/>
  <c r="L2064" i="2"/>
  <c r="K2064" i="2"/>
  <c r="J2064" i="2"/>
  <c r="I2064" i="2"/>
  <c r="H2064" i="2"/>
  <c r="G2064" i="2"/>
  <c r="F2064" i="2"/>
  <c r="E2064" i="2"/>
  <c r="D2064" i="2"/>
  <c r="C2064" i="2"/>
  <c r="B2064" i="2"/>
  <c r="V2063" i="2"/>
  <c r="U2063" i="2"/>
  <c r="T2063" i="2"/>
  <c r="S2063" i="2"/>
  <c r="R2063" i="2"/>
  <c r="Q2063" i="2"/>
  <c r="P2063" i="2"/>
  <c r="O2063" i="2"/>
  <c r="N2063" i="2"/>
  <c r="M2063" i="2"/>
  <c r="L2063" i="2"/>
  <c r="K2063" i="2"/>
  <c r="J2063" i="2"/>
  <c r="I2063" i="2"/>
  <c r="H2063" i="2"/>
  <c r="G2063" i="2"/>
  <c r="F2063" i="2"/>
  <c r="E2063" i="2"/>
  <c r="D2063" i="2"/>
  <c r="C2063" i="2"/>
  <c r="B2063" i="2"/>
  <c r="V2062" i="2"/>
  <c r="U2062" i="2"/>
  <c r="T2062" i="2"/>
  <c r="S2062" i="2"/>
  <c r="R2062" i="2"/>
  <c r="Q2062" i="2"/>
  <c r="P2062" i="2"/>
  <c r="O2062" i="2"/>
  <c r="N2062" i="2"/>
  <c r="M2062" i="2"/>
  <c r="L2062" i="2"/>
  <c r="K2062" i="2"/>
  <c r="J2062" i="2"/>
  <c r="I2062" i="2"/>
  <c r="H2062" i="2"/>
  <c r="G2062" i="2"/>
  <c r="F2062" i="2"/>
  <c r="E2062" i="2"/>
  <c r="D2062" i="2"/>
  <c r="C2062" i="2"/>
  <c r="B2062" i="2"/>
  <c r="V2061" i="2"/>
  <c r="U2061" i="2"/>
  <c r="T2061" i="2"/>
  <c r="S2061" i="2"/>
  <c r="R2061" i="2"/>
  <c r="Q2061" i="2"/>
  <c r="P2061" i="2"/>
  <c r="O2061" i="2"/>
  <c r="N2061" i="2"/>
  <c r="M2061" i="2"/>
  <c r="L2061" i="2"/>
  <c r="K2061" i="2"/>
  <c r="J2061" i="2"/>
  <c r="I2061" i="2"/>
  <c r="H2061" i="2"/>
  <c r="G2061" i="2"/>
  <c r="F2061" i="2"/>
  <c r="E2061" i="2"/>
  <c r="D2061" i="2"/>
  <c r="C2061" i="2"/>
  <c r="B2061" i="2"/>
  <c r="V2060" i="2"/>
  <c r="U2060" i="2"/>
  <c r="T2060" i="2"/>
  <c r="S2060" i="2"/>
  <c r="R2060" i="2"/>
  <c r="Q2060" i="2"/>
  <c r="P2060" i="2"/>
  <c r="O2060" i="2"/>
  <c r="N2060" i="2"/>
  <c r="M2060" i="2"/>
  <c r="L2060" i="2"/>
  <c r="K2060" i="2"/>
  <c r="J2060" i="2"/>
  <c r="I2060" i="2"/>
  <c r="H2060" i="2"/>
  <c r="G2060" i="2"/>
  <c r="F2060" i="2"/>
  <c r="E2060" i="2"/>
  <c r="D2060" i="2"/>
  <c r="C2060" i="2"/>
  <c r="B2060" i="2"/>
  <c r="V2059" i="2"/>
  <c r="U2059" i="2"/>
  <c r="T2059" i="2"/>
  <c r="S2059" i="2"/>
  <c r="R2059" i="2"/>
  <c r="Q2059" i="2"/>
  <c r="P2059" i="2"/>
  <c r="O2059" i="2"/>
  <c r="N2059" i="2"/>
  <c r="M2059" i="2"/>
  <c r="L2059" i="2"/>
  <c r="K2059" i="2"/>
  <c r="J2059" i="2"/>
  <c r="I2059" i="2"/>
  <c r="H2059" i="2"/>
  <c r="G2059" i="2"/>
  <c r="F2059" i="2"/>
  <c r="E2059" i="2"/>
  <c r="D2059" i="2"/>
  <c r="C2059" i="2"/>
  <c r="B2059" i="2"/>
  <c r="V2058" i="2"/>
  <c r="U2058" i="2"/>
  <c r="T2058" i="2"/>
  <c r="S2058" i="2"/>
  <c r="R2058" i="2"/>
  <c r="Q2058" i="2"/>
  <c r="P2058" i="2"/>
  <c r="O2058" i="2"/>
  <c r="N2058" i="2"/>
  <c r="M2058" i="2"/>
  <c r="L2058" i="2"/>
  <c r="K2058" i="2"/>
  <c r="J2058" i="2"/>
  <c r="I2058" i="2"/>
  <c r="H2058" i="2"/>
  <c r="G2058" i="2"/>
  <c r="F2058" i="2"/>
  <c r="E2058" i="2"/>
  <c r="D2058" i="2"/>
  <c r="C2058" i="2"/>
  <c r="B2058" i="2"/>
  <c r="V2057" i="2"/>
  <c r="U2057" i="2"/>
  <c r="T2057" i="2"/>
  <c r="S2057" i="2"/>
  <c r="R2057" i="2"/>
  <c r="Q2057" i="2"/>
  <c r="P2057" i="2"/>
  <c r="O2057" i="2"/>
  <c r="N2057" i="2"/>
  <c r="M2057" i="2"/>
  <c r="L2057" i="2"/>
  <c r="K2057" i="2"/>
  <c r="J2057" i="2"/>
  <c r="I2057" i="2"/>
  <c r="H2057" i="2"/>
  <c r="G2057" i="2"/>
  <c r="F2057" i="2"/>
  <c r="E2057" i="2"/>
  <c r="D2057" i="2"/>
  <c r="C2057" i="2"/>
  <c r="B2057" i="2"/>
  <c r="V2056" i="2"/>
  <c r="U2056" i="2"/>
  <c r="T2056" i="2"/>
  <c r="S2056" i="2"/>
  <c r="R2056" i="2"/>
  <c r="Q2056" i="2"/>
  <c r="P2056" i="2"/>
  <c r="O2056" i="2"/>
  <c r="N2056" i="2"/>
  <c r="M2056" i="2"/>
  <c r="L2056" i="2"/>
  <c r="K2056" i="2"/>
  <c r="J2056" i="2"/>
  <c r="I2056" i="2"/>
  <c r="H2056" i="2"/>
  <c r="G2056" i="2"/>
  <c r="F2056" i="2"/>
  <c r="E2056" i="2"/>
  <c r="D2056" i="2"/>
  <c r="C2056" i="2"/>
  <c r="B2056" i="2"/>
  <c r="V2055" i="2"/>
  <c r="U2055" i="2"/>
  <c r="T2055" i="2"/>
  <c r="S2055" i="2"/>
  <c r="R2055" i="2"/>
  <c r="Q2055" i="2"/>
  <c r="P2055" i="2"/>
  <c r="O2055" i="2"/>
  <c r="N2055" i="2"/>
  <c r="M2055" i="2"/>
  <c r="L2055" i="2"/>
  <c r="K2055" i="2"/>
  <c r="J2055" i="2"/>
  <c r="I2055" i="2"/>
  <c r="H2055" i="2"/>
  <c r="G2055" i="2"/>
  <c r="F2055" i="2"/>
  <c r="E2055" i="2"/>
  <c r="D2055" i="2"/>
  <c r="C2055" i="2"/>
  <c r="B2055" i="2"/>
  <c r="V2054" i="2"/>
  <c r="U2054" i="2"/>
  <c r="T2054" i="2"/>
  <c r="S2054" i="2"/>
  <c r="R2054" i="2"/>
  <c r="Q2054" i="2"/>
  <c r="P2054" i="2"/>
  <c r="O2054" i="2"/>
  <c r="N2054" i="2"/>
  <c r="M2054" i="2"/>
  <c r="L2054" i="2"/>
  <c r="K2054" i="2"/>
  <c r="J2054" i="2"/>
  <c r="I2054" i="2"/>
  <c r="H2054" i="2"/>
  <c r="G2054" i="2"/>
  <c r="F2054" i="2"/>
  <c r="E2054" i="2"/>
  <c r="D2054" i="2"/>
  <c r="C2054" i="2"/>
  <c r="B2054" i="2"/>
  <c r="V2053" i="2"/>
  <c r="U2053" i="2"/>
  <c r="T2053" i="2"/>
  <c r="S2053" i="2"/>
  <c r="R2053" i="2"/>
  <c r="Q2053" i="2"/>
  <c r="P2053" i="2"/>
  <c r="O2053" i="2"/>
  <c r="N2053" i="2"/>
  <c r="M2053" i="2"/>
  <c r="L2053" i="2"/>
  <c r="K2053" i="2"/>
  <c r="J2053" i="2"/>
  <c r="I2053" i="2"/>
  <c r="H2053" i="2"/>
  <c r="G2053" i="2"/>
  <c r="F2053" i="2"/>
  <c r="E2053" i="2"/>
  <c r="D2053" i="2"/>
  <c r="C2053" i="2"/>
  <c r="B2053" i="2"/>
  <c r="V2052" i="2"/>
  <c r="U2052" i="2"/>
  <c r="T2052" i="2"/>
  <c r="S2052" i="2"/>
  <c r="R2052" i="2"/>
  <c r="Q2052" i="2"/>
  <c r="P2052" i="2"/>
  <c r="O2052" i="2"/>
  <c r="N2052" i="2"/>
  <c r="M2052" i="2"/>
  <c r="L2052" i="2"/>
  <c r="K2052" i="2"/>
  <c r="J2052" i="2"/>
  <c r="I2052" i="2"/>
  <c r="H2052" i="2"/>
  <c r="G2052" i="2"/>
  <c r="F2052" i="2"/>
  <c r="E2052" i="2"/>
  <c r="D2052" i="2"/>
  <c r="C2052" i="2"/>
  <c r="B2052" i="2"/>
  <c r="V2051" i="2"/>
  <c r="U2051" i="2"/>
  <c r="T2051" i="2"/>
  <c r="S2051" i="2"/>
  <c r="R2051" i="2"/>
  <c r="Q2051" i="2"/>
  <c r="P2051" i="2"/>
  <c r="O2051" i="2"/>
  <c r="N2051" i="2"/>
  <c r="M2051" i="2"/>
  <c r="L2051" i="2"/>
  <c r="K2051" i="2"/>
  <c r="J2051" i="2"/>
  <c r="I2051" i="2"/>
  <c r="H2051" i="2"/>
  <c r="G2051" i="2"/>
  <c r="F2051" i="2"/>
  <c r="E2051" i="2"/>
  <c r="D2051" i="2"/>
  <c r="C2051" i="2"/>
  <c r="B2051" i="2"/>
  <c r="V2050" i="2"/>
  <c r="U2050" i="2"/>
  <c r="T2050" i="2"/>
  <c r="S2050" i="2"/>
  <c r="R2050" i="2"/>
  <c r="Q2050" i="2"/>
  <c r="P2050" i="2"/>
  <c r="O2050" i="2"/>
  <c r="N2050" i="2"/>
  <c r="M2050" i="2"/>
  <c r="L2050" i="2"/>
  <c r="K2050" i="2"/>
  <c r="J2050" i="2"/>
  <c r="I2050" i="2"/>
  <c r="H2050" i="2"/>
  <c r="G2050" i="2"/>
  <c r="F2050" i="2"/>
  <c r="E2050" i="2"/>
  <c r="D2050" i="2"/>
  <c r="C2050" i="2"/>
  <c r="B2050" i="2"/>
  <c r="V2049" i="2"/>
  <c r="U2049" i="2"/>
  <c r="T2049" i="2"/>
  <c r="S2049" i="2"/>
  <c r="R2049" i="2"/>
  <c r="Q2049" i="2"/>
  <c r="P2049" i="2"/>
  <c r="O2049" i="2"/>
  <c r="N2049" i="2"/>
  <c r="M2049" i="2"/>
  <c r="L2049" i="2"/>
  <c r="K2049" i="2"/>
  <c r="J2049" i="2"/>
  <c r="I2049" i="2"/>
  <c r="H2049" i="2"/>
  <c r="G2049" i="2"/>
  <c r="F2049" i="2"/>
  <c r="E2049" i="2"/>
  <c r="D2049" i="2"/>
  <c r="C2049" i="2"/>
  <c r="B2049" i="2"/>
  <c r="V2048" i="2"/>
  <c r="U2048" i="2"/>
  <c r="T2048" i="2"/>
  <c r="S2048" i="2"/>
  <c r="R2048" i="2"/>
  <c r="Q2048" i="2"/>
  <c r="P2048" i="2"/>
  <c r="O2048" i="2"/>
  <c r="N2048" i="2"/>
  <c r="M2048" i="2"/>
  <c r="L2048" i="2"/>
  <c r="K2048" i="2"/>
  <c r="J2048" i="2"/>
  <c r="I2048" i="2"/>
  <c r="H2048" i="2"/>
  <c r="G2048" i="2"/>
  <c r="F2048" i="2"/>
  <c r="E2048" i="2"/>
  <c r="D2048" i="2"/>
  <c r="C2048" i="2"/>
  <c r="B2048" i="2"/>
  <c r="V2047" i="2"/>
  <c r="U2047" i="2"/>
  <c r="T2047" i="2"/>
  <c r="S2047" i="2"/>
  <c r="R2047" i="2"/>
  <c r="Q2047" i="2"/>
  <c r="P2047" i="2"/>
  <c r="O2047" i="2"/>
  <c r="N2047" i="2"/>
  <c r="M2047" i="2"/>
  <c r="L2047" i="2"/>
  <c r="K2047" i="2"/>
  <c r="J2047" i="2"/>
  <c r="I2047" i="2"/>
  <c r="H2047" i="2"/>
  <c r="G2047" i="2"/>
  <c r="F2047" i="2"/>
  <c r="E2047" i="2"/>
  <c r="D2047" i="2"/>
  <c r="C2047" i="2"/>
  <c r="B2047" i="2"/>
  <c r="V2046" i="2"/>
  <c r="U2046" i="2"/>
  <c r="T2046" i="2"/>
  <c r="S2046" i="2"/>
  <c r="R2046" i="2"/>
  <c r="Q2046" i="2"/>
  <c r="P2046" i="2"/>
  <c r="O2046" i="2"/>
  <c r="N2046" i="2"/>
  <c r="M2046" i="2"/>
  <c r="L2046" i="2"/>
  <c r="K2046" i="2"/>
  <c r="J2046" i="2"/>
  <c r="I2046" i="2"/>
  <c r="H2046" i="2"/>
  <c r="G2046" i="2"/>
  <c r="F2046" i="2"/>
  <c r="E2046" i="2"/>
  <c r="D2046" i="2"/>
  <c r="C2046" i="2"/>
  <c r="B2046" i="2"/>
  <c r="V2045" i="2"/>
  <c r="U2045" i="2"/>
  <c r="T2045" i="2"/>
  <c r="S2045" i="2"/>
  <c r="R2045" i="2"/>
  <c r="Q2045" i="2"/>
  <c r="P2045" i="2"/>
  <c r="O2045" i="2"/>
  <c r="N2045" i="2"/>
  <c r="M2045" i="2"/>
  <c r="L2045" i="2"/>
  <c r="K2045" i="2"/>
  <c r="J2045" i="2"/>
  <c r="I2045" i="2"/>
  <c r="H2045" i="2"/>
  <c r="G2045" i="2"/>
  <c r="F2045" i="2"/>
  <c r="E2045" i="2"/>
  <c r="D2045" i="2"/>
  <c r="C2045" i="2"/>
  <c r="B2045" i="2"/>
  <c r="V2044" i="2"/>
  <c r="U2044" i="2"/>
  <c r="T2044" i="2"/>
  <c r="S2044" i="2"/>
  <c r="R2044" i="2"/>
  <c r="Q2044" i="2"/>
  <c r="P2044" i="2"/>
  <c r="O2044" i="2"/>
  <c r="N2044" i="2"/>
  <c r="M2044" i="2"/>
  <c r="L2044" i="2"/>
  <c r="K2044" i="2"/>
  <c r="J2044" i="2"/>
  <c r="I2044" i="2"/>
  <c r="H2044" i="2"/>
  <c r="G2044" i="2"/>
  <c r="F2044" i="2"/>
  <c r="E2044" i="2"/>
  <c r="D2044" i="2"/>
  <c r="C2044" i="2"/>
  <c r="B2044" i="2"/>
  <c r="V2043" i="2"/>
  <c r="U2043" i="2"/>
  <c r="T2043" i="2"/>
  <c r="S2043" i="2"/>
  <c r="R2043" i="2"/>
  <c r="Q2043" i="2"/>
  <c r="P2043" i="2"/>
  <c r="O2043" i="2"/>
  <c r="N2043" i="2"/>
  <c r="M2043" i="2"/>
  <c r="L2043" i="2"/>
  <c r="K2043" i="2"/>
  <c r="J2043" i="2"/>
  <c r="I2043" i="2"/>
  <c r="H2043" i="2"/>
  <c r="G2043" i="2"/>
  <c r="F2043" i="2"/>
  <c r="E2043" i="2"/>
  <c r="D2043" i="2"/>
  <c r="C2043" i="2"/>
  <c r="B2043" i="2"/>
  <c r="V2042" i="2"/>
  <c r="U2042" i="2"/>
  <c r="T2042" i="2"/>
  <c r="S2042" i="2"/>
  <c r="R2042" i="2"/>
  <c r="Q2042" i="2"/>
  <c r="P2042" i="2"/>
  <c r="O2042" i="2"/>
  <c r="N2042" i="2"/>
  <c r="M2042" i="2"/>
  <c r="L2042" i="2"/>
  <c r="K2042" i="2"/>
  <c r="J2042" i="2"/>
  <c r="I2042" i="2"/>
  <c r="H2042" i="2"/>
  <c r="G2042" i="2"/>
  <c r="F2042" i="2"/>
  <c r="E2042" i="2"/>
  <c r="D2042" i="2"/>
  <c r="C2042" i="2"/>
  <c r="B2042" i="2"/>
  <c r="V2041" i="2"/>
  <c r="U2041" i="2"/>
  <c r="T2041" i="2"/>
  <c r="S2041" i="2"/>
  <c r="R2041" i="2"/>
  <c r="Q2041" i="2"/>
  <c r="P2041" i="2"/>
  <c r="O2041" i="2"/>
  <c r="N2041" i="2"/>
  <c r="M2041" i="2"/>
  <c r="L2041" i="2"/>
  <c r="K2041" i="2"/>
  <c r="J2041" i="2"/>
  <c r="I2041" i="2"/>
  <c r="H2041" i="2"/>
  <c r="G2041" i="2"/>
  <c r="F2041" i="2"/>
  <c r="E2041" i="2"/>
  <c r="D2041" i="2"/>
  <c r="C2041" i="2"/>
  <c r="B2041" i="2"/>
  <c r="V2040" i="2"/>
  <c r="U2040" i="2"/>
  <c r="T2040" i="2"/>
  <c r="S2040" i="2"/>
  <c r="R2040" i="2"/>
  <c r="Q2040" i="2"/>
  <c r="P2040" i="2"/>
  <c r="O2040" i="2"/>
  <c r="N2040" i="2"/>
  <c r="M2040" i="2"/>
  <c r="L2040" i="2"/>
  <c r="K2040" i="2"/>
  <c r="J2040" i="2"/>
  <c r="I2040" i="2"/>
  <c r="H2040" i="2"/>
  <c r="G2040" i="2"/>
  <c r="F2040" i="2"/>
  <c r="E2040" i="2"/>
  <c r="D2040" i="2"/>
  <c r="C2040" i="2"/>
  <c r="B2040" i="2"/>
  <c r="V2039" i="2"/>
  <c r="U2039" i="2"/>
  <c r="T2039" i="2"/>
  <c r="S2039" i="2"/>
  <c r="R2039" i="2"/>
  <c r="Q2039" i="2"/>
  <c r="P2039" i="2"/>
  <c r="O2039" i="2"/>
  <c r="N2039" i="2"/>
  <c r="M2039" i="2"/>
  <c r="L2039" i="2"/>
  <c r="K2039" i="2"/>
  <c r="J2039" i="2"/>
  <c r="I2039" i="2"/>
  <c r="H2039" i="2"/>
  <c r="G2039" i="2"/>
  <c r="F2039" i="2"/>
  <c r="E2039" i="2"/>
  <c r="D2039" i="2"/>
  <c r="C2039" i="2"/>
  <c r="B2039" i="2"/>
  <c r="V2038" i="2"/>
  <c r="U2038" i="2"/>
  <c r="T2038" i="2"/>
  <c r="S2038" i="2"/>
  <c r="R2038" i="2"/>
  <c r="Q2038" i="2"/>
  <c r="P2038" i="2"/>
  <c r="O2038" i="2"/>
  <c r="N2038" i="2"/>
  <c r="M2038" i="2"/>
  <c r="L2038" i="2"/>
  <c r="K2038" i="2"/>
  <c r="J2038" i="2"/>
  <c r="I2038" i="2"/>
  <c r="H2038" i="2"/>
  <c r="G2038" i="2"/>
  <c r="F2038" i="2"/>
  <c r="E2038" i="2"/>
  <c r="D2038" i="2"/>
  <c r="C2038" i="2"/>
  <c r="B2038" i="2"/>
  <c r="V2037" i="2"/>
  <c r="U2037" i="2"/>
  <c r="T2037" i="2"/>
  <c r="S2037" i="2"/>
  <c r="R2037" i="2"/>
  <c r="Q2037" i="2"/>
  <c r="P2037" i="2"/>
  <c r="O2037" i="2"/>
  <c r="N2037" i="2"/>
  <c r="M2037" i="2"/>
  <c r="L2037" i="2"/>
  <c r="K2037" i="2"/>
  <c r="J2037" i="2"/>
  <c r="I2037" i="2"/>
  <c r="H2037" i="2"/>
  <c r="G2037" i="2"/>
  <c r="F2037" i="2"/>
  <c r="E2037" i="2"/>
  <c r="D2037" i="2"/>
  <c r="C2037" i="2"/>
  <c r="B2037" i="2"/>
  <c r="V2036" i="2"/>
  <c r="U2036" i="2"/>
  <c r="T2036" i="2"/>
  <c r="S2036" i="2"/>
  <c r="R2036" i="2"/>
  <c r="Q2036" i="2"/>
  <c r="P2036" i="2"/>
  <c r="O2036" i="2"/>
  <c r="N2036" i="2"/>
  <c r="M2036" i="2"/>
  <c r="L2036" i="2"/>
  <c r="K2036" i="2"/>
  <c r="J2036" i="2"/>
  <c r="I2036" i="2"/>
  <c r="H2036" i="2"/>
  <c r="G2036" i="2"/>
  <c r="F2036" i="2"/>
  <c r="E2036" i="2"/>
  <c r="D2036" i="2"/>
  <c r="C2036" i="2"/>
  <c r="B2036" i="2"/>
  <c r="V2035" i="2"/>
  <c r="U2035" i="2"/>
  <c r="T2035" i="2"/>
  <c r="S2035" i="2"/>
  <c r="R2035" i="2"/>
  <c r="Q2035" i="2"/>
  <c r="P2035" i="2"/>
  <c r="O2035" i="2"/>
  <c r="N2035" i="2"/>
  <c r="M2035" i="2"/>
  <c r="L2035" i="2"/>
  <c r="K2035" i="2"/>
  <c r="J2035" i="2"/>
  <c r="I2035" i="2"/>
  <c r="H2035" i="2"/>
  <c r="G2035" i="2"/>
  <c r="F2035" i="2"/>
  <c r="E2035" i="2"/>
  <c r="D2035" i="2"/>
  <c r="C2035" i="2"/>
  <c r="B2035" i="2"/>
  <c r="V2034" i="2"/>
  <c r="U2034" i="2"/>
  <c r="T2034" i="2"/>
  <c r="S2034" i="2"/>
  <c r="R2034" i="2"/>
  <c r="Q2034" i="2"/>
  <c r="P2034" i="2"/>
  <c r="O2034" i="2"/>
  <c r="N2034" i="2"/>
  <c r="M2034" i="2"/>
  <c r="L2034" i="2"/>
  <c r="K2034" i="2"/>
  <c r="J2034" i="2"/>
  <c r="I2034" i="2"/>
  <c r="H2034" i="2"/>
  <c r="G2034" i="2"/>
  <c r="F2034" i="2"/>
  <c r="E2034" i="2"/>
  <c r="D2034" i="2"/>
  <c r="C2034" i="2"/>
  <c r="B2034" i="2"/>
  <c r="V2033" i="2"/>
  <c r="U2033" i="2"/>
  <c r="T2033" i="2"/>
  <c r="S2033" i="2"/>
  <c r="R2033" i="2"/>
  <c r="Q2033" i="2"/>
  <c r="P2033" i="2"/>
  <c r="O2033" i="2"/>
  <c r="N2033" i="2"/>
  <c r="M2033" i="2"/>
  <c r="L2033" i="2"/>
  <c r="K2033" i="2"/>
  <c r="J2033" i="2"/>
  <c r="I2033" i="2"/>
  <c r="H2033" i="2"/>
  <c r="G2033" i="2"/>
  <c r="F2033" i="2"/>
  <c r="E2033" i="2"/>
  <c r="D2033" i="2"/>
  <c r="C2033" i="2"/>
  <c r="B2033" i="2"/>
  <c r="V2032" i="2"/>
  <c r="U2032" i="2"/>
  <c r="T2032" i="2"/>
  <c r="S2032" i="2"/>
  <c r="R2032" i="2"/>
  <c r="Q2032" i="2"/>
  <c r="P2032" i="2"/>
  <c r="O2032" i="2"/>
  <c r="N2032" i="2"/>
  <c r="M2032" i="2"/>
  <c r="L2032" i="2"/>
  <c r="K2032" i="2"/>
  <c r="J2032" i="2"/>
  <c r="I2032" i="2"/>
  <c r="H2032" i="2"/>
  <c r="G2032" i="2"/>
  <c r="F2032" i="2"/>
  <c r="E2032" i="2"/>
  <c r="D2032" i="2"/>
  <c r="C2032" i="2"/>
  <c r="B2032" i="2"/>
  <c r="V2031" i="2"/>
  <c r="U2031" i="2"/>
  <c r="T2031" i="2"/>
  <c r="S2031" i="2"/>
  <c r="R2031" i="2"/>
  <c r="Q2031" i="2"/>
  <c r="P2031" i="2"/>
  <c r="O2031" i="2"/>
  <c r="N2031" i="2"/>
  <c r="M2031" i="2"/>
  <c r="L2031" i="2"/>
  <c r="K2031" i="2"/>
  <c r="J2031" i="2"/>
  <c r="I2031" i="2"/>
  <c r="H2031" i="2"/>
  <c r="G2031" i="2"/>
  <c r="F2031" i="2"/>
  <c r="E2031" i="2"/>
  <c r="D2031" i="2"/>
  <c r="C2031" i="2"/>
  <c r="B2031" i="2"/>
  <c r="V2030" i="2"/>
  <c r="U2030" i="2"/>
  <c r="T2030" i="2"/>
  <c r="S2030" i="2"/>
  <c r="R2030" i="2"/>
  <c r="Q2030" i="2"/>
  <c r="P2030" i="2"/>
  <c r="O2030" i="2"/>
  <c r="N2030" i="2"/>
  <c r="M2030" i="2"/>
  <c r="L2030" i="2"/>
  <c r="K2030" i="2"/>
  <c r="J2030" i="2"/>
  <c r="I2030" i="2"/>
  <c r="H2030" i="2"/>
  <c r="G2030" i="2"/>
  <c r="F2030" i="2"/>
  <c r="E2030" i="2"/>
  <c r="D2030" i="2"/>
  <c r="C2030" i="2"/>
  <c r="B2030" i="2"/>
  <c r="V2029" i="2"/>
  <c r="U2029" i="2"/>
  <c r="T2029" i="2"/>
  <c r="S2029" i="2"/>
  <c r="R2029" i="2"/>
  <c r="Q2029" i="2"/>
  <c r="P2029" i="2"/>
  <c r="O2029" i="2"/>
  <c r="N2029" i="2"/>
  <c r="M2029" i="2"/>
  <c r="L2029" i="2"/>
  <c r="K2029" i="2"/>
  <c r="J2029" i="2"/>
  <c r="I2029" i="2"/>
  <c r="H2029" i="2"/>
  <c r="G2029" i="2"/>
  <c r="F2029" i="2"/>
  <c r="E2029" i="2"/>
  <c r="D2029" i="2"/>
  <c r="C2029" i="2"/>
  <c r="B2029" i="2"/>
  <c r="V2028" i="2"/>
  <c r="U2028" i="2"/>
  <c r="T2028" i="2"/>
  <c r="S2028" i="2"/>
  <c r="R2028" i="2"/>
  <c r="Q2028" i="2"/>
  <c r="P2028" i="2"/>
  <c r="O2028" i="2"/>
  <c r="N2028" i="2"/>
  <c r="M2028" i="2"/>
  <c r="L2028" i="2"/>
  <c r="K2028" i="2"/>
  <c r="J2028" i="2"/>
  <c r="I2028" i="2"/>
  <c r="H2028" i="2"/>
  <c r="G2028" i="2"/>
  <c r="F2028" i="2"/>
  <c r="E2028" i="2"/>
  <c r="D2028" i="2"/>
  <c r="C2028" i="2"/>
  <c r="B2028" i="2"/>
  <c r="V2027" i="2"/>
  <c r="U2027" i="2"/>
  <c r="T2027" i="2"/>
  <c r="S2027" i="2"/>
  <c r="R2027" i="2"/>
  <c r="Q2027" i="2"/>
  <c r="P2027" i="2"/>
  <c r="O2027" i="2"/>
  <c r="N2027" i="2"/>
  <c r="M2027" i="2"/>
  <c r="L2027" i="2"/>
  <c r="K2027" i="2"/>
  <c r="J2027" i="2"/>
  <c r="I2027" i="2"/>
  <c r="H2027" i="2"/>
  <c r="G2027" i="2"/>
  <c r="F2027" i="2"/>
  <c r="E2027" i="2"/>
  <c r="D2027" i="2"/>
  <c r="C2027" i="2"/>
  <c r="B2027" i="2"/>
  <c r="V2026" i="2"/>
  <c r="U2026" i="2"/>
  <c r="T2026" i="2"/>
  <c r="S2026" i="2"/>
  <c r="R2026" i="2"/>
  <c r="Q2026" i="2"/>
  <c r="P2026" i="2"/>
  <c r="O2026" i="2"/>
  <c r="N2026" i="2"/>
  <c r="M2026" i="2"/>
  <c r="L2026" i="2"/>
  <c r="K2026" i="2"/>
  <c r="J2026" i="2"/>
  <c r="I2026" i="2"/>
  <c r="H2026" i="2"/>
  <c r="G2026" i="2"/>
  <c r="F2026" i="2"/>
  <c r="E2026" i="2"/>
  <c r="D2026" i="2"/>
  <c r="C2026" i="2"/>
  <c r="B2026" i="2"/>
  <c r="V2025" i="2"/>
  <c r="U2025" i="2"/>
  <c r="T2025" i="2"/>
  <c r="S2025" i="2"/>
  <c r="R2025" i="2"/>
  <c r="Q2025" i="2"/>
  <c r="P2025" i="2"/>
  <c r="O2025" i="2"/>
  <c r="N2025" i="2"/>
  <c r="M2025" i="2"/>
  <c r="L2025" i="2"/>
  <c r="K2025" i="2"/>
  <c r="J2025" i="2"/>
  <c r="I2025" i="2"/>
  <c r="H2025" i="2"/>
  <c r="G2025" i="2"/>
  <c r="F2025" i="2"/>
  <c r="E2025" i="2"/>
  <c r="D2025" i="2"/>
  <c r="C2025" i="2"/>
  <c r="B2025" i="2"/>
  <c r="V2024" i="2"/>
  <c r="U2024" i="2"/>
  <c r="T2024" i="2"/>
  <c r="S2024" i="2"/>
  <c r="R2024" i="2"/>
  <c r="Q2024" i="2"/>
  <c r="P2024" i="2"/>
  <c r="O2024" i="2"/>
  <c r="N2024" i="2"/>
  <c r="M2024" i="2"/>
  <c r="L2024" i="2"/>
  <c r="K2024" i="2"/>
  <c r="J2024" i="2"/>
  <c r="I2024" i="2"/>
  <c r="H2024" i="2"/>
  <c r="G2024" i="2"/>
  <c r="F2024" i="2"/>
  <c r="E2024" i="2"/>
  <c r="D2024" i="2"/>
  <c r="C2024" i="2"/>
  <c r="B2024" i="2"/>
  <c r="V2023" i="2"/>
  <c r="U2023" i="2"/>
  <c r="T2023" i="2"/>
  <c r="S2023" i="2"/>
  <c r="R2023" i="2"/>
  <c r="Q2023" i="2"/>
  <c r="P2023" i="2"/>
  <c r="O2023" i="2"/>
  <c r="N2023" i="2"/>
  <c r="M2023" i="2"/>
  <c r="L2023" i="2"/>
  <c r="K2023" i="2"/>
  <c r="J2023" i="2"/>
  <c r="I2023" i="2"/>
  <c r="H2023" i="2"/>
  <c r="G2023" i="2"/>
  <c r="F2023" i="2"/>
  <c r="E2023" i="2"/>
  <c r="D2023" i="2"/>
  <c r="C2023" i="2"/>
  <c r="B2023" i="2"/>
  <c r="V2022" i="2"/>
  <c r="U2022" i="2"/>
  <c r="T2022" i="2"/>
  <c r="S2022" i="2"/>
  <c r="R2022" i="2"/>
  <c r="Q2022" i="2"/>
  <c r="P2022" i="2"/>
  <c r="O2022" i="2"/>
  <c r="N2022" i="2"/>
  <c r="M2022" i="2"/>
  <c r="L2022" i="2"/>
  <c r="K2022" i="2"/>
  <c r="J2022" i="2"/>
  <c r="I2022" i="2"/>
  <c r="H2022" i="2"/>
  <c r="G2022" i="2"/>
  <c r="F2022" i="2"/>
  <c r="E2022" i="2"/>
  <c r="D2022" i="2"/>
  <c r="C2022" i="2"/>
  <c r="B2022" i="2"/>
  <c r="V2021" i="2"/>
  <c r="U2021" i="2"/>
  <c r="T2021" i="2"/>
  <c r="S2021" i="2"/>
  <c r="R2021" i="2"/>
  <c r="Q2021" i="2"/>
  <c r="P2021" i="2"/>
  <c r="O2021" i="2"/>
  <c r="N2021" i="2"/>
  <c r="M2021" i="2"/>
  <c r="L2021" i="2"/>
  <c r="K2021" i="2"/>
  <c r="J2021" i="2"/>
  <c r="I2021" i="2"/>
  <c r="H2021" i="2"/>
  <c r="G2021" i="2"/>
  <c r="F2021" i="2"/>
  <c r="E2021" i="2"/>
  <c r="D2021" i="2"/>
  <c r="C2021" i="2"/>
  <c r="B2021" i="2"/>
  <c r="V2020" i="2"/>
  <c r="U2020" i="2"/>
  <c r="T2020" i="2"/>
  <c r="S2020" i="2"/>
  <c r="R2020" i="2"/>
  <c r="Q2020" i="2"/>
  <c r="P2020" i="2"/>
  <c r="O2020" i="2"/>
  <c r="N2020" i="2"/>
  <c r="M2020" i="2"/>
  <c r="L2020" i="2"/>
  <c r="K2020" i="2"/>
  <c r="J2020" i="2"/>
  <c r="I2020" i="2"/>
  <c r="H2020" i="2"/>
  <c r="G2020" i="2"/>
  <c r="F2020" i="2"/>
  <c r="E2020" i="2"/>
  <c r="D2020" i="2"/>
  <c r="C2020" i="2"/>
  <c r="B2020" i="2"/>
  <c r="V2019" i="2"/>
  <c r="U2019" i="2"/>
  <c r="T2019" i="2"/>
  <c r="S2019" i="2"/>
  <c r="R2019" i="2"/>
  <c r="Q2019" i="2"/>
  <c r="P2019" i="2"/>
  <c r="O2019" i="2"/>
  <c r="N2019" i="2"/>
  <c r="M2019" i="2"/>
  <c r="L2019" i="2"/>
  <c r="K2019" i="2"/>
  <c r="J2019" i="2"/>
  <c r="I2019" i="2"/>
  <c r="H2019" i="2"/>
  <c r="G2019" i="2"/>
  <c r="F2019" i="2"/>
  <c r="E2019" i="2"/>
  <c r="D2019" i="2"/>
  <c r="C2019" i="2"/>
  <c r="B2019" i="2"/>
  <c r="V2018" i="2"/>
  <c r="U2018" i="2"/>
  <c r="T2018" i="2"/>
  <c r="S2018" i="2"/>
  <c r="R2018" i="2"/>
  <c r="Q2018" i="2"/>
  <c r="P2018" i="2"/>
  <c r="O2018" i="2"/>
  <c r="N2018" i="2"/>
  <c r="M2018" i="2"/>
  <c r="L2018" i="2"/>
  <c r="K2018" i="2"/>
  <c r="J2018" i="2"/>
  <c r="I2018" i="2"/>
  <c r="H2018" i="2"/>
  <c r="G2018" i="2"/>
  <c r="F2018" i="2"/>
  <c r="E2018" i="2"/>
  <c r="D2018" i="2"/>
  <c r="C2018" i="2"/>
  <c r="B2018" i="2"/>
  <c r="V2017" i="2"/>
  <c r="U2017" i="2"/>
  <c r="T2017" i="2"/>
  <c r="S2017" i="2"/>
  <c r="R2017" i="2"/>
  <c r="Q2017" i="2"/>
  <c r="P2017" i="2"/>
  <c r="O2017" i="2"/>
  <c r="N2017" i="2"/>
  <c r="M2017" i="2"/>
  <c r="L2017" i="2"/>
  <c r="K2017" i="2"/>
  <c r="J2017" i="2"/>
  <c r="I2017" i="2"/>
  <c r="H2017" i="2"/>
  <c r="G2017" i="2"/>
  <c r="F2017" i="2"/>
  <c r="E2017" i="2"/>
  <c r="D2017" i="2"/>
  <c r="C2017" i="2"/>
  <c r="B2017" i="2"/>
  <c r="V2016" i="2"/>
  <c r="U2016" i="2"/>
  <c r="T2016" i="2"/>
  <c r="S2016" i="2"/>
  <c r="R2016" i="2"/>
  <c r="Q2016" i="2"/>
  <c r="P2016" i="2"/>
  <c r="O2016" i="2"/>
  <c r="N2016" i="2"/>
  <c r="M2016" i="2"/>
  <c r="L2016" i="2"/>
  <c r="K2016" i="2"/>
  <c r="J2016" i="2"/>
  <c r="I2016" i="2"/>
  <c r="H2016" i="2"/>
  <c r="G2016" i="2"/>
  <c r="F2016" i="2"/>
  <c r="E2016" i="2"/>
  <c r="D2016" i="2"/>
  <c r="C2016" i="2"/>
  <c r="B2016" i="2"/>
  <c r="V2015" i="2"/>
  <c r="U2015" i="2"/>
  <c r="T2015" i="2"/>
  <c r="S2015" i="2"/>
  <c r="R2015" i="2"/>
  <c r="Q2015" i="2"/>
  <c r="P2015" i="2"/>
  <c r="O2015" i="2"/>
  <c r="N2015" i="2"/>
  <c r="M2015" i="2"/>
  <c r="L2015" i="2"/>
  <c r="K2015" i="2"/>
  <c r="J2015" i="2"/>
  <c r="I2015" i="2"/>
  <c r="H2015" i="2"/>
  <c r="G2015" i="2"/>
  <c r="F2015" i="2"/>
  <c r="E2015" i="2"/>
  <c r="D2015" i="2"/>
  <c r="C2015" i="2"/>
  <c r="B2015" i="2"/>
  <c r="V2014" i="2"/>
  <c r="U2014" i="2"/>
  <c r="T2014" i="2"/>
  <c r="S2014" i="2"/>
  <c r="R2014" i="2"/>
  <c r="Q2014" i="2"/>
  <c r="P2014" i="2"/>
  <c r="O2014" i="2"/>
  <c r="N2014" i="2"/>
  <c r="M2014" i="2"/>
  <c r="L2014" i="2"/>
  <c r="K2014" i="2"/>
  <c r="J2014" i="2"/>
  <c r="I2014" i="2"/>
  <c r="H2014" i="2"/>
  <c r="G2014" i="2"/>
  <c r="F2014" i="2"/>
  <c r="E2014" i="2"/>
  <c r="D2014" i="2"/>
  <c r="C2014" i="2"/>
  <c r="B2014" i="2"/>
  <c r="V2013" i="2"/>
  <c r="U2013" i="2"/>
  <c r="T2013" i="2"/>
  <c r="S2013" i="2"/>
  <c r="R2013" i="2"/>
  <c r="Q2013" i="2"/>
  <c r="P2013" i="2"/>
  <c r="O2013" i="2"/>
  <c r="N2013" i="2"/>
  <c r="M2013" i="2"/>
  <c r="L2013" i="2"/>
  <c r="K2013" i="2"/>
  <c r="J2013" i="2"/>
  <c r="I2013" i="2"/>
  <c r="H2013" i="2"/>
  <c r="G2013" i="2"/>
  <c r="F2013" i="2"/>
  <c r="E2013" i="2"/>
  <c r="D2013" i="2"/>
  <c r="C2013" i="2"/>
  <c r="B2013" i="2"/>
  <c r="V2012" i="2"/>
  <c r="U2012" i="2"/>
  <c r="T2012" i="2"/>
  <c r="S2012" i="2"/>
  <c r="R2012" i="2"/>
  <c r="Q2012" i="2"/>
  <c r="P2012" i="2"/>
  <c r="O2012" i="2"/>
  <c r="N2012" i="2"/>
  <c r="M2012" i="2"/>
  <c r="L2012" i="2"/>
  <c r="K2012" i="2"/>
  <c r="J2012" i="2"/>
  <c r="I2012" i="2"/>
  <c r="H2012" i="2"/>
  <c r="G2012" i="2"/>
  <c r="F2012" i="2"/>
  <c r="E2012" i="2"/>
  <c r="D2012" i="2"/>
  <c r="C2012" i="2"/>
  <c r="B2012" i="2"/>
  <c r="V2011" i="2"/>
  <c r="U2011" i="2"/>
  <c r="T2011" i="2"/>
  <c r="S2011" i="2"/>
  <c r="R2011" i="2"/>
  <c r="Q2011" i="2"/>
  <c r="P2011" i="2"/>
  <c r="O2011" i="2"/>
  <c r="N2011" i="2"/>
  <c r="M2011" i="2"/>
  <c r="L2011" i="2"/>
  <c r="K2011" i="2"/>
  <c r="J2011" i="2"/>
  <c r="I2011" i="2"/>
  <c r="H2011" i="2"/>
  <c r="G2011" i="2"/>
  <c r="F2011" i="2"/>
  <c r="E2011" i="2"/>
  <c r="D2011" i="2"/>
  <c r="C2011" i="2"/>
  <c r="B2011" i="2"/>
  <c r="V2010" i="2"/>
  <c r="U2010" i="2"/>
  <c r="T2010" i="2"/>
  <c r="S2010" i="2"/>
  <c r="R2010" i="2"/>
  <c r="Q2010" i="2"/>
  <c r="P2010" i="2"/>
  <c r="O2010" i="2"/>
  <c r="N2010" i="2"/>
  <c r="M2010" i="2"/>
  <c r="L2010" i="2"/>
  <c r="K2010" i="2"/>
  <c r="J2010" i="2"/>
  <c r="I2010" i="2"/>
  <c r="H2010" i="2"/>
  <c r="G2010" i="2"/>
  <c r="F2010" i="2"/>
  <c r="E2010" i="2"/>
  <c r="D2010" i="2"/>
  <c r="C2010" i="2"/>
  <c r="B2010" i="2"/>
  <c r="V2009" i="2"/>
  <c r="U2009" i="2"/>
  <c r="T2009" i="2"/>
  <c r="S2009" i="2"/>
  <c r="R2009" i="2"/>
  <c r="Q2009" i="2"/>
  <c r="P2009" i="2"/>
  <c r="O2009" i="2"/>
  <c r="N2009" i="2"/>
  <c r="M2009" i="2"/>
  <c r="L2009" i="2"/>
  <c r="K2009" i="2"/>
  <c r="J2009" i="2"/>
  <c r="I2009" i="2"/>
  <c r="H2009" i="2"/>
  <c r="G2009" i="2"/>
  <c r="F2009" i="2"/>
  <c r="E2009" i="2"/>
  <c r="D2009" i="2"/>
  <c r="C2009" i="2"/>
  <c r="B2009" i="2"/>
  <c r="V2008" i="2"/>
  <c r="U2008" i="2"/>
  <c r="T2008" i="2"/>
  <c r="S2008" i="2"/>
  <c r="R2008" i="2"/>
  <c r="Q2008" i="2"/>
  <c r="P2008" i="2"/>
  <c r="O2008" i="2"/>
  <c r="N2008" i="2"/>
  <c r="M2008" i="2"/>
  <c r="L2008" i="2"/>
  <c r="K2008" i="2"/>
  <c r="J2008" i="2"/>
  <c r="I2008" i="2"/>
  <c r="H2008" i="2"/>
  <c r="G2008" i="2"/>
  <c r="F2008" i="2"/>
  <c r="E2008" i="2"/>
  <c r="D2008" i="2"/>
  <c r="C2008" i="2"/>
  <c r="B2008" i="2"/>
  <c r="V2007" i="2"/>
  <c r="U2007" i="2"/>
  <c r="T2007" i="2"/>
  <c r="S2007" i="2"/>
  <c r="R2007" i="2"/>
  <c r="Q2007" i="2"/>
  <c r="P2007" i="2"/>
  <c r="O2007" i="2"/>
  <c r="N2007" i="2"/>
  <c r="M2007" i="2"/>
  <c r="L2007" i="2"/>
  <c r="K2007" i="2"/>
  <c r="J2007" i="2"/>
  <c r="I2007" i="2"/>
  <c r="H2007" i="2"/>
  <c r="G2007" i="2"/>
  <c r="F2007" i="2"/>
  <c r="E2007" i="2"/>
  <c r="D2007" i="2"/>
  <c r="C2007" i="2"/>
  <c r="B2007" i="2"/>
  <c r="V2006" i="2"/>
  <c r="U2006" i="2"/>
  <c r="T2006" i="2"/>
  <c r="S2006" i="2"/>
  <c r="R2006" i="2"/>
  <c r="Q2006" i="2"/>
  <c r="P2006" i="2"/>
  <c r="O2006" i="2"/>
  <c r="N2006" i="2"/>
  <c r="M2006" i="2"/>
  <c r="L2006" i="2"/>
  <c r="K2006" i="2"/>
  <c r="J2006" i="2"/>
  <c r="I2006" i="2"/>
  <c r="H2006" i="2"/>
  <c r="G2006" i="2"/>
  <c r="F2006" i="2"/>
  <c r="E2006" i="2"/>
  <c r="D2006" i="2"/>
  <c r="C2006" i="2"/>
  <c r="B2006" i="2"/>
  <c r="V2005" i="2"/>
  <c r="U2005" i="2"/>
  <c r="T2005" i="2"/>
  <c r="S2005" i="2"/>
  <c r="R2005" i="2"/>
  <c r="Q2005" i="2"/>
  <c r="P2005" i="2"/>
  <c r="O2005" i="2"/>
  <c r="N2005" i="2"/>
  <c r="M2005" i="2"/>
  <c r="L2005" i="2"/>
  <c r="K2005" i="2"/>
  <c r="J2005" i="2"/>
  <c r="I2005" i="2"/>
  <c r="H2005" i="2"/>
  <c r="G2005" i="2"/>
  <c r="F2005" i="2"/>
  <c r="E2005" i="2"/>
  <c r="D2005" i="2"/>
  <c r="C2005" i="2"/>
  <c r="B2005" i="2"/>
  <c r="V2004" i="2"/>
  <c r="U2004" i="2"/>
  <c r="T2004" i="2"/>
  <c r="S2004" i="2"/>
  <c r="R2004" i="2"/>
  <c r="Q2004" i="2"/>
  <c r="P2004" i="2"/>
  <c r="O2004" i="2"/>
  <c r="N2004" i="2"/>
  <c r="M2004" i="2"/>
  <c r="L2004" i="2"/>
  <c r="K2004" i="2"/>
  <c r="J2004" i="2"/>
  <c r="I2004" i="2"/>
  <c r="H2004" i="2"/>
  <c r="G2004" i="2"/>
  <c r="F2004" i="2"/>
  <c r="E2004" i="2"/>
  <c r="D2004" i="2"/>
  <c r="C2004" i="2"/>
  <c r="B2004" i="2"/>
  <c r="V2003" i="2"/>
  <c r="U2003" i="2"/>
  <c r="T2003" i="2"/>
  <c r="S2003" i="2"/>
  <c r="R2003" i="2"/>
  <c r="Q2003" i="2"/>
  <c r="P2003" i="2"/>
  <c r="O2003" i="2"/>
  <c r="N2003" i="2"/>
  <c r="M2003" i="2"/>
  <c r="L2003" i="2"/>
  <c r="K2003" i="2"/>
  <c r="J2003" i="2"/>
  <c r="I2003" i="2"/>
  <c r="H2003" i="2"/>
  <c r="G2003" i="2"/>
  <c r="F2003" i="2"/>
  <c r="E2003" i="2"/>
  <c r="D2003" i="2"/>
  <c r="C2003" i="2"/>
  <c r="B2003" i="2"/>
  <c r="V2002" i="2"/>
  <c r="U2002" i="2"/>
  <c r="T2002" i="2"/>
  <c r="S2002" i="2"/>
  <c r="R2002" i="2"/>
  <c r="Q2002" i="2"/>
  <c r="P2002" i="2"/>
  <c r="O2002" i="2"/>
  <c r="N2002" i="2"/>
  <c r="M2002" i="2"/>
  <c r="L2002" i="2"/>
  <c r="K2002" i="2"/>
  <c r="J2002" i="2"/>
  <c r="I2002" i="2"/>
  <c r="H2002" i="2"/>
  <c r="G2002" i="2"/>
  <c r="F2002" i="2"/>
  <c r="E2002" i="2"/>
  <c r="D2002" i="2"/>
  <c r="C2002" i="2"/>
  <c r="B2002" i="2"/>
  <c r="V2001" i="2"/>
  <c r="U2001" i="2"/>
  <c r="T2001" i="2"/>
  <c r="S2001" i="2"/>
  <c r="R2001" i="2"/>
  <c r="Q2001" i="2"/>
  <c r="P2001" i="2"/>
  <c r="O2001" i="2"/>
  <c r="N2001" i="2"/>
  <c r="M2001" i="2"/>
  <c r="L2001" i="2"/>
  <c r="K2001" i="2"/>
  <c r="J2001" i="2"/>
  <c r="I2001" i="2"/>
  <c r="H2001" i="2"/>
  <c r="G2001" i="2"/>
  <c r="F2001" i="2"/>
  <c r="E2001" i="2"/>
  <c r="D2001" i="2"/>
  <c r="C2001" i="2"/>
  <c r="B2001" i="2"/>
  <c r="V2000" i="2"/>
  <c r="U2000" i="2"/>
  <c r="T2000" i="2"/>
  <c r="S2000" i="2"/>
  <c r="R2000" i="2"/>
  <c r="Q2000" i="2"/>
  <c r="P2000" i="2"/>
  <c r="O2000" i="2"/>
  <c r="N2000" i="2"/>
  <c r="M2000" i="2"/>
  <c r="L2000" i="2"/>
  <c r="K2000" i="2"/>
  <c r="J2000" i="2"/>
  <c r="I2000" i="2"/>
  <c r="H2000" i="2"/>
  <c r="G2000" i="2"/>
  <c r="F2000" i="2"/>
  <c r="E2000" i="2"/>
  <c r="D2000" i="2"/>
  <c r="C2000" i="2"/>
  <c r="B2000" i="2"/>
  <c r="V1999" i="2"/>
  <c r="U1999" i="2"/>
  <c r="T1999" i="2"/>
  <c r="S1999" i="2"/>
  <c r="R1999" i="2"/>
  <c r="Q1999" i="2"/>
  <c r="P1999" i="2"/>
  <c r="O1999" i="2"/>
  <c r="N1999" i="2"/>
  <c r="M1999" i="2"/>
  <c r="L1999" i="2"/>
  <c r="K1999" i="2"/>
  <c r="J1999" i="2"/>
  <c r="I1999" i="2"/>
  <c r="H1999" i="2"/>
  <c r="G1999" i="2"/>
  <c r="F1999" i="2"/>
  <c r="E1999" i="2"/>
  <c r="D1999" i="2"/>
  <c r="C1999" i="2"/>
  <c r="B1999" i="2"/>
  <c r="V1998" i="2"/>
  <c r="U1998" i="2"/>
  <c r="T1998" i="2"/>
  <c r="S1998" i="2"/>
  <c r="R1998" i="2"/>
  <c r="Q1998" i="2"/>
  <c r="P1998" i="2"/>
  <c r="O1998" i="2"/>
  <c r="N1998" i="2"/>
  <c r="M1998" i="2"/>
  <c r="L1998" i="2"/>
  <c r="K1998" i="2"/>
  <c r="J1998" i="2"/>
  <c r="I1998" i="2"/>
  <c r="H1998" i="2"/>
  <c r="G1998" i="2"/>
  <c r="F1998" i="2"/>
  <c r="E1998" i="2"/>
  <c r="D1998" i="2"/>
  <c r="C1998" i="2"/>
  <c r="B1998" i="2"/>
  <c r="V1997" i="2"/>
  <c r="U1997" i="2"/>
  <c r="T1997" i="2"/>
  <c r="S1997" i="2"/>
  <c r="R1997" i="2"/>
  <c r="Q1997" i="2"/>
  <c r="P1997" i="2"/>
  <c r="O1997" i="2"/>
  <c r="N1997" i="2"/>
  <c r="M1997" i="2"/>
  <c r="L1997" i="2"/>
  <c r="K1997" i="2"/>
  <c r="J1997" i="2"/>
  <c r="I1997" i="2"/>
  <c r="H1997" i="2"/>
  <c r="G1997" i="2"/>
  <c r="F1997" i="2"/>
  <c r="E1997" i="2"/>
  <c r="D1997" i="2"/>
  <c r="C1997" i="2"/>
  <c r="B1997" i="2"/>
  <c r="V1996" i="2"/>
  <c r="U1996" i="2"/>
  <c r="T1996" i="2"/>
  <c r="S1996" i="2"/>
  <c r="R1996" i="2"/>
  <c r="Q1996" i="2"/>
  <c r="P1996" i="2"/>
  <c r="O1996" i="2"/>
  <c r="N1996" i="2"/>
  <c r="M1996" i="2"/>
  <c r="L1996" i="2"/>
  <c r="K1996" i="2"/>
  <c r="J1996" i="2"/>
  <c r="I1996" i="2"/>
  <c r="H1996" i="2"/>
  <c r="G1996" i="2"/>
  <c r="F1996" i="2"/>
  <c r="E1996" i="2"/>
  <c r="D1996" i="2"/>
  <c r="C1996" i="2"/>
  <c r="B1996" i="2"/>
  <c r="V1995" i="2"/>
  <c r="U1995" i="2"/>
  <c r="T1995" i="2"/>
  <c r="S1995" i="2"/>
  <c r="R1995" i="2"/>
  <c r="Q1995" i="2"/>
  <c r="P1995" i="2"/>
  <c r="O1995" i="2"/>
  <c r="N1995" i="2"/>
  <c r="M1995" i="2"/>
  <c r="L1995" i="2"/>
  <c r="K1995" i="2"/>
  <c r="J1995" i="2"/>
  <c r="I1995" i="2"/>
  <c r="H1995" i="2"/>
  <c r="G1995" i="2"/>
  <c r="F1995" i="2"/>
  <c r="E1995" i="2"/>
  <c r="D1995" i="2"/>
  <c r="C1995" i="2"/>
  <c r="B1995" i="2"/>
  <c r="V1994" i="2"/>
  <c r="U1994" i="2"/>
  <c r="T1994" i="2"/>
  <c r="S1994" i="2"/>
  <c r="R1994" i="2"/>
  <c r="Q1994" i="2"/>
  <c r="P1994" i="2"/>
  <c r="O1994" i="2"/>
  <c r="N1994" i="2"/>
  <c r="M1994" i="2"/>
  <c r="L1994" i="2"/>
  <c r="K1994" i="2"/>
  <c r="J1994" i="2"/>
  <c r="I1994" i="2"/>
  <c r="H1994" i="2"/>
  <c r="G1994" i="2"/>
  <c r="F1994" i="2"/>
  <c r="E1994" i="2"/>
  <c r="D1994" i="2"/>
  <c r="C1994" i="2"/>
  <c r="B1994" i="2"/>
  <c r="V1993" i="2"/>
  <c r="U1993" i="2"/>
  <c r="T1993" i="2"/>
  <c r="S1993" i="2"/>
  <c r="R1993" i="2"/>
  <c r="Q1993" i="2"/>
  <c r="P1993" i="2"/>
  <c r="O1993" i="2"/>
  <c r="N1993" i="2"/>
  <c r="M1993" i="2"/>
  <c r="L1993" i="2"/>
  <c r="K1993" i="2"/>
  <c r="J1993" i="2"/>
  <c r="I1993" i="2"/>
  <c r="H1993" i="2"/>
  <c r="G1993" i="2"/>
  <c r="F1993" i="2"/>
  <c r="E1993" i="2"/>
  <c r="D1993" i="2"/>
  <c r="C1993" i="2"/>
  <c r="B1993" i="2"/>
  <c r="V1992" i="2"/>
  <c r="U1992" i="2"/>
  <c r="T1992" i="2"/>
  <c r="S1992" i="2"/>
  <c r="R1992" i="2"/>
  <c r="Q1992" i="2"/>
  <c r="P1992" i="2"/>
  <c r="O1992" i="2"/>
  <c r="N1992" i="2"/>
  <c r="M1992" i="2"/>
  <c r="L1992" i="2"/>
  <c r="K1992" i="2"/>
  <c r="J1992" i="2"/>
  <c r="I1992" i="2"/>
  <c r="H1992" i="2"/>
  <c r="G1992" i="2"/>
  <c r="F1992" i="2"/>
  <c r="E1992" i="2"/>
  <c r="D1992" i="2"/>
  <c r="C1992" i="2"/>
  <c r="B1992" i="2"/>
  <c r="V1991" i="2"/>
  <c r="U1991" i="2"/>
  <c r="T1991" i="2"/>
  <c r="S1991" i="2"/>
  <c r="R1991" i="2"/>
  <c r="Q1991" i="2"/>
  <c r="P1991" i="2"/>
  <c r="O1991" i="2"/>
  <c r="N1991" i="2"/>
  <c r="M1991" i="2"/>
  <c r="L1991" i="2"/>
  <c r="K1991" i="2"/>
  <c r="J1991" i="2"/>
  <c r="I1991" i="2"/>
  <c r="H1991" i="2"/>
  <c r="G1991" i="2"/>
  <c r="F1991" i="2"/>
  <c r="E1991" i="2"/>
  <c r="D1991" i="2"/>
  <c r="C1991" i="2"/>
  <c r="B1991" i="2"/>
  <c r="V1990" i="2"/>
  <c r="U1990" i="2"/>
  <c r="T1990" i="2"/>
  <c r="S1990" i="2"/>
  <c r="R1990" i="2"/>
  <c r="Q1990" i="2"/>
  <c r="P1990" i="2"/>
  <c r="O1990" i="2"/>
  <c r="N1990" i="2"/>
  <c r="M1990" i="2"/>
  <c r="L1990" i="2"/>
  <c r="K1990" i="2"/>
  <c r="J1990" i="2"/>
  <c r="I1990" i="2"/>
  <c r="H1990" i="2"/>
  <c r="G1990" i="2"/>
  <c r="F1990" i="2"/>
  <c r="E1990" i="2"/>
  <c r="D1990" i="2"/>
  <c r="C1990" i="2"/>
  <c r="B1990" i="2"/>
  <c r="V1989" i="2"/>
  <c r="U1989" i="2"/>
  <c r="T1989" i="2"/>
  <c r="S1989" i="2"/>
  <c r="R1989" i="2"/>
  <c r="Q1989" i="2"/>
  <c r="P1989" i="2"/>
  <c r="O1989" i="2"/>
  <c r="N1989" i="2"/>
  <c r="M1989" i="2"/>
  <c r="L1989" i="2"/>
  <c r="K1989" i="2"/>
  <c r="J1989" i="2"/>
  <c r="I1989" i="2"/>
  <c r="H1989" i="2"/>
  <c r="G1989" i="2"/>
  <c r="F1989" i="2"/>
  <c r="E1989" i="2"/>
  <c r="D1989" i="2"/>
  <c r="C1989" i="2"/>
  <c r="B1989" i="2"/>
  <c r="V1988" i="2"/>
  <c r="U1988" i="2"/>
  <c r="T1988" i="2"/>
  <c r="S1988" i="2"/>
  <c r="R1988" i="2"/>
  <c r="Q1988" i="2"/>
  <c r="P1988" i="2"/>
  <c r="O1988" i="2"/>
  <c r="N1988" i="2"/>
  <c r="M1988" i="2"/>
  <c r="L1988" i="2"/>
  <c r="K1988" i="2"/>
  <c r="J1988" i="2"/>
  <c r="I1988" i="2"/>
  <c r="H1988" i="2"/>
  <c r="G1988" i="2"/>
  <c r="F1988" i="2"/>
  <c r="E1988" i="2"/>
  <c r="D1988" i="2"/>
  <c r="C1988" i="2"/>
  <c r="B1988" i="2"/>
  <c r="V1987" i="2"/>
  <c r="U1987" i="2"/>
  <c r="T1987" i="2"/>
  <c r="S1987" i="2"/>
  <c r="R1987" i="2"/>
  <c r="Q1987" i="2"/>
  <c r="P1987" i="2"/>
  <c r="O1987" i="2"/>
  <c r="N1987" i="2"/>
  <c r="M1987" i="2"/>
  <c r="L1987" i="2"/>
  <c r="K1987" i="2"/>
  <c r="J1987" i="2"/>
  <c r="I1987" i="2"/>
  <c r="H1987" i="2"/>
  <c r="G1987" i="2"/>
  <c r="F1987" i="2"/>
  <c r="E1987" i="2"/>
  <c r="D1987" i="2"/>
  <c r="C1987" i="2"/>
  <c r="B1987" i="2"/>
  <c r="V1986" i="2"/>
  <c r="U1986" i="2"/>
  <c r="T1986" i="2"/>
  <c r="S1986" i="2"/>
  <c r="R1986" i="2"/>
  <c r="Q1986" i="2"/>
  <c r="P1986" i="2"/>
  <c r="O1986" i="2"/>
  <c r="N1986" i="2"/>
  <c r="M1986" i="2"/>
  <c r="L1986" i="2"/>
  <c r="K1986" i="2"/>
  <c r="J1986" i="2"/>
  <c r="I1986" i="2"/>
  <c r="H1986" i="2"/>
  <c r="G1986" i="2"/>
  <c r="F1986" i="2"/>
  <c r="E1986" i="2"/>
  <c r="D1986" i="2"/>
  <c r="C1986" i="2"/>
  <c r="B1986" i="2"/>
  <c r="V1985" i="2"/>
  <c r="U1985" i="2"/>
  <c r="T1985" i="2"/>
  <c r="S1985" i="2"/>
  <c r="R1985" i="2"/>
  <c r="Q1985" i="2"/>
  <c r="P1985" i="2"/>
  <c r="O1985" i="2"/>
  <c r="N1985" i="2"/>
  <c r="M1985" i="2"/>
  <c r="L1985" i="2"/>
  <c r="K1985" i="2"/>
  <c r="J1985" i="2"/>
  <c r="I1985" i="2"/>
  <c r="H1985" i="2"/>
  <c r="G1985" i="2"/>
  <c r="F1985" i="2"/>
  <c r="E1985" i="2"/>
  <c r="D1985" i="2"/>
  <c r="C1985" i="2"/>
  <c r="B1985" i="2"/>
  <c r="V1984" i="2"/>
  <c r="U1984" i="2"/>
  <c r="T1984" i="2"/>
  <c r="S1984" i="2"/>
  <c r="R1984" i="2"/>
  <c r="Q1984" i="2"/>
  <c r="P1984" i="2"/>
  <c r="O1984" i="2"/>
  <c r="N1984" i="2"/>
  <c r="M1984" i="2"/>
  <c r="L1984" i="2"/>
  <c r="K1984" i="2"/>
  <c r="J1984" i="2"/>
  <c r="I1984" i="2"/>
  <c r="H1984" i="2"/>
  <c r="G1984" i="2"/>
  <c r="F1984" i="2"/>
  <c r="E1984" i="2"/>
  <c r="D1984" i="2"/>
  <c r="C1984" i="2"/>
  <c r="B1984" i="2"/>
  <c r="V1983" i="2"/>
  <c r="U1983" i="2"/>
  <c r="T1983" i="2"/>
  <c r="S1983" i="2"/>
  <c r="R1983" i="2"/>
  <c r="Q1983" i="2"/>
  <c r="P1983" i="2"/>
  <c r="O1983" i="2"/>
  <c r="N1983" i="2"/>
  <c r="M1983" i="2"/>
  <c r="L1983" i="2"/>
  <c r="K1983" i="2"/>
  <c r="J1983" i="2"/>
  <c r="I1983" i="2"/>
  <c r="H1983" i="2"/>
  <c r="G1983" i="2"/>
  <c r="F1983" i="2"/>
  <c r="E1983" i="2"/>
  <c r="D1983" i="2"/>
  <c r="C1983" i="2"/>
  <c r="B1983" i="2"/>
  <c r="V1982" i="2"/>
  <c r="U1982" i="2"/>
  <c r="T1982" i="2"/>
  <c r="S1982" i="2"/>
  <c r="R1982" i="2"/>
  <c r="Q1982" i="2"/>
  <c r="P1982" i="2"/>
  <c r="O1982" i="2"/>
  <c r="N1982" i="2"/>
  <c r="M1982" i="2"/>
  <c r="L1982" i="2"/>
  <c r="K1982" i="2"/>
  <c r="J1982" i="2"/>
  <c r="I1982" i="2"/>
  <c r="H1982" i="2"/>
  <c r="G1982" i="2"/>
  <c r="F1982" i="2"/>
  <c r="E1982" i="2"/>
  <c r="D1982" i="2"/>
  <c r="C1982" i="2"/>
  <c r="B1982" i="2"/>
  <c r="V1981" i="2"/>
  <c r="U1981" i="2"/>
  <c r="T1981" i="2"/>
  <c r="S1981" i="2"/>
  <c r="R1981" i="2"/>
  <c r="Q1981" i="2"/>
  <c r="P1981" i="2"/>
  <c r="O1981" i="2"/>
  <c r="N1981" i="2"/>
  <c r="M1981" i="2"/>
  <c r="L1981" i="2"/>
  <c r="K1981" i="2"/>
  <c r="J1981" i="2"/>
  <c r="I1981" i="2"/>
  <c r="H1981" i="2"/>
  <c r="G1981" i="2"/>
  <c r="F1981" i="2"/>
  <c r="E1981" i="2"/>
  <c r="D1981" i="2"/>
  <c r="C1981" i="2"/>
  <c r="B1981" i="2"/>
  <c r="V1980" i="2"/>
  <c r="U1980" i="2"/>
  <c r="T1980" i="2"/>
  <c r="S1980" i="2"/>
  <c r="R1980" i="2"/>
  <c r="Q1980" i="2"/>
  <c r="P1980" i="2"/>
  <c r="O1980" i="2"/>
  <c r="N1980" i="2"/>
  <c r="M1980" i="2"/>
  <c r="L1980" i="2"/>
  <c r="K1980" i="2"/>
  <c r="J1980" i="2"/>
  <c r="I1980" i="2"/>
  <c r="H1980" i="2"/>
  <c r="G1980" i="2"/>
  <c r="F1980" i="2"/>
  <c r="E1980" i="2"/>
  <c r="D1980" i="2"/>
  <c r="C1980" i="2"/>
  <c r="B1980" i="2"/>
  <c r="V1979" i="2"/>
  <c r="U1979" i="2"/>
  <c r="T1979" i="2"/>
  <c r="S1979" i="2"/>
  <c r="R1979" i="2"/>
  <c r="Q1979" i="2"/>
  <c r="P1979" i="2"/>
  <c r="O1979" i="2"/>
  <c r="N1979" i="2"/>
  <c r="M1979" i="2"/>
  <c r="L1979" i="2"/>
  <c r="K1979" i="2"/>
  <c r="J1979" i="2"/>
  <c r="I1979" i="2"/>
  <c r="H1979" i="2"/>
  <c r="G1979" i="2"/>
  <c r="F1979" i="2"/>
  <c r="E1979" i="2"/>
  <c r="D1979" i="2"/>
  <c r="C1979" i="2"/>
  <c r="B1979" i="2"/>
  <c r="V1978" i="2"/>
  <c r="U1978" i="2"/>
  <c r="T1978" i="2"/>
  <c r="S1978" i="2"/>
  <c r="R1978" i="2"/>
  <c r="Q1978" i="2"/>
  <c r="P1978" i="2"/>
  <c r="O1978" i="2"/>
  <c r="N1978" i="2"/>
  <c r="M1978" i="2"/>
  <c r="L1978" i="2"/>
  <c r="K1978" i="2"/>
  <c r="J1978" i="2"/>
  <c r="I1978" i="2"/>
  <c r="H1978" i="2"/>
  <c r="G1978" i="2"/>
  <c r="F1978" i="2"/>
  <c r="E1978" i="2"/>
  <c r="D1978" i="2"/>
  <c r="C1978" i="2"/>
  <c r="B1978" i="2"/>
  <c r="V1977" i="2"/>
  <c r="U1977" i="2"/>
  <c r="T1977" i="2"/>
  <c r="S1977" i="2"/>
  <c r="R1977" i="2"/>
  <c r="Q1977" i="2"/>
  <c r="P1977" i="2"/>
  <c r="O1977" i="2"/>
  <c r="N1977" i="2"/>
  <c r="M1977" i="2"/>
  <c r="L1977" i="2"/>
  <c r="K1977" i="2"/>
  <c r="J1977" i="2"/>
  <c r="I1977" i="2"/>
  <c r="H1977" i="2"/>
  <c r="G1977" i="2"/>
  <c r="F1977" i="2"/>
  <c r="E1977" i="2"/>
  <c r="D1977" i="2"/>
  <c r="C1977" i="2"/>
  <c r="B1977" i="2"/>
  <c r="V1976" i="2"/>
  <c r="U1976" i="2"/>
  <c r="T1976" i="2"/>
  <c r="S1976" i="2"/>
  <c r="R1976" i="2"/>
  <c r="Q1976" i="2"/>
  <c r="P1976" i="2"/>
  <c r="O1976" i="2"/>
  <c r="N1976" i="2"/>
  <c r="M1976" i="2"/>
  <c r="L1976" i="2"/>
  <c r="K1976" i="2"/>
  <c r="J1976" i="2"/>
  <c r="I1976" i="2"/>
  <c r="H1976" i="2"/>
  <c r="G1976" i="2"/>
  <c r="F1976" i="2"/>
  <c r="E1976" i="2"/>
  <c r="D1976" i="2"/>
  <c r="C1976" i="2"/>
  <c r="B1976" i="2"/>
  <c r="V1975" i="2"/>
  <c r="U1975" i="2"/>
  <c r="T1975" i="2"/>
  <c r="S1975" i="2"/>
  <c r="R1975" i="2"/>
  <c r="Q1975" i="2"/>
  <c r="P1975" i="2"/>
  <c r="O1975" i="2"/>
  <c r="N1975" i="2"/>
  <c r="M1975" i="2"/>
  <c r="L1975" i="2"/>
  <c r="K1975" i="2"/>
  <c r="J1975" i="2"/>
  <c r="I1975" i="2"/>
  <c r="H1975" i="2"/>
  <c r="G1975" i="2"/>
  <c r="F1975" i="2"/>
  <c r="E1975" i="2"/>
  <c r="D1975" i="2"/>
  <c r="C1975" i="2"/>
  <c r="B1975" i="2"/>
  <c r="V1974" i="2"/>
  <c r="U1974" i="2"/>
  <c r="T1974" i="2"/>
  <c r="S1974" i="2"/>
  <c r="R1974" i="2"/>
  <c r="Q1974" i="2"/>
  <c r="P1974" i="2"/>
  <c r="O1974" i="2"/>
  <c r="N1974" i="2"/>
  <c r="M1974" i="2"/>
  <c r="L1974" i="2"/>
  <c r="K1974" i="2"/>
  <c r="J1974" i="2"/>
  <c r="I1974" i="2"/>
  <c r="H1974" i="2"/>
  <c r="G1974" i="2"/>
  <c r="F1974" i="2"/>
  <c r="E1974" i="2"/>
  <c r="D1974" i="2"/>
  <c r="C1974" i="2"/>
  <c r="B1974" i="2"/>
  <c r="V1973" i="2"/>
  <c r="U1973" i="2"/>
  <c r="T1973" i="2"/>
  <c r="S1973" i="2"/>
  <c r="R1973" i="2"/>
  <c r="Q1973" i="2"/>
  <c r="P1973" i="2"/>
  <c r="O1973" i="2"/>
  <c r="N1973" i="2"/>
  <c r="M1973" i="2"/>
  <c r="L1973" i="2"/>
  <c r="K1973" i="2"/>
  <c r="J1973" i="2"/>
  <c r="I1973" i="2"/>
  <c r="H1973" i="2"/>
  <c r="G1973" i="2"/>
  <c r="F1973" i="2"/>
  <c r="E1973" i="2"/>
  <c r="D1973" i="2"/>
  <c r="C1973" i="2"/>
  <c r="B1973" i="2"/>
  <c r="V1972" i="2"/>
  <c r="U1972" i="2"/>
  <c r="T1972" i="2"/>
  <c r="S1972" i="2"/>
  <c r="R1972" i="2"/>
  <c r="Q1972" i="2"/>
  <c r="P1972" i="2"/>
  <c r="O1972" i="2"/>
  <c r="N1972" i="2"/>
  <c r="M1972" i="2"/>
  <c r="L1972" i="2"/>
  <c r="K1972" i="2"/>
  <c r="J1972" i="2"/>
  <c r="I1972" i="2"/>
  <c r="H1972" i="2"/>
  <c r="G1972" i="2"/>
  <c r="F1972" i="2"/>
  <c r="E1972" i="2"/>
  <c r="D1972" i="2"/>
  <c r="C1972" i="2"/>
  <c r="B1972" i="2"/>
  <c r="V1971" i="2"/>
  <c r="U1971" i="2"/>
  <c r="T1971" i="2"/>
  <c r="S1971" i="2"/>
  <c r="R1971" i="2"/>
  <c r="Q1971" i="2"/>
  <c r="P1971" i="2"/>
  <c r="O1971" i="2"/>
  <c r="N1971" i="2"/>
  <c r="M1971" i="2"/>
  <c r="L1971" i="2"/>
  <c r="K1971" i="2"/>
  <c r="J1971" i="2"/>
  <c r="I1971" i="2"/>
  <c r="H1971" i="2"/>
  <c r="G1971" i="2"/>
  <c r="F1971" i="2"/>
  <c r="E1971" i="2"/>
  <c r="D1971" i="2"/>
  <c r="C1971" i="2"/>
  <c r="B1971" i="2"/>
  <c r="V1970" i="2"/>
  <c r="U1970" i="2"/>
  <c r="T1970" i="2"/>
  <c r="S1970" i="2"/>
  <c r="R1970" i="2"/>
  <c r="Q1970" i="2"/>
  <c r="P1970" i="2"/>
  <c r="O1970" i="2"/>
  <c r="N1970" i="2"/>
  <c r="M1970" i="2"/>
  <c r="L1970" i="2"/>
  <c r="K1970" i="2"/>
  <c r="J1970" i="2"/>
  <c r="I1970" i="2"/>
  <c r="H1970" i="2"/>
  <c r="G1970" i="2"/>
  <c r="F1970" i="2"/>
  <c r="E1970" i="2"/>
  <c r="D1970" i="2"/>
  <c r="C1970" i="2"/>
  <c r="B1970" i="2"/>
  <c r="V1969" i="2"/>
  <c r="U1969" i="2"/>
  <c r="T1969" i="2"/>
  <c r="S1969" i="2"/>
  <c r="R1969" i="2"/>
  <c r="Q1969" i="2"/>
  <c r="P1969" i="2"/>
  <c r="O1969" i="2"/>
  <c r="N1969" i="2"/>
  <c r="M1969" i="2"/>
  <c r="L1969" i="2"/>
  <c r="K1969" i="2"/>
  <c r="J1969" i="2"/>
  <c r="I1969" i="2"/>
  <c r="H1969" i="2"/>
  <c r="G1969" i="2"/>
  <c r="F1969" i="2"/>
  <c r="E1969" i="2"/>
  <c r="D1969" i="2"/>
  <c r="C1969" i="2"/>
  <c r="B1969" i="2"/>
  <c r="V1968" i="2"/>
  <c r="U1968" i="2"/>
  <c r="T1968" i="2"/>
  <c r="S1968" i="2"/>
  <c r="R1968" i="2"/>
  <c r="Q1968" i="2"/>
  <c r="P1968" i="2"/>
  <c r="O1968" i="2"/>
  <c r="N1968" i="2"/>
  <c r="M1968" i="2"/>
  <c r="L1968" i="2"/>
  <c r="K1968" i="2"/>
  <c r="J1968" i="2"/>
  <c r="I1968" i="2"/>
  <c r="H1968" i="2"/>
  <c r="G1968" i="2"/>
  <c r="F1968" i="2"/>
  <c r="E1968" i="2"/>
  <c r="D1968" i="2"/>
  <c r="C1968" i="2"/>
  <c r="B1968" i="2"/>
  <c r="V1967" i="2"/>
  <c r="U1967" i="2"/>
  <c r="T1967" i="2"/>
  <c r="S1967" i="2"/>
  <c r="R1967" i="2"/>
  <c r="Q1967" i="2"/>
  <c r="P1967" i="2"/>
  <c r="O1967" i="2"/>
  <c r="N1967" i="2"/>
  <c r="M1967" i="2"/>
  <c r="L1967" i="2"/>
  <c r="K1967" i="2"/>
  <c r="J1967" i="2"/>
  <c r="I1967" i="2"/>
  <c r="H1967" i="2"/>
  <c r="G1967" i="2"/>
  <c r="F1967" i="2"/>
  <c r="E1967" i="2"/>
  <c r="D1967" i="2"/>
  <c r="C1967" i="2"/>
  <c r="B1967" i="2"/>
  <c r="V1966" i="2"/>
  <c r="U1966" i="2"/>
  <c r="T1966" i="2"/>
  <c r="S1966" i="2"/>
  <c r="R1966" i="2"/>
  <c r="Q1966" i="2"/>
  <c r="P1966" i="2"/>
  <c r="O1966" i="2"/>
  <c r="N1966" i="2"/>
  <c r="M1966" i="2"/>
  <c r="L1966" i="2"/>
  <c r="K1966" i="2"/>
  <c r="J1966" i="2"/>
  <c r="I1966" i="2"/>
  <c r="H1966" i="2"/>
  <c r="G1966" i="2"/>
  <c r="F1966" i="2"/>
  <c r="E1966" i="2"/>
  <c r="D1966" i="2"/>
  <c r="C1966" i="2"/>
  <c r="B1966" i="2"/>
  <c r="V1965" i="2"/>
  <c r="U1965" i="2"/>
  <c r="T1965" i="2"/>
  <c r="S1965" i="2"/>
  <c r="R1965" i="2"/>
  <c r="Q1965" i="2"/>
  <c r="P1965" i="2"/>
  <c r="O1965" i="2"/>
  <c r="N1965" i="2"/>
  <c r="M1965" i="2"/>
  <c r="L1965" i="2"/>
  <c r="K1965" i="2"/>
  <c r="J1965" i="2"/>
  <c r="I1965" i="2"/>
  <c r="H1965" i="2"/>
  <c r="G1965" i="2"/>
  <c r="F1965" i="2"/>
  <c r="E1965" i="2"/>
  <c r="D1965" i="2"/>
  <c r="C1965" i="2"/>
  <c r="B1965" i="2"/>
  <c r="V1964" i="2"/>
  <c r="U1964" i="2"/>
  <c r="T1964" i="2"/>
  <c r="S1964" i="2"/>
  <c r="R1964" i="2"/>
  <c r="Q1964" i="2"/>
  <c r="P1964" i="2"/>
  <c r="O1964" i="2"/>
  <c r="N1964" i="2"/>
  <c r="M1964" i="2"/>
  <c r="L1964" i="2"/>
  <c r="K1964" i="2"/>
  <c r="J1964" i="2"/>
  <c r="I1964" i="2"/>
  <c r="H1964" i="2"/>
  <c r="G1964" i="2"/>
  <c r="F1964" i="2"/>
  <c r="E1964" i="2"/>
  <c r="D1964" i="2"/>
  <c r="C1964" i="2"/>
  <c r="B1964" i="2"/>
  <c r="V1963" i="2"/>
  <c r="U1963" i="2"/>
  <c r="T1963" i="2"/>
  <c r="S1963" i="2"/>
  <c r="R1963" i="2"/>
  <c r="Q1963" i="2"/>
  <c r="P1963" i="2"/>
  <c r="O1963" i="2"/>
  <c r="N1963" i="2"/>
  <c r="M1963" i="2"/>
  <c r="L1963" i="2"/>
  <c r="K1963" i="2"/>
  <c r="J1963" i="2"/>
  <c r="I1963" i="2"/>
  <c r="H1963" i="2"/>
  <c r="G1963" i="2"/>
  <c r="F1963" i="2"/>
  <c r="E1963" i="2"/>
  <c r="D1963" i="2"/>
  <c r="C1963" i="2"/>
  <c r="B1963" i="2"/>
  <c r="V1962" i="2"/>
  <c r="U1962" i="2"/>
  <c r="T1962" i="2"/>
  <c r="S1962" i="2"/>
  <c r="R1962" i="2"/>
  <c r="Q1962" i="2"/>
  <c r="P1962" i="2"/>
  <c r="O1962" i="2"/>
  <c r="N1962" i="2"/>
  <c r="M1962" i="2"/>
  <c r="L1962" i="2"/>
  <c r="K1962" i="2"/>
  <c r="J1962" i="2"/>
  <c r="I1962" i="2"/>
  <c r="H1962" i="2"/>
  <c r="G1962" i="2"/>
  <c r="F1962" i="2"/>
  <c r="E1962" i="2"/>
  <c r="D1962" i="2"/>
  <c r="C1962" i="2"/>
  <c r="B1962" i="2"/>
  <c r="V1961" i="2"/>
  <c r="U1961" i="2"/>
  <c r="T1961" i="2"/>
  <c r="S1961" i="2"/>
  <c r="R1961" i="2"/>
  <c r="Q1961" i="2"/>
  <c r="P1961" i="2"/>
  <c r="O1961" i="2"/>
  <c r="N1961" i="2"/>
  <c r="M1961" i="2"/>
  <c r="L1961" i="2"/>
  <c r="K1961" i="2"/>
  <c r="J1961" i="2"/>
  <c r="I1961" i="2"/>
  <c r="H1961" i="2"/>
  <c r="G1961" i="2"/>
  <c r="F1961" i="2"/>
  <c r="E1961" i="2"/>
  <c r="D1961" i="2"/>
  <c r="C1961" i="2"/>
  <c r="B1961" i="2"/>
  <c r="V1960" i="2"/>
  <c r="U1960" i="2"/>
  <c r="T1960" i="2"/>
  <c r="S1960" i="2"/>
  <c r="R1960" i="2"/>
  <c r="Q1960" i="2"/>
  <c r="P1960" i="2"/>
  <c r="O1960" i="2"/>
  <c r="N1960" i="2"/>
  <c r="M1960" i="2"/>
  <c r="L1960" i="2"/>
  <c r="K1960" i="2"/>
  <c r="J1960" i="2"/>
  <c r="I1960" i="2"/>
  <c r="H1960" i="2"/>
  <c r="G1960" i="2"/>
  <c r="F1960" i="2"/>
  <c r="E1960" i="2"/>
  <c r="D1960" i="2"/>
  <c r="C1960" i="2"/>
  <c r="B1960" i="2"/>
  <c r="V1959" i="2"/>
  <c r="U1959" i="2"/>
  <c r="T1959" i="2"/>
  <c r="S1959" i="2"/>
  <c r="R1959" i="2"/>
  <c r="Q1959" i="2"/>
  <c r="P1959" i="2"/>
  <c r="O1959" i="2"/>
  <c r="N1959" i="2"/>
  <c r="M1959" i="2"/>
  <c r="L1959" i="2"/>
  <c r="K1959" i="2"/>
  <c r="J1959" i="2"/>
  <c r="I1959" i="2"/>
  <c r="H1959" i="2"/>
  <c r="G1959" i="2"/>
  <c r="F1959" i="2"/>
  <c r="E1959" i="2"/>
  <c r="D1959" i="2"/>
  <c r="C1959" i="2"/>
  <c r="B1959" i="2"/>
  <c r="V1958" i="2"/>
  <c r="U1958" i="2"/>
  <c r="T1958" i="2"/>
  <c r="S1958" i="2"/>
  <c r="R1958" i="2"/>
  <c r="Q1958" i="2"/>
  <c r="P1958" i="2"/>
  <c r="O1958" i="2"/>
  <c r="N1958" i="2"/>
  <c r="M1958" i="2"/>
  <c r="L1958" i="2"/>
  <c r="K1958" i="2"/>
  <c r="J1958" i="2"/>
  <c r="I1958" i="2"/>
  <c r="H1958" i="2"/>
  <c r="G1958" i="2"/>
  <c r="F1958" i="2"/>
  <c r="E1958" i="2"/>
  <c r="D1958" i="2"/>
  <c r="C1958" i="2"/>
  <c r="B1958" i="2"/>
  <c r="V1957" i="2"/>
  <c r="U1957" i="2"/>
  <c r="T1957" i="2"/>
  <c r="S1957" i="2"/>
  <c r="R1957" i="2"/>
  <c r="Q1957" i="2"/>
  <c r="P1957" i="2"/>
  <c r="O1957" i="2"/>
  <c r="N1957" i="2"/>
  <c r="M1957" i="2"/>
  <c r="L1957" i="2"/>
  <c r="K1957" i="2"/>
  <c r="J1957" i="2"/>
  <c r="I1957" i="2"/>
  <c r="H1957" i="2"/>
  <c r="G1957" i="2"/>
  <c r="F1957" i="2"/>
  <c r="E1957" i="2"/>
  <c r="D1957" i="2"/>
  <c r="C1957" i="2"/>
  <c r="B1957" i="2"/>
  <c r="V1956" i="2"/>
  <c r="U1956" i="2"/>
  <c r="T1956" i="2"/>
  <c r="S1956" i="2"/>
  <c r="R1956" i="2"/>
  <c r="Q1956" i="2"/>
  <c r="P1956" i="2"/>
  <c r="O1956" i="2"/>
  <c r="N1956" i="2"/>
  <c r="M1956" i="2"/>
  <c r="L1956" i="2"/>
  <c r="K1956" i="2"/>
  <c r="J1956" i="2"/>
  <c r="I1956" i="2"/>
  <c r="H1956" i="2"/>
  <c r="G1956" i="2"/>
  <c r="F1956" i="2"/>
  <c r="E1956" i="2"/>
  <c r="D1956" i="2"/>
  <c r="C1956" i="2"/>
  <c r="B1956" i="2"/>
  <c r="V1955" i="2"/>
  <c r="U1955" i="2"/>
  <c r="T1955" i="2"/>
  <c r="S1955" i="2"/>
  <c r="R1955" i="2"/>
  <c r="Q1955" i="2"/>
  <c r="P1955" i="2"/>
  <c r="O1955" i="2"/>
  <c r="N1955" i="2"/>
  <c r="M1955" i="2"/>
  <c r="L1955" i="2"/>
  <c r="K1955" i="2"/>
  <c r="J1955" i="2"/>
  <c r="I1955" i="2"/>
  <c r="H1955" i="2"/>
  <c r="G1955" i="2"/>
  <c r="F1955" i="2"/>
  <c r="E1955" i="2"/>
  <c r="D1955" i="2"/>
  <c r="C1955" i="2"/>
  <c r="B1955" i="2"/>
  <c r="V1954" i="2"/>
  <c r="U1954" i="2"/>
  <c r="T1954" i="2"/>
  <c r="S1954" i="2"/>
  <c r="R1954" i="2"/>
  <c r="Q1954" i="2"/>
  <c r="P1954" i="2"/>
  <c r="O1954" i="2"/>
  <c r="N1954" i="2"/>
  <c r="M1954" i="2"/>
  <c r="L1954" i="2"/>
  <c r="K1954" i="2"/>
  <c r="J1954" i="2"/>
  <c r="I1954" i="2"/>
  <c r="H1954" i="2"/>
  <c r="G1954" i="2"/>
  <c r="F1954" i="2"/>
  <c r="E1954" i="2"/>
  <c r="D1954" i="2"/>
  <c r="C1954" i="2"/>
  <c r="B1954" i="2"/>
  <c r="V1953" i="2"/>
  <c r="U1953" i="2"/>
  <c r="T1953" i="2"/>
  <c r="S1953" i="2"/>
  <c r="R1953" i="2"/>
  <c r="Q1953" i="2"/>
  <c r="P1953" i="2"/>
  <c r="O1953" i="2"/>
  <c r="N1953" i="2"/>
  <c r="M1953" i="2"/>
  <c r="L1953" i="2"/>
  <c r="K1953" i="2"/>
  <c r="J1953" i="2"/>
  <c r="I1953" i="2"/>
  <c r="H1953" i="2"/>
  <c r="G1953" i="2"/>
  <c r="F1953" i="2"/>
  <c r="E1953" i="2"/>
  <c r="D1953" i="2"/>
  <c r="C1953" i="2"/>
  <c r="B1953" i="2"/>
  <c r="V1952" i="2"/>
  <c r="U1952" i="2"/>
  <c r="T1952" i="2"/>
  <c r="S1952" i="2"/>
  <c r="R1952" i="2"/>
  <c r="Q1952" i="2"/>
  <c r="P1952" i="2"/>
  <c r="O1952" i="2"/>
  <c r="N1952" i="2"/>
  <c r="M1952" i="2"/>
  <c r="L1952" i="2"/>
  <c r="K1952" i="2"/>
  <c r="J1952" i="2"/>
  <c r="I1952" i="2"/>
  <c r="H1952" i="2"/>
  <c r="G1952" i="2"/>
  <c r="F1952" i="2"/>
  <c r="E1952" i="2"/>
  <c r="D1952" i="2"/>
  <c r="C1952" i="2"/>
  <c r="B1952" i="2"/>
  <c r="V1951" i="2"/>
  <c r="U1951" i="2"/>
  <c r="T1951" i="2"/>
  <c r="S1951" i="2"/>
  <c r="R1951" i="2"/>
  <c r="Q1951" i="2"/>
  <c r="P1951" i="2"/>
  <c r="O1951" i="2"/>
  <c r="N1951" i="2"/>
  <c r="M1951" i="2"/>
  <c r="L1951" i="2"/>
  <c r="K1951" i="2"/>
  <c r="J1951" i="2"/>
  <c r="I1951" i="2"/>
  <c r="H1951" i="2"/>
  <c r="G1951" i="2"/>
  <c r="F1951" i="2"/>
  <c r="E1951" i="2"/>
  <c r="D1951" i="2"/>
  <c r="C1951" i="2"/>
  <c r="B1951" i="2"/>
  <c r="V1950" i="2"/>
  <c r="U1950" i="2"/>
  <c r="T1950" i="2"/>
  <c r="S1950" i="2"/>
  <c r="R1950" i="2"/>
  <c r="Q1950" i="2"/>
  <c r="P1950" i="2"/>
  <c r="O1950" i="2"/>
  <c r="N1950" i="2"/>
  <c r="M1950" i="2"/>
  <c r="L1950" i="2"/>
  <c r="K1950" i="2"/>
  <c r="J1950" i="2"/>
  <c r="I1950" i="2"/>
  <c r="H1950" i="2"/>
  <c r="G1950" i="2"/>
  <c r="F1950" i="2"/>
  <c r="E1950" i="2"/>
  <c r="D1950" i="2"/>
  <c r="C1950" i="2"/>
  <c r="B1950" i="2"/>
  <c r="V1949" i="2"/>
  <c r="U1949" i="2"/>
  <c r="T1949" i="2"/>
  <c r="S1949" i="2"/>
  <c r="R1949" i="2"/>
  <c r="Q1949" i="2"/>
  <c r="P1949" i="2"/>
  <c r="O1949" i="2"/>
  <c r="N1949" i="2"/>
  <c r="M1949" i="2"/>
  <c r="L1949" i="2"/>
  <c r="K1949" i="2"/>
  <c r="J1949" i="2"/>
  <c r="I1949" i="2"/>
  <c r="H1949" i="2"/>
  <c r="G1949" i="2"/>
  <c r="F1949" i="2"/>
  <c r="E1949" i="2"/>
  <c r="D1949" i="2"/>
  <c r="C1949" i="2"/>
  <c r="B1949" i="2"/>
  <c r="V1948" i="2"/>
  <c r="U1948" i="2"/>
  <c r="T1948" i="2"/>
  <c r="S1948" i="2"/>
  <c r="R1948" i="2"/>
  <c r="Q1948" i="2"/>
  <c r="P1948" i="2"/>
  <c r="O1948" i="2"/>
  <c r="N1948" i="2"/>
  <c r="M1948" i="2"/>
  <c r="L1948" i="2"/>
  <c r="K1948" i="2"/>
  <c r="J1948" i="2"/>
  <c r="I1948" i="2"/>
  <c r="H1948" i="2"/>
  <c r="G1948" i="2"/>
  <c r="F1948" i="2"/>
  <c r="E1948" i="2"/>
  <c r="D1948" i="2"/>
  <c r="C1948" i="2"/>
  <c r="B1948" i="2"/>
  <c r="V1947" i="2"/>
  <c r="U1947" i="2"/>
  <c r="T1947" i="2"/>
  <c r="S1947" i="2"/>
  <c r="R1947" i="2"/>
  <c r="Q1947" i="2"/>
  <c r="P1947" i="2"/>
  <c r="O1947" i="2"/>
  <c r="N1947" i="2"/>
  <c r="M1947" i="2"/>
  <c r="L1947" i="2"/>
  <c r="K1947" i="2"/>
  <c r="J1947" i="2"/>
  <c r="I1947" i="2"/>
  <c r="H1947" i="2"/>
  <c r="G1947" i="2"/>
  <c r="F1947" i="2"/>
  <c r="E1947" i="2"/>
  <c r="D1947" i="2"/>
  <c r="C1947" i="2"/>
  <c r="B1947" i="2"/>
  <c r="V1946" i="2"/>
  <c r="U1946" i="2"/>
  <c r="T1946" i="2"/>
  <c r="S1946" i="2"/>
  <c r="R1946" i="2"/>
  <c r="Q1946" i="2"/>
  <c r="P1946" i="2"/>
  <c r="O1946" i="2"/>
  <c r="N1946" i="2"/>
  <c r="M1946" i="2"/>
  <c r="L1946" i="2"/>
  <c r="K1946" i="2"/>
  <c r="J1946" i="2"/>
  <c r="I1946" i="2"/>
  <c r="H1946" i="2"/>
  <c r="G1946" i="2"/>
  <c r="F1946" i="2"/>
  <c r="E1946" i="2"/>
  <c r="D1946" i="2"/>
  <c r="C1946" i="2"/>
  <c r="B1946" i="2"/>
  <c r="V1945" i="2"/>
  <c r="U1945" i="2"/>
  <c r="T1945" i="2"/>
  <c r="S1945" i="2"/>
  <c r="R1945" i="2"/>
  <c r="Q1945" i="2"/>
  <c r="P1945" i="2"/>
  <c r="O1945" i="2"/>
  <c r="N1945" i="2"/>
  <c r="M1945" i="2"/>
  <c r="L1945" i="2"/>
  <c r="K1945" i="2"/>
  <c r="J1945" i="2"/>
  <c r="I1945" i="2"/>
  <c r="H1945" i="2"/>
  <c r="G1945" i="2"/>
  <c r="F1945" i="2"/>
  <c r="E1945" i="2"/>
  <c r="D1945" i="2"/>
  <c r="C1945" i="2"/>
  <c r="B1945" i="2"/>
  <c r="V1944" i="2"/>
  <c r="U1944" i="2"/>
  <c r="T1944" i="2"/>
  <c r="S1944" i="2"/>
  <c r="R1944" i="2"/>
  <c r="Q1944" i="2"/>
  <c r="P1944" i="2"/>
  <c r="O1944" i="2"/>
  <c r="N1944" i="2"/>
  <c r="M1944" i="2"/>
  <c r="L1944" i="2"/>
  <c r="K1944" i="2"/>
  <c r="J1944" i="2"/>
  <c r="I1944" i="2"/>
  <c r="H1944" i="2"/>
  <c r="G1944" i="2"/>
  <c r="F1944" i="2"/>
  <c r="E1944" i="2"/>
  <c r="D1944" i="2"/>
  <c r="C1944" i="2"/>
  <c r="B1944" i="2"/>
  <c r="V1943" i="2"/>
  <c r="U1943" i="2"/>
  <c r="T1943" i="2"/>
  <c r="S1943" i="2"/>
  <c r="R1943" i="2"/>
  <c r="Q1943" i="2"/>
  <c r="P1943" i="2"/>
  <c r="O1943" i="2"/>
  <c r="N1943" i="2"/>
  <c r="M1943" i="2"/>
  <c r="L1943" i="2"/>
  <c r="K1943" i="2"/>
  <c r="J1943" i="2"/>
  <c r="I1943" i="2"/>
  <c r="H1943" i="2"/>
  <c r="G1943" i="2"/>
  <c r="F1943" i="2"/>
  <c r="E1943" i="2"/>
  <c r="D1943" i="2"/>
  <c r="C1943" i="2"/>
  <c r="B1943" i="2"/>
  <c r="V1942" i="2"/>
  <c r="U1942" i="2"/>
  <c r="T1942" i="2"/>
  <c r="S1942" i="2"/>
  <c r="R1942" i="2"/>
  <c r="Q1942" i="2"/>
  <c r="P1942" i="2"/>
  <c r="O1942" i="2"/>
  <c r="N1942" i="2"/>
  <c r="M1942" i="2"/>
  <c r="L1942" i="2"/>
  <c r="K1942" i="2"/>
  <c r="J1942" i="2"/>
  <c r="I1942" i="2"/>
  <c r="H1942" i="2"/>
  <c r="G1942" i="2"/>
  <c r="F1942" i="2"/>
  <c r="E1942" i="2"/>
  <c r="D1942" i="2"/>
  <c r="C1942" i="2"/>
  <c r="B1942" i="2"/>
  <c r="V1941" i="2"/>
  <c r="U1941" i="2"/>
  <c r="T1941" i="2"/>
  <c r="S1941" i="2"/>
  <c r="R1941" i="2"/>
  <c r="Q1941" i="2"/>
  <c r="P1941" i="2"/>
  <c r="O1941" i="2"/>
  <c r="N1941" i="2"/>
  <c r="M1941" i="2"/>
  <c r="L1941" i="2"/>
  <c r="K1941" i="2"/>
  <c r="J1941" i="2"/>
  <c r="I1941" i="2"/>
  <c r="H1941" i="2"/>
  <c r="G1941" i="2"/>
  <c r="F1941" i="2"/>
  <c r="E1941" i="2"/>
  <c r="D1941" i="2"/>
  <c r="C1941" i="2"/>
  <c r="B1941" i="2"/>
  <c r="V1940" i="2"/>
  <c r="U1940" i="2"/>
  <c r="T1940" i="2"/>
  <c r="S1940" i="2"/>
  <c r="R1940" i="2"/>
  <c r="Q1940" i="2"/>
  <c r="P1940" i="2"/>
  <c r="O1940" i="2"/>
  <c r="N1940" i="2"/>
  <c r="M1940" i="2"/>
  <c r="L1940" i="2"/>
  <c r="K1940" i="2"/>
  <c r="J1940" i="2"/>
  <c r="I1940" i="2"/>
  <c r="H1940" i="2"/>
  <c r="G1940" i="2"/>
  <c r="F1940" i="2"/>
  <c r="E1940" i="2"/>
  <c r="D1940" i="2"/>
  <c r="C1940" i="2"/>
  <c r="B1940" i="2"/>
  <c r="V1939" i="2"/>
  <c r="U1939" i="2"/>
  <c r="T1939" i="2"/>
  <c r="S1939" i="2"/>
  <c r="R1939" i="2"/>
  <c r="Q1939" i="2"/>
  <c r="P1939" i="2"/>
  <c r="O1939" i="2"/>
  <c r="N1939" i="2"/>
  <c r="M1939" i="2"/>
  <c r="L1939" i="2"/>
  <c r="K1939" i="2"/>
  <c r="J1939" i="2"/>
  <c r="I1939" i="2"/>
  <c r="H1939" i="2"/>
  <c r="G1939" i="2"/>
  <c r="F1939" i="2"/>
  <c r="E1939" i="2"/>
  <c r="D1939" i="2"/>
  <c r="C1939" i="2"/>
  <c r="B1939" i="2"/>
  <c r="V1938" i="2"/>
  <c r="U1938" i="2"/>
  <c r="T1938" i="2"/>
  <c r="S1938" i="2"/>
  <c r="R1938" i="2"/>
  <c r="Q1938" i="2"/>
  <c r="P1938" i="2"/>
  <c r="O1938" i="2"/>
  <c r="N1938" i="2"/>
  <c r="M1938" i="2"/>
  <c r="L1938" i="2"/>
  <c r="K1938" i="2"/>
  <c r="J1938" i="2"/>
  <c r="I1938" i="2"/>
  <c r="H1938" i="2"/>
  <c r="G1938" i="2"/>
  <c r="F1938" i="2"/>
  <c r="E1938" i="2"/>
  <c r="D1938" i="2"/>
  <c r="C1938" i="2"/>
  <c r="B1938" i="2"/>
  <c r="V1937" i="2"/>
  <c r="U1937" i="2"/>
  <c r="T1937" i="2"/>
  <c r="S1937" i="2"/>
  <c r="R1937" i="2"/>
  <c r="Q1937" i="2"/>
  <c r="P1937" i="2"/>
  <c r="O1937" i="2"/>
  <c r="N1937" i="2"/>
  <c r="M1937" i="2"/>
  <c r="L1937" i="2"/>
  <c r="K1937" i="2"/>
  <c r="J1937" i="2"/>
  <c r="I1937" i="2"/>
  <c r="H1937" i="2"/>
  <c r="G1937" i="2"/>
  <c r="F1937" i="2"/>
  <c r="E1937" i="2"/>
  <c r="D1937" i="2"/>
  <c r="C1937" i="2"/>
  <c r="B1937" i="2"/>
  <c r="V1936" i="2"/>
  <c r="U1936" i="2"/>
  <c r="T1936" i="2"/>
  <c r="S1936" i="2"/>
  <c r="R1936" i="2"/>
  <c r="Q1936" i="2"/>
  <c r="P1936" i="2"/>
  <c r="O1936" i="2"/>
  <c r="N1936" i="2"/>
  <c r="M1936" i="2"/>
  <c r="L1936" i="2"/>
  <c r="K1936" i="2"/>
  <c r="J1936" i="2"/>
  <c r="I1936" i="2"/>
  <c r="H1936" i="2"/>
  <c r="G1936" i="2"/>
  <c r="F1936" i="2"/>
  <c r="E1936" i="2"/>
  <c r="D1936" i="2"/>
  <c r="C1936" i="2"/>
  <c r="B1936" i="2"/>
  <c r="V1935" i="2"/>
  <c r="U1935" i="2"/>
  <c r="T1935" i="2"/>
  <c r="S1935" i="2"/>
  <c r="R1935" i="2"/>
  <c r="Q1935" i="2"/>
  <c r="P1935" i="2"/>
  <c r="O1935" i="2"/>
  <c r="N1935" i="2"/>
  <c r="M1935" i="2"/>
  <c r="L1935" i="2"/>
  <c r="K1935" i="2"/>
  <c r="J1935" i="2"/>
  <c r="I1935" i="2"/>
  <c r="H1935" i="2"/>
  <c r="G1935" i="2"/>
  <c r="F1935" i="2"/>
  <c r="E1935" i="2"/>
  <c r="D1935" i="2"/>
  <c r="C1935" i="2"/>
  <c r="B1935" i="2"/>
  <c r="V1934" i="2"/>
  <c r="U1934" i="2"/>
  <c r="T1934" i="2"/>
  <c r="S1934" i="2"/>
  <c r="R1934" i="2"/>
  <c r="Q1934" i="2"/>
  <c r="P1934" i="2"/>
  <c r="O1934" i="2"/>
  <c r="N1934" i="2"/>
  <c r="M1934" i="2"/>
  <c r="L1934" i="2"/>
  <c r="K1934" i="2"/>
  <c r="J1934" i="2"/>
  <c r="I1934" i="2"/>
  <c r="H1934" i="2"/>
  <c r="G1934" i="2"/>
  <c r="F1934" i="2"/>
  <c r="E1934" i="2"/>
  <c r="D1934" i="2"/>
  <c r="C1934" i="2"/>
  <c r="B1934" i="2"/>
  <c r="V1933" i="2"/>
  <c r="U1933" i="2"/>
  <c r="T1933" i="2"/>
  <c r="S1933" i="2"/>
  <c r="R1933" i="2"/>
  <c r="Q1933" i="2"/>
  <c r="P1933" i="2"/>
  <c r="O1933" i="2"/>
  <c r="N1933" i="2"/>
  <c r="M1933" i="2"/>
  <c r="L1933" i="2"/>
  <c r="K1933" i="2"/>
  <c r="J1933" i="2"/>
  <c r="I1933" i="2"/>
  <c r="H1933" i="2"/>
  <c r="G1933" i="2"/>
  <c r="F1933" i="2"/>
  <c r="E1933" i="2"/>
  <c r="D1933" i="2"/>
  <c r="C1933" i="2"/>
  <c r="B1933" i="2"/>
  <c r="V1932" i="2"/>
  <c r="U1932" i="2"/>
  <c r="T1932" i="2"/>
  <c r="S1932" i="2"/>
  <c r="R1932" i="2"/>
  <c r="Q1932" i="2"/>
  <c r="P1932" i="2"/>
  <c r="O1932" i="2"/>
  <c r="N1932" i="2"/>
  <c r="M1932" i="2"/>
  <c r="L1932" i="2"/>
  <c r="K1932" i="2"/>
  <c r="J1932" i="2"/>
  <c r="I1932" i="2"/>
  <c r="H1932" i="2"/>
  <c r="G1932" i="2"/>
  <c r="F1932" i="2"/>
  <c r="E1932" i="2"/>
  <c r="D1932" i="2"/>
  <c r="C1932" i="2"/>
  <c r="B1932" i="2"/>
  <c r="V1931" i="2"/>
  <c r="U1931" i="2"/>
  <c r="T1931" i="2"/>
  <c r="S1931" i="2"/>
  <c r="R1931" i="2"/>
  <c r="Q1931" i="2"/>
  <c r="P1931" i="2"/>
  <c r="O1931" i="2"/>
  <c r="N1931" i="2"/>
  <c r="M1931" i="2"/>
  <c r="L1931" i="2"/>
  <c r="K1931" i="2"/>
  <c r="J1931" i="2"/>
  <c r="I1931" i="2"/>
  <c r="H1931" i="2"/>
  <c r="G1931" i="2"/>
  <c r="F1931" i="2"/>
  <c r="E1931" i="2"/>
  <c r="D1931" i="2"/>
  <c r="C1931" i="2"/>
  <c r="B1931" i="2"/>
  <c r="V1930" i="2"/>
  <c r="U1930" i="2"/>
  <c r="T1930" i="2"/>
  <c r="S1930" i="2"/>
  <c r="R1930" i="2"/>
  <c r="Q1930" i="2"/>
  <c r="P1930" i="2"/>
  <c r="O1930" i="2"/>
  <c r="N1930" i="2"/>
  <c r="M1930" i="2"/>
  <c r="L1930" i="2"/>
  <c r="K1930" i="2"/>
  <c r="J1930" i="2"/>
  <c r="I1930" i="2"/>
  <c r="H1930" i="2"/>
  <c r="G1930" i="2"/>
  <c r="F1930" i="2"/>
  <c r="E1930" i="2"/>
  <c r="D1930" i="2"/>
  <c r="C1930" i="2"/>
  <c r="B1930" i="2"/>
  <c r="V1929" i="2"/>
  <c r="U1929" i="2"/>
  <c r="T1929" i="2"/>
  <c r="S1929" i="2"/>
  <c r="R1929" i="2"/>
  <c r="Q1929" i="2"/>
  <c r="P1929" i="2"/>
  <c r="O1929" i="2"/>
  <c r="N1929" i="2"/>
  <c r="M1929" i="2"/>
  <c r="L1929" i="2"/>
  <c r="K1929" i="2"/>
  <c r="J1929" i="2"/>
  <c r="I1929" i="2"/>
  <c r="H1929" i="2"/>
  <c r="G1929" i="2"/>
  <c r="F1929" i="2"/>
  <c r="E1929" i="2"/>
  <c r="D1929" i="2"/>
  <c r="C1929" i="2"/>
  <c r="B1929" i="2"/>
  <c r="V1928" i="2"/>
  <c r="U1928" i="2"/>
  <c r="T1928" i="2"/>
  <c r="S1928" i="2"/>
  <c r="R1928" i="2"/>
  <c r="Q1928" i="2"/>
  <c r="P1928" i="2"/>
  <c r="O1928" i="2"/>
  <c r="N1928" i="2"/>
  <c r="M1928" i="2"/>
  <c r="L1928" i="2"/>
  <c r="K1928" i="2"/>
  <c r="J1928" i="2"/>
  <c r="I1928" i="2"/>
  <c r="H1928" i="2"/>
  <c r="G1928" i="2"/>
  <c r="F1928" i="2"/>
  <c r="E1928" i="2"/>
  <c r="D1928" i="2"/>
  <c r="C1928" i="2"/>
  <c r="B1928" i="2"/>
  <c r="V1927" i="2"/>
  <c r="U1927" i="2"/>
  <c r="T1927" i="2"/>
  <c r="S1927" i="2"/>
  <c r="R1927" i="2"/>
  <c r="Q1927" i="2"/>
  <c r="P1927" i="2"/>
  <c r="O1927" i="2"/>
  <c r="N1927" i="2"/>
  <c r="M1927" i="2"/>
  <c r="L1927" i="2"/>
  <c r="K1927" i="2"/>
  <c r="J1927" i="2"/>
  <c r="I1927" i="2"/>
  <c r="H1927" i="2"/>
  <c r="G1927" i="2"/>
  <c r="F1927" i="2"/>
  <c r="E1927" i="2"/>
  <c r="D1927" i="2"/>
  <c r="C1927" i="2"/>
  <c r="B1927" i="2"/>
  <c r="V1926" i="2"/>
  <c r="U1926" i="2"/>
  <c r="T1926" i="2"/>
  <c r="S1926" i="2"/>
  <c r="R1926" i="2"/>
  <c r="Q1926" i="2"/>
  <c r="P1926" i="2"/>
  <c r="O1926" i="2"/>
  <c r="N1926" i="2"/>
  <c r="M1926" i="2"/>
  <c r="L1926" i="2"/>
  <c r="K1926" i="2"/>
  <c r="J1926" i="2"/>
  <c r="I1926" i="2"/>
  <c r="H1926" i="2"/>
  <c r="G1926" i="2"/>
  <c r="F1926" i="2"/>
  <c r="E1926" i="2"/>
  <c r="D1926" i="2"/>
  <c r="C1926" i="2"/>
  <c r="B1926" i="2"/>
  <c r="V1925" i="2"/>
  <c r="U1925" i="2"/>
  <c r="T1925" i="2"/>
  <c r="S1925" i="2"/>
  <c r="R1925" i="2"/>
  <c r="Q1925" i="2"/>
  <c r="P1925" i="2"/>
  <c r="O1925" i="2"/>
  <c r="N1925" i="2"/>
  <c r="M1925" i="2"/>
  <c r="L1925" i="2"/>
  <c r="K1925" i="2"/>
  <c r="J1925" i="2"/>
  <c r="I1925" i="2"/>
  <c r="H1925" i="2"/>
  <c r="G1925" i="2"/>
  <c r="F1925" i="2"/>
  <c r="E1925" i="2"/>
  <c r="D1925" i="2"/>
  <c r="C1925" i="2"/>
  <c r="B1925" i="2"/>
  <c r="V1924" i="2"/>
  <c r="U1924" i="2"/>
  <c r="T1924" i="2"/>
  <c r="S1924" i="2"/>
  <c r="R1924" i="2"/>
  <c r="Q1924" i="2"/>
  <c r="P1924" i="2"/>
  <c r="O1924" i="2"/>
  <c r="N1924" i="2"/>
  <c r="M1924" i="2"/>
  <c r="L1924" i="2"/>
  <c r="K1924" i="2"/>
  <c r="J1924" i="2"/>
  <c r="I1924" i="2"/>
  <c r="H1924" i="2"/>
  <c r="G1924" i="2"/>
  <c r="F1924" i="2"/>
  <c r="E1924" i="2"/>
  <c r="D1924" i="2"/>
  <c r="C1924" i="2"/>
  <c r="B1924" i="2"/>
  <c r="V1923" i="2"/>
  <c r="U1923" i="2"/>
  <c r="T1923" i="2"/>
  <c r="S1923" i="2"/>
  <c r="R1923" i="2"/>
  <c r="Q1923" i="2"/>
  <c r="P1923" i="2"/>
  <c r="O1923" i="2"/>
  <c r="N1923" i="2"/>
  <c r="M1923" i="2"/>
  <c r="L1923" i="2"/>
  <c r="K1923" i="2"/>
  <c r="J1923" i="2"/>
  <c r="I1923" i="2"/>
  <c r="H1923" i="2"/>
  <c r="G1923" i="2"/>
  <c r="F1923" i="2"/>
  <c r="E1923" i="2"/>
  <c r="D1923" i="2"/>
  <c r="C1923" i="2"/>
  <c r="B1923" i="2"/>
  <c r="V1922" i="2"/>
  <c r="U1922" i="2"/>
  <c r="T1922" i="2"/>
  <c r="S1922" i="2"/>
  <c r="R1922" i="2"/>
  <c r="Q1922" i="2"/>
  <c r="P1922" i="2"/>
  <c r="O1922" i="2"/>
  <c r="N1922" i="2"/>
  <c r="M1922" i="2"/>
  <c r="L1922" i="2"/>
  <c r="K1922" i="2"/>
  <c r="J1922" i="2"/>
  <c r="I1922" i="2"/>
  <c r="H1922" i="2"/>
  <c r="G1922" i="2"/>
  <c r="F1922" i="2"/>
  <c r="E1922" i="2"/>
  <c r="D1922" i="2"/>
  <c r="C1922" i="2"/>
  <c r="B1922" i="2"/>
  <c r="V1921" i="2"/>
  <c r="U1921" i="2"/>
  <c r="T1921" i="2"/>
  <c r="S1921" i="2"/>
  <c r="R1921" i="2"/>
  <c r="Q1921" i="2"/>
  <c r="P1921" i="2"/>
  <c r="O1921" i="2"/>
  <c r="N1921" i="2"/>
  <c r="M1921" i="2"/>
  <c r="L1921" i="2"/>
  <c r="K1921" i="2"/>
  <c r="J1921" i="2"/>
  <c r="I1921" i="2"/>
  <c r="H1921" i="2"/>
  <c r="G1921" i="2"/>
  <c r="F1921" i="2"/>
  <c r="E1921" i="2"/>
  <c r="D1921" i="2"/>
  <c r="C1921" i="2"/>
  <c r="B1921" i="2"/>
  <c r="V1920" i="2"/>
  <c r="U1920" i="2"/>
  <c r="T1920" i="2"/>
  <c r="S1920" i="2"/>
  <c r="R1920" i="2"/>
  <c r="Q1920" i="2"/>
  <c r="P1920" i="2"/>
  <c r="O1920" i="2"/>
  <c r="N1920" i="2"/>
  <c r="M1920" i="2"/>
  <c r="L1920" i="2"/>
  <c r="K1920" i="2"/>
  <c r="J1920" i="2"/>
  <c r="I1920" i="2"/>
  <c r="H1920" i="2"/>
  <c r="G1920" i="2"/>
  <c r="F1920" i="2"/>
  <c r="E1920" i="2"/>
  <c r="D1920" i="2"/>
  <c r="C1920" i="2"/>
  <c r="B1920" i="2"/>
  <c r="V1919" i="2"/>
  <c r="U1919" i="2"/>
  <c r="T1919" i="2"/>
  <c r="S1919" i="2"/>
  <c r="R1919" i="2"/>
  <c r="Q1919" i="2"/>
  <c r="P1919" i="2"/>
  <c r="O1919" i="2"/>
  <c r="N1919" i="2"/>
  <c r="M1919" i="2"/>
  <c r="L1919" i="2"/>
  <c r="K1919" i="2"/>
  <c r="J1919" i="2"/>
  <c r="I1919" i="2"/>
  <c r="H1919" i="2"/>
  <c r="G1919" i="2"/>
  <c r="F1919" i="2"/>
  <c r="E1919" i="2"/>
  <c r="D1919" i="2"/>
  <c r="C1919" i="2"/>
  <c r="B1919" i="2"/>
  <c r="V1918" i="2"/>
  <c r="U1918" i="2"/>
  <c r="T1918" i="2"/>
  <c r="S1918" i="2"/>
  <c r="R1918" i="2"/>
  <c r="Q1918" i="2"/>
  <c r="P1918" i="2"/>
  <c r="O1918" i="2"/>
  <c r="N1918" i="2"/>
  <c r="M1918" i="2"/>
  <c r="L1918" i="2"/>
  <c r="K1918" i="2"/>
  <c r="J1918" i="2"/>
  <c r="I1918" i="2"/>
  <c r="H1918" i="2"/>
  <c r="G1918" i="2"/>
  <c r="F1918" i="2"/>
  <c r="E1918" i="2"/>
  <c r="D1918" i="2"/>
  <c r="C1918" i="2"/>
  <c r="B1918" i="2"/>
  <c r="V1917" i="2"/>
  <c r="U1917" i="2"/>
  <c r="T1917" i="2"/>
  <c r="S1917" i="2"/>
  <c r="R1917" i="2"/>
  <c r="Q1917" i="2"/>
  <c r="P1917" i="2"/>
  <c r="O1917" i="2"/>
  <c r="N1917" i="2"/>
  <c r="M1917" i="2"/>
  <c r="L1917" i="2"/>
  <c r="K1917" i="2"/>
  <c r="J1917" i="2"/>
  <c r="I1917" i="2"/>
  <c r="H1917" i="2"/>
  <c r="G1917" i="2"/>
  <c r="F1917" i="2"/>
  <c r="E1917" i="2"/>
  <c r="D1917" i="2"/>
  <c r="C1917" i="2"/>
  <c r="B1917" i="2"/>
  <c r="V1916" i="2"/>
  <c r="U1916" i="2"/>
  <c r="T1916" i="2"/>
  <c r="S1916" i="2"/>
  <c r="R1916" i="2"/>
  <c r="Q1916" i="2"/>
  <c r="P1916" i="2"/>
  <c r="O1916" i="2"/>
  <c r="N1916" i="2"/>
  <c r="M1916" i="2"/>
  <c r="L1916" i="2"/>
  <c r="K1916" i="2"/>
  <c r="J1916" i="2"/>
  <c r="I1916" i="2"/>
  <c r="H1916" i="2"/>
  <c r="G1916" i="2"/>
  <c r="F1916" i="2"/>
  <c r="E1916" i="2"/>
  <c r="D1916" i="2"/>
  <c r="C1916" i="2"/>
  <c r="B1916" i="2"/>
  <c r="V1915" i="2"/>
  <c r="U1915" i="2"/>
  <c r="T1915" i="2"/>
  <c r="S1915" i="2"/>
  <c r="R1915" i="2"/>
  <c r="Q1915" i="2"/>
  <c r="P1915" i="2"/>
  <c r="O1915" i="2"/>
  <c r="N1915" i="2"/>
  <c r="M1915" i="2"/>
  <c r="L1915" i="2"/>
  <c r="K1915" i="2"/>
  <c r="J1915" i="2"/>
  <c r="I1915" i="2"/>
  <c r="H1915" i="2"/>
  <c r="G1915" i="2"/>
  <c r="F1915" i="2"/>
  <c r="E1915" i="2"/>
  <c r="D1915" i="2"/>
  <c r="C1915" i="2"/>
  <c r="B1915" i="2"/>
  <c r="V1914" i="2"/>
  <c r="U1914" i="2"/>
  <c r="T1914" i="2"/>
  <c r="S1914" i="2"/>
  <c r="R1914" i="2"/>
  <c r="Q1914" i="2"/>
  <c r="P1914" i="2"/>
  <c r="O1914" i="2"/>
  <c r="N1914" i="2"/>
  <c r="M1914" i="2"/>
  <c r="L1914" i="2"/>
  <c r="K1914" i="2"/>
  <c r="J1914" i="2"/>
  <c r="I1914" i="2"/>
  <c r="H1914" i="2"/>
  <c r="G1914" i="2"/>
  <c r="F1914" i="2"/>
  <c r="E1914" i="2"/>
  <c r="D1914" i="2"/>
  <c r="C1914" i="2"/>
  <c r="B1914" i="2"/>
  <c r="V1913" i="2"/>
  <c r="U1913" i="2"/>
  <c r="T1913" i="2"/>
  <c r="S1913" i="2"/>
  <c r="R1913" i="2"/>
  <c r="Q1913" i="2"/>
  <c r="P1913" i="2"/>
  <c r="O1913" i="2"/>
  <c r="N1913" i="2"/>
  <c r="M1913" i="2"/>
  <c r="L1913" i="2"/>
  <c r="K1913" i="2"/>
  <c r="J1913" i="2"/>
  <c r="I1913" i="2"/>
  <c r="H1913" i="2"/>
  <c r="G1913" i="2"/>
  <c r="F1913" i="2"/>
  <c r="E1913" i="2"/>
  <c r="D1913" i="2"/>
  <c r="C1913" i="2"/>
  <c r="B1913" i="2"/>
  <c r="V1912" i="2"/>
  <c r="U1912" i="2"/>
  <c r="T1912" i="2"/>
  <c r="S1912" i="2"/>
  <c r="R1912" i="2"/>
  <c r="Q1912" i="2"/>
  <c r="P1912" i="2"/>
  <c r="O1912" i="2"/>
  <c r="N1912" i="2"/>
  <c r="M1912" i="2"/>
  <c r="L1912" i="2"/>
  <c r="K1912" i="2"/>
  <c r="J1912" i="2"/>
  <c r="I1912" i="2"/>
  <c r="H1912" i="2"/>
  <c r="G1912" i="2"/>
  <c r="F1912" i="2"/>
  <c r="E1912" i="2"/>
  <c r="D1912" i="2"/>
  <c r="C1912" i="2"/>
  <c r="B1912" i="2"/>
  <c r="V1911" i="2"/>
  <c r="U1911" i="2"/>
  <c r="T1911" i="2"/>
  <c r="S1911" i="2"/>
  <c r="R1911" i="2"/>
  <c r="Q1911" i="2"/>
  <c r="P1911" i="2"/>
  <c r="O1911" i="2"/>
  <c r="N1911" i="2"/>
  <c r="M1911" i="2"/>
  <c r="L1911" i="2"/>
  <c r="K1911" i="2"/>
  <c r="J1911" i="2"/>
  <c r="I1911" i="2"/>
  <c r="H1911" i="2"/>
  <c r="G1911" i="2"/>
  <c r="F1911" i="2"/>
  <c r="E1911" i="2"/>
  <c r="D1911" i="2"/>
  <c r="C1911" i="2"/>
  <c r="B1911" i="2"/>
  <c r="V1910" i="2"/>
  <c r="U1910" i="2"/>
  <c r="T1910" i="2"/>
  <c r="S1910" i="2"/>
  <c r="R1910" i="2"/>
  <c r="Q1910" i="2"/>
  <c r="P1910" i="2"/>
  <c r="O1910" i="2"/>
  <c r="N1910" i="2"/>
  <c r="M1910" i="2"/>
  <c r="L1910" i="2"/>
  <c r="K1910" i="2"/>
  <c r="J1910" i="2"/>
  <c r="I1910" i="2"/>
  <c r="H1910" i="2"/>
  <c r="G1910" i="2"/>
  <c r="F1910" i="2"/>
  <c r="E1910" i="2"/>
  <c r="D1910" i="2"/>
  <c r="C1910" i="2"/>
  <c r="B1910" i="2"/>
  <c r="V1909" i="2"/>
  <c r="U1909" i="2"/>
  <c r="T1909" i="2"/>
  <c r="S1909" i="2"/>
  <c r="R1909" i="2"/>
  <c r="Q1909" i="2"/>
  <c r="P1909" i="2"/>
  <c r="O1909" i="2"/>
  <c r="N1909" i="2"/>
  <c r="M1909" i="2"/>
  <c r="L1909" i="2"/>
  <c r="K1909" i="2"/>
  <c r="J1909" i="2"/>
  <c r="I1909" i="2"/>
  <c r="H1909" i="2"/>
  <c r="G1909" i="2"/>
  <c r="F1909" i="2"/>
  <c r="E1909" i="2"/>
  <c r="D1909" i="2"/>
  <c r="C1909" i="2"/>
  <c r="B1909" i="2"/>
  <c r="V1908" i="2"/>
  <c r="U1908" i="2"/>
  <c r="T1908" i="2"/>
  <c r="S1908" i="2"/>
  <c r="R1908" i="2"/>
  <c r="Q1908" i="2"/>
  <c r="P1908" i="2"/>
  <c r="O1908" i="2"/>
  <c r="N1908" i="2"/>
  <c r="M1908" i="2"/>
  <c r="L1908" i="2"/>
  <c r="K1908" i="2"/>
  <c r="J1908" i="2"/>
  <c r="I1908" i="2"/>
  <c r="H1908" i="2"/>
  <c r="G1908" i="2"/>
  <c r="F1908" i="2"/>
  <c r="E1908" i="2"/>
  <c r="D1908" i="2"/>
  <c r="C1908" i="2"/>
  <c r="B1908" i="2"/>
  <c r="V1907" i="2"/>
  <c r="U1907" i="2"/>
  <c r="T1907" i="2"/>
  <c r="S1907" i="2"/>
  <c r="R1907" i="2"/>
  <c r="Q1907" i="2"/>
  <c r="P1907" i="2"/>
  <c r="O1907" i="2"/>
  <c r="N1907" i="2"/>
  <c r="M1907" i="2"/>
  <c r="L1907" i="2"/>
  <c r="K1907" i="2"/>
  <c r="J1907" i="2"/>
  <c r="I1907" i="2"/>
  <c r="H1907" i="2"/>
  <c r="G1907" i="2"/>
  <c r="F1907" i="2"/>
  <c r="E1907" i="2"/>
  <c r="D1907" i="2"/>
  <c r="C1907" i="2"/>
  <c r="B1907" i="2"/>
  <c r="V1906" i="2"/>
  <c r="U1906" i="2"/>
  <c r="T1906" i="2"/>
  <c r="S1906" i="2"/>
  <c r="R1906" i="2"/>
  <c r="Q1906" i="2"/>
  <c r="P1906" i="2"/>
  <c r="O1906" i="2"/>
  <c r="N1906" i="2"/>
  <c r="M1906" i="2"/>
  <c r="L1906" i="2"/>
  <c r="K1906" i="2"/>
  <c r="J1906" i="2"/>
  <c r="I1906" i="2"/>
  <c r="H1906" i="2"/>
  <c r="G1906" i="2"/>
  <c r="F1906" i="2"/>
  <c r="E1906" i="2"/>
  <c r="D1906" i="2"/>
  <c r="C1906" i="2"/>
  <c r="B1906" i="2"/>
  <c r="V1905" i="2"/>
  <c r="U1905" i="2"/>
  <c r="T1905" i="2"/>
  <c r="S1905" i="2"/>
  <c r="R1905" i="2"/>
  <c r="Q1905" i="2"/>
  <c r="P1905" i="2"/>
  <c r="O1905" i="2"/>
  <c r="N1905" i="2"/>
  <c r="M1905" i="2"/>
  <c r="L1905" i="2"/>
  <c r="K1905" i="2"/>
  <c r="J1905" i="2"/>
  <c r="I1905" i="2"/>
  <c r="H1905" i="2"/>
  <c r="G1905" i="2"/>
  <c r="F1905" i="2"/>
  <c r="E1905" i="2"/>
  <c r="D1905" i="2"/>
  <c r="C1905" i="2"/>
  <c r="B1905" i="2"/>
  <c r="V1904" i="2"/>
  <c r="U1904" i="2"/>
  <c r="T1904" i="2"/>
  <c r="S1904" i="2"/>
  <c r="R1904" i="2"/>
  <c r="Q1904" i="2"/>
  <c r="P1904" i="2"/>
  <c r="O1904" i="2"/>
  <c r="N1904" i="2"/>
  <c r="M1904" i="2"/>
  <c r="L1904" i="2"/>
  <c r="K1904" i="2"/>
  <c r="J1904" i="2"/>
  <c r="I1904" i="2"/>
  <c r="H1904" i="2"/>
  <c r="G1904" i="2"/>
  <c r="F1904" i="2"/>
  <c r="E1904" i="2"/>
  <c r="D1904" i="2"/>
  <c r="C1904" i="2"/>
  <c r="B1904" i="2"/>
  <c r="V1903" i="2"/>
  <c r="U1903" i="2"/>
  <c r="T1903" i="2"/>
  <c r="S1903" i="2"/>
  <c r="R1903" i="2"/>
  <c r="Q1903" i="2"/>
  <c r="P1903" i="2"/>
  <c r="O1903" i="2"/>
  <c r="N1903" i="2"/>
  <c r="M1903" i="2"/>
  <c r="L1903" i="2"/>
  <c r="K1903" i="2"/>
  <c r="J1903" i="2"/>
  <c r="I1903" i="2"/>
  <c r="H1903" i="2"/>
  <c r="G1903" i="2"/>
  <c r="F1903" i="2"/>
  <c r="E1903" i="2"/>
  <c r="D1903" i="2"/>
  <c r="C1903" i="2"/>
  <c r="B1903" i="2"/>
  <c r="V1902" i="2"/>
  <c r="U1902" i="2"/>
  <c r="T1902" i="2"/>
  <c r="S1902" i="2"/>
  <c r="R1902" i="2"/>
  <c r="Q1902" i="2"/>
  <c r="P1902" i="2"/>
  <c r="O1902" i="2"/>
  <c r="N1902" i="2"/>
  <c r="M1902" i="2"/>
  <c r="L1902" i="2"/>
  <c r="K1902" i="2"/>
  <c r="J1902" i="2"/>
  <c r="I1902" i="2"/>
  <c r="H1902" i="2"/>
  <c r="G1902" i="2"/>
  <c r="F1902" i="2"/>
  <c r="E1902" i="2"/>
  <c r="D1902" i="2"/>
  <c r="C1902" i="2"/>
  <c r="B1902" i="2"/>
  <c r="V1901" i="2"/>
  <c r="U1901" i="2"/>
  <c r="T1901" i="2"/>
  <c r="S1901" i="2"/>
  <c r="R1901" i="2"/>
  <c r="Q1901" i="2"/>
  <c r="P1901" i="2"/>
  <c r="O1901" i="2"/>
  <c r="N1901" i="2"/>
  <c r="M1901" i="2"/>
  <c r="L1901" i="2"/>
  <c r="K1901" i="2"/>
  <c r="J1901" i="2"/>
  <c r="I1901" i="2"/>
  <c r="H1901" i="2"/>
  <c r="G1901" i="2"/>
  <c r="F1901" i="2"/>
  <c r="E1901" i="2"/>
  <c r="D1901" i="2"/>
  <c r="C1901" i="2"/>
  <c r="B1901" i="2"/>
  <c r="V1900" i="2"/>
  <c r="U1900" i="2"/>
  <c r="T1900" i="2"/>
  <c r="S1900" i="2"/>
  <c r="R1900" i="2"/>
  <c r="Q1900" i="2"/>
  <c r="P1900" i="2"/>
  <c r="O1900" i="2"/>
  <c r="N1900" i="2"/>
  <c r="M1900" i="2"/>
  <c r="L1900" i="2"/>
  <c r="K1900" i="2"/>
  <c r="J1900" i="2"/>
  <c r="I1900" i="2"/>
  <c r="H1900" i="2"/>
  <c r="G1900" i="2"/>
  <c r="F1900" i="2"/>
  <c r="E1900" i="2"/>
  <c r="D1900" i="2"/>
  <c r="C1900" i="2"/>
  <c r="B1900" i="2"/>
  <c r="V1899" i="2"/>
  <c r="U1899" i="2"/>
  <c r="T1899" i="2"/>
  <c r="S1899" i="2"/>
  <c r="R1899" i="2"/>
  <c r="Q1899" i="2"/>
  <c r="P1899" i="2"/>
  <c r="O1899" i="2"/>
  <c r="N1899" i="2"/>
  <c r="M1899" i="2"/>
  <c r="L1899" i="2"/>
  <c r="K1899" i="2"/>
  <c r="J1899" i="2"/>
  <c r="I1899" i="2"/>
  <c r="H1899" i="2"/>
  <c r="G1899" i="2"/>
  <c r="F1899" i="2"/>
  <c r="E1899" i="2"/>
  <c r="D1899" i="2"/>
  <c r="C1899" i="2"/>
  <c r="B1899" i="2"/>
  <c r="V1898" i="2"/>
  <c r="U1898" i="2"/>
  <c r="T1898" i="2"/>
  <c r="S1898" i="2"/>
  <c r="R1898" i="2"/>
  <c r="Q1898" i="2"/>
  <c r="P1898" i="2"/>
  <c r="O1898" i="2"/>
  <c r="N1898" i="2"/>
  <c r="M1898" i="2"/>
  <c r="L1898" i="2"/>
  <c r="K1898" i="2"/>
  <c r="J1898" i="2"/>
  <c r="I1898" i="2"/>
  <c r="H1898" i="2"/>
  <c r="G1898" i="2"/>
  <c r="F1898" i="2"/>
  <c r="E1898" i="2"/>
  <c r="D1898" i="2"/>
  <c r="C1898" i="2"/>
  <c r="B1898" i="2"/>
  <c r="V1897" i="2"/>
  <c r="U1897" i="2"/>
  <c r="T1897" i="2"/>
  <c r="S1897" i="2"/>
  <c r="R1897" i="2"/>
  <c r="Q1897" i="2"/>
  <c r="P1897" i="2"/>
  <c r="O1897" i="2"/>
  <c r="N1897" i="2"/>
  <c r="M1897" i="2"/>
  <c r="L1897" i="2"/>
  <c r="K1897" i="2"/>
  <c r="J1897" i="2"/>
  <c r="I1897" i="2"/>
  <c r="H1897" i="2"/>
  <c r="G1897" i="2"/>
  <c r="F1897" i="2"/>
  <c r="E1897" i="2"/>
  <c r="D1897" i="2"/>
  <c r="C1897" i="2"/>
  <c r="B1897" i="2"/>
  <c r="V1896" i="2"/>
  <c r="U1896" i="2"/>
  <c r="T1896" i="2"/>
  <c r="S1896" i="2"/>
  <c r="R1896" i="2"/>
  <c r="Q1896" i="2"/>
  <c r="P1896" i="2"/>
  <c r="O1896" i="2"/>
  <c r="N1896" i="2"/>
  <c r="M1896" i="2"/>
  <c r="L1896" i="2"/>
  <c r="K1896" i="2"/>
  <c r="J1896" i="2"/>
  <c r="I1896" i="2"/>
  <c r="H1896" i="2"/>
  <c r="G1896" i="2"/>
  <c r="F1896" i="2"/>
  <c r="E1896" i="2"/>
  <c r="D1896" i="2"/>
  <c r="C1896" i="2"/>
  <c r="B1896" i="2"/>
  <c r="V1895" i="2"/>
  <c r="U1895" i="2"/>
  <c r="T1895" i="2"/>
  <c r="S1895" i="2"/>
  <c r="R1895" i="2"/>
  <c r="Q1895" i="2"/>
  <c r="P1895" i="2"/>
  <c r="O1895" i="2"/>
  <c r="N1895" i="2"/>
  <c r="M1895" i="2"/>
  <c r="L1895" i="2"/>
  <c r="K1895" i="2"/>
  <c r="J1895" i="2"/>
  <c r="I1895" i="2"/>
  <c r="H1895" i="2"/>
  <c r="G1895" i="2"/>
  <c r="F1895" i="2"/>
  <c r="E1895" i="2"/>
  <c r="D1895" i="2"/>
  <c r="C1895" i="2"/>
  <c r="B1895" i="2"/>
  <c r="V1894" i="2"/>
  <c r="U1894" i="2"/>
  <c r="T1894" i="2"/>
  <c r="S1894" i="2"/>
  <c r="R1894" i="2"/>
  <c r="Q1894" i="2"/>
  <c r="P1894" i="2"/>
  <c r="O1894" i="2"/>
  <c r="N1894" i="2"/>
  <c r="M1894" i="2"/>
  <c r="L1894" i="2"/>
  <c r="K1894" i="2"/>
  <c r="J1894" i="2"/>
  <c r="I1894" i="2"/>
  <c r="H1894" i="2"/>
  <c r="G1894" i="2"/>
  <c r="F1894" i="2"/>
  <c r="E1894" i="2"/>
  <c r="D1894" i="2"/>
  <c r="C1894" i="2"/>
  <c r="B1894" i="2"/>
  <c r="V1893" i="2"/>
  <c r="U1893" i="2"/>
  <c r="T1893" i="2"/>
  <c r="S1893" i="2"/>
  <c r="R1893" i="2"/>
  <c r="Q1893" i="2"/>
  <c r="P1893" i="2"/>
  <c r="O1893" i="2"/>
  <c r="N1893" i="2"/>
  <c r="M1893" i="2"/>
  <c r="L1893" i="2"/>
  <c r="K1893" i="2"/>
  <c r="J1893" i="2"/>
  <c r="I1893" i="2"/>
  <c r="H1893" i="2"/>
  <c r="G1893" i="2"/>
  <c r="F1893" i="2"/>
  <c r="E1893" i="2"/>
  <c r="D1893" i="2"/>
  <c r="C1893" i="2"/>
  <c r="B1893" i="2"/>
  <c r="V1892" i="2"/>
  <c r="U1892" i="2"/>
  <c r="T1892" i="2"/>
  <c r="S1892" i="2"/>
  <c r="R1892" i="2"/>
  <c r="Q1892" i="2"/>
  <c r="P1892" i="2"/>
  <c r="O1892" i="2"/>
  <c r="N1892" i="2"/>
  <c r="M1892" i="2"/>
  <c r="L1892" i="2"/>
  <c r="K1892" i="2"/>
  <c r="J1892" i="2"/>
  <c r="I1892" i="2"/>
  <c r="H1892" i="2"/>
  <c r="G1892" i="2"/>
  <c r="F1892" i="2"/>
  <c r="E1892" i="2"/>
  <c r="D1892" i="2"/>
  <c r="C1892" i="2"/>
  <c r="B1892" i="2"/>
  <c r="V1891" i="2"/>
  <c r="U1891" i="2"/>
  <c r="T1891" i="2"/>
  <c r="S1891" i="2"/>
  <c r="R1891" i="2"/>
  <c r="Q1891" i="2"/>
  <c r="P1891" i="2"/>
  <c r="O1891" i="2"/>
  <c r="N1891" i="2"/>
  <c r="M1891" i="2"/>
  <c r="L1891" i="2"/>
  <c r="K1891" i="2"/>
  <c r="J1891" i="2"/>
  <c r="I1891" i="2"/>
  <c r="H1891" i="2"/>
  <c r="G1891" i="2"/>
  <c r="F1891" i="2"/>
  <c r="E1891" i="2"/>
  <c r="D1891" i="2"/>
  <c r="C1891" i="2"/>
  <c r="B1891" i="2"/>
  <c r="V1890" i="2"/>
  <c r="U1890" i="2"/>
  <c r="T1890" i="2"/>
  <c r="S1890" i="2"/>
  <c r="R1890" i="2"/>
  <c r="Q1890" i="2"/>
  <c r="P1890" i="2"/>
  <c r="O1890" i="2"/>
  <c r="N1890" i="2"/>
  <c r="M1890" i="2"/>
  <c r="L1890" i="2"/>
  <c r="K1890" i="2"/>
  <c r="J1890" i="2"/>
  <c r="I1890" i="2"/>
  <c r="H1890" i="2"/>
  <c r="G1890" i="2"/>
  <c r="F1890" i="2"/>
  <c r="E1890" i="2"/>
  <c r="D1890" i="2"/>
  <c r="C1890" i="2"/>
  <c r="B1890" i="2"/>
  <c r="V1889" i="2"/>
  <c r="U1889" i="2"/>
  <c r="T1889" i="2"/>
  <c r="S1889" i="2"/>
  <c r="R1889" i="2"/>
  <c r="Q1889" i="2"/>
  <c r="P1889" i="2"/>
  <c r="O1889" i="2"/>
  <c r="N1889" i="2"/>
  <c r="M1889" i="2"/>
  <c r="L1889" i="2"/>
  <c r="K1889" i="2"/>
  <c r="J1889" i="2"/>
  <c r="I1889" i="2"/>
  <c r="H1889" i="2"/>
  <c r="G1889" i="2"/>
  <c r="F1889" i="2"/>
  <c r="E1889" i="2"/>
  <c r="D1889" i="2"/>
  <c r="C1889" i="2"/>
  <c r="B1889" i="2"/>
  <c r="V1888" i="2"/>
  <c r="U1888" i="2"/>
  <c r="T1888" i="2"/>
  <c r="S1888" i="2"/>
  <c r="R1888" i="2"/>
  <c r="Q1888" i="2"/>
  <c r="P1888" i="2"/>
  <c r="O1888" i="2"/>
  <c r="N1888" i="2"/>
  <c r="M1888" i="2"/>
  <c r="L1888" i="2"/>
  <c r="K1888" i="2"/>
  <c r="J1888" i="2"/>
  <c r="I1888" i="2"/>
  <c r="H1888" i="2"/>
  <c r="G1888" i="2"/>
  <c r="F1888" i="2"/>
  <c r="E1888" i="2"/>
  <c r="D1888" i="2"/>
  <c r="C1888" i="2"/>
  <c r="B1888" i="2"/>
  <c r="V1887" i="2"/>
  <c r="U1887" i="2"/>
  <c r="T1887" i="2"/>
  <c r="S1887" i="2"/>
  <c r="R1887" i="2"/>
  <c r="Q1887" i="2"/>
  <c r="P1887" i="2"/>
  <c r="O1887" i="2"/>
  <c r="N1887" i="2"/>
  <c r="M1887" i="2"/>
  <c r="L1887" i="2"/>
  <c r="K1887" i="2"/>
  <c r="J1887" i="2"/>
  <c r="I1887" i="2"/>
  <c r="H1887" i="2"/>
  <c r="G1887" i="2"/>
  <c r="F1887" i="2"/>
  <c r="E1887" i="2"/>
  <c r="D1887" i="2"/>
  <c r="C1887" i="2"/>
  <c r="B1887" i="2"/>
  <c r="V1886" i="2"/>
  <c r="U1886" i="2"/>
  <c r="T1886" i="2"/>
  <c r="S1886" i="2"/>
  <c r="R1886" i="2"/>
  <c r="Q1886" i="2"/>
  <c r="P1886" i="2"/>
  <c r="O1886" i="2"/>
  <c r="N1886" i="2"/>
  <c r="M1886" i="2"/>
  <c r="L1886" i="2"/>
  <c r="K1886" i="2"/>
  <c r="J1886" i="2"/>
  <c r="I1886" i="2"/>
  <c r="H1886" i="2"/>
  <c r="G1886" i="2"/>
  <c r="F1886" i="2"/>
  <c r="E1886" i="2"/>
  <c r="D1886" i="2"/>
  <c r="C1886" i="2"/>
  <c r="B1886" i="2"/>
  <c r="V1885" i="2"/>
  <c r="U1885" i="2"/>
  <c r="T1885" i="2"/>
  <c r="S1885" i="2"/>
  <c r="R1885" i="2"/>
  <c r="Q1885" i="2"/>
  <c r="P1885" i="2"/>
  <c r="O1885" i="2"/>
  <c r="N1885" i="2"/>
  <c r="M1885" i="2"/>
  <c r="L1885" i="2"/>
  <c r="K1885" i="2"/>
  <c r="J1885" i="2"/>
  <c r="I1885" i="2"/>
  <c r="H1885" i="2"/>
  <c r="G1885" i="2"/>
  <c r="F1885" i="2"/>
  <c r="E1885" i="2"/>
  <c r="D1885" i="2"/>
  <c r="C1885" i="2"/>
  <c r="B1885" i="2"/>
  <c r="V1884" i="2"/>
  <c r="U1884" i="2"/>
  <c r="T1884" i="2"/>
  <c r="S1884" i="2"/>
  <c r="R1884" i="2"/>
  <c r="Q1884" i="2"/>
  <c r="P1884" i="2"/>
  <c r="O1884" i="2"/>
  <c r="N1884" i="2"/>
  <c r="M1884" i="2"/>
  <c r="L1884" i="2"/>
  <c r="K1884" i="2"/>
  <c r="J1884" i="2"/>
  <c r="I1884" i="2"/>
  <c r="H1884" i="2"/>
  <c r="G1884" i="2"/>
  <c r="F1884" i="2"/>
  <c r="E1884" i="2"/>
  <c r="D1884" i="2"/>
  <c r="C1884" i="2"/>
  <c r="B1884" i="2"/>
  <c r="V1883" i="2"/>
  <c r="U1883" i="2"/>
  <c r="T1883" i="2"/>
  <c r="S1883" i="2"/>
  <c r="R1883" i="2"/>
  <c r="Q1883" i="2"/>
  <c r="P1883" i="2"/>
  <c r="O1883" i="2"/>
  <c r="N1883" i="2"/>
  <c r="M1883" i="2"/>
  <c r="L1883" i="2"/>
  <c r="K1883" i="2"/>
  <c r="J1883" i="2"/>
  <c r="I1883" i="2"/>
  <c r="H1883" i="2"/>
  <c r="G1883" i="2"/>
  <c r="F1883" i="2"/>
  <c r="E1883" i="2"/>
  <c r="D1883" i="2"/>
  <c r="C1883" i="2"/>
  <c r="B1883" i="2"/>
  <c r="V1882" i="2"/>
  <c r="U1882" i="2"/>
  <c r="T1882" i="2"/>
  <c r="S1882" i="2"/>
  <c r="R1882" i="2"/>
  <c r="Q1882" i="2"/>
  <c r="P1882" i="2"/>
  <c r="O1882" i="2"/>
  <c r="N1882" i="2"/>
  <c r="M1882" i="2"/>
  <c r="L1882" i="2"/>
  <c r="K1882" i="2"/>
  <c r="J1882" i="2"/>
  <c r="I1882" i="2"/>
  <c r="H1882" i="2"/>
  <c r="G1882" i="2"/>
  <c r="F1882" i="2"/>
  <c r="E1882" i="2"/>
  <c r="D1882" i="2"/>
  <c r="C1882" i="2"/>
  <c r="B1882" i="2"/>
  <c r="V1881" i="2"/>
  <c r="U1881" i="2"/>
  <c r="T1881" i="2"/>
  <c r="S1881" i="2"/>
  <c r="R1881" i="2"/>
  <c r="Q1881" i="2"/>
  <c r="P1881" i="2"/>
  <c r="O1881" i="2"/>
  <c r="N1881" i="2"/>
  <c r="M1881" i="2"/>
  <c r="L1881" i="2"/>
  <c r="K1881" i="2"/>
  <c r="J1881" i="2"/>
  <c r="I1881" i="2"/>
  <c r="H1881" i="2"/>
  <c r="G1881" i="2"/>
  <c r="F1881" i="2"/>
  <c r="E1881" i="2"/>
  <c r="D1881" i="2"/>
  <c r="C1881" i="2"/>
  <c r="B1881" i="2"/>
  <c r="V1880" i="2"/>
  <c r="U1880" i="2"/>
  <c r="T1880" i="2"/>
  <c r="S1880" i="2"/>
  <c r="R1880" i="2"/>
  <c r="Q1880" i="2"/>
  <c r="P1880" i="2"/>
  <c r="O1880" i="2"/>
  <c r="N1880" i="2"/>
  <c r="M1880" i="2"/>
  <c r="L1880" i="2"/>
  <c r="K1880" i="2"/>
  <c r="J1880" i="2"/>
  <c r="I1880" i="2"/>
  <c r="H1880" i="2"/>
  <c r="G1880" i="2"/>
  <c r="F1880" i="2"/>
  <c r="E1880" i="2"/>
  <c r="D1880" i="2"/>
  <c r="C1880" i="2"/>
  <c r="B1880" i="2"/>
  <c r="V1879" i="2"/>
  <c r="U1879" i="2"/>
  <c r="T1879" i="2"/>
  <c r="S1879" i="2"/>
  <c r="R1879" i="2"/>
  <c r="Q1879" i="2"/>
  <c r="P1879" i="2"/>
  <c r="O1879" i="2"/>
  <c r="N1879" i="2"/>
  <c r="M1879" i="2"/>
  <c r="L1879" i="2"/>
  <c r="K1879" i="2"/>
  <c r="J1879" i="2"/>
  <c r="I1879" i="2"/>
  <c r="H1879" i="2"/>
  <c r="G1879" i="2"/>
  <c r="F1879" i="2"/>
  <c r="E1879" i="2"/>
  <c r="D1879" i="2"/>
  <c r="C1879" i="2"/>
  <c r="B1879" i="2"/>
  <c r="V1878" i="2"/>
  <c r="U1878" i="2"/>
  <c r="T1878" i="2"/>
  <c r="S1878" i="2"/>
  <c r="R1878" i="2"/>
  <c r="Q1878" i="2"/>
  <c r="P1878" i="2"/>
  <c r="O1878" i="2"/>
  <c r="N1878" i="2"/>
  <c r="M1878" i="2"/>
  <c r="L1878" i="2"/>
  <c r="K1878" i="2"/>
  <c r="J1878" i="2"/>
  <c r="I1878" i="2"/>
  <c r="H1878" i="2"/>
  <c r="G1878" i="2"/>
  <c r="F1878" i="2"/>
  <c r="E1878" i="2"/>
  <c r="D1878" i="2"/>
  <c r="C1878" i="2"/>
  <c r="B1878" i="2"/>
  <c r="V1877" i="2"/>
  <c r="U1877" i="2"/>
  <c r="T1877" i="2"/>
  <c r="S1877" i="2"/>
  <c r="R1877" i="2"/>
  <c r="Q1877" i="2"/>
  <c r="P1877" i="2"/>
  <c r="O1877" i="2"/>
  <c r="N1877" i="2"/>
  <c r="M1877" i="2"/>
  <c r="L1877" i="2"/>
  <c r="K1877" i="2"/>
  <c r="J1877" i="2"/>
  <c r="I1877" i="2"/>
  <c r="H1877" i="2"/>
  <c r="G1877" i="2"/>
  <c r="F1877" i="2"/>
  <c r="E1877" i="2"/>
  <c r="D1877" i="2"/>
  <c r="C1877" i="2"/>
  <c r="B1877" i="2"/>
  <c r="V1876" i="2"/>
  <c r="U1876" i="2"/>
  <c r="T1876" i="2"/>
  <c r="S1876" i="2"/>
  <c r="R1876" i="2"/>
  <c r="Q1876" i="2"/>
  <c r="P1876" i="2"/>
  <c r="O1876" i="2"/>
  <c r="N1876" i="2"/>
  <c r="M1876" i="2"/>
  <c r="L1876" i="2"/>
  <c r="K1876" i="2"/>
  <c r="J1876" i="2"/>
  <c r="I1876" i="2"/>
  <c r="H1876" i="2"/>
  <c r="G1876" i="2"/>
  <c r="F1876" i="2"/>
  <c r="E1876" i="2"/>
  <c r="D1876" i="2"/>
  <c r="C1876" i="2"/>
  <c r="B1876" i="2"/>
  <c r="V1875" i="2"/>
  <c r="U1875" i="2"/>
  <c r="T1875" i="2"/>
  <c r="S1875" i="2"/>
  <c r="R1875" i="2"/>
  <c r="Q1875" i="2"/>
  <c r="P1875" i="2"/>
  <c r="O1875" i="2"/>
  <c r="N1875" i="2"/>
  <c r="M1875" i="2"/>
  <c r="L1875" i="2"/>
  <c r="K1875" i="2"/>
  <c r="J1875" i="2"/>
  <c r="I1875" i="2"/>
  <c r="H1875" i="2"/>
  <c r="G1875" i="2"/>
  <c r="F1875" i="2"/>
  <c r="E1875" i="2"/>
  <c r="D1875" i="2"/>
  <c r="C1875" i="2"/>
  <c r="B1875" i="2"/>
  <c r="V1874" i="2"/>
  <c r="U1874" i="2"/>
  <c r="T1874" i="2"/>
  <c r="S1874" i="2"/>
  <c r="R1874" i="2"/>
  <c r="Q1874" i="2"/>
  <c r="P1874" i="2"/>
  <c r="O1874" i="2"/>
  <c r="N1874" i="2"/>
  <c r="M1874" i="2"/>
  <c r="L1874" i="2"/>
  <c r="K1874" i="2"/>
  <c r="J1874" i="2"/>
  <c r="I1874" i="2"/>
  <c r="H1874" i="2"/>
  <c r="G1874" i="2"/>
  <c r="F1874" i="2"/>
  <c r="E1874" i="2"/>
  <c r="D1874" i="2"/>
  <c r="C1874" i="2"/>
  <c r="B1874" i="2"/>
  <c r="V1873" i="2"/>
  <c r="U1873" i="2"/>
  <c r="T1873" i="2"/>
  <c r="S1873" i="2"/>
  <c r="R1873" i="2"/>
  <c r="Q1873" i="2"/>
  <c r="P1873" i="2"/>
  <c r="O1873" i="2"/>
  <c r="N1873" i="2"/>
  <c r="M1873" i="2"/>
  <c r="L1873" i="2"/>
  <c r="K1873" i="2"/>
  <c r="J1873" i="2"/>
  <c r="I1873" i="2"/>
  <c r="H1873" i="2"/>
  <c r="G1873" i="2"/>
  <c r="F1873" i="2"/>
  <c r="E1873" i="2"/>
  <c r="D1873" i="2"/>
  <c r="C1873" i="2"/>
  <c r="B1873" i="2"/>
  <c r="V1872" i="2"/>
  <c r="U1872" i="2"/>
  <c r="T1872" i="2"/>
  <c r="S1872" i="2"/>
  <c r="R1872" i="2"/>
  <c r="Q1872" i="2"/>
  <c r="P1872" i="2"/>
  <c r="O1872" i="2"/>
  <c r="N1872" i="2"/>
  <c r="M1872" i="2"/>
  <c r="L1872" i="2"/>
  <c r="K1872" i="2"/>
  <c r="J1872" i="2"/>
  <c r="I1872" i="2"/>
  <c r="H1872" i="2"/>
  <c r="G1872" i="2"/>
  <c r="F1872" i="2"/>
  <c r="E1872" i="2"/>
  <c r="D1872" i="2"/>
  <c r="C1872" i="2"/>
  <c r="B1872" i="2"/>
  <c r="V1871" i="2"/>
  <c r="U1871" i="2"/>
  <c r="T1871" i="2"/>
  <c r="S1871" i="2"/>
  <c r="R1871" i="2"/>
  <c r="Q1871" i="2"/>
  <c r="P1871" i="2"/>
  <c r="O1871" i="2"/>
  <c r="N1871" i="2"/>
  <c r="M1871" i="2"/>
  <c r="L1871" i="2"/>
  <c r="K1871" i="2"/>
  <c r="J1871" i="2"/>
  <c r="I1871" i="2"/>
  <c r="H1871" i="2"/>
  <c r="G1871" i="2"/>
  <c r="F1871" i="2"/>
  <c r="E1871" i="2"/>
  <c r="D1871" i="2"/>
  <c r="C1871" i="2"/>
  <c r="B1871" i="2"/>
  <c r="V1870" i="2"/>
  <c r="U1870" i="2"/>
  <c r="T1870" i="2"/>
  <c r="S1870" i="2"/>
  <c r="R1870" i="2"/>
  <c r="Q1870" i="2"/>
  <c r="P1870" i="2"/>
  <c r="O1870" i="2"/>
  <c r="N1870" i="2"/>
  <c r="M1870" i="2"/>
  <c r="L1870" i="2"/>
  <c r="K1870" i="2"/>
  <c r="J1870" i="2"/>
  <c r="I1870" i="2"/>
  <c r="H1870" i="2"/>
  <c r="G1870" i="2"/>
  <c r="F1870" i="2"/>
  <c r="E1870" i="2"/>
  <c r="D1870" i="2"/>
  <c r="C1870" i="2"/>
  <c r="B1870" i="2"/>
  <c r="V1869" i="2"/>
  <c r="U1869" i="2"/>
  <c r="T1869" i="2"/>
  <c r="S1869" i="2"/>
  <c r="R1869" i="2"/>
  <c r="Q1869" i="2"/>
  <c r="P1869" i="2"/>
  <c r="O1869" i="2"/>
  <c r="N1869" i="2"/>
  <c r="M1869" i="2"/>
  <c r="L1869" i="2"/>
  <c r="K1869" i="2"/>
  <c r="J1869" i="2"/>
  <c r="I1869" i="2"/>
  <c r="H1869" i="2"/>
  <c r="G1869" i="2"/>
  <c r="F1869" i="2"/>
  <c r="E1869" i="2"/>
  <c r="D1869" i="2"/>
  <c r="C1869" i="2"/>
  <c r="B1869" i="2"/>
  <c r="V1868" i="2"/>
  <c r="U1868" i="2"/>
  <c r="T1868" i="2"/>
  <c r="S1868" i="2"/>
  <c r="R1868" i="2"/>
  <c r="Q1868" i="2"/>
  <c r="P1868" i="2"/>
  <c r="O1868" i="2"/>
  <c r="N1868" i="2"/>
  <c r="M1868" i="2"/>
  <c r="L1868" i="2"/>
  <c r="K1868" i="2"/>
  <c r="J1868" i="2"/>
  <c r="I1868" i="2"/>
  <c r="H1868" i="2"/>
  <c r="G1868" i="2"/>
  <c r="F1868" i="2"/>
  <c r="E1868" i="2"/>
  <c r="D1868" i="2"/>
  <c r="C1868" i="2"/>
  <c r="B1868" i="2"/>
  <c r="V1867" i="2"/>
  <c r="U1867" i="2"/>
  <c r="T1867" i="2"/>
  <c r="S1867" i="2"/>
  <c r="R1867" i="2"/>
  <c r="Q1867" i="2"/>
  <c r="P1867" i="2"/>
  <c r="O1867" i="2"/>
  <c r="N1867" i="2"/>
  <c r="M1867" i="2"/>
  <c r="L1867" i="2"/>
  <c r="K1867" i="2"/>
  <c r="J1867" i="2"/>
  <c r="I1867" i="2"/>
  <c r="H1867" i="2"/>
  <c r="G1867" i="2"/>
  <c r="F1867" i="2"/>
  <c r="E1867" i="2"/>
  <c r="D1867" i="2"/>
  <c r="C1867" i="2"/>
  <c r="B1867" i="2"/>
  <c r="V1866" i="2"/>
  <c r="U1866" i="2"/>
  <c r="T1866" i="2"/>
  <c r="S1866" i="2"/>
  <c r="R1866" i="2"/>
  <c r="Q1866" i="2"/>
  <c r="P1866" i="2"/>
  <c r="O1866" i="2"/>
  <c r="N1866" i="2"/>
  <c r="M1866" i="2"/>
  <c r="L1866" i="2"/>
  <c r="K1866" i="2"/>
  <c r="J1866" i="2"/>
  <c r="I1866" i="2"/>
  <c r="H1866" i="2"/>
  <c r="G1866" i="2"/>
  <c r="F1866" i="2"/>
  <c r="E1866" i="2"/>
  <c r="D1866" i="2"/>
  <c r="C1866" i="2"/>
  <c r="B1866" i="2"/>
  <c r="V1865" i="2"/>
  <c r="U1865" i="2"/>
  <c r="T1865" i="2"/>
  <c r="S1865" i="2"/>
  <c r="R1865" i="2"/>
  <c r="Q1865" i="2"/>
  <c r="P1865" i="2"/>
  <c r="O1865" i="2"/>
  <c r="N1865" i="2"/>
  <c r="M1865" i="2"/>
  <c r="L1865" i="2"/>
  <c r="K1865" i="2"/>
  <c r="J1865" i="2"/>
  <c r="I1865" i="2"/>
  <c r="H1865" i="2"/>
  <c r="G1865" i="2"/>
  <c r="F1865" i="2"/>
  <c r="E1865" i="2"/>
  <c r="D1865" i="2"/>
  <c r="C1865" i="2"/>
  <c r="B1865" i="2"/>
  <c r="V1864" i="2"/>
  <c r="U1864" i="2"/>
  <c r="T1864" i="2"/>
  <c r="S1864" i="2"/>
  <c r="R1864" i="2"/>
  <c r="Q1864" i="2"/>
  <c r="P1864" i="2"/>
  <c r="O1864" i="2"/>
  <c r="N1864" i="2"/>
  <c r="M1864" i="2"/>
  <c r="L1864" i="2"/>
  <c r="K1864" i="2"/>
  <c r="J1864" i="2"/>
  <c r="I1864" i="2"/>
  <c r="H1864" i="2"/>
  <c r="G1864" i="2"/>
  <c r="F1864" i="2"/>
  <c r="E1864" i="2"/>
  <c r="D1864" i="2"/>
  <c r="C1864" i="2"/>
  <c r="B1864" i="2"/>
  <c r="V1863" i="2"/>
  <c r="U1863" i="2"/>
  <c r="T1863" i="2"/>
  <c r="S1863" i="2"/>
  <c r="R1863" i="2"/>
  <c r="Q1863" i="2"/>
  <c r="P1863" i="2"/>
  <c r="O1863" i="2"/>
  <c r="N1863" i="2"/>
  <c r="M1863" i="2"/>
  <c r="L1863" i="2"/>
  <c r="K1863" i="2"/>
  <c r="J1863" i="2"/>
  <c r="I1863" i="2"/>
  <c r="H1863" i="2"/>
  <c r="G1863" i="2"/>
  <c r="F1863" i="2"/>
  <c r="E1863" i="2"/>
  <c r="D1863" i="2"/>
  <c r="C1863" i="2"/>
  <c r="B1863" i="2"/>
  <c r="V1862" i="2"/>
  <c r="U1862" i="2"/>
  <c r="T1862" i="2"/>
  <c r="S1862" i="2"/>
  <c r="R1862" i="2"/>
  <c r="Q1862" i="2"/>
  <c r="P1862" i="2"/>
  <c r="O1862" i="2"/>
  <c r="N1862" i="2"/>
  <c r="M1862" i="2"/>
  <c r="L1862" i="2"/>
  <c r="K1862" i="2"/>
  <c r="J1862" i="2"/>
  <c r="I1862" i="2"/>
  <c r="H1862" i="2"/>
  <c r="G1862" i="2"/>
  <c r="F1862" i="2"/>
  <c r="E1862" i="2"/>
  <c r="D1862" i="2"/>
  <c r="C1862" i="2"/>
  <c r="B1862" i="2"/>
  <c r="V1861" i="2"/>
  <c r="U1861" i="2"/>
  <c r="T1861" i="2"/>
  <c r="S1861" i="2"/>
  <c r="R1861" i="2"/>
  <c r="Q1861" i="2"/>
  <c r="P1861" i="2"/>
  <c r="O1861" i="2"/>
  <c r="N1861" i="2"/>
  <c r="M1861" i="2"/>
  <c r="L1861" i="2"/>
  <c r="K1861" i="2"/>
  <c r="J1861" i="2"/>
  <c r="I1861" i="2"/>
  <c r="H1861" i="2"/>
  <c r="G1861" i="2"/>
  <c r="F1861" i="2"/>
  <c r="E1861" i="2"/>
  <c r="D1861" i="2"/>
  <c r="C1861" i="2"/>
  <c r="B1861" i="2"/>
  <c r="V1860" i="2"/>
  <c r="U1860" i="2"/>
  <c r="T1860" i="2"/>
  <c r="S1860" i="2"/>
  <c r="R1860" i="2"/>
  <c r="Q1860" i="2"/>
  <c r="P1860" i="2"/>
  <c r="O1860" i="2"/>
  <c r="N1860" i="2"/>
  <c r="M1860" i="2"/>
  <c r="L1860" i="2"/>
  <c r="K1860" i="2"/>
  <c r="J1860" i="2"/>
  <c r="I1860" i="2"/>
  <c r="H1860" i="2"/>
  <c r="G1860" i="2"/>
  <c r="F1860" i="2"/>
  <c r="E1860" i="2"/>
  <c r="D1860" i="2"/>
  <c r="C1860" i="2"/>
  <c r="B1860" i="2"/>
  <c r="V1859" i="2"/>
  <c r="U1859" i="2"/>
  <c r="T1859" i="2"/>
  <c r="S1859" i="2"/>
  <c r="R1859" i="2"/>
  <c r="Q1859" i="2"/>
  <c r="P1859" i="2"/>
  <c r="O1859" i="2"/>
  <c r="N1859" i="2"/>
  <c r="M1859" i="2"/>
  <c r="L1859" i="2"/>
  <c r="K1859" i="2"/>
  <c r="J1859" i="2"/>
  <c r="I1859" i="2"/>
  <c r="H1859" i="2"/>
  <c r="G1859" i="2"/>
  <c r="F1859" i="2"/>
  <c r="E1859" i="2"/>
  <c r="D1859" i="2"/>
  <c r="C1859" i="2"/>
  <c r="B1859" i="2"/>
  <c r="V1858" i="2"/>
  <c r="U1858" i="2"/>
  <c r="T1858" i="2"/>
  <c r="S1858" i="2"/>
  <c r="R1858" i="2"/>
  <c r="Q1858" i="2"/>
  <c r="P1858" i="2"/>
  <c r="O1858" i="2"/>
  <c r="N1858" i="2"/>
  <c r="M1858" i="2"/>
  <c r="L1858" i="2"/>
  <c r="K1858" i="2"/>
  <c r="J1858" i="2"/>
  <c r="I1858" i="2"/>
  <c r="H1858" i="2"/>
  <c r="G1858" i="2"/>
  <c r="F1858" i="2"/>
  <c r="E1858" i="2"/>
  <c r="D1858" i="2"/>
  <c r="C1858" i="2"/>
  <c r="B1858" i="2"/>
  <c r="V1857" i="2"/>
  <c r="U1857" i="2"/>
  <c r="T1857" i="2"/>
  <c r="S1857" i="2"/>
  <c r="R1857" i="2"/>
  <c r="Q1857" i="2"/>
  <c r="P1857" i="2"/>
  <c r="O1857" i="2"/>
  <c r="N1857" i="2"/>
  <c r="M1857" i="2"/>
  <c r="L1857" i="2"/>
  <c r="K1857" i="2"/>
  <c r="J1857" i="2"/>
  <c r="I1857" i="2"/>
  <c r="H1857" i="2"/>
  <c r="G1857" i="2"/>
  <c r="F1857" i="2"/>
  <c r="E1857" i="2"/>
  <c r="D1857" i="2"/>
  <c r="C1857" i="2"/>
  <c r="B1857" i="2"/>
  <c r="V1856" i="2"/>
  <c r="U1856" i="2"/>
  <c r="T1856" i="2"/>
  <c r="S1856" i="2"/>
  <c r="R1856" i="2"/>
  <c r="Q1856" i="2"/>
  <c r="P1856" i="2"/>
  <c r="O1856" i="2"/>
  <c r="N1856" i="2"/>
  <c r="M1856" i="2"/>
  <c r="L1856" i="2"/>
  <c r="K1856" i="2"/>
  <c r="J1856" i="2"/>
  <c r="I1856" i="2"/>
  <c r="H1856" i="2"/>
  <c r="G1856" i="2"/>
  <c r="F1856" i="2"/>
  <c r="E1856" i="2"/>
  <c r="D1856" i="2"/>
  <c r="C1856" i="2"/>
  <c r="B1856" i="2"/>
  <c r="V1855" i="2"/>
  <c r="U1855" i="2"/>
  <c r="T1855" i="2"/>
  <c r="S1855" i="2"/>
  <c r="R1855" i="2"/>
  <c r="Q1855" i="2"/>
  <c r="P1855" i="2"/>
  <c r="O1855" i="2"/>
  <c r="N1855" i="2"/>
  <c r="M1855" i="2"/>
  <c r="L1855" i="2"/>
  <c r="K1855" i="2"/>
  <c r="J1855" i="2"/>
  <c r="I1855" i="2"/>
  <c r="H1855" i="2"/>
  <c r="G1855" i="2"/>
  <c r="F1855" i="2"/>
  <c r="E1855" i="2"/>
  <c r="D1855" i="2"/>
  <c r="C1855" i="2"/>
  <c r="B1855" i="2"/>
  <c r="V1854" i="2"/>
  <c r="U1854" i="2"/>
  <c r="T1854" i="2"/>
  <c r="S1854" i="2"/>
  <c r="R1854" i="2"/>
  <c r="Q1854" i="2"/>
  <c r="P1854" i="2"/>
  <c r="O1854" i="2"/>
  <c r="N1854" i="2"/>
  <c r="M1854" i="2"/>
  <c r="L1854" i="2"/>
  <c r="K1854" i="2"/>
  <c r="J1854" i="2"/>
  <c r="I1854" i="2"/>
  <c r="H1854" i="2"/>
  <c r="G1854" i="2"/>
  <c r="F1854" i="2"/>
  <c r="E1854" i="2"/>
  <c r="D1854" i="2"/>
  <c r="C1854" i="2"/>
  <c r="B1854" i="2"/>
  <c r="V1853" i="2"/>
  <c r="U1853" i="2"/>
  <c r="T1853" i="2"/>
  <c r="S1853" i="2"/>
  <c r="R1853" i="2"/>
  <c r="Q1853" i="2"/>
  <c r="P1853" i="2"/>
  <c r="O1853" i="2"/>
  <c r="N1853" i="2"/>
  <c r="M1853" i="2"/>
  <c r="L1853" i="2"/>
  <c r="K1853" i="2"/>
  <c r="J1853" i="2"/>
  <c r="I1853" i="2"/>
  <c r="H1853" i="2"/>
  <c r="G1853" i="2"/>
  <c r="F1853" i="2"/>
  <c r="E1853" i="2"/>
  <c r="D1853" i="2"/>
  <c r="C1853" i="2"/>
  <c r="B1853" i="2"/>
  <c r="V1852" i="2"/>
  <c r="U1852" i="2"/>
  <c r="T1852" i="2"/>
  <c r="S1852" i="2"/>
  <c r="R1852" i="2"/>
  <c r="Q1852" i="2"/>
  <c r="P1852" i="2"/>
  <c r="O1852" i="2"/>
  <c r="N1852" i="2"/>
  <c r="M1852" i="2"/>
  <c r="L1852" i="2"/>
  <c r="K1852" i="2"/>
  <c r="J1852" i="2"/>
  <c r="I1852" i="2"/>
  <c r="H1852" i="2"/>
  <c r="G1852" i="2"/>
  <c r="F1852" i="2"/>
  <c r="E1852" i="2"/>
  <c r="D1852" i="2"/>
  <c r="C1852" i="2"/>
  <c r="B1852" i="2"/>
  <c r="V1851" i="2"/>
  <c r="U1851" i="2"/>
  <c r="T1851" i="2"/>
  <c r="S1851" i="2"/>
  <c r="R1851" i="2"/>
  <c r="Q1851" i="2"/>
  <c r="P1851" i="2"/>
  <c r="O1851" i="2"/>
  <c r="N1851" i="2"/>
  <c r="M1851" i="2"/>
  <c r="L1851" i="2"/>
  <c r="K1851" i="2"/>
  <c r="J1851" i="2"/>
  <c r="I1851" i="2"/>
  <c r="H1851" i="2"/>
  <c r="G1851" i="2"/>
  <c r="F1851" i="2"/>
  <c r="E1851" i="2"/>
  <c r="D1851" i="2"/>
  <c r="C1851" i="2"/>
  <c r="B1851" i="2"/>
  <c r="V1850" i="2"/>
  <c r="U1850" i="2"/>
  <c r="T1850" i="2"/>
  <c r="S1850" i="2"/>
  <c r="R1850" i="2"/>
  <c r="Q1850" i="2"/>
  <c r="P1850" i="2"/>
  <c r="O1850" i="2"/>
  <c r="N1850" i="2"/>
  <c r="M1850" i="2"/>
  <c r="L1850" i="2"/>
  <c r="K1850" i="2"/>
  <c r="J1850" i="2"/>
  <c r="I1850" i="2"/>
  <c r="H1850" i="2"/>
  <c r="G1850" i="2"/>
  <c r="F1850" i="2"/>
  <c r="E1850" i="2"/>
  <c r="D1850" i="2"/>
  <c r="C1850" i="2"/>
  <c r="B1850" i="2"/>
  <c r="V1849" i="2"/>
  <c r="U1849" i="2"/>
  <c r="T1849" i="2"/>
  <c r="S1849" i="2"/>
  <c r="R1849" i="2"/>
  <c r="Q1849" i="2"/>
  <c r="P1849" i="2"/>
  <c r="O1849" i="2"/>
  <c r="N1849" i="2"/>
  <c r="M1849" i="2"/>
  <c r="L1849" i="2"/>
  <c r="K1849" i="2"/>
  <c r="J1849" i="2"/>
  <c r="I1849" i="2"/>
  <c r="H1849" i="2"/>
  <c r="G1849" i="2"/>
  <c r="F1849" i="2"/>
  <c r="E1849" i="2"/>
  <c r="D1849" i="2"/>
  <c r="C1849" i="2"/>
  <c r="B1849" i="2"/>
  <c r="V1848" i="2"/>
  <c r="U1848" i="2"/>
  <c r="T1848" i="2"/>
  <c r="S1848" i="2"/>
  <c r="R1848" i="2"/>
  <c r="Q1848" i="2"/>
  <c r="P1848" i="2"/>
  <c r="O1848" i="2"/>
  <c r="N1848" i="2"/>
  <c r="M1848" i="2"/>
  <c r="L1848" i="2"/>
  <c r="K1848" i="2"/>
  <c r="J1848" i="2"/>
  <c r="I1848" i="2"/>
  <c r="H1848" i="2"/>
  <c r="G1848" i="2"/>
  <c r="F1848" i="2"/>
  <c r="E1848" i="2"/>
  <c r="D1848" i="2"/>
  <c r="C1848" i="2"/>
  <c r="B1848" i="2"/>
  <c r="V1847" i="2"/>
  <c r="U1847" i="2"/>
  <c r="T1847" i="2"/>
  <c r="S1847" i="2"/>
  <c r="R1847" i="2"/>
  <c r="Q1847" i="2"/>
  <c r="P1847" i="2"/>
  <c r="O1847" i="2"/>
  <c r="N1847" i="2"/>
  <c r="M1847" i="2"/>
  <c r="L1847" i="2"/>
  <c r="K1847" i="2"/>
  <c r="J1847" i="2"/>
  <c r="I1847" i="2"/>
  <c r="H1847" i="2"/>
  <c r="G1847" i="2"/>
  <c r="F1847" i="2"/>
  <c r="E1847" i="2"/>
  <c r="D1847" i="2"/>
  <c r="C1847" i="2"/>
  <c r="B1847" i="2"/>
  <c r="V1846" i="2"/>
  <c r="U1846" i="2"/>
  <c r="T1846" i="2"/>
  <c r="S1846" i="2"/>
  <c r="R1846" i="2"/>
  <c r="Q1846" i="2"/>
  <c r="P1846" i="2"/>
  <c r="O1846" i="2"/>
  <c r="N1846" i="2"/>
  <c r="M1846" i="2"/>
  <c r="L1846" i="2"/>
  <c r="K1846" i="2"/>
  <c r="J1846" i="2"/>
  <c r="I1846" i="2"/>
  <c r="H1846" i="2"/>
  <c r="G1846" i="2"/>
  <c r="F1846" i="2"/>
  <c r="E1846" i="2"/>
  <c r="D1846" i="2"/>
  <c r="C1846" i="2"/>
  <c r="B1846" i="2"/>
  <c r="V1845" i="2"/>
  <c r="U1845" i="2"/>
  <c r="T1845" i="2"/>
  <c r="S1845" i="2"/>
  <c r="R1845" i="2"/>
  <c r="Q1845" i="2"/>
  <c r="P1845" i="2"/>
  <c r="O1845" i="2"/>
  <c r="N1845" i="2"/>
  <c r="M1845" i="2"/>
  <c r="L1845" i="2"/>
  <c r="K1845" i="2"/>
  <c r="J1845" i="2"/>
  <c r="I1845" i="2"/>
  <c r="H1845" i="2"/>
  <c r="G1845" i="2"/>
  <c r="F1845" i="2"/>
  <c r="E1845" i="2"/>
  <c r="D1845" i="2"/>
  <c r="C1845" i="2"/>
  <c r="B1845" i="2"/>
  <c r="V1844" i="2"/>
  <c r="U1844" i="2"/>
  <c r="T1844" i="2"/>
  <c r="S1844" i="2"/>
  <c r="R1844" i="2"/>
  <c r="Q1844" i="2"/>
  <c r="P1844" i="2"/>
  <c r="O1844" i="2"/>
  <c r="N1844" i="2"/>
  <c r="M1844" i="2"/>
  <c r="L1844" i="2"/>
  <c r="K1844" i="2"/>
  <c r="J1844" i="2"/>
  <c r="I1844" i="2"/>
  <c r="H1844" i="2"/>
  <c r="G1844" i="2"/>
  <c r="F1844" i="2"/>
  <c r="E1844" i="2"/>
  <c r="D1844" i="2"/>
  <c r="C1844" i="2"/>
  <c r="B1844" i="2"/>
  <c r="V1843" i="2"/>
  <c r="U1843" i="2"/>
  <c r="T1843" i="2"/>
  <c r="S1843" i="2"/>
  <c r="R1843" i="2"/>
  <c r="Q1843" i="2"/>
  <c r="P1843" i="2"/>
  <c r="O1843" i="2"/>
  <c r="N1843" i="2"/>
  <c r="M1843" i="2"/>
  <c r="L1843" i="2"/>
  <c r="K1843" i="2"/>
  <c r="J1843" i="2"/>
  <c r="I1843" i="2"/>
  <c r="H1843" i="2"/>
  <c r="G1843" i="2"/>
  <c r="F1843" i="2"/>
  <c r="E1843" i="2"/>
  <c r="D1843" i="2"/>
  <c r="C1843" i="2"/>
  <c r="B1843" i="2"/>
  <c r="V1842" i="2"/>
  <c r="U1842" i="2"/>
  <c r="T1842" i="2"/>
  <c r="S1842" i="2"/>
  <c r="R1842" i="2"/>
  <c r="Q1842" i="2"/>
  <c r="P1842" i="2"/>
  <c r="O1842" i="2"/>
  <c r="N1842" i="2"/>
  <c r="M1842" i="2"/>
  <c r="L1842" i="2"/>
  <c r="K1842" i="2"/>
  <c r="J1842" i="2"/>
  <c r="I1842" i="2"/>
  <c r="H1842" i="2"/>
  <c r="G1842" i="2"/>
  <c r="F1842" i="2"/>
  <c r="E1842" i="2"/>
  <c r="D1842" i="2"/>
  <c r="C1842" i="2"/>
  <c r="B1842" i="2"/>
  <c r="V1841" i="2"/>
  <c r="U1841" i="2"/>
  <c r="T1841" i="2"/>
  <c r="S1841" i="2"/>
  <c r="R1841" i="2"/>
  <c r="Q1841" i="2"/>
  <c r="P1841" i="2"/>
  <c r="O1841" i="2"/>
  <c r="N1841" i="2"/>
  <c r="M1841" i="2"/>
  <c r="L1841" i="2"/>
  <c r="K1841" i="2"/>
  <c r="J1841" i="2"/>
  <c r="I1841" i="2"/>
  <c r="H1841" i="2"/>
  <c r="G1841" i="2"/>
  <c r="F1841" i="2"/>
  <c r="E1841" i="2"/>
  <c r="D1841" i="2"/>
  <c r="C1841" i="2"/>
  <c r="B1841" i="2"/>
  <c r="V1840" i="2"/>
  <c r="U1840" i="2"/>
  <c r="T1840" i="2"/>
  <c r="S1840" i="2"/>
  <c r="R1840" i="2"/>
  <c r="Q1840" i="2"/>
  <c r="P1840" i="2"/>
  <c r="O1840" i="2"/>
  <c r="N1840" i="2"/>
  <c r="M1840" i="2"/>
  <c r="L1840" i="2"/>
  <c r="K1840" i="2"/>
  <c r="J1840" i="2"/>
  <c r="I1840" i="2"/>
  <c r="H1840" i="2"/>
  <c r="G1840" i="2"/>
  <c r="F1840" i="2"/>
  <c r="E1840" i="2"/>
  <c r="D1840" i="2"/>
  <c r="C1840" i="2"/>
  <c r="B1840" i="2"/>
  <c r="V1839" i="2"/>
  <c r="U1839" i="2"/>
  <c r="T1839" i="2"/>
  <c r="S1839" i="2"/>
  <c r="R1839" i="2"/>
  <c r="Q1839" i="2"/>
  <c r="P1839" i="2"/>
  <c r="O1839" i="2"/>
  <c r="N1839" i="2"/>
  <c r="M1839" i="2"/>
  <c r="L1839" i="2"/>
  <c r="K1839" i="2"/>
  <c r="J1839" i="2"/>
  <c r="I1839" i="2"/>
  <c r="H1839" i="2"/>
  <c r="G1839" i="2"/>
  <c r="F1839" i="2"/>
  <c r="E1839" i="2"/>
  <c r="D1839" i="2"/>
  <c r="C1839" i="2"/>
  <c r="B1839" i="2"/>
  <c r="V1838" i="2"/>
  <c r="U1838" i="2"/>
  <c r="T1838" i="2"/>
  <c r="S1838" i="2"/>
  <c r="R1838" i="2"/>
  <c r="Q1838" i="2"/>
  <c r="P1838" i="2"/>
  <c r="O1838" i="2"/>
  <c r="N1838" i="2"/>
  <c r="M1838" i="2"/>
  <c r="L1838" i="2"/>
  <c r="K1838" i="2"/>
  <c r="J1838" i="2"/>
  <c r="I1838" i="2"/>
  <c r="H1838" i="2"/>
  <c r="G1838" i="2"/>
  <c r="F1838" i="2"/>
  <c r="E1838" i="2"/>
  <c r="D1838" i="2"/>
  <c r="C1838" i="2"/>
  <c r="B1838" i="2"/>
  <c r="V1837" i="2"/>
  <c r="U1837" i="2"/>
  <c r="T1837" i="2"/>
  <c r="S1837" i="2"/>
  <c r="R1837" i="2"/>
  <c r="Q1837" i="2"/>
  <c r="P1837" i="2"/>
  <c r="O1837" i="2"/>
  <c r="N1837" i="2"/>
  <c r="M1837" i="2"/>
  <c r="L1837" i="2"/>
  <c r="K1837" i="2"/>
  <c r="J1837" i="2"/>
  <c r="I1837" i="2"/>
  <c r="H1837" i="2"/>
  <c r="G1837" i="2"/>
  <c r="F1837" i="2"/>
  <c r="E1837" i="2"/>
  <c r="D1837" i="2"/>
  <c r="C1837" i="2"/>
  <c r="B1837" i="2"/>
  <c r="V1836" i="2"/>
  <c r="U1836" i="2"/>
  <c r="T1836" i="2"/>
  <c r="S1836" i="2"/>
  <c r="R1836" i="2"/>
  <c r="Q1836" i="2"/>
  <c r="P1836" i="2"/>
  <c r="O1836" i="2"/>
  <c r="N1836" i="2"/>
  <c r="M1836" i="2"/>
  <c r="L1836" i="2"/>
  <c r="K1836" i="2"/>
  <c r="J1836" i="2"/>
  <c r="I1836" i="2"/>
  <c r="H1836" i="2"/>
  <c r="G1836" i="2"/>
  <c r="F1836" i="2"/>
  <c r="E1836" i="2"/>
  <c r="D1836" i="2"/>
  <c r="C1836" i="2"/>
  <c r="B1836" i="2"/>
  <c r="V1835" i="2"/>
  <c r="U1835" i="2"/>
  <c r="T1835" i="2"/>
  <c r="S1835" i="2"/>
  <c r="R1835" i="2"/>
  <c r="Q1835" i="2"/>
  <c r="P1835" i="2"/>
  <c r="O1835" i="2"/>
  <c r="N1835" i="2"/>
  <c r="M1835" i="2"/>
  <c r="L1835" i="2"/>
  <c r="K1835" i="2"/>
  <c r="J1835" i="2"/>
  <c r="I1835" i="2"/>
  <c r="H1835" i="2"/>
  <c r="G1835" i="2"/>
  <c r="F1835" i="2"/>
  <c r="E1835" i="2"/>
  <c r="D1835" i="2"/>
  <c r="C1835" i="2"/>
  <c r="B1835" i="2"/>
  <c r="V1834" i="2"/>
  <c r="U1834" i="2"/>
  <c r="T1834" i="2"/>
  <c r="S1834" i="2"/>
  <c r="R1834" i="2"/>
  <c r="Q1834" i="2"/>
  <c r="P1834" i="2"/>
  <c r="O1834" i="2"/>
  <c r="N1834" i="2"/>
  <c r="M1834" i="2"/>
  <c r="L1834" i="2"/>
  <c r="K1834" i="2"/>
  <c r="J1834" i="2"/>
  <c r="I1834" i="2"/>
  <c r="H1834" i="2"/>
  <c r="G1834" i="2"/>
  <c r="F1834" i="2"/>
  <c r="E1834" i="2"/>
  <c r="D1834" i="2"/>
  <c r="C1834" i="2"/>
  <c r="B1834" i="2"/>
  <c r="V1833" i="2"/>
  <c r="U1833" i="2"/>
  <c r="T1833" i="2"/>
  <c r="S1833" i="2"/>
  <c r="R1833" i="2"/>
  <c r="Q1833" i="2"/>
  <c r="P1833" i="2"/>
  <c r="O1833" i="2"/>
  <c r="N1833" i="2"/>
  <c r="M1833" i="2"/>
  <c r="L1833" i="2"/>
  <c r="K1833" i="2"/>
  <c r="J1833" i="2"/>
  <c r="I1833" i="2"/>
  <c r="H1833" i="2"/>
  <c r="G1833" i="2"/>
  <c r="F1833" i="2"/>
  <c r="E1833" i="2"/>
  <c r="D1833" i="2"/>
  <c r="C1833" i="2"/>
  <c r="B1833" i="2"/>
  <c r="V1832" i="2"/>
  <c r="U1832" i="2"/>
  <c r="T1832" i="2"/>
  <c r="S1832" i="2"/>
  <c r="R1832" i="2"/>
  <c r="Q1832" i="2"/>
  <c r="P1832" i="2"/>
  <c r="O1832" i="2"/>
  <c r="N1832" i="2"/>
  <c r="M1832" i="2"/>
  <c r="L1832" i="2"/>
  <c r="K1832" i="2"/>
  <c r="J1832" i="2"/>
  <c r="I1832" i="2"/>
  <c r="H1832" i="2"/>
  <c r="G1832" i="2"/>
  <c r="F1832" i="2"/>
  <c r="E1832" i="2"/>
  <c r="D1832" i="2"/>
  <c r="C1832" i="2"/>
  <c r="B1832" i="2"/>
  <c r="V1831" i="2"/>
  <c r="U1831" i="2"/>
  <c r="T1831" i="2"/>
  <c r="S1831" i="2"/>
  <c r="R1831" i="2"/>
  <c r="Q1831" i="2"/>
  <c r="P1831" i="2"/>
  <c r="O1831" i="2"/>
  <c r="N1831" i="2"/>
  <c r="M1831" i="2"/>
  <c r="L1831" i="2"/>
  <c r="K1831" i="2"/>
  <c r="J1831" i="2"/>
  <c r="I1831" i="2"/>
  <c r="H1831" i="2"/>
  <c r="G1831" i="2"/>
  <c r="F1831" i="2"/>
  <c r="E1831" i="2"/>
  <c r="D1831" i="2"/>
  <c r="C1831" i="2"/>
  <c r="B1831" i="2"/>
  <c r="V1830" i="2"/>
  <c r="U1830" i="2"/>
  <c r="T1830" i="2"/>
  <c r="S1830" i="2"/>
  <c r="R1830" i="2"/>
  <c r="Q1830" i="2"/>
  <c r="P1830" i="2"/>
  <c r="O1830" i="2"/>
  <c r="N1830" i="2"/>
  <c r="M1830" i="2"/>
  <c r="L1830" i="2"/>
  <c r="K1830" i="2"/>
  <c r="J1830" i="2"/>
  <c r="I1830" i="2"/>
  <c r="H1830" i="2"/>
  <c r="G1830" i="2"/>
  <c r="F1830" i="2"/>
  <c r="E1830" i="2"/>
  <c r="D1830" i="2"/>
  <c r="C1830" i="2"/>
  <c r="B1830" i="2"/>
  <c r="V1829" i="2"/>
  <c r="U1829" i="2"/>
  <c r="T1829" i="2"/>
  <c r="S1829" i="2"/>
  <c r="R1829" i="2"/>
  <c r="Q1829" i="2"/>
  <c r="P1829" i="2"/>
  <c r="O1829" i="2"/>
  <c r="N1829" i="2"/>
  <c r="M1829" i="2"/>
  <c r="L1829" i="2"/>
  <c r="K1829" i="2"/>
  <c r="J1829" i="2"/>
  <c r="I1829" i="2"/>
  <c r="H1829" i="2"/>
  <c r="G1829" i="2"/>
  <c r="F1829" i="2"/>
  <c r="E1829" i="2"/>
  <c r="D1829" i="2"/>
  <c r="C1829" i="2"/>
  <c r="B1829" i="2"/>
  <c r="V1828" i="2"/>
  <c r="U1828" i="2"/>
  <c r="T1828" i="2"/>
  <c r="S1828" i="2"/>
  <c r="R1828" i="2"/>
  <c r="Q1828" i="2"/>
  <c r="P1828" i="2"/>
  <c r="O1828" i="2"/>
  <c r="N1828" i="2"/>
  <c r="M1828" i="2"/>
  <c r="L1828" i="2"/>
  <c r="K1828" i="2"/>
  <c r="J1828" i="2"/>
  <c r="I1828" i="2"/>
  <c r="H1828" i="2"/>
  <c r="G1828" i="2"/>
  <c r="F1828" i="2"/>
  <c r="E1828" i="2"/>
  <c r="D1828" i="2"/>
  <c r="C1828" i="2"/>
  <c r="B1828" i="2"/>
  <c r="V1827" i="2"/>
  <c r="U1827" i="2"/>
  <c r="T1827" i="2"/>
  <c r="S1827" i="2"/>
  <c r="R1827" i="2"/>
  <c r="Q1827" i="2"/>
  <c r="P1827" i="2"/>
  <c r="O1827" i="2"/>
  <c r="N1827" i="2"/>
  <c r="M1827" i="2"/>
  <c r="L1827" i="2"/>
  <c r="K1827" i="2"/>
  <c r="J1827" i="2"/>
  <c r="I1827" i="2"/>
  <c r="H1827" i="2"/>
  <c r="G1827" i="2"/>
  <c r="F1827" i="2"/>
  <c r="E1827" i="2"/>
  <c r="D1827" i="2"/>
  <c r="C1827" i="2"/>
  <c r="B1827" i="2"/>
  <c r="V1826" i="2"/>
  <c r="U1826" i="2"/>
  <c r="T1826" i="2"/>
  <c r="S1826" i="2"/>
  <c r="R1826" i="2"/>
  <c r="Q1826" i="2"/>
  <c r="P1826" i="2"/>
  <c r="O1826" i="2"/>
  <c r="N1826" i="2"/>
  <c r="M1826" i="2"/>
  <c r="L1826" i="2"/>
  <c r="K1826" i="2"/>
  <c r="J1826" i="2"/>
  <c r="I1826" i="2"/>
  <c r="H1826" i="2"/>
  <c r="G1826" i="2"/>
  <c r="F1826" i="2"/>
  <c r="E1826" i="2"/>
  <c r="D1826" i="2"/>
  <c r="C1826" i="2"/>
  <c r="B1826" i="2"/>
  <c r="V1825" i="2"/>
  <c r="U1825" i="2"/>
  <c r="T1825" i="2"/>
  <c r="S1825" i="2"/>
  <c r="R1825" i="2"/>
  <c r="Q1825" i="2"/>
  <c r="P1825" i="2"/>
  <c r="O1825" i="2"/>
  <c r="N1825" i="2"/>
  <c r="M1825" i="2"/>
  <c r="L1825" i="2"/>
  <c r="K1825" i="2"/>
  <c r="J1825" i="2"/>
  <c r="I1825" i="2"/>
  <c r="H1825" i="2"/>
  <c r="G1825" i="2"/>
  <c r="F1825" i="2"/>
  <c r="E1825" i="2"/>
  <c r="D1825" i="2"/>
  <c r="C1825" i="2"/>
  <c r="B1825" i="2"/>
  <c r="V1824" i="2"/>
  <c r="U1824" i="2"/>
  <c r="T1824" i="2"/>
  <c r="S1824" i="2"/>
  <c r="R1824" i="2"/>
  <c r="Q1824" i="2"/>
  <c r="P1824" i="2"/>
  <c r="O1824" i="2"/>
  <c r="N1824" i="2"/>
  <c r="M1824" i="2"/>
  <c r="L1824" i="2"/>
  <c r="K1824" i="2"/>
  <c r="J1824" i="2"/>
  <c r="I1824" i="2"/>
  <c r="H1824" i="2"/>
  <c r="G1824" i="2"/>
  <c r="F1824" i="2"/>
  <c r="E1824" i="2"/>
  <c r="D1824" i="2"/>
  <c r="C1824" i="2"/>
  <c r="B1824" i="2"/>
  <c r="V1823" i="2"/>
  <c r="U1823" i="2"/>
  <c r="T1823" i="2"/>
  <c r="S1823" i="2"/>
  <c r="R1823" i="2"/>
  <c r="Q1823" i="2"/>
  <c r="P1823" i="2"/>
  <c r="O1823" i="2"/>
  <c r="N1823" i="2"/>
  <c r="M1823" i="2"/>
  <c r="L1823" i="2"/>
  <c r="K1823" i="2"/>
  <c r="J1823" i="2"/>
  <c r="I1823" i="2"/>
  <c r="H1823" i="2"/>
  <c r="G1823" i="2"/>
  <c r="F1823" i="2"/>
  <c r="E1823" i="2"/>
  <c r="D1823" i="2"/>
  <c r="C1823" i="2"/>
  <c r="B1823" i="2"/>
  <c r="V1822" i="2"/>
  <c r="U1822" i="2"/>
  <c r="T1822" i="2"/>
  <c r="S1822" i="2"/>
  <c r="R1822" i="2"/>
  <c r="Q1822" i="2"/>
  <c r="P1822" i="2"/>
  <c r="O1822" i="2"/>
  <c r="N1822" i="2"/>
  <c r="M1822" i="2"/>
  <c r="L1822" i="2"/>
  <c r="K1822" i="2"/>
  <c r="J1822" i="2"/>
  <c r="I1822" i="2"/>
  <c r="H1822" i="2"/>
  <c r="G1822" i="2"/>
  <c r="F1822" i="2"/>
  <c r="E1822" i="2"/>
  <c r="D1822" i="2"/>
  <c r="C1822" i="2"/>
  <c r="B1822" i="2"/>
  <c r="V1821" i="2"/>
  <c r="U1821" i="2"/>
  <c r="T1821" i="2"/>
  <c r="S1821" i="2"/>
  <c r="R1821" i="2"/>
  <c r="Q1821" i="2"/>
  <c r="P1821" i="2"/>
  <c r="O1821" i="2"/>
  <c r="N1821" i="2"/>
  <c r="M1821" i="2"/>
  <c r="L1821" i="2"/>
  <c r="K1821" i="2"/>
  <c r="J1821" i="2"/>
  <c r="I1821" i="2"/>
  <c r="H1821" i="2"/>
  <c r="G1821" i="2"/>
  <c r="F1821" i="2"/>
  <c r="E1821" i="2"/>
  <c r="D1821" i="2"/>
  <c r="C1821" i="2"/>
  <c r="B1821" i="2"/>
  <c r="V1820" i="2"/>
  <c r="U1820" i="2"/>
  <c r="T1820" i="2"/>
  <c r="S1820" i="2"/>
  <c r="R1820" i="2"/>
  <c r="Q1820" i="2"/>
  <c r="P1820" i="2"/>
  <c r="O1820" i="2"/>
  <c r="N1820" i="2"/>
  <c r="M1820" i="2"/>
  <c r="L1820" i="2"/>
  <c r="K1820" i="2"/>
  <c r="J1820" i="2"/>
  <c r="I1820" i="2"/>
  <c r="H1820" i="2"/>
  <c r="G1820" i="2"/>
  <c r="F1820" i="2"/>
  <c r="E1820" i="2"/>
  <c r="D1820" i="2"/>
  <c r="C1820" i="2"/>
  <c r="B1820" i="2"/>
  <c r="V1819" i="2"/>
  <c r="U1819" i="2"/>
  <c r="T1819" i="2"/>
  <c r="S1819" i="2"/>
  <c r="R1819" i="2"/>
  <c r="Q1819" i="2"/>
  <c r="P1819" i="2"/>
  <c r="O1819" i="2"/>
  <c r="N1819" i="2"/>
  <c r="M1819" i="2"/>
  <c r="L1819" i="2"/>
  <c r="K1819" i="2"/>
  <c r="J1819" i="2"/>
  <c r="I1819" i="2"/>
  <c r="H1819" i="2"/>
  <c r="G1819" i="2"/>
  <c r="F1819" i="2"/>
  <c r="E1819" i="2"/>
  <c r="D1819" i="2"/>
  <c r="C1819" i="2"/>
  <c r="B1819" i="2"/>
  <c r="V1818" i="2"/>
  <c r="U1818" i="2"/>
  <c r="T1818" i="2"/>
  <c r="S1818" i="2"/>
  <c r="R1818" i="2"/>
  <c r="Q1818" i="2"/>
  <c r="P1818" i="2"/>
  <c r="O1818" i="2"/>
  <c r="N1818" i="2"/>
  <c r="M1818" i="2"/>
  <c r="L1818" i="2"/>
  <c r="K1818" i="2"/>
  <c r="J1818" i="2"/>
  <c r="I1818" i="2"/>
  <c r="H1818" i="2"/>
  <c r="G1818" i="2"/>
  <c r="F1818" i="2"/>
  <c r="E1818" i="2"/>
  <c r="D1818" i="2"/>
  <c r="C1818" i="2"/>
  <c r="B1818" i="2"/>
  <c r="V1817" i="2"/>
  <c r="U1817" i="2"/>
  <c r="T1817" i="2"/>
  <c r="S1817" i="2"/>
  <c r="R1817" i="2"/>
  <c r="Q1817" i="2"/>
  <c r="P1817" i="2"/>
  <c r="O1817" i="2"/>
  <c r="N1817" i="2"/>
  <c r="M1817" i="2"/>
  <c r="L1817" i="2"/>
  <c r="K1817" i="2"/>
  <c r="J1817" i="2"/>
  <c r="I1817" i="2"/>
  <c r="H1817" i="2"/>
  <c r="G1817" i="2"/>
  <c r="F1817" i="2"/>
  <c r="E1817" i="2"/>
  <c r="D1817" i="2"/>
  <c r="C1817" i="2"/>
  <c r="B1817" i="2"/>
  <c r="V1816" i="2"/>
  <c r="U1816" i="2"/>
  <c r="T1816" i="2"/>
  <c r="S1816" i="2"/>
  <c r="R1816" i="2"/>
  <c r="Q1816" i="2"/>
  <c r="P1816" i="2"/>
  <c r="O1816" i="2"/>
  <c r="N1816" i="2"/>
  <c r="M1816" i="2"/>
  <c r="L1816" i="2"/>
  <c r="K1816" i="2"/>
  <c r="J1816" i="2"/>
  <c r="I1816" i="2"/>
  <c r="H1816" i="2"/>
  <c r="G1816" i="2"/>
  <c r="F1816" i="2"/>
  <c r="E1816" i="2"/>
  <c r="D1816" i="2"/>
  <c r="C1816" i="2"/>
  <c r="B1816" i="2"/>
  <c r="V1815" i="2"/>
  <c r="U1815" i="2"/>
  <c r="T1815" i="2"/>
  <c r="S1815" i="2"/>
  <c r="R1815" i="2"/>
  <c r="Q1815" i="2"/>
  <c r="P1815" i="2"/>
  <c r="O1815" i="2"/>
  <c r="N1815" i="2"/>
  <c r="M1815" i="2"/>
  <c r="L1815" i="2"/>
  <c r="K1815" i="2"/>
  <c r="J1815" i="2"/>
  <c r="I1815" i="2"/>
  <c r="H1815" i="2"/>
  <c r="G1815" i="2"/>
  <c r="F1815" i="2"/>
  <c r="E1815" i="2"/>
  <c r="D1815" i="2"/>
  <c r="C1815" i="2"/>
  <c r="B1815" i="2"/>
  <c r="V1814" i="2"/>
  <c r="U1814" i="2"/>
  <c r="T1814" i="2"/>
  <c r="S1814" i="2"/>
  <c r="R1814" i="2"/>
  <c r="Q1814" i="2"/>
  <c r="P1814" i="2"/>
  <c r="O1814" i="2"/>
  <c r="N1814" i="2"/>
  <c r="M1814" i="2"/>
  <c r="L1814" i="2"/>
  <c r="K1814" i="2"/>
  <c r="J1814" i="2"/>
  <c r="I1814" i="2"/>
  <c r="H1814" i="2"/>
  <c r="G1814" i="2"/>
  <c r="F1814" i="2"/>
  <c r="E1814" i="2"/>
  <c r="D1814" i="2"/>
  <c r="C1814" i="2"/>
  <c r="B1814" i="2"/>
  <c r="V1813" i="2"/>
  <c r="U1813" i="2"/>
  <c r="T1813" i="2"/>
  <c r="S1813" i="2"/>
  <c r="R1813" i="2"/>
  <c r="Q1813" i="2"/>
  <c r="P1813" i="2"/>
  <c r="O1813" i="2"/>
  <c r="N1813" i="2"/>
  <c r="M1813" i="2"/>
  <c r="L1813" i="2"/>
  <c r="K1813" i="2"/>
  <c r="J1813" i="2"/>
  <c r="I1813" i="2"/>
  <c r="H1813" i="2"/>
  <c r="G1813" i="2"/>
  <c r="F1813" i="2"/>
  <c r="E1813" i="2"/>
  <c r="D1813" i="2"/>
  <c r="C1813" i="2"/>
  <c r="B1813" i="2"/>
  <c r="V1812" i="2"/>
  <c r="U1812" i="2"/>
  <c r="T1812" i="2"/>
  <c r="S1812" i="2"/>
  <c r="R1812" i="2"/>
  <c r="Q1812" i="2"/>
  <c r="P1812" i="2"/>
  <c r="O1812" i="2"/>
  <c r="N1812" i="2"/>
  <c r="M1812" i="2"/>
  <c r="L1812" i="2"/>
  <c r="K1812" i="2"/>
  <c r="J1812" i="2"/>
  <c r="I1812" i="2"/>
  <c r="H1812" i="2"/>
  <c r="G1812" i="2"/>
  <c r="F1812" i="2"/>
  <c r="E1812" i="2"/>
  <c r="D1812" i="2"/>
  <c r="C1812" i="2"/>
  <c r="B1812" i="2"/>
  <c r="V1811" i="2"/>
  <c r="U1811" i="2"/>
  <c r="T1811" i="2"/>
  <c r="S1811" i="2"/>
  <c r="R1811" i="2"/>
  <c r="Q1811" i="2"/>
  <c r="P1811" i="2"/>
  <c r="O1811" i="2"/>
  <c r="N1811" i="2"/>
  <c r="M1811" i="2"/>
  <c r="L1811" i="2"/>
  <c r="K1811" i="2"/>
  <c r="J1811" i="2"/>
  <c r="I1811" i="2"/>
  <c r="H1811" i="2"/>
  <c r="G1811" i="2"/>
  <c r="F1811" i="2"/>
  <c r="E1811" i="2"/>
  <c r="D1811" i="2"/>
  <c r="C1811" i="2"/>
  <c r="B1811" i="2"/>
  <c r="V1810" i="2"/>
  <c r="U1810" i="2"/>
  <c r="T1810" i="2"/>
  <c r="S1810" i="2"/>
  <c r="R1810" i="2"/>
  <c r="Q1810" i="2"/>
  <c r="P1810" i="2"/>
  <c r="O1810" i="2"/>
  <c r="N1810" i="2"/>
  <c r="M1810" i="2"/>
  <c r="L1810" i="2"/>
  <c r="K1810" i="2"/>
  <c r="J1810" i="2"/>
  <c r="I1810" i="2"/>
  <c r="H1810" i="2"/>
  <c r="G1810" i="2"/>
  <c r="F1810" i="2"/>
  <c r="E1810" i="2"/>
  <c r="D1810" i="2"/>
  <c r="C1810" i="2"/>
  <c r="B1810" i="2"/>
  <c r="V1809" i="2"/>
  <c r="U1809" i="2"/>
  <c r="T1809" i="2"/>
  <c r="S1809" i="2"/>
  <c r="R1809" i="2"/>
  <c r="Q1809" i="2"/>
  <c r="P1809" i="2"/>
  <c r="O1809" i="2"/>
  <c r="N1809" i="2"/>
  <c r="M1809" i="2"/>
  <c r="L1809" i="2"/>
  <c r="K1809" i="2"/>
  <c r="J1809" i="2"/>
  <c r="I1809" i="2"/>
  <c r="H1809" i="2"/>
  <c r="G1809" i="2"/>
  <c r="F1809" i="2"/>
  <c r="E1809" i="2"/>
  <c r="D1809" i="2"/>
  <c r="C1809" i="2"/>
  <c r="B1809" i="2"/>
  <c r="V1808" i="2"/>
  <c r="U1808" i="2"/>
  <c r="T1808" i="2"/>
  <c r="S1808" i="2"/>
  <c r="R1808" i="2"/>
  <c r="Q1808" i="2"/>
  <c r="P1808" i="2"/>
  <c r="O1808" i="2"/>
  <c r="N1808" i="2"/>
  <c r="M1808" i="2"/>
  <c r="L1808" i="2"/>
  <c r="K1808" i="2"/>
  <c r="J1808" i="2"/>
  <c r="I1808" i="2"/>
  <c r="H1808" i="2"/>
  <c r="G1808" i="2"/>
  <c r="F1808" i="2"/>
  <c r="E1808" i="2"/>
  <c r="D1808" i="2"/>
  <c r="C1808" i="2"/>
  <c r="B1808" i="2"/>
  <c r="V1807" i="2"/>
  <c r="U1807" i="2"/>
  <c r="T1807" i="2"/>
  <c r="S1807" i="2"/>
  <c r="R1807" i="2"/>
  <c r="Q1807" i="2"/>
  <c r="P1807" i="2"/>
  <c r="O1807" i="2"/>
  <c r="N1807" i="2"/>
  <c r="M1807" i="2"/>
  <c r="L1807" i="2"/>
  <c r="K1807" i="2"/>
  <c r="J1807" i="2"/>
  <c r="I1807" i="2"/>
  <c r="H1807" i="2"/>
  <c r="G1807" i="2"/>
  <c r="F1807" i="2"/>
  <c r="E1807" i="2"/>
  <c r="D1807" i="2"/>
  <c r="C1807" i="2"/>
  <c r="B1807" i="2"/>
  <c r="V1806" i="2"/>
  <c r="U1806" i="2"/>
  <c r="T1806" i="2"/>
  <c r="S1806" i="2"/>
  <c r="R1806" i="2"/>
  <c r="Q1806" i="2"/>
  <c r="P1806" i="2"/>
  <c r="O1806" i="2"/>
  <c r="N1806" i="2"/>
  <c r="M1806" i="2"/>
  <c r="L1806" i="2"/>
  <c r="K1806" i="2"/>
  <c r="J1806" i="2"/>
  <c r="I1806" i="2"/>
  <c r="H1806" i="2"/>
  <c r="G1806" i="2"/>
  <c r="F1806" i="2"/>
  <c r="E1806" i="2"/>
  <c r="D1806" i="2"/>
  <c r="C1806" i="2"/>
  <c r="B1806" i="2"/>
  <c r="V1805" i="2"/>
  <c r="U1805" i="2"/>
  <c r="T1805" i="2"/>
  <c r="S1805" i="2"/>
  <c r="R1805" i="2"/>
  <c r="Q1805" i="2"/>
  <c r="P1805" i="2"/>
  <c r="O1805" i="2"/>
  <c r="N1805" i="2"/>
  <c r="M1805" i="2"/>
  <c r="L1805" i="2"/>
  <c r="K1805" i="2"/>
  <c r="J1805" i="2"/>
  <c r="I1805" i="2"/>
  <c r="H1805" i="2"/>
  <c r="G1805" i="2"/>
  <c r="F1805" i="2"/>
  <c r="E1805" i="2"/>
  <c r="D1805" i="2"/>
  <c r="C1805" i="2"/>
  <c r="B1805" i="2"/>
  <c r="V1804" i="2"/>
  <c r="U1804" i="2"/>
  <c r="T1804" i="2"/>
  <c r="S1804" i="2"/>
  <c r="R1804" i="2"/>
  <c r="Q1804" i="2"/>
  <c r="P1804" i="2"/>
  <c r="O1804" i="2"/>
  <c r="N1804" i="2"/>
  <c r="M1804" i="2"/>
  <c r="L1804" i="2"/>
  <c r="K1804" i="2"/>
  <c r="J1804" i="2"/>
  <c r="I1804" i="2"/>
  <c r="H1804" i="2"/>
  <c r="G1804" i="2"/>
  <c r="F1804" i="2"/>
  <c r="E1804" i="2"/>
  <c r="D1804" i="2"/>
  <c r="C1804" i="2"/>
  <c r="B1804" i="2"/>
  <c r="V1803" i="2"/>
  <c r="U1803" i="2"/>
  <c r="T1803" i="2"/>
  <c r="S1803" i="2"/>
  <c r="R1803" i="2"/>
  <c r="Q1803" i="2"/>
  <c r="P1803" i="2"/>
  <c r="O1803" i="2"/>
  <c r="N1803" i="2"/>
  <c r="M1803" i="2"/>
  <c r="L1803" i="2"/>
  <c r="K1803" i="2"/>
  <c r="J1803" i="2"/>
  <c r="I1803" i="2"/>
  <c r="H1803" i="2"/>
  <c r="G1803" i="2"/>
  <c r="F1803" i="2"/>
  <c r="E1803" i="2"/>
  <c r="D1803" i="2"/>
  <c r="C1803" i="2"/>
  <c r="B1803" i="2"/>
  <c r="V1802" i="2"/>
  <c r="U1802" i="2"/>
  <c r="T1802" i="2"/>
  <c r="S1802" i="2"/>
  <c r="R1802" i="2"/>
  <c r="Q1802" i="2"/>
  <c r="P1802" i="2"/>
  <c r="O1802" i="2"/>
  <c r="N1802" i="2"/>
  <c r="M1802" i="2"/>
  <c r="L1802" i="2"/>
  <c r="K1802" i="2"/>
  <c r="J1802" i="2"/>
  <c r="I1802" i="2"/>
  <c r="H1802" i="2"/>
  <c r="G1802" i="2"/>
  <c r="F1802" i="2"/>
  <c r="E1802" i="2"/>
  <c r="D1802" i="2"/>
  <c r="C1802" i="2"/>
  <c r="B1802" i="2"/>
  <c r="V1801" i="2"/>
  <c r="U1801" i="2"/>
  <c r="T1801" i="2"/>
  <c r="S1801" i="2"/>
  <c r="R1801" i="2"/>
  <c r="Q1801" i="2"/>
  <c r="P1801" i="2"/>
  <c r="O1801" i="2"/>
  <c r="N1801" i="2"/>
  <c r="M1801" i="2"/>
  <c r="L1801" i="2"/>
  <c r="K1801" i="2"/>
  <c r="J1801" i="2"/>
  <c r="I1801" i="2"/>
  <c r="H1801" i="2"/>
  <c r="G1801" i="2"/>
  <c r="F1801" i="2"/>
  <c r="E1801" i="2"/>
  <c r="D1801" i="2"/>
  <c r="C1801" i="2"/>
  <c r="B1801" i="2"/>
  <c r="V1800" i="2"/>
  <c r="U1800" i="2"/>
  <c r="T1800" i="2"/>
  <c r="S1800" i="2"/>
  <c r="R1800" i="2"/>
  <c r="Q1800" i="2"/>
  <c r="P1800" i="2"/>
  <c r="O1800" i="2"/>
  <c r="N1800" i="2"/>
  <c r="M1800" i="2"/>
  <c r="L1800" i="2"/>
  <c r="K1800" i="2"/>
  <c r="J1800" i="2"/>
  <c r="I1800" i="2"/>
  <c r="H1800" i="2"/>
  <c r="G1800" i="2"/>
  <c r="F1800" i="2"/>
  <c r="E1800" i="2"/>
  <c r="D1800" i="2"/>
  <c r="C1800" i="2"/>
  <c r="B1800" i="2"/>
  <c r="V1799" i="2"/>
  <c r="U1799" i="2"/>
  <c r="T1799" i="2"/>
  <c r="S1799" i="2"/>
  <c r="R1799" i="2"/>
  <c r="Q1799" i="2"/>
  <c r="P1799" i="2"/>
  <c r="O1799" i="2"/>
  <c r="N1799" i="2"/>
  <c r="M1799" i="2"/>
  <c r="L1799" i="2"/>
  <c r="K1799" i="2"/>
  <c r="J1799" i="2"/>
  <c r="I1799" i="2"/>
  <c r="H1799" i="2"/>
  <c r="G1799" i="2"/>
  <c r="F1799" i="2"/>
  <c r="E1799" i="2"/>
  <c r="D1799" i="2"/>
  <c r="C1799" i="2"/>
  <c r="B1799" i="2"/>
  <c r="V1798" i="2"/>
  <c r="U1798" i="2"/>
  <c r="T1798" i="2"/>
  <c r="S1798" i="2"/>
  <c r="R1798" i="2"/>
  <c r="Q1798" i="2"/>
  <c r="P1798" i="2"/>
  <c r="O1798" i="2"/>
  <c r="N1798" i="2"/>
  <c r="M1798" i="2"/>
  <c r="L1798" i="2"/>
  <c r="K1798" i="2"/>
  <c r="J1798" i="2"/>
  <c r="I1798" i="2"/>
  <c r="H1798" i="2"/>
  <c r="G1798" i="2"/>
  <c r="F1798" i="2"/>
  <c r="E1798" i="2"/>
  <c r="D1798" i="2"/>
  <c r="C1798" i="2"/>
  <c r="B1798" i="2"/>
  <c r="V1797" i="2"/>
  <c r="U1797" i="2"/>
  <c r="T1797" i="2"/>
  <c r="S1797" i="2"/>
  <c r="R1797" i="2"/>
  <c r="Q1797" i="2"/>
  <c r="P1797" i="2"/>
  <c r="O1797" i="2"/>
  <c r="N1797" i="2"/>
  <c r="M1797" i="2"/>
  <c r="L1797" i="2"/>
  <c r="K1797" i="2"/>
  <c r="J1797" i="2"/>
  <c r="I1797" i="2"/>
  <c r="H1797" i="2"/>
  <c r="G1797" i="2"/>
  <c r="F1797" i="2"/>
  <c r="E1797" i="2"/>
  <c r="D1797" i="2"/>
  <c r="C1797" i="2"/>
  <c r="B1797" i="2"/>
  <c r="V1796" i="2"/>
  <c r="U1796" i="2"/>
  <c r="T1796" i="2"/>
  <c r="S1796" i="2"/>
  <c r="R1796" i="2"/>
  <c r="Q1796" i="2"/>
  <c r="P1796" i="2"/>
  <c r="O1796" i="2"/>
  <c r="N1796" i="2"/>
  <c r="M1796" i="2"/>
  <c r="L1796" i="2"/>
  <c r="K1796" i="2"/>
  <c r="J1796" i="2"/>
  <c r="I1796" i="2"/>
  <c r="H1796" i="2"/>
  <c r="G1796" i="2"/>
  <c r="F1796" i="2"/>
  <c r="E1796" i="2"/>
  <c r="D1796" i="2"/>
  <c r="C1796" i="2"/>
  <c r="B1796" i="2"/>
  <c r="V1795" i="2"/>
  <c r="U1795" i="2"/>
  <c r="T1795" i="2"/>
  <c r="S1795" i="2"/>
  <c r="R1795" i="2"/>
  <c r="Q1795" i="2"/>
  <c r="P1795" i="2"/>
  <c r="O1795" i="2"/>
  <c r="N1795" i="2"/>
  <c r="M1795" i="2"/>
  <c r="L1795" i="2"/>
  <c r="K1795" i="2"/>
  <c r="J1795" i="2"/>
  <c r="I1795" i="2"/>
  <c r="H1795" i="2"/>
  <c r="G1795" i="2"/>
  <c r="F1795" i="2"/>
  <c r="E1795" i="2"/>
  <c r="D1795" i="2"/>
  <c r="C1795" i="2"/>
  <c r="B1795" i="2"/>
  <c r="V1794" i="2"/>
  <c r="U1794" i="2"/>
  <c r="T1794" i="2"/>
  <c r="S1794" i="2"/>
  <c r="R1794" i="2"/>
  <c r="Q1794" i="2"/>
  <c r="P1794" i="2"/>
  <c r="O1794" i="2"/>
  <c r="N1794" i="2"/>
  <c r="M1794" i="2"/>
  <c r="L1794" i="2"/>
  <c r="K1794" i="2"/>
  <c r="J1794" i="2"/>
  <c r="I1794" i="2"/>
  <c r="H1794" i="2"/>
  <c r="G1794" i="2"/>
  <c r="F1794" i="2"/>
  <c r="E1794" i="2"/>
  <c r="D1794" i="2"/>
  <c r="C1794" i="2"/>
  <c r="B1794" i="2"/>
  <c r="V1793" i="2"/>
  <c r="U1793" i="2"/>
  <c r="T1793" i="2"/>
  <c r="S1793" i="2"/>
  <c r="R1793" i="2"/>
  <c r="Q1793" i="2"/>
  <c r="P1793" i="2"/>
  <c r="O1793" i="2"/>
  <c r="N1793" i="2"/>
  <c r="M1793" i="2"/>
  <c r="L1793" i="2"/>
  <c r="K1793" i="2"/>
  <c r="J1793" i="2"/>
  <c r="I1793" i="2"/>
  <c r="H1793" i="2"/>
  <c r="G1793" i="2"/>
  <c r="F1793" i="2"/>
  <c r="E1793" i="2"/>
  <c r="D1793" i="2"/>
  <c r="C1793" i="2"/>
  <c r="B1793" i="2"/>
  <c r="V1792" i="2"/>
  <c r="U1792" i="2"/>
  <c r="T1792" i="2"/>
  <c r="S1792" i="2"/>
  <c r="R1792" i="2"/>
  <c r="Q1792" i="2"/>
  <c r="P1792" i="2"/>
  <c r="O1792" i="2"/>
  <c r="N1792" i="2"/>
  <c r="M1792" i="2"/>
  <c r="L1792" i="2"/>
  <c r="K1792" i="2"/>
  <c r="J1792" i="2"/>
  <c r="I1792" i="2"/>
  <c r="H1792" i="2"/>
  <c r="G1792" i="2"/>
  <c r="F1792" i="2"/>
  <c r="E1792" i="2"/>
  <c r="D1792" i="2"/>
  <c r="C1792" i="2"/>
  <c r="B1792" i="2"/>
  <c r="V1791" i="2"/>
  <c r="U1791" i="2"/>
  <c r="T1791" i="2"/>
  <c r="S1791" i="2"/>
  <c r="R1791" i="2"/>
  <c r="Q1791" i="2"/>
  <c r="P1791" i="2"/>
  <c r="O1791" i="2"/>
  <c r="N1791" i="2"/>
  <c r="M1791" i="2"/>
  <c r="L1791" i="2"/>
  <c r="K1791" i="2"/>
  <c r="J1791" i="2"/>
  <c r="I1791" i="2"/>
  <c r="H1791" i="2"/>
  <c r="G1791" i="2"/>
  <c r="F1791" i="2"/>
  <c r="E1791" i="2"/>
  <c r="D1791" i="2"/>
  <c r="C1791" i="2"/>
  <c r="B1791" i="2"/>
  <c r="V1790" i="2"/>
  <c r="U1790" i="2"/>
  <c r="T1790" i="2"/>
  <c r="S1790" i="2"/>
  <c r="R1790" i="2"/>
  <c r="Q1790" i="2"/>
  <c r="P1790" i="2"/>
  <c r="O1790" i="2"/>
  <c r="N1790" i="2"/>
  <c r="M1790" i="2"/>
  <c r="L1790" i="2"/>
  <c r="K1790" i="2"/>
  <c r="J1790" i="2"/>
  <c r="I1790" i="2"/>
  <c r="H1790" i="2"/>
  <c r="G1790" i="2"/>
  <c r="F1790" i="2"/>
  <c r="E1790" i="2"/>
  <c r="D1790" i="2"/>
  <c r="C1790" i="2"/>
  <c r="B1790" i="2"/>
  <c r="V1789" i="2"/>
  <c r="U1789" i="2"/>
  <c r="T1789" i="2"/>
  <c r="S1789" i="2"/>
  <c r="R1789" i="2"/>
  <c r="Q1789" i="2"/>
  <c r="P1789" i="2"/>
  <c r="O1789" i="2"/>
  <c r="N1789" i="2"/>
  <c r="M1789" i="2"/>
  <c r="L1789" i="2"/>
  <c r="K1789" i="2"/>
  <c r="J1789" i="2"/>
  <c r="I1789" i="2"/>
  <c r="H1789" i="2"/>
  <c r="G1789" i="2"/>
  <c r="F1789" i="2"/>
  <c r="E1789" i="2"/>
  <c r="D1789" i="2"/>
  <c r="C1789" i="2"/>
  <c r="B1789" i="2"/>
  <c r="V1788" i="2"/>
  <c r="U1788" i="2"/>
  <c r="T1788" i="2"/>
  <c r="S1788" i="2"/>
  <c r="R1788" i="2"/>
  <c r="Q1788" i="2"/>
  <c r="P1788" i="2"/>
  <c r="O1788" i="2"/>
  <c r="N1788" i="2"/>
  <c r="M1788" i="2"/>
  <c r="L1788" i="2"/>
  <c r="K1788" i="2"/>
  <c r="J1788" i="2"/>
  <c r="I1788" i="2"/>
  <c r="H1788" i="2"/>
  <c r="G1788" i="2"/>
  <c r="F1788" i="2"/>
  <c r="E1788" i="2"/>
  <c r="D1788" i="2"/>
  <c r="C1788" i="2"/>
  <c r="B1788" i="2"/>
  <c r="V1787" i="2"/>
  <c r="U1787" i="2"/>
  <c r="T1787" i="2"/>
  <c r="S1787" i="2"/>
  <c r="R1787" i="2"/>
  <c r="Q1787" i="2"/>
  <c r="P1787" i="2"/>
  <c r="O1787" i="2"/>
  <c r="N1787" i="2"/>
  <c r="M1787" i="2"/>
  <c r="L1787" i="2"/>
  <c r="K1787" i="2"/>
  <c r="J1787" i="2"/>
  <c r="I1787" i="2"/>
  <c r="H1787" i="2"/>
  <c r="G1787" i="2"/>
  <c r="F1787" i="2"/>
  <c r="E1787" i="2"/>
  <c r="D1787" i="2"/>
  <c r="C1787" i="2"/>
  <c r="B1787" i="2"/>
  <c r="V1786" i="2"/>
  <c r="U1786" i="2"/>
  <c r="T1786" i="2"/>
  <c r="S1786" i="2"/>
  <c r="R1786" i="2"/>
  <c r="Q1786" i="2"/>
  <c r="P1786" i="2"/>
  <c r="O1786" i="2"/>
  <c r="N1786" i="2"/>
  <c r="M1786" i="2"/>
  <c r="L1786" i="2"/>
  <c r="K1786" i="2"/>
  <c r="J1786" i="2"/>
  <c r="I1786" i="2"/>
  <c r="H1786" i="2"/>
  <c r="G1786" i="2"/>
  <c r="F1786" i="2"/>
  <c r="E1786" i="2"/>
  <c r="D1786" i="2"/>
  <c r="C1786" i="2"/>
  <c r="B1786" i="2"/>
  <c r="V1785" i="2"/>
  <c r="U1785" i="2"/>
  <c r="T1785" i="2"/>
  <c r="S1785" i="2"/>
  <c r="R1785" i="2"/>
  <c r="Q1785" i="2"/>
  <c r="P1785" i="2"/>
  <c r="O1785" i="2"/>
  <c r="N1785" i="2"/>
  <c r="M1785" i="2"/>
  <c r="L1785" i="2"/>
  <c r="K1785" i="2"/>
  <c r="J1785" i="2"/>
  <c r="I1785" i="2"/>
  <c r="H1785" i="2"/>
  <c r="G1785" i="2"/>
  <c r="F1785" i="2"/>
  <c r="E1785" i="2"/>
  <c r="D1785" i="2"/>
  <c r="C1785" i="2"/>
  <c r="B1785" i="2"/>
  <c r="V1784" i="2"/>
  <c r="U1784" i="2"/>
  <c r="T1784" i="2"/>
  <c r="S1784" i="2"/>
  <c r="R1784" i="2"/>
  <c r="Q1784" i="2"/>
  <c r="P1784" i="2"/>
  <c r="O1784" i="2"/>
  <c r="N1784" i="2"/>
  <c r="M1784" i="2"/>
  <c r="L1784" i="2"/>
  <c r="K1784" i="2"/>
  <c r="J1784" i="2"/>
  <c r="I1784" i="2"/>
  <c r="H1784" i="2"/>
  <c r="G1784" i="2"/>
  <c r="F1784" i="2"/>
  <c r="E1784" i="2"/>
  <c r="D1784" i="2"/>
  <c r="C1784" i="2"/>
  <c r="B1784" i="2"/>
  <c r="V1783" i="2"/>
  <c r="U1783" i="2"/>
  <c r="T1783" i="2"/>
  <c r="S1783" i="2"/>
  <c r="R1783" i="2"/>
  <c r="Q1783" i="2"/>
  <c r="P1783" i="2"/>
  <c r="O1783" i="2"/>
  <c r="N1783" i="2"/>
  <c r="M1783" i="2"/>
  <c r="L1783" i="2"/>
  <c r="K1783" i="2"/>
  <c r="J1783" i="2"/>
  <c r="I1783" i="2"/>
  <c r="H1783" i="2"/>
  <c r="G1783" i="2"/>
  <c r="F1783" i="2"/>
  <c r="E1783" i="2"/>
  <c r="D1783" i="2"/>
  <c r="C1783" i="2"/>
  <c r="B1783" i="2"/>
  <c r="V1782" i="2"/>
  <c r="U1782" i="2"/>
  <c r="T1782" i="2"/>
  <c r="S1782" i="2"/>
  <c r="R1782" i="2"/>
  <c r="Q1782" i="2"/>
  <c r="P1782" i="2"/>
  <c r="O1782" i="2"/>
  <c r="N1782" i="2"/>
  <c r="M1782" i="2"/>
  <c r="L1782" i="2"/>
  <c r="K1782" i="2"/>
  <c r="J1782" i="2"/>
  <c r="I1782" i="2"/>
  <c r="H1782" i="2"/>
  <c r="G1782" i="2"/>
  <c r="F1782" i="2"/>
  <c r="E1782" i="2"/>
  <c r="D1782" i="2"/>
  <c r="C1782" i="2"/>
  <c r="B1782" i="2"/>
  <c r="V1781" i="2"/>
  <c r="U1781" i="2"/>
  <c r="T1781" i="2"/>
  <c r="S1781" i="2"/>
  <c r="R1781" i="2"/>
  <c r="Q1781" i="2"/>
  <c r="P1781" i="2"/>
  <c r="O1781" i="2"/>
  <c r="N1781" i="2"/>
  <c r="M1781" i="2"/>
  <c r="L1781" i="2"/>
  <c r="K1781" i="2"/>
  <c r="J1781" i="2"/>
  <c r="I1781" i="2"/>
  <c r="H1781" i="2"/>
  <c r="G1781" i="2"/>
  <c r="F1781" i="2"/>
  <c r="E1781" i="2"/>
  <c r="D1781" i="2"/>
  <c r="C1781" i="2"/>
  <c r="B1781" i="2"/>
  <c r="V1780" i="2"/>
  <c r="U1780" i="2"/>
  <c r="T1780" i="2"/>
  <c r="S1780" i="2"/>
  <c r="R1780" i="2"/>
  <c r="Q1780" i="2"/>
  <c r="P1780" i="2"/>
  <c r="O1780" i="2"/>
  <c r="N1780" i="2"/>
  <c r="M1780" i="2"/>
  <c r="L1780" i="2"/>
  <c r="K1780" i="2"/>
  <c r="J1780" i="2"/>
  <c r="I1780" i="2"/>
  <c r="H1780" i="2"/>
  <c r="G1780" i="2"/>
  <c r="F1780" i="2"/>
  <c r="E1780" i="2"/>
  <c r="D1780" i="2"/>
  <c r="C1780" i="2"/>
  <c r="B1780" i="2"/>
  <c r="V1779" i="2"/>
  <c r="U1779" i="2"/>
  <c r="T1779" i="2"/>
  <c r="S1779" i="2"/>
  <c r="R1779" i="2"/>
  <c r="Q1779" i="2"/>
  <c r="P1779" i="2"/>
  <c r="O1779" i="2"/>
  <c r="N1779" i="2"/>
  <c r="M1779" i="2"/>
  <c r="L1779" i="2"/>
  <c r="K1779" i="2"/>
  <c r="J1779" i="2"/>
  <c r="I1779" i="2"/>
  <c r="H1779" i="2"/>
  <c r="G1779" i="2"/>
  <c r="F1779" i="2"/>
  <c r="E1779" i="2"/>
  <c r="D1779" i="2"/>
  <c r="C1779" i="2"/>
  <c r="B1779" i="2"/>
  <c r="V1778" i="2"/>
  <c r="U1778" i="2"/>
  <c r="T1778" i="2"/>
  <c r="S1778" i="2"/>
  <c r="R1778" i="2"/>
  <c r="Q1778" i="2"/>
  <c r="P1778" i="2"/>
  <c r="O1778" i="2"/>
  <c r="N1778" i="2"/>
  <c r="M1778" i="2"/>
  <c r="L1778" i="2"/>
  <c r="K1778" i="2"/>
  <c r="J1778" i="2"/>
  <c r="I1778" i="2"/>
  <c r="H1778" i="2"/>
  <c r="G1778" i="2"/>
  <c r="F1778" i="2"/>
  <c r="E1778" i="2"/>
  <c r="D1778" i="2"/>
  <c r="C1778" i="2"/>
  <c r="B1778" i="2"/>
  <c r="V1777" i="2"/>
  <c r="U1777" i="2"/>
  <c r="T1777" i="2"/>
  <c r="S1777" i="2"/>
  <c r="R1777" i="2"/>
  <c r="Q1777" i="2"/>
  <c r="P1777" i="2"/>
  <c r="O1777" i="2"/>
  <c r="N1777" i="2"/>
  <c r="M1777" i="2"/>
  <c r="L1777" i="2"/>
  <c r="K1777" i="2"/>
  <c r="J1777" i="2"/>
  <c r="I1777" i="2"/>
  <c r="H1777" i="2"/>
  <c r="G1777" i="2"/>
  <c r="F1777" i="2"/>
  <c r="E1777" i="2"/>
  <c r="D1777" i="2"/>
  <c r="C1777" i="2"/>
  <c r="B1777" i="2"/>
  <c r="V1776" i="2"/>
  <c r="U1776" i="2"/>
  <c r="T1776" i="2"/>
  <c r="S1776" i="2"/>
  <c r="R1776" i="2"/>
  <c r="Q1776" i="2"/>
  <c r="P1776" i="2"/>
  <c r="O1776" i="2"/>
  <c r="N1776" i="2"/>
  <c r="M1776" i="2"/>
  <c r="L1776" i="2"/>
  <c r="K1776" i="2"/>
  <c r="J1776" i="2"/>
  <c r="I1776" i="2"/>
  <c r="H1776" i="2"/>
  <c r="G1776" i="2"/>
  <c r="F1776" i="2"/>
  <c r="E1776" i="2"/>
  <c r="D1776" i="2"/>
  <c r="C1776" i="2"/>
  <c r="B1776" i="2"/>
  <c r="V1775" i="2"/>
  <c r="U1775" i="2"/>
  <c r="T1775" i="2"/>
  <c r="S1775" i="2"/>
  <c r="R1775" i="2"/>
  <c r="Q1775" i="2"/>
  <c r="P1775" i="2"/>
  <c r="O1775" i="2"/>
  <c r="N1775" i="2"/>
  <c r="M1775" i="2"/>
  <c r="L1775" i="2"/>
  <c r="K1775" i="2"/>
  <c r="J1775" i="2"/>
  <c r="I1775" i="2"/>
  <c r="H1775" i="2"/>
  <c r="G1775" i="2"/>
  <c r="F1775" i="2"/>
  <c r="E1775" i="2"/>
  <c r="D1775" i="2"/>
  <c r="C1775" i="2"/>
  <c r="B1775" i="2"/>
  <c r="V1774" i="2"/>
  <c r="U1774" i="2"/>
  <c r="T1774" i="2"/>
  <c r="S1774" i="2"/>
  <c r="R1774" i="2"/>
  <c r="Q1774" i="2"/>
  <c r="P1774" i="2"/>
  <c r="O1774" i="2"/>
  <c r="N1774" i="2"/>
  <c r="M1774" i="2"/>
  <c r="L1774" i="2"/>
  <c r="K1774" i="2"/>
  <c r="J1774" i="2"/>
  <c r="I1774" i="2"/>
  <c r="H1774" i="2"/>
  <c r="G1774" i="2"/>
  <c r="F1774" i="2"/>
  <c r="E1774" i="2"/>
  <c r="D1774" i="2"/>
  <c r="C1774" i="2"/>
  <c r="B1774" i="2"/>
  <c r="V1773" i="2"/>
  <c r="U1773" i="2"/>
  <c r="T1773" i="2"/>
  <c r="S1773" i="2"/>
  <c r="R1773" i="2"/>
  <c r="Q1773" i="2"/>
  <c r="P1773" i="2"/>
  <c r="O1773" i="2"/>
  <c r="N1773" i="2"/>
  <c r="M1773" i="2"/>
  <c r="L1773" i="2"/>
  <c r="K1773" i="2"/>
  <c r="J1773" i="2"/>
  <c r="I1773" i="2"/>
  <c r="H1773" i="2"/>
  <c r="G1773" i="2"/>
  <c r="F1773" i="2"/>
  <c r="E1773" i="2"/>
  <c r="D1773" i="2"/>
  <c r="C1773" i="2"/>
  <c r="B1773" i="2"/>
  <c r="V1772" i="2"/>
  <c r="U1772" i="2"/>
  <c r="T1772" i="2"/>
  <c r="S1772" i="2"/>
  <c r="R1772" i="2"/>
  <c r="Q1772" i="2"/>
  <c r="P1772" i="2"/>
  <c r="O1772" i="2"/>
  <c r="N1772" i="2"/>
  <c r="M1772" i="2"/>
  <c r="L1772" i="2"/>
  <c r="K1772" i="2"/>
  <c r="J1772" i="2"/>
  <c r="I1772" i="2"/>
  <c r="H1772" i="2"/>
  <c r="G1772" i="2"/>
  <c r="F1772" i="2"/>
  <c r="E1772" i="2"/>
  <c r="D1772" i="2"/>
  <c r="C1772" i="2"/>
  <c r="B1772" i="2"/>
  <c r="V1771" i="2"/>
  <c r="U1771" i="2"/>
  <c r="T1771" i="2"/>
  <c r="S1771" i="2"/>
  <c r="R1771" i="2"/>
  <c r="Q1771" i="2"/>
  <c r="P1771" i="2"/>
  <c r="O1771" i="2"/>
  <c r="N1771" i="2"/>
  <c r="M1771" i="2"/>
  <c r="L1771" i="2"/>
  <c r="K1771" i="2"/>
  <c r="J1771" i="2"/>
  <c r="I1771" i="2"/>
  <c r="H1771" i="2"/>
  <c r="G1771" i="2"/>
  <c r="F1771" i="2"/>
  <c r="E1771" i="2"/>
  <c r="D1771" i="2"/>
  <c r="C1771" i="2"/>
  <c r="B1771" i="2"/>
  <c r="V1770" i="2"/>
  <c r="U1770" i="2"/>
  <c r="T1770" i="2"/>
  <c r="S1770" i="2"/>
  <c r="R1770" i="2"/>
  <c r="Q1770" i="2"/>
  <c r="P1770" i="2"/>
  <c r="O1770" i="2"/>
  <c r="N1770" i="2"/>
  <c r="M1770" i="2"/>
  <c r="L1770" i="2"/>
  <c r="K1770" i="2"/>
  <c r="J1770" i="2"/>
  <c r="I1770" i="2"/>
  <c r="H1770" i="2"/>
  <c r="G1770" i="2"/>
  <c r="F1770" i="2"/>
  <c r="E1770" i="2"/>
  <c r="D1770" i="2"/>
  <c r="C1770" i="2"/>
  <c r="B1770" i="2"/>
  <c r="V1769" i="2"/>
  <c r="U1769" i="2"/>
  <c r="T1769" i="2"/>
  <c r="S1769" i="2"/>
  <c r="R1769" i="2"/>
  <c r="Q1769" i="2"/>
  <c r="P1769" i="2"/>
  <c r="O1769" i="2"/>
  <c r="N1769" i="2"/>
  <c r="M1769" i="2"/>
  <c r="L1769" i="2"/>
  <c r="K1769" i="2"/>
  <c r="J1769" i="2"/>
  <c r="I1769" i="2"/>
  <c r="H1769" i="2"/>
  <c r="G1769" i="2"/>
  <c r="F1769" i="2"/>
  <c r="E1769" i="2"/>
  <c r="D1769" i="2"/>
  <c r="C1769" i="2"/>
  <c r="B1769" i="2"/>
  <c r="V1768" i="2"/>
  <c r="U1768" i="2"/>
  <c r="T1768" i="2"/>
  <c r="S1768" i="2"/>
  <c r="R1768" i="2"/>
  <c r="Q1768" i="2"/>
  <c r="P1768" i="2"/>
  <c r="O1768" i="2"/>
  <c r="N1768" i="2"/>
  <c r="M1768" i="2"/>
  <c r="L1768" i="2"/>
  <c r="K1768" i="2"/>
  <c r="J1768" i="2"/>
  <c r="I1768" i="2"/>
  <c r="H1768" i="2"/>
  <c r="G1768" i="2"/>
  <c r="F1768" i="2"/>
  <c r="E1768" i="2"/>
  <c r="D1768" i="2"/>
  <c r="C1768" i="2"/>
  <c r="B1768" i="2"/>
  <c r="V1767" i="2"/>
  <c r="U1767" i="2"/>
  <c r="T1767" i="2"/>
  <c r="S1767" i="2"/>
  <c r="R1767" i="2"/>
  <c r="Q1767" i="2"/>
  <c r="P1767" i="2"/>
  <c r="O1767" i="2"/>
  <c r="N1767" i="2"/>
  <c r="M1767" i="2"/>
  <c r="L1767" i="2"/>
  <c r="K1767" i="2"/>
  <c r="J1767" i="2"/>
  <c r="I1767" i="2"/>
  <c r="H1767" i="2"/>
  <c r="G1767" i="2"/>
  <c r="F1767" i="2"/>
  <c r="E1767" i="2"/>
  <c r="D1767" i="2"/>
  <c r="C1767" i="2"/>
  <c r="B1767" i="2"/>
  <c r="V1766" i="2"/>
  <c r="U1766" i="2"/>
  <c r="T1766" i="2"/>
  <c r="S1766" i="2"/>
  <c r="R1766" i="2"/>
  <c r="Q1766" i="2"/>
  <c r="P1766" i="2"/>
  <c r="O1766" i="2"/>
  <c r="N1766" i="2"/>
  <c r="M1766" i="2"/>
  <c r="L1766" i="2"/>
  <c r="K1766" i="2"/>
  <c r="J1766" i="2"/>
  <c r="I1766" i="2"/>
  <c r="H1766" i="2"/>
  <c r="G1766" i="2"/>
  <c r="F1766" i="2"/>
  <c r="E1766" i="2"/>
  <c r="D1766" i="2"/>
  <c r="C1766" i="2"/>
  <c r="B1766" i="2"/>
  <c r="V1765" i="2"/>
  <c r="U1765" i="2"/>
  <c r="T1765" i="2"/>
  <c r="S1765" i="2"/>
  <c r="R1765" i="2"/>
  <c r="Q1765" i="2"/>
  <c r="P1765" i="2"/>
  <c r="O1765" i="2"/>
  <c r="N1765" i="2"/>
  <c r="M1765" i="2"/>
  <c r="L1765" i="2"/>
  <c r="K1765" i="2"/>
  <c r="J1765" i="2"/>
  <c r="I1765" i="2"/>
  <c r="H1765" i="2"/>
  <c r="G1765" i="2"/>
  <c r="F1765" i="2"/>
  <c r="E1765" i="2"/>
  <c r="D1765" i="2"/>
  <c r="C1765" i="2"/>
  <c r="B1765" i="2"/>
  <c r="V1764" i="2"/>
  <c r="U1764" i="2"/>
  <c r="T1764" i="2"/>
  <c r="S1764" i="2"/>
  <c r="R1764" i="2"/>
  <c r="Q1764" i="2"/>
  <c r="P1764" i="2"/>
  <c r="O1764" i="2"/>
  <c r="N1764" i="2"/>
  <c r="M1764" i="2"/>
  <c r="L1764" i="2"/>
  <c r="K1764" i="2"/>
  <c r="J1764" i="2"/>
  <c r="I1764" i="2"/>
  <c r="H1764" i="2"/>
  <c r="G1764" i="2"/>
  <c r="F1764" i="2"/>
  <c r="E1764" i="2"/>
  <c r="D1764" i="2"/>
  <c r="C1764" i="2"/>
  <c r="B1764" i="2"/>
  <c r="V1763" i="2"/>
  <c r="U1763" i="2"/>
  <c r="T1763" i="2"/>
  <c r="S1763" i="2"/>
  <c r="R1763" i="2"/>
  <c r="Q1763" i="2"/>
  <c r="P1763" i="2"/>
  <c r="O1763" i="2"/>
  <c r="N1763" i="2"/>
  <c r="M1763" i="2"/>
  <c r="L1763" i="2"/>
  <c r="K1763" i="2"/>
  <c r="J1763" i="2"/>
  <c r="I1763" i="2"/>
  <c r="H1763" i="2"/>
  <c r="G1763" i="2"/>
  <c r="F1763" i="2"/>
  <c r="E1763" i="2"/>
  <c r="D1763" i="2"/>
  <c r="C1763" i="2"/>
  <c r="B1763" i="2"/>
  <c r="V1762" i="2"/>
  <c r="U1762" i="2"/>
  <c r="T1762" i="2"/>
  <c r="S1762" i="2"/>
  <c r="R1762" i="2"/>
  <c r="Q1762" i="2"/>
  <c r="P1762" i="2"/>
  <c r="O1762" i="2"/>
  <c r="N1762" i="2"/>
  <c r="M1762" i="2"/>
  <c r="L1762" i="2"/>
  <c r="K1762" i="2"/>
  <c r="J1762" i="2"/>
  <c r="I1762" i="2"/>
  <c r="H1762" i="2"/>
  <c r="G1762" i="2"/>
  <c r="F1762" i="2"/>
  <c r="E1762" i="2"/>
  <c r="D1762" i="2"/>
  <c r="C1762" i="2"/>
  <c r="B1762" i="2"/>
  <c r="V1761" i="2"/>
  <c r="U1761" i="2"/>
  <c r="T1761" i="2"/>
  <c r="S1761" i="2"/>
  <c r="R1761" i="2"/>
  <c r="Q1761" i="2"/>
  <c r="P1761" i="2"/>
  <c r="O1761" i="2"/>
  <c r="N1761" i="2"/>
  <c r="M1761" i="2"/>
  <c r="L1761" i="2"/>
  <c r="K1761" i="2"/>
  <c r="J1761" i="2"/>
  <c r="I1761" i="2"/>
  <c r="H1761" i="2"/>
  <c r="G1761" i="2"/>
  <c r="F1761" i="2"/>
  <c r="E1761" i="2"/>
  <c r="D1761" i="2"/>
  <c r="C1761" i="2"/>
  <c r="B1761" i="2"/>
  <c r="V1760" i="2"/>
  <c r="U1760" i="2"/>
  <c r="T1760" i="2"/>
  <c r="S1760" i="2"/>
  <c r="R1760" i="2"/>
  <c r="Q1760" i="2"/>
  <c r="P1760" i="2"/>
  <c r="O1760" i="2"/>
  <c r="N1760" i="2"/>
  <c r="M1760" i="2"/>
  <c r="L1760" i="2"/>
  <c r="K1760" i="2"/>
  <c r="J1760" i="2"/>
  <c r="I1760" i="2"/>
  <c r="H1760" i="2"/>
  <c r="G1760" i="2"/>
  <c r="F1760" i="2"/>
  <c r="E1760" i="2"/>
  <c r="D1760" i="2"/>
  <c r="C1760" i="2"/>
  <c r="B1760" i="2"/>
  <c r="V1759" i="2"/>
  <c r="U1759" i="2"/>
  <c r="T1759" i="2"/>
  <c r="S1759" i="2"/>
  <c r="R1759" i="2"/>
  <c r="Q1759" i="2"/>
  <c r="P1759" i="2"/>
  <c r="O1759" i="2"/>
  <c r="N1759" i="2"/>
  <c r="M1759" i="2"/>
  <c r="L1759" i="2"/>
  <c r="K1759" i="2"/>
  <c r="J1759" i="2"/>
  <c r="I1759" i="2"/>
  <c r="H1759" i="2"/>
  <c r="G1759" i="2"/>
  <c r="F1759" i="2"/>
  <c r="E1759" i="2"/>
  <c r="D1759" i="2"/>
  <c r="C1759" i="2"/>
  <c r="B1759" i="2"/>
  <c r="V1758" i="2"/>
  <c r="U1758" i="2"/>
  <c r="T1758" i="2"/>
  <c r="S1758" i="2"/>
  <c r="R1758" i="2"/>
  <c r="Q1758" i="2"/>
  <c r="P1758" i="2"/>
  <c r="O1758" i="2"/>
  <c r="N1758" i="2"/>
  <c r="M1758" i="2"/>
  <c r="L1758" i="2"/>
  <c r="K1758" i="2"/>
  <c r="J1758" i="2"/>
  <c r="I1758" i="2"/>
  <c r="H1758" i="2"/>
  <c r="G1758" i="2"/>
  <c r="F1758" i="2"/>
  <c r="E1758" i="2"/>
  <c r="D1758" i="2"/>
  <c r="C1758" i="2"/>
  <c r="B1758" i="2"/>
  <c r="V1757" i="2"/>
  <c r="U1757" i="2"/>
  <c r="T1757" i="2"/>
  <c r="S1757" i="2"/>
  <c r="R1757" i="2"/>
  <c r="Q1757" i="2"/>
  <c r="P1757" i="2"/>
  <c r="O1757" i="2"/>
  <c r="N1757" i="2"/>
  <c r="M1757" i="2"/>
  <c r="L1757" i="2"/>
  <c r="K1757" i="2"/>
  <c r="J1757" i="2"/>
  <c r="I1757" i="2"/>
  <c r="H1757" i="2"/>
  <c r="G1757" i="2"/>
  <c r="F1757" i="2"/>
  <c r="E1757" i="2"/>
  <c r="D1757" i="2"/>
  <c r="C1757" i="2"/>
  <c r="B1757" i="2"/>
  <c r="V1756" i="2"/>
  <c r="U1756" i="2"/>
  <c r="T1756" i="2"/>
  <c r="S1756" i="2"/>
  <c r="R1756" i="2"/>
  <c r="Q1756" i="2"/>
  <c r="P1756" i="2"/>
  <c r="O1756" i="2"/>
  <c r="N1756" i="2"/>
  <c r="M1756" i="2"/>
  <c r="L1756" i="2"/>
  <c r="K1756" i="2"/>
  <c r="J1756" i="2"/>
  <c r="I1756" i="2"/>
  <c r="H1756" i="2"/>
  <c r="G1756" i="2"/>
  <c r="F1756" i="2"/>
  <c r="E1756" i="2"/>
  <c r="D1756" i="2"/>
  <c r="C1756" i="2"/>
  <c r="B1756" i="2"/>
  <c r="V1755" i="2"/>
  <c r="U1755" i="2"/>
  <c r="T1755" i="2"/>
  <c r="S1755" i="2"/>
  <c r="R1755" i="2"/>
  <c r="Q1755" i="2"/>
  <c r="P1755" i="2"/>
  <c r="O1755" i="2"/>
  <c r="N1755" i="2"/>
  <c r="M1755" i="2"/>
  <c r="L1755" i="2"/>
  <c r="K1755" i="2"/>
  <c r="J1755" i="2"/>
  <c r="I1755" i="2"/>
  <c r="H1755" i="2"/>
  <c r="G1755" i="2"/>
  <c r="F1755" i="2"/>
  <c r="E1755" i="2"/>
  <c r="D1755" i="2"/>
  <c r="C1755" i="2"/>
  <c r="B1755" i="2"/>
  <c r="V1754" i="2"/>
  <c r="U1754" i="2"/>
  <c r="T1754" i="2"/>
  <c r="S1754" i="2"/>
  <c r="R1754" i="2"/>
  <c r="Q1754" i="2"/>
  <c r="P1754" i="2"/>
  <c r="O1754" i="2"/>
  <c r="N1754" i="2"/>
  <c r="M1754" i="2"/>
  <c r="L1754" i="2"/>
  <c r="K1754" i="2"/>
  <c r="J1754" i="2"/>
  <c r="I1754" i="2"/>
  <c r="H1754" i="2"/>
  <c r="G1754" i="2"/>
  <c r="F1754" i="2"/>
  <c r="E1754" i="2"/>
  <c r="D1754" i="2"/>
  <c r="C1754" i="2"/>
  <c r="B1754" i="2"/>
  <c r="V1753" i="2"/>
  <c r="U1753" i="2"/>
  <c r="T1753" i="2"/>
  <c r="S1753" i="2"/>
  <c r="R1753" i="2"/>
  <c r="Q1753" i="2"/>
  <c r="P1753" i="2"/>
  <c r="O1753" i="2"/>
  <c r="N1753" i="2"/>
  <c r="M1753" i="2"/>
  <c r="L1753" i="2"/>
  <c r="K1753" i="2"/>
  <c r="J1753" i="2"/>
  <c r="I1753" i="2"/>
  <c r="H1753" i="2"/>
  <c r="G1753" i="2"/>
  <c r="F1753" i="2"/>
  <c r="E1753" i="2"/>
  <c r="D1753" i="2"/>
  <c r="C1753" i="2"/>
  <c r="B1753" i="2"/>
  <c r="V1752" i="2"/>
  <c r="U1752" i="2"/>
  <c r="T1752" i="2"/>
  <c r="S1752" i="2"/>
  <c r="R1752" i="2"/>
  <c r="Q1752" i="2"/>
  <c r="P1752" i="2"/>
  <c r="O1752" i="2"/>
  <c r="N1752" i="2"/>
  <c r="M1752" i="2"/>
  <c r="L1752" i="2"/>
  <c r="K1752" i="2"/>
  <c r="J1752" i="2"/>
  <c r="I1752" i="2"/>
  <c r="H1752" i="2"/>
  <c r="G1752" i="2"/>
  <c r="F1752" i="2"/>
  <c r="E1752" i="2"/>
  <c r="D1752" i="2"/>
  <c r="C1752" i="2"/>
  <c r="B1752" i="2"/>
  <c r="V1751" i="2"/>
  <c r="U1751" i="2"/>
  <c r="T1751" i="2"/>
  <c r="S1751" i="2"/>
  <c r="R1751" i="2"/>
  <c r="Q1751" i="2"/>
  <c r="P1751" i="2"/>
  <c r="O1751" i="2"/>
  <c r="N1751" i="2"/>
  <c r="M1751" i="2"/>
  <c r="L1751" i="2"/>
  <c r="K1751" i="2"/>
  <c r="J1751" i="2"/>
  <c r="I1751" i="2"/>
  <c r="H1751" i="2"/>
  <c r="G1751" i="2"/>
  <c r="F1751" i="2"/>
  <c r="E1751" i="2"/>
  <c r="D1751" i="2"/>
  <c r="C1751" i="2"/>
  <c r="B1751" i="2"/>
  <c r="V1750" i="2"/>
  <c r="U1750" i="2"/>
  <c r="T1750" i="2"/>
  <c r="S1750" i="2"/>
  <c r="R1750" i="2"/>
  <c r="Q1750" i="2"/>
  <c r="P1750" i="2"/>
  <c r="O1750" i="2"/>
  <c r="N1750" i="2"/>
  <c r="M1750" i="2"/>
  <c r="L1750" i="2"/>
  <c r="K1750" i="2"/>
  <c r="J1750" i="2"/>
  <c r="I1750" i="2"/>
  <c r="H1750" i="2"/>
  <c r="G1750" i="2"/>
  <c r="F1750" i="2"/>
  <c r="E1750" i="2"/>
  <c r="D1750" i="2"/>
  <c r="C1750" i="2"/>
  <c r="B1750" i="2"/>
  <c r="V1749" i="2"/>
  <c r="U1749" i="2"/>
  <c r="T1749" i="2"/>
  <c r="S1749" i="2"/>
  <c r="R1749" i="2"/>
  <c r="Q1749" i="2"/>
  <c r="P1749" i="2"/>
  <c r="O1749" i="2"/>
  <c r="N1749" i="2"/>
  <c r="M1749" i="2"/>
  <c r="L1749" i="2"/>
  <c r="K1749" i="2"/>
  <c r="J1749" i="2"/>
  <c r="I1749" i="2"/>
  <c r="H1749" i="2"/>
  <c r="G1749" i="2"/>
  <c r="F1749" i="2"/>
  <c r="E1749" i="2"/>
  <c r="D1749" i="2"/>
  <c r="C1749" i="2"/>
  <c r="B1749" i="2"/>
  <c r="V1748" i="2"/>
  <c r="U1748" i="2"/>
  <c r="T1748" i="2"/>
  <c r="S1748" i="2"/>
  <c r="R1748" i="2"/>
  <c r="Q1748" i="2"/>
  <c r="P1748" i="2"/>
  <c r="O1748" i="2"/>
  <c r="N1748" i="2"/>
  <c r="M1748" i="2"/>
  <c r="L1748" i="2"/>
  <c r="K1748" i="2"/>
  <c r="J1748" i="2"/>
  <c r="I1748" i="2"/>
  <c r="H1748" i="2"/>
  <c r="G1748" i="2"/>
  <c r="F1748" i="2"/>
  <c r="E1748" i="2"/>
  <c r="D1748" i="2"/>
  <c r="C1748" i="2"/>
  <c r="B1748" i="2"/>
  <c r="V1747" i="2"/>
  <c r="U1747" i="2"/>
  <c r="T1747" i="2"/>
  <c r="S1747" i="2"/>
  <c r="R1747" i="2"/>
  <c r="Q1747" i="2"/>
  <c r="P1747" i="2"/>
  <c r="O1747" i="2"/>
  <c r="N1747" i="2"/>
  <c r="M1747" i="2"/>
  <c r="L1747" i="2"/>
  <c r="K1747" i="2"/>
  <c r="J1747" i="2"/>
  <c r="I1747" i="2"/>
  <c r="H1747" i="2"/>
  <c r="G1747" i="2"/>
  <c r="F1747" i="2"/>
  <c r="E1747" i="2"/>
  <c r="D1747" i="2"/>
  <c r="C1747" i="2"/>
  <c r="B1747" i="2"/>
  <c r="V1746" i="2"/>
  <c r="U1746" i="2"/>
  <c r="T1746" i="2"/>
  <c r="S1746" i="2"/>
  <c r="R1746" i="2"/>
  <c r="Q1746" i="2"/>
  <c r="P1746" i="2"/>
  <c r="O1746" i="2"/>
  <c r="N1746" i="2"/>
  <c r="M1746" i="2"/>
  <c r="L1746" i="2"/>
  <c r="K1746" i="2"/>
  <c r="J1746" i="2"/>
  <c r="I1746" i="2"/>
  <c r="H1746" i="2"/>
  <c r="G1746" i="2"/>
  <c r="F1746" i="2"/>
  <c r="E1746" i="2"/>
  <c r="D1746" i="2"/>
  <c r="C1746" i="2"/>
  <c r="B1746" i="2"/>
  <c r="V1745" i="2"/>
  <c r="U1745" i="2"/>
  <c r="T1745" i="2"/>
  <c r="S1745" i="2"/>
  <c r="R1745" i="2"/>
  <c r="Q1745" i="2"/>
  <c r="P1745" i="2"/>
  <c r="O1745" i="2"/>
  <c r="N1745" i="2"/>
  <c r="M1745" i="2"/>
  <c r="L1745" i="2"/>
  <c r="K1745" i="2"/>
  <c r="J1745" i="2"/>
  <c r="I1745" i="2"/>
  <c r="H1745" i="2"/>
  <c r="G1745" i="2"/>
  <c r="F1745" i="2"/>
  <c r="E1745" i="2"/>
  <c r="D1745" i="2"/>
  <c r="C1745" i="2"/>
  <c r="B1745" i="2"/>
  <c r="V1744" i="2"/>
  <c r="U1744" i="2"/>
  <c r="T1744" i="2"/>
  <c r="S1744" i="2"/>
  <c r="R1744" i="2"/>
  <c r="Q1744" i="2"/>
  <c r="P1744" i="2"/>
  <c r="O1744" i="2"/>
  <c r="N1744" i="2"/>
  <c r="M1744" i="2"/>
  <c r="L1744" i="2"/>
  <c r="K1744" i="2"/>
  <c r="J1744" i="2"/>
  <c r="I1744" i="2"/>
  <c r="H1744" i="2"/>
  <c r="G1744" i="2"/>
  <c r="F1744" i="2"/>
  <c r="E1744" i="2"/>
  <c r="D1744" i="2"/>
  <c r="C1744" i="2"/>
  <c r="B1744" i="2"/>
  <c r="V1743" i="2"/>
  <c r="U1743" i="2"/>
  <c r="T1743" i="2"/>
  <c r="S1743" i="2"/>
  <c r="R1743" i="2"/>
  <c r="Q1743" i="2"/>
  <c r="P1743" i="2"/>
  <c r="O1743" i="2"/>
  <c r="N1743" i="2"/>
  <c r="M1743" i="2"/>
  <c r="L1743" i="2"/>
  <c r="K1743" i="2"/>
  <c r="J1743" i="2"/>
  <c r="I1743" i="2"/>
  <c r="H1743" i="2"/>
  <c r="G1743" i="2"/>
  <c r="F1743" i="2"/>
  <c r="E1743" i="2"/>
  <c r="D1743" i="2"/>
  <c r="C1743" i="2"/>
  <c r="B1743" i="2"/>
  <c r="V1742" i="2"/>
  <c r="U1742" i="2"/>
  <c r="T1742" i="2"/>
  <c r="S1742" i="2"/>
  <c r="R1742" i="2"/>
  <c r="Q1742" i="2"/>
  <c r="P1742" i="2"/>
  <c r="O1742" i="2"/>
  <c r="N1742" i="2"/>
  <c r="M1742" i="2"/>
  <c r="L1742" i="2"/>
  <c r="K1742" i="2"/>
  <c r="J1742" i="2"/>
  <c r="I1742" i="2"/>
  <c r="H1742" i="2"/>
  <c r="G1742" i="2"/>
  <c r="F1742" i="2"/>
  <c r="E1742" i="2"/>
  <c r="D1742" i="2"/>
  <c r="C1742" i="2"/>
  <c r="B1742" i="2"/>
  <c r="V1741" i="2"/>
  <c r="U1741" i="2"/>
  <c r="T1741" i="2"/>
  <c r="S1741" i="2"/>
  <c r="R1741" i="2"/>
  <c r="Q1741" i="2"/>
  <c r="P1741" i="2"/>
  <c r="O1741" i="2"/>
  <c r="N1741" i="2"/>
  <c r="M1741" i="2"/>
  <c r="L1741" i="2"/>
  <c r="K1741" i="2"/>
  <c r="J1741" i="2"/>
  <c r="I1741" i="2"/>
  <c r="H1741" i="2"/>
  <c r="G1741" i="2"/>
  <c r="F1741" i="2"/>
  <c r="E1741" i="2"/>
  <c r="D1741" i="2"/>
  <c r="C1741" i="2"/>
  <c r="B1741" i="2"/>
  <c r="V1740" i="2"/>
  <c r="U1740" i="2"/>
  <c r="T1740" i="2"/>
  <c r="S1740" i="2"/>
  <c r="R1740" i="2"/>
  <c r="Q1740" i="2"/>
  <c r="P1740" i="2"/>
  <c r="O1740" i="2"/>
  <c r="N1740" i="2"/>
  <c r="M1740" i="2"/>
  <c r="L1740" i="2"/>
  <c r="K1740" i="2"/>
  <c r="J1740" i="2"/>
  <c r="I1740" i="2"/>
  <c r="H1740" i="2"/>
  <c r="G1740" i="2"/>
  <c r="F1740" i="2"/>
  <c r="E1740" i="2"/>
  <c r="D1740" i="2"/>
  <c r="C1740" i="2"/>
  <c r="B1740" i="2"/>
  <c r="V1739" i="2"/>
  <c r="U1739" i="2"/>
  <c r="T1739" i="2"/>
  <c r="S1739" i="2"/>
  <c r="R1739" i="2"/>
  <c r="Q1739" i="2"/>
  <c r="P1739" i="2"/>
  <c r="O1739" i="2"/>
  <c r="N1739" i="2"/>
  <c r="M1739" i="2"/>
  <c r="L1739" i="2"/>
  <c r="K1739" i="2"/>
  <c r="J1739" i="2"/>
  <c r="I1739" i="2"/>
  <c r="H1739" i="2"/>
  <c r="G1739" i="2"/>
  <c r="F1739" i="2"/>
  <c r="E1739" i="2"/>
  <c r="D1739" i="2"/>
  <c r="C1739" i="2"/>
  <c r="B1739" i="2"/>
  <c r="V1738" i="2"/>
  <c r="U1738" i="2"/>
  <c r="T1738" i="2"/>
  <c r="S1738" i="2"/>
  <c r="R1738" i="2"/>
  <c r="Q1738" i="2"/>
  <c r="P1738" i="2"/>
  <c r="O1738" i="2"/>
  <c r="N1738" i="2"/>
  <c r="M1738" i="2"/>
  <c r="L1738" i="2"/>
  <c r="K1738" i="2"/>
  <c r="J1738" i="2"/>
  <c r="I1738" i="2"/>
  <c r="H1738" i="2"/>
  <c r="G1738" i="2"/>
  <c r="F1738" i="2"/>
  <c r="E1738" i="2"/>
  <c r="D1738" i="2"/>
  <c r="C1738" i="2"/>
  <c r="B1738" i="2"/>
  <c r="V1737" i="2"/>
  <c r="U1737" i="2"/>
  <c r="T1737" i="2"/>
  <c r="S1737" i="2"/>
  <c r="R1737" i="2"/>
  <c r="Q1737" i="2"/>
  <c r="P1737" i="2"/>
  <c r="O1737" i="2"/>
  <c r="N1737" i="2"/>
  <c r="M1737" i="2"/>
  <c r="L1737" i="2"/>
  <c r="K1737" i="2"/>
  <c r="J1737" i="2"/>
  <c r="I1737" i="2"/>
  <c r="H1737" i="2"/>
  <c r="G1737" i="2"/>
  <c r="F1737" i="2"/>
  <c r="E1737" i="2"/>
  <c r="D1737" i="2"/>
  <c r="C1737" i="2"/>
  <c r="B1737" i="2"/>
  <c r="V1736" i="2"/>
  <c r="U1736" i="2"/>
  <c r="T1736" i="2"/>
  <c r="S1736" i="2"/>
  <c r="R1736" i="2"/>
  <c r="Q1736" i="2"/>
  <c r="P1736" i="2"/>
  <c r="O1736" i="2"/>
  <c r="N1736" i="2"/>
  <c r="M1736" i="2"/>
  <c r="L1736" i="2"/>
  <c r="K1736" i="2"/>
  <c r="J1736" i="2"/>
  <c r="I1736" i="2"/>
  <c r="H1736" i="2"/>
  <c r="G1736" i="2"/>
  <c r="F1736" i="2"/>
  <c r="E1736" i="2"/>
  <c r="D1736" i="2"/>
  <c r="C1736" i="2"/>
  <c r="B1736" i="2"/>
  <c r="V1735" i="2"/>
  <c r="U1735" i="2"/>
  <c r="T1735" i="2"/>
  <c r="S1735" i="2"/>
  <c r="R1735" i="2"/>
  <c r="Q1735" i="2"/>
  <c r="P1735" i="2"/>
  <c r="O1735" i="2"/>
  <c r="N1735" i="2"/>
  <c r="M1735" i="2"/>
  <c r="L1735" i="2"/>
  <c r="K1735" i="2"/>
  <c r="J1735" i="2"/>
  <c r="I1735" i="2"/>
  <c r="H1735" i="2"/>
  <c r="G1735" i="2"/>
  <c r="F1735" i="2"/>
  <c r="E1735" i="2"/>
  <c r="D1735" i="2"/>
  <c r="C1735" i="2"/>
  <c r="B1735" i="2"/>
  <c r="V1734" i="2"/>
  <c r="U1734" i="2"/>
  <c r="T1734" i="2"/>
  <c r="S1734" i="2"/>
  <c r="R1734" i="2"/>
  <c r="Q1734" i="2"/>
  <c r="P1734" i="2"/>
  <c r="O1734" i="2"/>
  <c r="N1734" i="2"/>
  <c r="M1734" i="2"/>
  <c r="L1734" i="2"/>
  <c r="K1734" i="2"/>
  <c r="J1734" i="2"/>
  <c r="I1734" i="2"/>
  <c r="H1734" i="2"/>
  <c r="G1734" i="2"/>
  <c r="F1734" i="2"/>
  <c r="E1734" i="2"/>
  <c r="D1734" i="2"/>
  <c r="C1734" i="2"/>
  <c r="B1734" i="2"/>
  <c r="V1733" i="2"/>
  <c r="U1733" i="2"/>
  <c r="T1733" i="2"/>
  <c r="S1733" i="2"/>
  <c r="R1733" i="2"/>
  <c r="Q1733" i="2"/>
  <c r="P1733" i="2"/>
  <c r="O1733" i="2"/>
  <c r="N1733" i="2"/>
  <c r="M1733" i="2"/>
  <c r="L1733" i="2"/>
  <c r="K1733" i="2"/>
  <c r="J1733" i="2"/>
  <c r="I1733" i="2"/>
  <c r="H1733" i="2"/>
  <c r="G1733" i="2"/>
  <c r="F1733" i="2"/>
  <c r="E1733" i="2"/>
  <c r="D1733" i="2"/>
  <c r="C1733" i="2"/>
  <c r="B1733" i="2"/>
  <c r="V1732" i="2"/>
  <c r="U1732" i="2"/>
  <c r="T1732" i="2"/>
  <c r="S1732" i="2"/>
  <c r="R1732" i="2"/>
  <c r="Q1732" i="2"/>
  <c r="P1732" i="2"/>
  <c r="O1732" i="2"/>
  <c r="N1732" i="2"/>
  <c r="M1732" i="2"/>
  <c r="L1732" i="2"/>
  <c r="K1732" i="2"/>
  <c r="J1732" i="2"/>
  <c r="I1732" i="2"/>
  <c r="H1732" i="2"/>
  <c r="G1732" i="2"/>
  <c r="F1732" i="2"/>
  <c r="E1732" i="2"/>
  <c r="D1732" i="2"/>
  <c r="C1732" i="2"/>
  <c r="B1732" i="2"/>
  <c r="V1731" i="2"/>
  <c r="U1731" i="2"/>
  <c r="T1731" i="2"/>
  <c r="S1731" i="2"/>
  <c r="R1731" i="2"/>
  <c r="Q1731" i="2"/>
  <c r="P1731" i="2"/>
  <c r="O1731" i="2"/>
  <c r="N1731" i="2"/>
  <c r="M1731" i="2"/>
  <c r="L1731" i="2"/>
  <c r="K1731" i="2"/>
  <c r="J1731" i="2"/>
  <c r="I1731" i="2"/>
  <c r="H1731" i="2"/>
  <c r="G1731" i="2"/>
  <c r="F1731" i="2"/>
  <c r="E1731" i="2"/>
  <c r="D1731" i="2"/>
  <c r="C1731" i="2"/>
  <c r="B1731" i="2"/>
  <c r="V1730" i="2"/>
  <c r="U1730" i="2"/>
  <c r="T1730" i="2"/>
  <c r="S1730" i="2"/>
  <c r="R1730" i="2"/>
  <c r="Q1730" i="2"/>
  <c r="P1730" i="2"/>
  <c r="O1730" i="2"/>
  <c r="N1730" i="2"/>
  <c r="M1730" i="2"/>
  <c r="L1730" i="2"/>
  <c r="K1730" i="2"/>
  <c r="J1730" i="2"/>
  <c r="I1730" i="2"/>
  <c r="H1730" i="2"/>
  <c r="G1730" i="2"/>
  <c r="F1730" i="2"/>
  <c r="E1730" i="2"/>
  <c r="D1730" i="2"/>
  <c r="C1730" i="2"/>
  <c r="B1730" i="2"/>
  <c r="V1729" i="2"/>
  <c r="U1729" i="2"/>
  <c r="T1729" i="2"/>
  <c r="S1729" i="2"/>
  <c r="R1729" i="2"/>
  <c r="Q1729" i="2"/>
  <c r="P1729" i="2"/>
  <c r="O1729" i="2"/>
  <c r="N1729" i="2"/>
  <c r="M1729" i="2"/>
  <c r="L1729" i="2"/>
  <c r="K1729" i="2"/>
  <c r="J1729" i="2"/>
  <c r="I1729" i="2"/>
  <c r="H1729" i="2"/>
  <c r="G1729" i="2"/>
  <c r="F1729" i="2"/>
  <c r="E1729" i="2"/>
  <c r="D1729" i="2"/>
  <c r="C1729" i="2"/>
  <c r="B1729" i="2"/>
  <c r="V1728" i="2"/>
  <c r="U1728" i="2"/>
  <c r="T1728" i="2"/>
  <c r="S1728" i="2"/>
  <c r="R1728" i="2"/>
  <c r="Q1728" i="2"/>
  <c r="P1728" i="2"/>
  <c r="O1728" i="2"/>
  <c r="N1728" i="2"/>
  <c r="M1728" i="2"/>
  <c r="L1728" i="2"/>
  <c r="K1728" i="2"/>
  <c r="J1728" i="2"/>
  <c r="I1728" i="2"/>
  <c r="H1728" i="2"/>
  <c r="G1728" i="2"/>
  <c r="F1728" i="2"/>
  <c r="E1728" i="2"/>
  <c r="D1728" i="2"/>
  <c r="C1728" i="2"/>
  <c r="B1728" i="2"/>
  <c r="V1727" i="2"/>
  <c r="U1727" i="2"/>
  <c r="T1727" i="2"/>
  <c r="S1727" i="2"/>
  <c r="R1727" i="2"/>
  <c r="Q1727" i="2"/>
  <c r="P1727" i="2"/>
  <c r="O1727" i="2"/>
  <c r="N1727" i="2"/>
  <c r="M1727" i="2"/>
  <c r="L1727" i="2"/>
  <c r="K1727" i="2"/>
  <c r="J1727" i="2"/>
  <c r="I1727" i="2"/>
  <c r="H1727" i="2"/>
  <c r="G1727" i="2"/>
  <c r="F1727" i="2"/>
  <c r="E1727" i="2"/>
  <c r="D1727" i="2"/>
  <c r="C1727" i="2"/>
  <c r="B1727" i="2"/>
  <c r="V1726" i="2"/>
  <c r="U1726" i="2"/>
  <c r="T1726" i="2"/>
  <c r="S1726" i="2"/>
  <c r="R1726" i="2"/>
  <c r="Q1726" i="2"/>
  <c r="P1726" i="2"/>
  <c r="O1726" i="2"/>
  <c r="N1726" i="2"/>
  <c r="M1726" i="2"/>
  <c r="L1726" i="2"/>
  <c r="K1726" i="2"/>
  <c r="J1726" i="2"/>
  <c r="I1726" i="2"/>
  <c r="H1726" i="2"/>
  <c r="G1726" i="2"/>
  <c r="F1726" i="2"/>
  <c r="E1726" i="2"/>
  <c r="D1726" i="2"/>
  <c r="C1726" i="2"/>
  <c r="B1726" i="2"/>
  <c r="V1725" i="2"/>
  <c r="U1725" i="2"/>
  <c r="T1725" i="2"/>
  <c r="S1725" i="2"/>
  <c r="R1725" i="2"/>
  <c r="Q1725" i="2"/>
  <c r="P1725" i="2"/>
  <c r="O1725" i="2"/>
  <c r="N1725" i="2"/>
  <c r="M1725" i="2"/>
  <c r="L1725" i="2"/>
  <c r="K1725" i="2"/>
  <c r="J1725" i="2"/>
  <c r="I1725" i="2"/>
  <c r="H1725" i="2"/>
  <c r="G1725" i="2"/>
  <c r="F1725" i="2"/>
  <c r="E1725" i="2"/>
  <c r="D1725" i="2"/>
  <c r="C1725" i="2"/>
  <c r="B1725" i="2"/>
  <c r="V1724" i="2"/>
  <c r="U1724" i="2"/>
  <c r="T1724" i="2"/>
  <c r="S1724" i="2"/>
  <c r="R1724" i="2"/>
  <c r="Q1724" i="2"/>
  <c r="P1724" i="2"/>
  <c r="O1724" i="2"/>
  <c r="N1724" i="2"/>
  <c r="M1724" i="2"/>
  <c r="L1724" i="2"/>
  <c r="K1724" i="2"/>
  <c r="J1724" i="2"/>
  <c r="I1724" i="2"/>
  <c r="H1724" i="2"/>
  <c r="G1724" i="2"/>
  <c r="F1724" i="2"/>
  <c r="E1724" i="2"/>
  <c r="D1724" i="2"/>
  <c r="C1724" i="2"/>
  <c r="B1724" i="2"/>
  <c r="V1723" i="2"/>
  <c r="U1723" i="2"/>
  <c r="T1723" i="2"/>
  <c r="S1723" i="2"/>
  <c r="R1723" i="2"/>
  <c r="Q1723" i="2"/>
  <c r="P1723" i="2"/>
  <c r="O1723" i="2"/>
  <c r="N1723" i="2"/>
  <c r="M1723" i="2"/>
  <c r="L1723" i="2"/>
  <c r="K1723" i="2"/>
  <c r="J1723" i="2"/>
  <c r="I1723" i="2"/>
  <c r="H1723" i="2"/>
  <c r="G1723" i="2"/>
  <c r="F1723" i="2"/>
  <c r="E1723" i="2"/>
  <c r="D1723" i="2"/>
  <c r="C1723" i="2"/>
  <c r="B1723" i="2"/>
  <c r="V1722" i="2"/>
  <c r="U1722" i="2"/>
  <c r="T1722" i="2"/>
  <c r="S1722" i="2"/>
  <c r="R1722" i="2"/>
  <c r="Q1722" i="2"/>
  <c r="P1722" i="2"/>
  <c r="O1722" i="2"/>
  <c r="N1722" i="2"/>
  <c r="M1722" i="2"/>
  <c r="L1722" i="2"/>
  <c r="K1722" i="2"/>
  <c r="J1722" i="2"/>
  <c r="I1722" i="2"/>
  <c r="H1722" i="2"/>
  <c r="G1722" i="2"/>
  <c r="F1722" i="2"/>
  <c r="E1722" i="2"/>
  <c r="D1722" i="2"/>
  <c r="C1722" i="2"/>
  <c r="B1722" i="2"/>
  <c r="V1721" i="2"/>
  <c r="U1721" i="2"/>
  <c r="T1721" i="2"/>
  <c r="S1721" i="2"/>
  <c r="R1721" i="2"/>
  <c r="Q1721" i="2"/>
  <c r="P1721" i="2"/>
  <c r="O1721" i="2"/>
  <c r="N1721" i="2"/>
  <c r="M1721" i="2"/>
  <c r="L1721" i="2"/>
  <c r="K1721" i="2"/>
  <c r="J1721" i="2"/>
  <c r="I1721" i="2"/>
  <c r="H1721" i="2"/>
  <c r="G1721" i="2"/>
  <c r="F1721" i="2"/>
  <c r="E1721" i="2"/>
  <c r="D1721" i="2"/>
  <c r="C1721" i="2"/>
  <c r="B1721" i="2"/>
  <c r="V1720" i="2"/>
  <c r="U1720" i="2"/>
  <c r="T1720" i="2"/>
  <c r="S1720" i="2"/>
  <c r="R1720" i="2"/>
  <c r="Q1720" i="2"/>
  <c r="P1720" i="2"/>
  <c r="O1720" i="2"/>
  <c r="N1720" i="2"/>
  <c r="M1720" i="2"/>
  <c r="L1720" i="2"/>
  <c r="K1720" i="2"/>
  <c r="J1720" i="2"/>
  <c r="I1720" i="2"/>
  <c r="H1720" i="2"/>
  <c r="G1720" i="2"/>
  <c r="F1720" i="2"/>
  <c r="E1720" i="2"/>
  <c r="D1720" i="2"/>
  <c r="C1720" i="2"/>
  <c r="B1720" i="2"/>
  <c r="V1719" i="2"/>
  <c r="U1719" i="2"/>
  <c r="T1719" i="2"/>
  <c r="S1719" i="2"/>
  <c r="R1719" i="2"/>
  <c r="Q1719" i="2"/>
  <c r="P1719" i="2"/>
  <c r="O1719" i="2"/>
  <c r="N1719" i="2"/>
  <c r="M1719" i="2"/>
  <c r="L1719" i="2"/>
  <c r="K1719" i="2"/>
  <c r="J1719" i="2"/>
  <c r="I1719" i="2"/>
  <c r="H1719" i="2"/>
  <c r="G1719" i="2"/>
  <c r="F1719" i="2"/>
  <c r="E1719" i="2"/>
  <c r="D1719" i="2"/>
  <c r="C1719" i="2"/>
  <c r="B1719" i="2"/>
  <c r="V1718" i="2"/>
  <c r="U1718" i="2"/>
  <c r="T1718" i="2"/>
  <c r="S1718" i="2"/>
  <c r="R1718" i="2"/>
  <c r="Q1718" i="2"/>
  <c r="P1718" i="2"/>
  <c r="O1718" i="2"/>
  <c r="N1718" i="2"/>
  <c r="M1718" i="2"/>
  <c r="L1718" i="2"/>
  <c r="K1718" i="2"/>
  <c r="J1718" i="2"/>
  <c r="I1718" i="2"/>
  <c r="H1718" i="2"/>
  <c r="G1718" i="2"/>
  <c r="F1718" i="2"/>
  <c r="E1718" i="2"/>
  <c r="D1718" i="2"/>
  <c r="C1718" i="2"/>
  <c r="B1718" i="2"/>
  <c r="V1717" i="2"/>
  <c r="U1717" i="2"/>
  <c r="T1717" i="2"/>
  <c r="S1717" i="2"/>
  <c r="R1717" i="2"/>
  <c r="Q1717" i="2"/>
  <c r="P1717" i="2"/>
  <c r="O1717" i="2"/>
  <c r="N1717" i="2"/>
  <c r="M1717" i="2"/>
  <c r="L1717" i="2"/>
  <c r="K1717" i="2"/>
  <c r="J1717" i="2"/>
  <c r="I1717" i="2"/>
  <c r="H1717" i="2"/>
  <c r="G1717" i="2"/>
  <c r="F1717" i="2"/>
  <c r="E1717" i="2"/>
  <c r="D1717" i="2"/>
  <c r="C1717" i="2"/>
  <c r="B1717" i="2"/>
  <c r="V1716" i="2"/>
  <c r="U1716" i="2"/>
  <c r="T1716" i="2"/>
  <c r="S1716" i="2"/>
  <c r="R1716" i="2"/>
  <c r="Q1716" i="2"/>
  <c r="P1716" i="2"/>
  <c r="O1716" i="2"/>
  <c r="N1716" i="2"/>
  <c r="M1716" i="2"/>
  <c r="L1716" i="2"/>
  <c r="K1716" i="2"/>
  <c r="J1716" i="2"/>
  <c r="I1716" i="2"/>
  <c r="H1716" i="2"/>
  <c r="G1716" i="2"/>
  <c r="F1716" i="2"/>
  <c r="E1716" i="2"/>
  <c r="D1716" i="2"/>
  <c r="C1716" i="2"/>
  <c r="B1716" i="2"/>
  <c r="V1715" i="2"/>
  <c r="U1715" i="2"/>
  <c r="T1715" i="2"/>
  <c r="S1715" i="2"/>
  <c r="R1715" i="2"/>
  <c r="Q1715" i="2"/>
  <c r="P1715" i="2"/>
  <c r="O1715" i="2"/>
  <c r="N1715" i="2"/>
  <c r="M1715" i="2"/>
  <c r="L1715" i="2"/>
  <c r="K1715" i="2"/>
  <c r="J1715" i="2"/>
  <c r="I1715" i="2"/>
  <c r="H1715" i="2"/>
  <c r="G1715" i="2"/>
  <c r="F1715" i="2"/>
  <c r="E1715" i="2"/>
  <c r="D1715" i="2"/>
  <c r="C1715" i="2"/>
  <c r="B1715" i="2"/>
  <c r="V1714" i="2"/>
  <c r="U1714" i="2"/>
  <c r="T1714" i="2"/>
  <c r="S1714" i="2"/>
  <c r="R1714" i="2"/>
  <c r="Q1714" i="2"/>
  <c r="P1714" i="2"/>
  <c r="O1714" i="2"/>
  <c r="N1714" i="2"/>
  <c r="M1714" i="2"/>
  <c r="L1714" i="2"/>
  <c r="K1714" i="2"/>
  <c r="J1714" i="2"/>
  <c r="I1714" i="2"/>
  <c r="H1714" i="2"/>
  <c r="G1714" i="2"/>
  <c r="F1714" i="2"/>
  <c r="E1714" i="2"/>
  <c r="D1714" i="2"/>
  <c r="C1714" i="2"/>
  <c r="B1714" i="2"/>
  <c r="V1713" i="2"/>
  <c r="U1713" i="2"/>
  <c r="T1713" i="2"/>
  <c r="S1713" i="2"/>
  <c r="R1713" i="2"/>
  <c r="Q1713" i="2"/>
  <c r="P1713" i="2"/>
  <c r="O1713" i="2"/>
  <c r="N1713" i="2"/>
  <c r="M1713" i="2"/>
  <c r="L1713" i="2"/>
  <c r="K1713" i="2"/>
  <c r="J1713" i="2"/>
  <c r="I1713" i="2"/>
  <c r="H1713" i="2"/>
  <c r="G1713" i="2"/>
  <c r="F1713" i="2"/>
  <c r="E1713" i="2"/>
  <c r="D1713" i="2"/>
  <c r="C1713" i="2"/>
  <c r="B1713" i="2"/>
  <c r="V1712" i="2"/>
  <c r="U1712" i="2"/>
  <c r="T1712" i="2"/>
  <c r="S1712" i="2"/>
  <c r="R1712" i="2"/>
  <c r="Q1712" i="2"/>
  <c r="P1712" i="2"/>
  <c r="O1712" i="2"/>
  <c r="N1712" i="2"/>
  <c r="M1712" i="2"/>
  <c r="L1712" i="2"/>
  <c r="K1712" i="2"/>
  <c r="J1712" i="2"/>
  <c r="I1712" i="2"/>
  <c r="H1712" i="2"/>
  <c r="G1712" i="2"/>
  <c r="F1712" i="2"/>
  <c r="E1712" i="2"/>
  <c r="D1712" i="2"/>
  <c r="C1712" i="2"/>
  <c r="B1712" i="2"/>
  <c r="V1711" i="2"/>
  <c r="U1711" i="2"/>
  <c r="T1711" i="2"/>
  <c r="S1711" i="2"/>
  <c r="R1711" i="2"/>
  <c r="Q1711" i="2"/>
  <c r="P1711" i="2"/>
  <c r="O1711" i="2"/>
  <c r="N1711" i="2"/>
  <c r="M1711" i="2"/>
  <c r="L1711" i="2"/>
  <c r="K1711" i="2"/>
  <c r="J1711" i="2"/>
  <c r="I1711" i="2"/>
  <c r="H1711" i="2"/>
  <c r="G1711" i="2"/>
  <c r="F1711" i="2"/>
  <c r="E1711" i="2"/>
  <c r="D1711" i="2"/>
  <c r="C1711" i="2"/>
  <c r="B1711" i="2"/>
  <c r="V1710" i="2"/>
  <c r="U1710" i="2"/>
  <c r="T1710" i="2"/>
  <c r="S1710" i="2"/>
  <c r="R1710" i="2"/>
  <c r="Q1710" i="2"/>
  <c r="P1710" i="2"/>
  <c r="O1710" i="2"/>
  <c r="N1710" i="2"/>
  <c r="M1710" i="2"/>
  <c r="L1710" i="2"/>
  <c r="K1710" i="2"/>
  <c r="J1710" i="2"/>
  <c r="I1710" i="2"/>
  <c r="H1710" i="2"/>
  <c r="G1710" i="2"/>
  <c r="F1710" i="2"/>
  <c r="E1710" i="2"/>
  <c r="D1710" i="2"/>
  <c r="C1710" i="2"/>
  <c r="B1710" i="2"/>
  <c r="V1709" i="2"/>
  <c r="U1709" i="2"/>
  <c r="T1709" i="2"/>
  <c r="S1709" i="2"/>
  <c r="R1709" i="2"/>
  <c r="Q1709" i="2"/>
  <c r="P1709" i="2"/>
  <c r="O1709" i="2"/>
  <c r="N1709" i="2"/>
  <c r="M1709" i="2"/>
  <c r="L1709" i="2"/>
  <c r="K1709" i="2"/>
  <c r="J1709" i="2"/>
  <c r="I1709" i="2"/>
  <c r="H1709" i="2"/>
  <c r="G1709" i="2"/>
  <c r="F1709" i="2"/>
  <c r="E1709" i="2"/>
  <c r="D1709" i="2"/>
  <c r="C1709" i="2"/>
  <c r="B1709" i="2"/>
  <c r="V1708" i="2"/>
  <c r="U1708" i="2"/>
  <c r="T1708" i="2"/>
  <c r="S1708" i="2"/>
  <c r="R1708" i="2"/>
  <c r="Q1708" i="2"/>
  <c r="P1708" i="2"/>
  <c r="O1708" i="2"/>
  <c r="N1708" i="2"/>
  <c r="M1708" i="2"/>
  <c r="L1708" i="2"/>
  <c r="K1708" i="2"/>
  <c r="J1708" i="2"/>
  <c r="I1708" i="2"/>
  <c r="H1708" i="2"/>
  <c r="G1708" i="2"/>
  <c r="F1708" i="2"/>
  <c r="E1708" i="2"/>
  <c r="D1708" i="2"/>
  <c r="C1708" i="2"/>
  <c r="B1708" i="2"/>
  <c r="V1707" i="2"/>
  <c r="U1707" i="2"/>
  <c r="T1707" i="2"/>
  <c r="S1707" i="2"/>
  <c r="R1707" i="2"/>
  <c r="Q1707" i="2"/>
  <c r="P1707" i="2"/>
  <c r="O1707" i="2"/>
  <c r="N1707" i="2"/>
  <c r="M1707" i="2"/>
  <c r="L1707" i="2"/>
  <c r="K1707" i="2"/>
  <c r="J1707" i="2"/>
  <c r="I1707" i="2"/>
  <c r="H1707" i="2"/>
  <c r="G1707" i="2"/>
  <c r="F1707" i="2"/>
  <c r="E1707" i="2"/>
  <c r="D1707" i="2"/>
  <c r="C1707" i="2"/>
  <c r="B1707" i="2"/>
  <c r="V1706" i="2"/>
  <c r="U1706" i="2"/>
  <c r="T1706" i="2"/>
  <c r="S1706" i="2"/>
  <c r="R1706" i="2"/>
  <c r="Q1706" i="2"/>
  <c r="P1706" i="2"/>
  <c r="O1706" i="2"/>
  <c r="N1706" i="2"/>
  <c r="M1706" i="2"/>
  <c r="L1706" i="2"/>
  <c r="K1706" i="2"/>
  <c r="J1706" i="2"/>
  <c r="I1706" i="2"/>
  <c r="H1706" i="2"/>
  <c r="G1706" i="2"/>
  <c r="F1706" i="2"/>
  <c r="E1706" i="2"/>
  <c r="D1706" i="2"/>
  <c r="C1706" i="2"/>
  <c r="B1706" i="2"/>
  <c r="V1705" i="2"/>
  <c r="U1705" i="2"/>
  <c r="T1705" i="2"/>
  <c r="S1705" i="2"/>
  <c r="R1705" i="2"/>
  <c r="Q1705" i="2"/>
  <c r="P1705" i="2"/>
  <c r="O1705" i="2"/>
  <c r="N1705" i="2"/>
  <c r="M1705" i="2"/>
  <c r="L1705" i="2"/>
  <c r="K1705" i="2"/>
  <c r="J1705" i="2"/>
  <c r="I1705" i="2"/>
  <c r="H1705" i="2"/>
  <c r="G1705" i="2"/>
  <c r="F1705" i="2"/>
  <c r="E1705" i="2"/>
  <c r="D1705" i="2"/>
  <c r="C1705" i="2"/>
  <c r="B1705" i="2"/>
  <c r="V1704" i="2"/>
  <c r="U1704" i="2"/>
  <c r="T1704" i="2"/>
  <c r="S1704" i="2"/>
  <c r="R1704" i="2"/>
  <c r="Q1704" i="2"/>
  <c r="P1704" i="2"/>
  <c r="O1704" i="2"/>
  <c r="N1704" i="2"/>
  <c r="M1704" i="2"/>
  <c r="L1704" i="2"/>
  <c r="K1704" i="2"/>
  <c r="J1704" i="2"/>
  <c r="I1704" i="2"/>
  <c r="H1704" i="2"/>
  <c r="G1704" i="2"/>
  <c r="F1704" i="2"/>
  <c r="E1704" i="2"/>
  <c r="D1704" i="2"/>
  <c r="C1704" i="2"/>
  <c r="B1704" i="2"/>
  <c r="V1703" i="2"/>
  <c r="U1703" i="2"/>
  <c r="T1703" i="2"/>
  <c r="S1703" i="2"/>
  <c r="R1703" i="2"/>
  <c r="Q1703" i="2"/>
  <c r="P1703" i="2"/>
  <c r="O1703" i="2"/>
  <c r="N1703" i="2"/>
  <c r="M1703" i="2"/>
  <c r="L1703" i="2"/>
  <c r="K1703" i="2"/>
  <c r="J1703" i="2"/>
  <c r="I1703" i="2"/>
  <c r="H1703" i="2"/>
  <c r="G1703" i="2"/>
  <c r="F1703" i="2"/>
  <c r="E1703" i="2"/>
  <c r="D1703" i="2"/>
  <c r="C1703" i="2"/>
  <c r="B1703" i="2"/>
  <c r="V1702" i="2"/>
  <c r="U1702" i="2"/>
  <c r="T1702" i="2"/>
  <c r="S1702" i="2"/>
  <c r="R1702" i="2"/>
  <c r="Q1702" i="2"/>
  <c r="P1702" i="2"/>
  <c r="O1702" i="2"/>
  <c r="N1702" i="2"/>
  <c r="M1702" i="2"/>
  <c r="L1702" i="2"/>
  <c r="K1702" i="2"/>
  <c r="J1702" i="2"/>
  <c r="I1702" i="2"/>
  <c r="H1702" i="2"/>
  <c r="G1702" i="2"/>
  <c r="F1702" i="2"/>
  <c r="E1702" i="2"/>
  <c r="D1702" i="2"/>
  <c r="C1702" i="2"/>
  <c r="B1702" i="2"/>
  <c r="V1701" i="2"/>
  <c r="U1701" i="2"/>
  <c r="T1701" i="2"/>
  <c r="S1701" i="2"/>
  <c r="R1701" i="2"/>
  <c r="Q1701" i="2"/>
  <c r="P1701" i="2"/>
  <c r="O1701" i="2"/>
  <c r="N1701" i="2"/>
  <c r="M1701" i="2"/>
  <c r="L1701" i="2"/>
  <c r="K1701" i="2"/>
  <c r="J1701" i="2"/>
  <c r="I1701" i="2"/>
  <c r="H1701" i="2"/>
  <c r="G1701" i="2"/>
  <c r="F1701" i="2"/>
  <c r="E1701" i="2"/>
  <c r="D1701" i="2"/>
  <c r="C1701" i="2"/>
  <c r="B1701" i="2"/>
  <c r="V1700" i="2"/>
  <c r="U1700" i="2"/>
  <c r="T1700" i="2"/>
  <c r="S1700" i="2"/>
  <c r="R1700" i="2"/>
  <c r="Q1700" i="2"/>
  <c r="P1700" i="2"/>
  <c r="O1700" i="2"/>
  <c r="N1700" i="2"/>
  <c r="M1700" i="2"/>
  <c r="L1700" i="2"/>
  <c r="K1700" i="2"/>
  <c r="J1700" i="2"/>
  <c r="I1700" i="2"/>
  <c r="H1700" i="2"/>
  <c r="G1700" i="2"/>
  <c r="F1700" i="2"/>
  <c r="E1700" i="2"/>
  <c r="D1700" i="2"/>
  <c r="C1700" i="2"/>
  <c r="B1700" i="2"/>
  <c r="V1699" i="2"/>
  <c r="U1699" i="2"/>
  <c r="T1699" i="2"/>
  <c r="S1699" i="2"/>
  <c r="R1699" i="2"/>
  <c r="Q1699" i="2"/>
  <c r="P1699" i="2"/>
  <c r="O1699" i="2"/>
  <c r="N1699" i="2"/>
  <c r="M1699" i="2"/>
  <c r="L1699" i="2"/>
  <c r="K1699" i="2"/>
  <c r="J1699" i="2"/>
  <c r="I1699" i="2"/>
  <c r="H1699" i="2"/>
  <c r="G1699" i="2"/>
  <c r="F1699" i="2"/>
  <c r="E1699" i="2"/>
  <c r="D1699" i="2"/>
  <c r="C1699" i="2"/>
  <c r="B1699" i="2"/>
  <c r="V1698" i="2"/>
  <c r="U1698" i="2"/>
  <c r="T1698" i="2"/>
  <c r="S1698" i="2"/>
  <c r="R1698" i="2"/>
  <c r="Q1698" i="2"/>
  <c r="P1698" i="2"/>
  <c r="O1698" i="2"/>
  <c r="N1698" i="2"/>
  <c r="M1698" i="2"/>
  <c r="L1698" i="2"/>
  <c r="K1698" i="2"/>
  <c r="J1698" i="2"/>
  <c r="I1698" i="2"/>
  <c r="H1698" i="2"/>
  <c r="G1698" i="2"/>
  <c r="F1698" i="2"/>
  <c r="E1698" i="2"/>
  <c r="D1698" i="2"/>
  <c r="C1698" i="2"/>
  <c r="B1698" i="2"/>
  <c r="V1697" i="2"/>
  <c r="U1697" i="2"/>
  <c r="T1697" i="2"/>
  <c r="S1697" i="2"/>
  <c r="R1697" i="2"/>
  <c r="Q1697" i="2"/>
  <c r="P1697" i="2"/>
  <c r="O1697" i="2"/>
  <c r="N1697" i="2"/>
  <c r="M1697" i="2"/>
  <c r="L1697" i="2"/>
  <c r="K1697" i="2"/>
  <c r="J1697" i="2"/>
  <c r="I1697" i="2"/>
  <c r="H1697" i="2"/>
  <c r="G1697" i="2"/>
  <c r="F1697" i="2"/>
  <c r="E1697" i="2"/>
  <c r="D1697" i="2"/>
  <c r="C1697" i="2"/>
  <c r="B1697" i="2"/>
  <c r="V1696" i="2"/>
  <c r="U1696" i="2"/>
  <c r="T1696" i="2"/>
  <c r="S1696" i="2"/>
  <c r="R1696" i="2"/>
  <c r="Q1696" i="2"/>
  <c r="P1696" i="2"/>
  <c r="O1696" i="2"/>
  <c r="N1696" i="2"/>
  <c r="M1696" i="2"/>
  <c r="L1696" i="2"/>
  <c r="K1696" i="2"/>
  <c r="J1696" i="2"/>
  <c r="I1696" i="2"/>
  <c r="H1696" i="2"/>
  <c r="G1696" i="2"/>
  <c r="F1696" i="2"/>
  <c r="E1696" i="2"/>
  <c r="D1696" i="2"/>
  <c r="C1696" i="2"/>
  <c r="B1696" i="2"/>
  <c r="V1695" i="2"/>
  <c r="U1695" i="2"/>
  <c r="T1695" i="2"/>
  <c r="S1695" i="2"/>
  <c r="R1695" i="2"/>
  <c r="Q1695" i="2"/>
  <c r="P1695" i="2"/>
  <c r="O1695" i="2"/>
  <c r="N1695" i="2"/>
  <c r="M1695" i="2"/>
  <c r="L1695" i="2"/>
  <c r="K1695" i="2"/>
  <c r="J1695" i="2"/>
  <c r="I1695" i="2"/>
  <c r="H1695" i="2"/>
  <c r="G1695" i="2"/>
  <c r="F1695" i="2"/>
  <c r="E1695" i="2"/>
  <c r="D1695" i="2"/>
  <c r="C1695" i="2"/>
  <c r="B1695" i="2"/>
  <c r="V1694" i="2"/>
  <c r="U1694" i="2"/>
  <c r="T1694" i="2"/>
  <c r="S1694" i="2"/>
  <c r="R1694" i="2"/>
  <c r="Q1694" i="2"/>
  <c r="P1694" i="2"/>
  <c r="O1694" i="2"/>
  <c r="N1694" i="2"/>
  <c r="M1694" i="2"/>
  <c r="L1694" i="2"/>
  <c r="K1694" i="2"/>
  <c r="J1694" i="2"/>
  <c r="I1694" i="2"/>
  <c r="H1694" i="2"/>
  <c r="G1694" i="2"/>
  <c r="F1694" i="2"/>
  <c r="E1694" i="2"/>
  <c r="D1694" i="2"/>
  <c r="C1694" i="2"/>
  <c r="B1694" i="2"/>
  <c r="V1693" i="2"/>
  <c r="U1693" i="2"/>
  <c r="T1693" i="2"/>
  <c r="S1693" i="2"/>
  <c r="R1693" i="2"/>
  <c r="Q1693" i="2"/>
  <c r="P1693" i="2"/>
  <c r="O1693" i="2"/>
  <c r="N1693" i="2"/>
  <c r="M1693" i="2"/>
  <c r="L1693" i="2"/>
  <c r="K1693" i="2"/>
  <c r="J1693" i="2"/>
  <c r="I1693" i="2"/>
  <c r="H1693" i="2"/>
  <c r="G1693" i="2"/>
  <c r="F1693" i="2"/>
  <c r="E1693" i="2"/>
  <c r="D1693" i="2"/>
  <c r="C1693" i="2"/>
  <c r="B1693" i="2"/>
  <c r="V1692" i="2"/>
  <c r="U1692" i="2"/>
  <c r="T1692" i="2"/>
  <c r="S1692" i="2"/>
  <c r="R1692" i="2"/>
  <c r="Q1692" i="2"/>
  <c r="P1692" i="2"/>
  <c r="O1692" i="2"/>
  <c r="N1692" i="2"/>
  <c r="M1692" i="2"/>
  <c r="L1692" i="2"/>
  <c r="K1692" i="2"/>
  <c r="J1692" i="2"/>
  <c r="I1692" i="2"/>
  <c r="H1692" i="2"/>
  <c r="G1692" i="2"/>
  <c r="F1692" i="2"/>
  <c r="E1692" i="2"/>
  <c r="D1692" i="2"/>
  <c r="C1692" i="2"/>
  <c r="B1692" i="2"/>
  <c r="V1691" i="2"/>
  <c r="U1691" i="2"/>
  <c r="T1691" i="2"/>
  <c r="S1691" i="2"/>
  <c r="R1691" i="2"/>
  <c r="Q1691" i="2"/>
  <c r="P1691" i="2"/>
  <c r="O1691" i="2"/>
  <c r="N1691" i="2"/>
  <c r="M1691" i="2"/>
  <c r="L1691" i="2"/>
  <c r="K1691" i="2"/>
  <c r="J1691" i="2"/>
  <c r="I1691" i="2"/>
  <c r="H1691" i="2"/>
  <c r="G1691" i="2"/>
  <c r="F1691" i="2"/>
  <c r="E1691" i="2"/>
  <c r="D1691" i="2"/>
  <c r="C1691" i="2"/>
  <c r="B1691" i="2"/>
  <c r="V1690" i="2"/>
  <c r="U1690" i="2"/>
  <c r="T1690" i="2"/>
  <c r="S1690" i="2"/>
  <c r="R1690" i="2"/>
  <c r="Q1690" i="2"/>
  <c r="P1690" i="2"/>
  <c r="O1690" i="2"/>
  <c r="N1690" i="2"/>
  <c r="M1690" i="2"/>
  <c r="L1690" i="2"/>
  <c r="K1690" i="2"/>
  <c r="J1690" i="2"/>
  <c r="I1690" i="2"/>
  <c r="H1690" i="2"/>
  <c r="G1690" i="2"/>
  <c r="F1690" i="2"/>
  <c r="E1690" i="2"/>
  <c r="D1690" i="2"/>
  <c r="C1690" i="2"/>
  <c r="B1690" i="2"/>
  <c r="V1689" i="2"/>
  <c r="U1689" i="2"/>
  <c r="T1689" i="2"/>
  <c r="S1689" i="2"/>
  <c r="R1689" i="2"/>
  <c r="Q1689" i="2"/>
  <c r="P1689" i="2"/>
  <c r="O1689" i="2"/>
  <c r="N1689" i="2"/>
  <c r="M1689" i="2"/>
  <c r="L1689" i="2"/>
  <c r="K1689" i="2"/>
  <c r="J1689" i="2"/>
  <c r="I1689" i="2"/>
  <c r="H1689" i="2"/>
  <c r="G1689" i="2"/>
  <c r="F1689" i="2"/>
  <c r="E1689" i="2"/>
  <c r="D1689" i="2"/>
  <c r="C1689" i="2"/>
  <c r="B1689" i="2"/>
  <c r="V1688" i="2"/>
  <c r="U1688" i="2"/>
  <c r="T1688" i="2"/>
  <c r="S1688" i="2"/>
  <c r="R1688" i="2"/>
  <c r="Q1688" i="2"/>
  <c r="P1688" i="2"/>
  <c r="O1688" i="2"/>
  <c r="N1688" i="2"/>
  <c r="M1688" i="2"/>
  <c r="L1688" i="2"/>
  <c r="K1688" i="2"/>
  <c r="J1688" i="2"/>
  <c r="I1688" i="2"/>
  <c r="H1688" i="2"/>
  <c r="G1688" i="2"/>
  <c r="F1688" i="2"/>
  <c r="E1688" i="2"/>
  <c r="D1688" i="2"/>
  <c r="C1688" i="2"/>
  <c r="B1688" i="2"/>
  <c r="V1687" i="2"/>
  <c r="U1687" i="2"/>
  <c r="T1687" i="2"/>
  <c r="S1687" i="2"/>
  <c r="R1687" i="2"/>
  <c r="Q1687" i="2"/>
  <c r="P1687" i="2"/>
  <c r="O1687" i="2"/>
  <c r="N1687" i="2"/>
  <c r="M1687" i="2"/>
  <c r="L1687" i="2"/>
  <c r="K1687" i="2"/>
  <c r="J1687" i="2"/>
  <c r="I1687" i="2"/>
  <c r="H1687" i="2"/>
  <c r="G1687" i="2"/>
  <c r="F1687" i="2"/>
  <c r="E1687" i="2"/>
  <c r="D1687" i="2"/>
  <c r="C1687" i="2"/>
  <c r="B1687" i="2"/>
  <c r="V1686" i="2"/>
  <c r="U1686" i="2"/>
  <c r="T1686" i="2"/>
  <c r="S1686" i="2"/>
  <c r="R1686" i="2"/>
  <c r="Q1686" i="2"/>
  <c r="P1686" i="2"/>
  <c r="O1686" i="2"/>
  <c r="N1686" i="2"/>
  <c r="M1686" i="2"/>
  <c r="L1686" i="2"/>
  <c r="K1686" i="2"/>
  <c r="J1686" i="2"/>
  <c r="I1686" i="2"/>
  <c r="H1686" i="2"/>
  <c r="G1686" i="2"/>
  <c r="F1686" i="2"/>
  <c r="E1686" i="2"/>
  <c r="D1686" i="2"/>
  <c r="C1686" i="2"/>
  <c r="B1686" i="2"/>
  <c r="V1685" i="2"/>
  <c r="U1685" i="2"/>
  <c r="T1685" i="2"/>
  <c r="S1685" i="2"/>
  <c r="R1685" i="2"/>
  <c r="Q1685" i="2"/>
  <c r="P1685" i="2"/>
  <c r="O1685" i="2"/>
  <c r="N1685" i="2"/>
  <c r="M1685" i="2"/>
  <c r="L1685" i="2"/>
  <c r="K1685" i="2"/>
  <c r="J1685" i="2"/>
  <c r="I1685" i="2"/>
  <c r="H1685" i="2"/>
  <c r="G1685" i="2"/>
  <c r="F1685" i="2"/>
  <c r="E1685" i="2"/>
  <c r="D1685" i="2"/>
  <c r="C1685" i="2"/>
  <c r="B1685" i="2"/>
  <c r="V1684" i="2"/>
  <c r="U1684" i="2"/>
  <c r="T1684" i="2"/>
  <c r="S1684" i="2"/>
  <c r="R1684" i="2"/>
  <c r="Q1684" i="2"/>
  <c r="P1684" i="2"/>
  <c r="O1684" i="2"/>
  <c r="N1684" i="2"/>
  <c r="M1684" i="2"/>
  <c r="L1684" i="2"/>
  <c r="K1684" i="2"/>
  <c r="J1684" i="2"/>
  <c r="I1684" i="2"/>
  <c r="H1684" i="2"/>
  <c r="G1684" i="2"/>
  <c r="F1684" i="2"/>
  <c r="E1684" i="2"/>
  <c r="D1684" i="2"/>
  <c r="C1684" i="2"/>
  <c r="B1684" i="2"/>
  <c r="V1683" i="2"/>
  <c r="U1683" i="2"/>
  <c r="T1683" i="2"/>
  <c r="S1683" i="2"/>
  <c r="R1683" i="2"/>
  <c r="Q1683" i="2"/>
  <c r="P1683" i="2"/>
  <c r="O1683" i="2"/>
  <c r="N1683" i="2"/>
  <c r="M1683" i="2"/>
  <c r="L1683" i="2"/>
  <c r="K1683" i="2"/>
  <c r="J1683" i="2"/>
  <c r="I1683" i="2"/>
  <c r="H1683" i="2"/>
  <c r="G1683" i="2"/>
  <c r="F1683" i="2"/>
  <c r="E1683" i="2"/>
  <c r="D1683" i="2"/>
  <c r="C1683" i="2"/>
  <c r="B1683" i="2"/>
  <c r="V1682" i="2"/>
  <c r="U1682" i="2"/>
  <c r="T1682" i="2"/>
  <c r="S1682" i="2"/>
  <c r="R1682" i="2"/>
  <c r="Q1682" i="2"/>
  <c r="P1682" i="2"/>
  <c r="O1682" i="2"/>
  <c r="N1682" i="2"/>
  <c r="M1682" i="2"/>
  <c r="L1682" i="2"/>
  <c r="K1682" i="2"/>
  <c r="J1682" i="2"/>
  <c r="I1682" i="2"/>
  <c r="H1682" i="2"/>
  <c r="G1682" i="2"/>
  <c r="F1682" i="2"/>
  <c r="E1682" i="2"/>
  <c r="D1682" i="2"/>
  <c r="C1682" i="2"/>
  <c r="B1682" i="2"/>
  <c r="V1681" i="2"/>
  <c r="U1681" i="2"/>
  <c r="T1681" i="2"/>
  <c r="S1681" i="2"/>
  <c r="R1681" i="2"/>
  <c r="Q1681" i="2"/>
  <c r="P1681" i="2"/>
  <c r="O1681" i="2"/>
  <c r="N1681" i="2"/>
  <c r="M1681" i="2"/>
  <c r="L1681" i="2"/>
  <c r="K1681" i="2"/>
  <c r="J1681" i="2"/>
  <c r="I1681" i="2"/>
  <c r="H1681" i="2"/>
  <c r="G1681" i="2"/>
  <c r="F1681" i="2"/>
  <c r="E1681" i="2"/>
  <c r="D1681" i="2"/>
  <c r="C1681" i="2"/>
  <c r="B1681" i="2"/>
  <c r="V1680" i="2"/>
  <c r="U1680" i="2"/>
  <c r="T1680" i="2"/>
  <c r="S1680" i="2"/>
  <c r="R1680" i="2"/>
  <c r="Q1680" i="2"/>
  <c r="P1680" i="2"/>
  <c r="O1680" i="2"/>
  <c r="N1680" i="2"/>
  <c r="M1680" i="2"/>
  <c r="L1680" i="2"/>
  <c r="K1680" i="2"/>
  <c r="J1680" i="2"/>
  <c r="I1680" i="2"/>
  <c r="H1680" i="2"/>
  <c r="G1680" i="2"/>
  <c r="F1680" i="2"/>
  <c r="E1680" i="2"/>
  <c r="D1680" i="2"/>
  <c r="C1680" i="2"/>
  <c r="B1680" i="2"/>
  <c r="V1679" i="2"/>
  <c r="U1679" i="2"/>
  <c r="T1679" i="2"/>
  <c r="S1679" i="2"/>
  <c r="R1679" i="2"/>
  <c r="Q1679" i="2"/>
  <c r="P1679" i="2"/>
  <c r="O1679" i="2"/>
  <c r="N1679" i="2"/>
  <c r="M1679" i="2"/>
  <c r="L1679" i="2"/>
  <c r="K1679" i="2"/>
  <c r="J1679" i="2"/>
  <c r="I1679" i="2"/>
  <c r="H1679" i="2"/>
  <c r="G1679" i="2"/>
  <c r="F1679" i="2"/>
  <c r="E1679" i="2"/>
  <c r="D1679" i="2"/>
  <c r="C1679" i="2"/>
  <c r="B1679" i="2"/>
  <c r="V1678" i="2"/>
  <c r="U1678" i="2"/>
  <c r="T1678" i="2"/>
  <c r="S1678" i="2"/>
  <c r="R1678" i="2"/>
  <c r="Q1678" i="2"/>
  <c r="P1678" i="2"/>
  <c r="O1678" i="2"/>
  <c r="N1678" i="2"/>
  <c r="M1678" i="2"/>
  <c r="L1678" i="2"/>
  <c r="K1678" i="2"/>
  <c r="J1678" i="2"/>
  <c r="I1678" i="2"/>
  <c r="H1678" i="2"/>
  <c r="G1678" i="2"/>
  <c r="F1678" i="2"/>
  <c r="E1678" i="2"/>
  <c r="D1678" i="2"/>
  <c r="C1678" i="2"/>
  <c r="B1678" i="2"/>
  <c r="V1677" i="2"/>
  <c r="U1677" i="2"/>
  <c r="T1677" i="2"/>
  <c r="S1677" i="2"/>
  <c r="R1677" i="2"/>
  <c r="Q1677" i="2"/>
  <c r="P1677" i="2"/>
  <c r="O1677" i="2"/>
  <c r="N1677" i="2"/>
  <c r="M1677" i="2"/>
  <c r="L1677" i="2"/>
  <c r="K1677" i="2"/>
  <c r="J1677" i="2"/>
  <c r="I1677" i="2"/>
  <c r="H1677" i="2"/>
  <c r="G1677" i="2"/>
  <c r="F1677" i="2"/>
  <c r="E1677" i="2"/>
  <c r="D1677" i="2"/>
  <c r="C1677" i="2"/>
  <c r="B1677" i="2"/>
  <c r="V1676" i="2"/>
  <c r="U1676" i="2"/>
  <c r="T1676" i="2"/>
  <c r="S1676" i="2"/>
  <c r="R1676" i="2"/>
  <c r="Q1676" i="2"/>
  <c r="P1676" i="2"/>
  <c r="O1676" i="2"/>
  <c r="N1676" i="2"/>
  <c r="M1676" i="2"/>
  <c r="L1676" i="2"/>
  <c r="K1676" i="2"/>
  <c r="J1676" i="2"/>
  <c r="I1676" i="2"/>
  <c r="H1676" i="2"/>
  <c r="G1676" i="2"/>
  <c r="F1676" i="2"/>
  <c r="E1676" i="2"/>
  <c r="D1676" i="2"/>
  <c r="C1676" i="2"/>
  <c r="B1676" i="2"/>
  <c r="V1675" i="2"/>
  <c r="U1675" i="2"/>
  <c r="T1675" i="2"/>
  <c r="S1675" i="2"/>
  <c r="R1675" i="2"/>
  <c r="Q1675" i="2"/>
  <c r="P1675" i="2"/>
  <c r="O1675" i="2"/>
  <c r="N1675" i="2"/>
  <c r="M1675" i="2"/>
  <c r="L1675" i="2"/>
  <c r="K1675" i="2"/>
  <c r="J1675" i="2"/>
  <c r="I1675" i="2"/>
  <c r="H1675" i="2"/>
  <c r="G1675" i="2"/>
  <c r="F1675" i="2"/>
  <c r="E1675" i="2"/>
  <c r="D1675" i="2"/>
  <c r="C1675" i="2"/>
  <c r="B1675" i="2"/>
  <c r="V1674" i="2"/>
  <c r="U1674" i="2"/>
  <c r="T1674" i="2"/>
  <c r="S1674" i="2"/>
  <c r="R1674" i="2"/>
  <c r="Q1674" i="2"/>
  <c r="P1674" i="2"/>
  <c r="O1674" i="2"/>
  <c r="N1674" i="2"/>
  <c r="M1674" i="2"/>
  <c r="L1674" i="2"/>
  <c r="K1674" i="2"/>
  <c r="J1674" i="2"/>
  <c r="I1674" i="2"/>
  <c r="H1674" i="2"/>
  <c r="G1674" i="2"/>
  <c r="F1674" i="2"/>
  <c r="E1674" i="2"/>
  <c r="D1674" i="2"/>
  <c r="C1674" i="2"/>
  <c r="B1674" i="2"/>
  <c r="V1673" i="2"/>
  <c r="U1673" i="2"/>
  <c r="T1673" i="2"/>
  <c r="S1673" i="2"/>
  <c r="R1673" i="2"/>
  <c r="Q1673" i="2"/>
  <c r="P1673" i="2"/>
  <c r="O1673" i="2"/>
  <c r="N1673" i="2"/>
  <c r="M1673" i="2"/>
  <c r="L1673" i="2"/>
  <c r="K1673" i="2"/>
  <c r="J1673" i="2"/>
  <c r="I1673" i="2"/>
  <c r="H1673" i="2"/>
  <c r="G1673" i="2"/>
  <c r="F1673" i="2"/>
  <c r="E1673" i="2"/>
  <c r="D1673" i="2"/>
  <c r="C1673" i="2"/>
  <c r="B1673" i="2"/>
  <c r="V1672" i="2"/>
  <c r="U1672" i="2"/>
  <c r="T1672" i="2"/>
  <c r="S1672" i="2"/>
  <c r="R1672" i="2"/>
  <c r="Q1672" i="2"/>
  <c r="P1672" i="2"/>
  <c r="O1672" i="2"/>
  <c r="N1672" i="2"/>
  <c r="M1672" i="2"/>
  <c r="L1672" i="2"/>
  <c r="K1672" i="2"/>
  <c r="J1672" i="2"/>
  <c r="I1672" i="2"/>
  <c r="H1672" i="2"/>
  <c r="G1672" i="2"/>
  <c r="F1672" i="2"/>
  <c r="E1672" i="2"/>
  <c r="D1672" i="2"/>
  <c r="C1672" i="2"/>
  <c r="B1672" i="2"/>
  <c r="V1671" i="2"/>
  <c r="U1671" i="2"/>
  <c r="T1671" i="2"/>
  <c r="S1671" i="2"/>
  <c r="R1671" i="2"/>
  <c r="Q1671" i="2"/>
  <c r="P1671" i="2"/>
  <c r="O1671" i="2"/>
  <c r="N1671" i="2"/>
  <c r="M1671" i="2"/>
  <c r="L1671" i="2"/>
  <c r="K1671" i="2"/>
  <c r="J1671" i="2"/>
  <c r="I1671" i="2"/>
  <c r="H1671" i="2"/>
  <c r="G1671" i="2"/>
  <c r="F1671" i="2"/>
  <c r="E1671" i="2"/>
  <c r="D1671" i="2"/>
  <c r="C1671" i="2"/>
  <c r="B1671" i="2"/>
  <c r="V1670" i="2"/>
  <c r="U1670" i="2"/>
  <c r="T1670" i="2"/>
  <c r="S1670" i="2"/>
  <c r="R1670" i="2"/>
  <c r="Q1670" i="2"/>
  <c r="P1670" i="2"/>
  <c r="O1670" i="2"/>
  <c r="N1670" i="2"/>
  <c r="M1670" i="2"/>
  <c r="L1670" i="2"/>
  <c r="K1670" i="2"/>
  <c r="J1670" i="2"/>
  <c r="I1670" i="2"/>
  <c r="H1670" i="2"/>
  <c r="G1670" i="2"/>
  <c r="F1670" i="2"/>
  <c r="E1670" i="2"/>
  <c r="D1670" i="2"/>
  <c r="C1670" i="2"/>
  <c r="B1670" i="2"/>
  <c r="V1669" i="2"/>
  <c r="U1669" i="2"/>
  <c r="T1669" i="2"/>
  <c r="S1669" i="2"/>
  <c r="R1669" i="2"/>
  <c r="Q1669" i="2"/>
  <c r="P1669" i="2"/>
  <c r="O1669" i="2"/>
  <c r="N1669" i="2"/>
  <c r="M1669" i="2"/>
  <c r="L1669" i="2"/>
  <c r="K1669" i="2"/>
  <c r="J1669" i="2"/>
  <c r="I1669" i="2"/>
  <c r="H1669" i="2"/>
  <c r="G1669" i="2"/>
  <c r="F1669" i="2"/>
  <c r="E1669" i="2"/>
  <c r="D1669" i="2"/>
  <c r="C1669" i="2"/>
  <c r="B1669" i="2"/>
  <c r="V1668" i="2"/>
  <c r="U1668" i="2"/>
  <c r="T1668" i="2"/>
  <c r="S1668" i="2"/>
  <c r="R1668" i="2"/>
  <c r="Q1668" i="2"/>
  <c r="P1668" i="2"/>
  <c r="O1668" i="2"/>
  <c r="N1668" i="2"/>
  <c r="M1668" i="2"/>
  <c r="L1668" i="2"/>
  <c r="K1668" i="2"/>
  <c r="J1668" i="2"/>
  <c r="I1668" i="2"/>
  <c r="H1668" i="2"/>
  <c r="G1668" i="2"/>
  <c r="F1668" i="2"/>
  <c r="E1668" i="2"/>
  <c r="D1668" i="2"/>
  <c r="C1668" i="2"/>
  <c r="B1668" i="2"/>
  <c r="V1667" i="2"/>
  <c r="U1667" i="2"/>
  <c r="T1667" i="2"/>
  <c r="S1667" i="2"/>
  <c r="R1667" i="2"/>
  <c r="Q1667" i="2"/>
  <c r="P1667" i="2"/>
  <c r="O1667" i="2"/>
  <c r="N1667" i="2"/>
  <c r="M1667" i="2"/>
  <c r="L1667" i="2"/>
  <c r="K1667" i="2"/>
  <c r="J1667" i="2"/>
  <c r="I1667" i="2"/>
  <c r="H1667" i="2"/>
  <c r="G1667" i="2"/>
  <c r="F1667" i="2"/>
  <c r="E1667" i="2"/>
  <c r="D1667" i="2"/>
  <c r="C1667" i="2"/>
  <c r="B1667" i="2"/>
  <c r="V1666" i="2"/>
  <c r="U1666" i="2"/>
  <c r="T1666" i="2"/>
  <c r="S1666" i="2"/>
  <c r="R1666" i="2"/>
  <c r="Q1666" i="2"/>
  <c r="P1666" i="2"/>
  <c r="O1666" i="2"/>
  <c r="N1666" i="2"/>
  <c r="M1666" i="2"/>
  <c r="L1666" i="2"/>
  <c r="K1666" i="2"/>
  <c r="J1666" i="2"/>
  <c r="I1666" i="2"/>
  <c r="H1666" i="2"/>
  <c r="G1666" i="2"/>
  <c r="F1666" i="2"/>
  <c r="E1666" i="2"/>
  <c r="D1666" i="2"/>
  <c r="C1666" i="2"/>
  <c r="B1666" i="2"/>
  <c r="V1665" i="2"/>
  <c r="U1665" i="2"/>
  <c r="T1665" i="2"/>
  <c r="S1665" i="2"/>
  <c r="R1665" i="2"/>
  <c r="Q1665" i="2"/>
  <c r="P1665" i="2"/>
  <c r="O1665" i="2"/>
  <c r="N1665" i="2"/>
  <c r="M1665" i="2"/>
  <c r="L1665" i="2"/>
  <c r="K1665" i="2"/>
  <c r="J1665" i="2"/>
  <c r="I1665" i="2"/>
  <c r="H1665" i="2"/>
  <c r="G1665" i="2"/>
  <c r="F1665" i="2"/>
  <c r="E1665" i="2"/>
  <c r="D1665" i="2"/>
  <c r="C1665" i="2"/>
  <c r="B1665" i="2"/>
  <c r="V1664" i="2"/>
  <c r="U1664" i="2"/>
  <c r="T1664" i="2"/>
  <c r="S1664" i="2"/>
  <c r="R1664" i="2"/>
  <c r="Q1664" i="2"/>
  <c r="P1664" i="2"/>
  <c r="O1664" i="2"/>
  <c r="N1664" i="2"/>
  <c r="M1664" i="2"/>
  <c r="L1664" i="2"/>
  <c r="K1664" i="2"/>
  <c r="J1664" i="2"/>
  <c r="I1664" i="2"/>
  <c r="H1664" i="2"/>
  <c r="G1664" i="2"/>
  <c r="F1664" i="2"/>
  <c r="E1664" i="2"/>
  <c r="D1664" i="2"/>
  <c r="C1664" i="2"/>
  <c r="B1664" i="2"/>
  <c r="V1663" i="2"/>
  <c r="U1663" i="2"/>
  <c r="T1663" i="2"/>
  <c r="S1663" i="2"/>
  <c r="R1663" i="2"/>
  <c r="Q1663" i="2"/>
  <c r="P1663" i="2"/>
  <c r="O1663" i="2"/>
  <c r="N1663" i="2"/>
  <c r="M1663" i="2"/>
  <c r="L1663" i="2"/>
  <c r="K1663" i="2"/>
  <c r="J1663" i="2"/>
  <c r="I1663" i="2"/>
  <c r="H1663" i="2"/>
  <c r="G1663" i="2"/>
  <c r="F1663" i="2"/>
  <c r="E1663" i="2"/>
  <c r="D1663" i="2"/>
  <c r="C1663" i="2"/>
  <c r="B1663" i="2"/>
  <c r="V1662" i="2"/>
  <c r="U1662" i="2"/>
  <c r="T1662" i="2"/>
  <c r="S1662" i="2"/>
  <c r="R1662" i="2"/>
  <c r="Q1662" i="2"/>
  <c r="P1662" i="2"/>
  <c r="O1662" i="2"/>
  <c r="N1662" i="2"/>
  <c r="M1662" i="2"/>
  <c r="L1662" i="2"/>
  <c r="K1662" i="2"/>
  <c r="J1662" i="2"/>
  <c r="I1662" i="2"/>
  <c r="H1662" i="2"/>
  <c r="G1662" i="2"/>
  <c r="F1662" i="2"/>
  <c r="E1662" i="2"/>
  <c r="D1662" i="2"/>
  <c r="C1662" i="2"/>
  <c r="B1662" i="2"/>
  <c r="V1661" i="2"/>
  <c r="U1661" i="2"/>
  <c r="T1661" i="2"/>
  <c r="S1661" i="2"/>
  <c r="R1661" i="2"/>
  <c r="Q1661" i="2"/>
  <c r="P1661" i="2"/>
  <c r="O1661" i="2"/>
  <c r="N1661" i="2"/>
  <c r="M1661" i="2"/>
  <c r="L1661" i="2"/>
  <c r="K1661" i="2"/>
  <c r="J1661" i="2"/>
  <c r="I1661" i="2"/>
  <c r="H1661" i="2"/>
  <c r="G1661" i="2"/>
  <c r="F1661" i="2"/>
  <c r="E1661" i="2"/>
  <c r="D1661" i="2"/>
  <c r="C1661" i="2"/>
  <c r="B1661" i="2"/>
  <c r="V1660" i="2"/>
  <c r="U1660" i="2"/>
  <c r="T1660" i="2"/>
  <c r="S1660" i="2"/>
  <c r="R1660" i="2"/>
  <c r="Q1660" i="2"/>
  <c r="P1660" i="2"/>
  <c r="O1660" i="2"/>
  <c r="N1660" i="2"/>
  <c r="M1660" i="2"/>
  <c r="L1660" i="2"/>
  <c r="K1660" i="2"/>
  <c r="J1660" i="2"/>
  <c r="I1660" i="2"/>
  <c r="H1660" i="2"/>
  <c r="G1660" i="2"/>
  <c r="F1660" i="2"/>
  <c r="E1660" i="2"/>
  <c r="D1660" i="2"/>
  <c r="C1660" i="2"/>
  <c r="B1660" i="2"/>
  <c r="V1659" i="2"/>
  <c r="U1659" i="2"/>
  <c r="T1659" i="2"/>
  <c r="S1659" i="2"/>
  <c r="R1659" i="2"/>
  <c r="Q1659" i="2"/>
  <c r="P1659" i="2"/>
  <c r="O1659" i="2"/>
  <c r="N1659" i="2"/>
  <c r="M1659" i="2"/>
  <c r="L1659" i="2"/>
  <c r="K1659" i="2"/>
  <c r="J1659" i="2"/>
  <c r="I1659" i="2"/>
  <c r="H1659" i="2"/>
  <c r="G1659" i="2"/>
  <c r="F1659" i="2"/>
  <c r="E1659" i="2"/>
  <c r="D1659" i="2"/>
  <c r="C1659" i="2"/>
  <c r="B1659" i="2"/>
  <c r="V1658" i="2"/>
  <c r="U1658" i="2"/>
  <c r="T1658" i="2"/>
  <c r="S1658" i="2"/>
  <c r="R1658" i="2"/>
  <c r="Q1658" i="2"/>
  <c r="P1658" i="2"/>
  <c r="O1658" i="2"/>
  <c r="N1658" i="2"/>
  <c r="M1658" i="2"/>
  <c r="L1658" i="2"/>
  <c r="K1658" i="2"/>
  <c r="J1658" i="2"/>
  <c r="I1658" i="2"/>
  <c r="H1658" i="2"/>
  <c r="G1658" i="2"/>
  <c r="F1658" i="2"/>
  <c r="E1658" i="2"/>
  <c r="D1658" i="2"/>
  <c r="C1658" i="2"/>
  <c r="B1658" i="2"/>
  <c r="V1657" i="2"/>
  <c r="U1657" i="2"/>
  <c r="T1657" i="2"/>
  <c r="S1657" i="2"/>
  <c r="R1657" i="2"/>
  <c r="Q1657" i="2"/>
  <c r="P1657" i="2"/>
  <c r="O1657" i="2"/>
  <c r="N1657" i="2"/>
  <c r="M1657" i="2"/>
  <c r="L1657" i="2"/>
  <c r="K1657" i="2"/>
  <c r="J1657" i="2"/>
  <c r="I1657" i="2"/>
  <c r="H1657" i="2"/>
  <c r="G1657" i="2"/>
  <c r="F1657" i="2"/>
  <c r="E1657" i="2"/>
  <c r="D1657" i="2"/>
  <c r="C1657" i="2"/>
  <c r="B1657" i="2"/>
  <c r="V1656" i="2"/>
  <c r="U1656" i="2"/>
  <c r="T1656" i="2"/>
  <c r="S1656" i="2"/>
  <c r="R1656" i="2"/>
  <c r="Q1656" i="2"/>
  <c r="P1656" i="2"/>
  <c r="O1656" i="2"/>
  <c r="N1656" i="2"/>
  <c r="M1656" i="2"/>
  <c r="L1656" i="2"/>
  <c r="K1656" i="2"/>
  <c r="J1656" i="2"/>
  <c r="I1656" i="2"/>
  <c r="H1656" i="2"/>
  <c r="G1656" i="2"/>
  <c r="F1656" i="2"/>
  <c r="E1656" i="2"/>
  <c r="D1656" i="2"/>
  <c r="C1656" i="2"/>
  <c r="B1656" i="2"/>
  <c r="V1655" i="2"/>
  <c r="U1655" i="2"/>
  <c r="T1655" i="2"/>
  <c r="S1655" i="2"/>
  <c r="R1655" i="2"/>
  <c r="Q1655" i="2"/>
  <c r="P1655" i="2"/>
  <c r="O1655" i="2"/>
  <c r="N1655" i="2"/>
  <c r="M1655" i="2"/>
  <c r="L1655" i="2"/>
  <c r="K1655" i="2"/>
  <c r="J1655" i="2"/>
  <c r="I1655" i="2"/>
  <c r="H1655" i="2"/>
  <c r="G1655" i="2"/>
  <c r="F1655" i="2"/>
  <c r="E1655" i="2"/>
  <c r="D1655" i="2"/>
  <c r="C1655" i="2"/>
  <c r="B1655" i="2"/>
  <c r="V1654" i="2"/>
  <c r="U1654" i="2"/>
  <c r="T1654" i="2"/>
  <c r="S1654" i="2"/>
  <c r="R1654" i="2"/>
  <c r="Q1654" i="2"/>
  <c r="P1654" i="2"/>
  <c r="O1654" i="2"/>
  <c r="N1654" i="2"/>
  <c r="M1654" i="2"/>
  <c r="L1654" i="2"/>
  <c r="K1654" i="2"/>
  <c r="J1654" i="2"/>
  <c r="I1654" i="2"/>
  <c r="H1654" i="2"/>
  <c r="G1654" i="2"/>
  <c r="F1654" i="2"/>
  <c r="E1654" i="2"/>
  <c r="D1654" i="2"/>
  <c r="C1654" i="2"/>
  <c r="B1654" i="2"/>
  <c r="V1653" i="2"/>
  <c r="U1653" i="2"/>
  <c r="T1653" i="2"/>
  <c r="S1653" i="2"/>
  <c r="R1653" i="2"/>
  <c r="Q1653" i="2"/>
  <c r="P1653" i="2"/>
  <c r="O1653" i="2"/>
  <c r="N1653" i="2"/>
  <c r="M1653" i="2"/>
  <c r="L1653" i="2"/>
  <c r="K1653" i="2"/>
  <c r="J1653" i="2"/>
  <c r="I1653" i="2"/>
  <c r="H1653" i="2"/>
  <c r="G1653" i="2"/>
  <c r="F1653" i="2"/>
  <c r="E1653" i="2"/>
  <c r="D1653" i="2"/>
  <c r="C1653" i="2"/>
  <c r="B1653" i="2"/>
  <c r="V1652" i="2"/>
  <c r="U1652" i="2"/>
  <c r="T1652" i="2"/>
  <c r="S1652" i="2"/>
  <c r="R1652" i="2"/>
  <c r="Q1652" i="2"/>
  <c r="P1652" i="2"/>
  <c r="O1652" i="2"/>
  <c r="N1652" i="2"/>
  <c r="M1652" i="2"/>
  <c r="L1652" i="2"/>
  <c r="K1652" i="2"/>
  <c r="J1652" i="2"/>
  <c r="I1652" i="2"/>
  <c r="H1652" i="2"/>
  <c r="G1652" i="2"/>
  <c r="F1652" i="2"/>
  <c r="E1652" i="2"/>
  <c r="D1652" i="2"/>
  <c r="C1652" i="2"/>
  <c r="B1652" i="2"/>
  <c r="V1651" i="2"/>
  <c r="U1651" i="2"/>
  <c r="T1651" i="2"/>
  <c r="S1651" i="2"/>
  <c r="R1651" i="2"/>
  <c r="Q1651" i="2"/>
  <c r="P1651" i="2"/>
  <c r="O1651" i="2"/>
  <c r="N1651" i="2"/>
  <c r="M1651" i="2"/>
  <c r="L1651" i="2"/>
  <c r="K1651" i="2"/>
  <c r="J1651" i="2"/>
  <c r="I1651" i="2"/>
  <c r="H1651" i="2"/>
  <c r="G1651" i="2"/>
  <c r="F1651" i="2"/>
  <c r="E1651" i="2"/>
  <c r="D1651" i="2"/>
  <c r="C1651" i="2"/>
  <c r="B1651" i="2"/>
  <c r="V1650" i="2"/>
  <c r="U1650" i="2"/>
  <c r="T1650" i="2"/>
  <c r="S1650" i="2"/>
  <c r="R1650" i="2"/>
  <c r="Q1650" i="2"/>
  <c r="P1650" i="2"/>
  <c r="O1650" i="2"/>
  <c r="N1650" i="2"/>
  <c r="M1650" i="2"/>
  <c r="L1650" i="2"/>
  <c r="K1650" i="2"/>
  <c r="J1650" i="2"/>
  <c r="I1650" i="2"/>
  <c r="H1650" i="2"/>
  <c r="G1650" i="2"/>
  <c r="F1650" i="2"/>
  <c r="E1650" i="2"/>
  <c r="D1650" i="2"/>
  <c r="C1650" i="2"/>
  <c r="B1650" i="2"/>
  <c r="V1649" i="2"/>
  <c r="U1649" i="2"/>
  <c r="T1649" i="2"/>
  <c r="S1649" i="2"/>
  <c r="R1649" i="2"/>
  <c r="Q1649" i="2"/>
  <c r="P1649" i="2"/>
  <c r="O1649" i="2"/>
  <c r="N1649" i="2"/>
  <c r="M1649" i="2"/>
  <c r="L1649" i="2"/>
  <c r="K1649" i="2"/>
  <c r="J1649" i="2"/>
  <c r="I1649" i="2"/>
  <c r="H1649" i="2"/>
  <c r="G1649" i="2"/>
  <c r="F1649" i="2"/>
  <c r="E1649" i="2"/>
  <c r="D1649" i="2"/>
  <c r="C1649" i="2"/>
  <c r="B1649" i="2"/>
  <c r="V1648" i="2"/>
  <c r="U1648" i="2"/>
  <c r="T1648" i="2"/>
  <c r="S1648" i="2"/>
  <c r="R1648" i="2"/>
  <c r="Q1648" i="2"/>
  <c r="P1648" i="2"/>
  <c r="O1648" i="2"/>
  <c r="N1648" i="2"/>
  <c r="M1648" i="2"/>
  <c r="L1648" i="2"/>
  <c r="K1648" i="2"/>
  <c r="J1648" i="2"/>
  <c r="I1648" i="2"/>
  <c r="H1648" i="2"/>
  <c r="G1648" i="2"/>
  <c r="F1648" i="2"/>
  <c r="E1648" i="2"/>
  <c r="D1648" i="2"/>
  <c r="C1648" i="2"/>
  <c r="B1648" i="2"/>
  <c r="V1647" i="2"/>
  <c r="U1647" i="2"/>
  <c r="T1647" i="2"/>
  <c r="S1647" i="2"/>
  <c r="R1647" i="2"/>
  <c r="Q1647" i="2"/>
  <c r="P1647" i="2"/>
  <c r="O1647" i="2"/>
  <c r="N1647" i="2"/>
  <c r="M1647" i="2"/>
  <c r="L1647" i="2"/>
  <c r="K1647" i="2"/>
  <c r="J1647" i="2"/>
  <c r="I1647" i="2"/>
  <c r="H1647" i="2"/>
  <c r="G1647" i="2"/>
  <c r="F1647" i="2"/>
  <c r="E1647" i="2"/>
  <c r="D1647" i="2"/>
  <c r="C1647" i="2"/>
  <c r="B1647" i="2"/>
  <c r="V1646" i="2"/>
  <c r="U1646" i="2"/>
  <c r="T1646" i="2"/>
  <c r="S1646" i="2"/>
  <c r="R1646" i="2"/>
  <c r="Q1646" i="2"/>
  <c r="P1646" i="2"/>
  <c r="O1646" i="2"/>
  <c r="N1646" i="2"/>
  <c r="M1646" i="2"/>
  <c r="L1646" i="2"/>
  <c r="K1646" i="2"/>
  <c r="J1646" i="2"/>
  <c r="I1646" i="2"/>
  <c r="H1646" i="2"/>
  <c r="G1646" i="2"/>
  <c r="F1646" i="2"/>
  <c r="E1646" i="2"/>
  <c r="D1646" i="2"/>
  <c r="C1646" i="2"/>
  <c r="B1646" i="2"/>
  <c r="V1645" i="2"/>
  <c r="U1645" i="2"/>
  <c r="T1645" i="2"/>
  <c r="S1645" i="2"/>
  <c r="R1645" i="2"/>
  <c r="Q1645" i="2"/>
  <c r="P1645" i="2"/>
  <c r="O1645" i="2"/>
  <c r="N1645" i="2"/>
  <c r="M1645" i="2"/>
  <c r="L1645" i="2"/>
  <c r="K1645" i="2"/>
  <c r="J1645" i="2"/>
  <c r="I1645" i="2"/>
  <c r="H1645" i="2"/>
  <c r="G1645" i="2"/>
  <c r="F1645" i="2"/>
  <c r="E1645" i="2"/>
  <c r="D1645" i="2"/>
  <c r="C1645" i="2"/>
  <c r="B1645" i="2"/>
  <c r="V1644" i="2"/>
  <c r="U1644" i="2"/>
  <c r="T1644" i="2"/>
  <c r="S1644" i="2"/>
  <c r="R1644" i="2"/>
  <c r="Q1644" i="2"/>
  <c r="P1644" i="2"/>
  <c r="O1644" i="2"/>
  <c r="N1644" i="2"/>
  <c r="M1644" i="2"/>
  <c r="L1644" i="2"/>
  <c r="K1644" i="2"/>
  <c r="J1644" i="2"/>
  <c r="I1644" i="2"/>
  <c r="H1644" i="2"/>
  <c r="G1644" i="2"/>
  <c r="F1644" i="2"/>
  <c r="E1644" i="2"/>
  <c r="D1644" i="2"/>
  <c r="C1644" i="2"/>
  <c r="B1644" i="2"/>
  <c r="V1643" i="2"/>
  <c r="U1643" i="2"/>
  <c r="T1643" i="2"/>
  <c r="S1643" i="2"/>
  <c r="R1643" i="2"/>
  <c r="Q1643" i="2"/>
  <c r="P1643" i="2"/>
  <c r="O1643" i="2"/>
  <c r="N1643" i="2"/>
  <c r="M1643" i="2"/>
  <c r="L1643" i="2"/>
  <c r="K1643" i="2"/>
  <c r="J1643" i="2"/>
  <c r="I1643" i="2"/>
  <c r="H1643" i="2"/>
  <c r="G1643" i="2"/>
  <c r="F1643" i="2"/>
  <c r="E1643" i="2"/>
  <c r="D1643" i="2"/>
  <c r="C1643" i="2"/>
  <c r="B1643" i="2"/>
  <c r="V1642" i="2"/>
  <c r="U1642" i="2"/>
  <c r="T1642" i="2"/>
  <c r="S1642" i="2"/>
  <c r="R1642" i="2"/>
  <c r="Q1642" i="2"/>
  <c r="P1642" i="2"/>
  <c r="O1642" i="2"/>
  <c r="N1642" i="2"/>
  <c r="M1642" i="2"/>
  <c r="L1642" i="2"/>
  <c r="K1642" i="2"/>
  <c r="J1642" i="2"/>
  <c r="I1642" i="2"/>
  <c r="H1642" i="2"/>
  <c r="G1642" i="2"/>
  <c r="F1642" i="2"/>
  <c r="E1642" i="2"/>
  <c r="D1642" i="2"/>
  <c r="C1642" i="2"/>
  <c r="B1642" i="2"/>
  <c r="V1641" i="2"/>
  <c r="U1641" i="2"/>
  <c r="T1641" i="2"/>
  <c r="S1641" i="2"/>
  <c r="R1641" i="2"/>
  <c r="Q1641" i="2"/>
  <c r="P1641" i="2"/>
  <c r="O1641" i="2"/>
  <c r="N1641" i="2"/>
  <c r="M1641" i="2"/>
  <c r="L1641" i="2"/>
  <c r="K1641" i="2"/>
  <c r="J1641" i="2"/>
  <c r="I1641" i="2"/>
  <c r="H1641" i="2"/>
  <c r="G1641" i="2"/>
  <c r="F1641" i="2"/>
  <c r="E1641" i="2"/>
  <c r="D1641" i="2"/>
  <c r="C1641" i="2"/>
  <c r="B1641" i="2"/>
  <c r="V1640" i="2"/>
  <c r="U1640" i="2"/>
  <c r="T1640" i="2"/>
  <c r="S1640" i="2"/>
  <c r="R1640" i="2"/>
  <c r="Q1640" i="2"/>
  <c r="P1640" i="2"/>
  <c r="O1640" i="2"/>
  <c r="N1640" i="2"/>
  <c r="M1640" i="2"/>
  <c r="L1640" i="2"/>
  <c r="K1640" i="2"/>
  <c r="J1640" i="2"/>
  <c r="I1640" i="2"/>
  <c r="H1640" i="2"/>
  <c r="G1640" i="2"/>
  <c r="F1640" i="2"/>
  <c r="E1640" i="2"/>
  <c r="D1640" i="2"/>
  <c r="C1640" i="2"/>
  <c r="B1640" i="2"/>
  <c r="V1639" i="2"/>
  <c r="U1639" i="2"/>
  <c r="T1639" i="2"/>
  <c r="S1639" i="2"/>
  <c r="R1639" i="2"/>
  <c r="Q1639" i="2"/>
  <c r="P1639" i="2"/>
  <c r="O1639" i="2"/>
  <c r="N1639" i="2"/>
  <c r="M1639" i="2"/>
  <c r="L1639" i="2"/>
  <c r="K1639" i="2"/>
  <c r="J1639" i="2"/>
  <c r="I1639" i="2"/>
  <c r="H1639" i="2"/>
  <c r="G1639" i="2"/>
  <c r="F1639" i="2"/>
  <c r="E1639" i="2"/>
  <c r="D1639" i="2"/>
  <c r="C1639" i="2"/>
  <c r="B1639" i="2"/>
  <c r="V1638" i="2"/>
  <c r="U1638" i="2"/>
  <c r="T1638" i="2"/>
  <c r="S1638" i="2"/>
  <c r="R1638" i="2"/>
  <c r="Q1638" i="2"/>
  <c r="P1638" i="2"/>
  <c r="O1638" i="2"/>
  <c r="N1638" i="2"/>
  <c r="M1638" i="2"/>
  <c r="L1638" i="2"/>
  <c r="K1638" i="2"/>
  <c r="J1638" i="2"/>
  <c r="I1638" i="2"/>
  <c r="H1638" i="2"/>
  <c r="G1638" i="2"/>
  <c r="F1638" i="2"/>
  <c r="E1638" i="2"/>
  <c r="D1638" i="2"/>
  <c r="C1638" i="2"/>
  <c r="B1638" i="2"/>
  <c r="V1637" i="2"/>
  <c r="U1637" i="2"/>
  <c r="T1637" i="2"/>
  <c r="S1637" i="2"/>
  <c r="R1637" i="2"/>
  <c r="Q1637" i="2"/>
  <c r="P1637" i="2"/>
  <c r="O1637" i="2"/>
  <c r="N1637" i="2"/>
  <c r="M1637" i="2"/>
  <c r="L1637" i="2"/>
  <c r="K1637" i="2"/>
  <c r="J1637" i="2"/>
  <c r="I1637" i="2"/>
  <c r="H1637" i="2"/>
  <c r="G1637" i="2"/>
  <c r="F1637" i="2"/>
  <c r="E1637" i="2"/>
  <c r="D1637" i="2"/>
  <c r="C1637" i="2"/>
  <c r="B1637" i="2"/>
  <c r="V1636" i="2"/>
  <c r="U1636" i="2"/>
  <c r="T1636" i="2"/>
  <c r="S1636" i="2"/>
  <c r="R1636" i="2"/>
  <c r="Q1636" i="2"/>
  <c r="P1636" i="2"/>
  <c r="O1636" i="2"/>
  <c r="N1636" i="2"/>
  <c r="M1636" i="2"/>
  <c r="L1636" i="2"/>
  <c r="K1636" i="2"/>
  <c r="J1636" i="2"/>
  <c r="I1636" i="2"/>
  <c r="H1636" i="2"/>
  <c r="G1636" i="2"/>
  <c r="F1636" i="2"/>
  <c r="E1636" i="2"/>
  <c r="D1636" i="2"/>
  <c r="C1636" i="2"/>
  <c r="B1636" i="2"/>
  <c r="V1635" i="2"/>
  <c r="U1635" i="2"/>
  <c r="T1635" i="2"/>
  <c r="S1635" i="2"/>
  <c r="R1635" i="2"/>
  <c r="Q1635" i="2"/>
  <c r="P1635" i="2"/>
  <c r="O1635" i="2"/>
  <c r="N1635" i="2"/>
  <c r="M1635" i="2"/>
  <c r="L1635" i="2"/>
  <c r="K1635" i="2"/>
  <c r="J1635" i="2"/>
  <c r="I1635" i="2"/>
  <c r="H1635" i="2"/>
  <c r="G1635" i="2"/>
  <c r="F1635" i="2"/>
  <c r="E1635" i="2"/>
  <c r="D1635" i="2"/>
  <c r="C1635" i="2"/>
  <c r="B1635" i="2"/>
  <c r="V1634" i="2"/>
  <c r="U1634" i="2"/>
  <c r="T1634" i="2"/>
  <c r="S1634" i="2"/>
  <c r="R1634" i="2"/>
  <c r="Q1634" i="2"/>
  <c r="P1634" i="2"/>
  <c r="O1634" i="2"/>
  <c r="N1634" i="2"/>
  <c r="M1634" i="2"/>
  <c r="L1634" i="2"/>
  <c r="K1634" i="2"/>
  <c r="J1634" i="2"/>
  <c r="I1634" i="2"/>
  <c r="H1634" i="2"/>
  <c r="G1634" i="2"/>
  <c r="F1634" i="2"/>
  <c r="E1634" i="2"/>
  <c r="D1634" i="2"/>
  <c r="C1634" i="2"/>
  <c r="B1634" i="2"/>
  <c r="V1633" i="2"/>
  <c r="U1633" i="2"/>
  <c r="T1633" i="2"/>
  <c r="S1633" i="2"/>
  <c r="R1633" i="2"/>
  <c r="Q1633" i="2"/>
  <c r="P1633" i="2"/>
  <c r="O1633" i="2"/>
  <c r="N1633" i="2"/>
  <c r="M1633" i="2"/>
  <c r="L1633" i="2"/>
  <c r="K1633" i="2"/>
  <c r="J1633" i="2"/>
  <c r="I1633" i="2"/>
  <c r="H1633" i="2"/>
  <c r="G1633" i="2"/>
  <c r="F1633" i="2"/>
  <c r="E1633" i="2"/>
  <c r="D1633" i="2"/>
  <c r="C1633" i="2"/>
  <c r="B1633" i="2"/>
  <c r="V1632" i="2"/>
  <c r="U1632" i="2"/>
  <c r="T1632" i="2"/>
  <c r="S1632" i="2"/>
  <c r="R1632" i="2"/>
  <c r="Q1632" i="2"/>
  <c r="P1632" i="2"/>
  <c r="O1632" i="2"/>
  <c r="N1632" i="2"/>
  <c r="M1632" i="2"/>
  <c r="L1632" i="2"/>
  <c r="K1632" i="2"/>
  <c r="J1632" i="2"/>
  <c r="I1632" i="2"/>
  <c r="H1632" i="2"/>
  <c r="G1632" i="2"/>
  <c r="F1632" i="2"/>
  <c r="E1632" i="2"/>
  <c r="D1632" i="2"/>
  <c r="C1632" i="2"/>
  <c r="B1632" i="2"/>
  <c r="V1631" i="2"/>
  <c r="U1631" i="2"/>
  <c r="T1631" i="2"/>
  <c r="S1631" i="2"/>
  <c r="R1631" i="2"/>
  <c r="Q1631" i="2"/>
  <c r="P1631" i="2"/>
  <c r="O1631" i="2"/>
  <c r="N1631" i="2"/>
  <c r="M1631" i="2"/>
  <c r="L1631" i="2"/>
  <c r="K1631" i="2"/>
  <c r="J1631" i="2"/>
  <c r="I1631" i="2"/>
  <c r="H1631" i="2"/>
  <c r="G1631" i="2"/>
  <c r="F1631" i="2"/>
  <c r="E1631" i="2"/>
  <c r="D1631" i="2"/>
  <c r="C1631" i="2"/>
  <c r="B1631" i="2"/>
  <c r="V1630" i="2"/>
  <c r="U1630" i="2"/>
  <c r="T1630" i="2"/>
  <c r="S1630" i="2"/>
  <c r="R1630" i="2"/>
  <c r="Q1630" i="2"/>
  <c r="P1630" i="2"/>
  <c r="O1630" i="2"/>
  <c r="N1630" i="2"/>
  <c r="M1630" i="2"/>
  <c r="L1630" i="2"/>
  <c r="K1630" i="2"/>
  <c r="J1630" i="2"/>
  <c r="I1630" i="2"/>
  <c r="H1630" i="2"/>
  <c r="G1630" i="2"/>
  <c r="F1630" i="2"/>
  <c r="E1630" i="2"/>
  <c r="D1630" i="2"/>
  <c r="C1630" i="2"/>
  <c r="B1630" i="2"/>
  <c r="V1629" i="2"/>
  <c r="U1629" i="2"/>
  <c r="T1629" i="2"/>
  <c r="S1629" i="2"/>
  <c r="R1629" i="2"/>
  <c r="Q1629" i="2"/>
  <c r="P1629" i="2"/>
  <c r="O1629" i="2"/>
  <c r="N1629" i="2"/>
  <c r="M1629" i="2"/>
  <c r="L1629" i="2"/>
  <c r="K1629" i="2"/>
  <c r="J1629" i="2"/>
  <c r="I1629" i="2"/>
  <c r="H1629" i="2"/>
  <c r="G1629" i="2"/>
  <c r="F1629" i="2"/>
  <c r="E1629" i="2"/>
  <c r="D1629" i="2"/>
  <c r="C1629" i="2"/>
  <c r="B1629" i="2"/>
  <c r="V1628" i="2"/>
  <c r="U1628" i="2"/>
  <c r="T1628" i="2"/>
  <c r="S1628" i="2"/>
  <c r="R1628" i="2"/>
  <c r="Q1628" i="2"/>
  <c r="P1628" i="2"/>
  <c r="O1628" i="2"/>
  <c r="N1628" i="2"/>
  <c r="M1628" i="2"/>
  <c r="L1628" i="2"/>
  <c r="K1628" i="2"/>
  <c r="J1628" i="2"/>
  <c r="I1628" i="2"/>
  <c r="H1628" i="2"/>
  <c r="G1628" i="2"/>
  <c r="F1628" i="2"/>
  <c r="E1628" i="2"/>
  <c r="D1628" i="2"/>
  <c r="C1628" i="2"/>
  <c r="B1628" i="2"/>
  <c r="V1627" i="2"/>
  <c r="U1627" i="2"/>
  <c r="T1627" i="2"/>
  <c r="S1627" i="2"/>
  <c r="R1627" i="2"/>
  <c r="Q1627" i="2"/>
  <c r="P1627" i="2"/>
  <c r="O1627" i="2"/>
  <c r="N1627" i="2"/>
  <c r="M1627" i="2"/>
  <c r="L1627" i="2"/>
  <c r="K1627" i="2"/>
  <c r="J1627" i="2"/>
  <c r="I1627" i="2"/>
  <c r="H1627" i="2"/>
  <c r="G1627" i="2"/>
  <c r="F1627" i="2"/>
  <c r="E1627" i="2"/>
  <c r="D1627" i="2"/>
  <c r="C1627" i="2"/>
  <c r="B1627" i="2"/>
  <c r="V1626" i="2"/>
  <c r="U1626" i="2"/>
  <c r="T1626" i="2"/>
  <c r="S1626" i="2"/>
  <c r="R1626" i="2"/>
  <c r="Q1626" i="2"/>
  <c r="P1626" i="2"/>
  <c r="O1626" i="2"/>
  <c r="N1626" i="2"/>
  <c r="M1626" i="2"/>
  <c r="L1626" i="2"/>
  <c r="K1626" i="2"/>
  <c r="J1626" i="2"/>
  <c r="I1626" i="2"/>
  <c r="H1626" i="2"/>
  <c r="G1626" i="2"/>
  <c r="F1626" i="2"/>
  <c r="E1626" i="2"/>
  <c r="D1626" i="2"/>
  <c r="C1626" i="2"/>
  <c r="B1626" i="2"/>
  <c r="V1625" i="2"/>
  <c r="U1625" i="2"/>
  <c r="T1625" i="2"/>
  <c r="S1625" i="2"/>
  <c r="R1625" i="2"/>
  <c r="Q1625" i="2"/>
  <c r="P1625" i="2"/>
  <c r="O1625" i="2"/>
  <c r="N1625" i="2"/>
  <c r="M1625" i="2"/>
  <c r="L1625" i="2"/>
  <c r="K1625" i="2"/>
  <c r="J1625" i="2"/>
  <c r="I1625" i="2"/>
  <c r="H1625" i="2"/>
  <c r="G1625" i="2"/>
  <c r="F1625" i="2"/>
  <c r="E1625" i="2"/>
  <c r="D1625" i="2"/>
  <c r="C1625" i="2"/>
  <c r="B1625" i="2"/>
  <c r="V1624" i="2"/>
  <c r="U1624" i="2"/>
  <c r="T1624" i="2"/>
  <c r="S1624" i="2"/>
  <c r="R1624" i="2"/>
  <c r="Q1624" i="2"/>
  <c r="P1624" i="2"/>
  <c r="O1624" i="2"/>
  <c r="N1624" i="2"/>
  <c r="M1624" i="2"/>
  <c r="L1624" i="2"/>
  <c r="K1624" i="2"/>
  <c r="J1624" i="2"/>
  <c r="I1624" i="2"/>
  <c r="H1624" i="2"/>
  <c r="G1624" i="2"/>
  <c r="F1624" i="2"/>
  <c r="E1624" i="2"/>
  <c r="D1624" i="2"/>
  <c r="C1624" i="2"/>
  <c r="B1624" i="2"/>
  <c r="V1623" i="2"/>
  <c r="U1623" i="2"/>
  <c r="T1623" i="2"/>
  <c r="S1623" i="2"/>
  <c r="R1623" i="2"/>
  <c r="Q1623" i="2"/>
  <c r="P1623" i="2"/>
  <c r="O1623" i="2"/>
  <c r="N1623" i="2"/>
  <c r="M1623" i="2"/>
  <c r="L1623" i="2"/>
  <c r="K1623" i="2"/>
  <c r="J1623" i="2"/>
  <c r="I1623" i="2"/>
  <c r="H1623" i="2"/>
  <c r="G1623" i="2"/>
  <c r="F1623" i="2"/>
  <c r="E1623" i="2"/>
  <c r="D1623" i="2"/>
  <c r="C1623" i="2"/>
  <c r="B1623" i="2"/>
  <c r="V1622" i="2"/>
  <c r="U1622" i="2"/>
  <c r="T1622" i="2"/>
  <c r="S1622" i="2"/>
  <c r="R1622" i="2"/>
  <c r="Q1622" i="2"/>
  <c r="P1622" i="2"/>
  <c r="O1622" i="2"/>
  <c r="N1622" i="2"/>
  <c r="M1622" i="2"/>
  <c r="L1622" i="2"/>
  <c r="K1622" i="2"/>
  <c r="J1622" i="2"/>
  <c r="I1622" i="2"/>
  <c r="H1622" i="2"/>
  <c r="G1622" i="2"/>
  <c r="F1622" i="2"/>
  <c r="E1622" i="2"/>
  <c r="D1622" i="2"/>
  <c r="C1622" i="2"/>
  <c r="B1622" i="2"/>
  <c r="V1621" i="2"/>
  <c r="U1621" i="2"/>
  <c r="T1621" i="2"/>
  <c r="S1621" i="2"/>
  <c r="R1621" i="2"/>
  <c r="Q1621" i="2"/>
  <c r="P1621" i="2"/>
  <c r="O1621" i="2"/>
  <c r="N1621" i="2"/>
  <c r="M1621" i="2"/>
  <c r="L1621" i="2"/>
  <c r="K1621" i="2"/>
  <c r="J1621" i="2"/>
  <c r="I1621" i="2"/>
  <c r="H1621" i="2"/>
  <c r="G1621" i="2"/>
  <c r="F1621" i="2"/>
  <c r="E1621" i="2"/>
  <c r="D1621" i="2"/>
  <c r="C1621" i="2"/>
  <c r="B1621" i="2"/>
  <c r="V1620" i="2"/>
  <c r="U1620" i="2"/>
  <c r="T1620" i="2"/>
  <c r="S1620" i="2"/>
  <c r="R1620" i="2"/>
  <c r="Q1620" i="2"/>
  <c r="P1620" i="2"/>
  <c r="O1620" i="2"/>
  <c r="N1620" i="2"/>
  <c r="M1620" i="2"/>
  <c r="L1620" i="2"/>
  <c r="K1620" i="2"/>
  <c r="J1620" i="2"/>
  <c r="I1620" i="2"/>
  <c r="H1620" i="2"/>
  <c r="G1620" i="2"/>
  <c r="F1620" i="2"/>
  <c r="E1620" i="2"/>
  <c r="D1620" i="2"/>
  <c r="C1620" i="2"/>
  <c r="B1620" i="2"/>
  <c r="V1619" i="2"/>
  <c r="U1619" i="2"/>
  <c r="T1619" i="2"/>
  <c r="S1619" i="2"/>
  <c r="R1619" i="2"/>
  <c r="Q1619" i="2"/>
  <c r="P1619" i="2"/>
  <c r="O1619" i="2"/>
  <c r="N1619" i="2"/>
  <c r="M1619" i="2"/>
  <c r="L1619" i="2"/>
  <c r="K1619" i="2"/>
  <c r="J1619" i="2"/>
  <c r="I1619" i="2"/>
  <c r="H1619" i="2"/>
  <c r="G1619" i="2"/>
  <c r="F1619" i="2"/>
  <c r="E1619" i="2"/>
  <c r="D1619" i="2"/>
  <c r="C1619" i="2"/>
  <c r="B1619" i="2"/>
  <c r="V1618" i="2"/>
  <c r="U1618" i="2"/>
  <c r="T1618" i="2"/>
  <c r="S1618" i="2"/>
  <c r="R1618" i="2"/>
  <c r="Q1618" i="2"/>
  <c r="P1618" i="2"/>
  <c r="O1618" i="2"/>
  <c r="N1618" i="2"/>
  <c r="M1618" i="2"/>
  <c r="L1618" i="2"/>
  <c r="K1618" i="2"/>
  <c r="J1618" i="2"/>
  <c r="I1618" i="2"/>
  <c r="H1618" i="2"/>
  <c r="G1618" i="2"/>
  <c r="F1618" i="2"/>
  <c r="E1618" i="2"/>
  <c r="D1618" i="2"/>
  <c r="C1618" i="2"/>
  <c r="B1618" i="2"/>
  <c r="V1617" i="2"/>
  <c r="U1617" i="2"/>
  <c r="T1617" i="2"/>
  <c r="S1617" i="2"/>
  <c r="R1617" i="2"/>
  <c r="Q1617" i="2"/>
  <c r="P1617" i="2"/>
  <c r="O1617" i="2"/>
  <c r="N1617" i="2"/>
  <c r="M1617" i="2"/>
  <c r="L1617" i="2"/>
  <c r="K1617" i="2"/>
  <c r="J1617" i="2"/>
  <c r="I1617" i="2"/>
  <c r="H1617" i="2"/>
  <c r="G1617" i="2"/>
  <c r="F1617" i="2"/>
  <c r="E1617" i="2"/>
  <c r="D1617" i="2"/>
  <c r="C1617" i="2"/>
  <c r="B1617" i="2"/>
  <c r="V1616" i="2"/>
  <c r="U1616" i="2"/>
  <c r="T1616" i="2"/>
  <c r="S1616" i="2"/>
  <c r="R1616" i="2"/>
  <c r="Q1616" i="2"/>
  <c r="P1616" i="2"/>
  <c r="O1616" i="2"/>
  <c r="N1616" i="2"/>
  <c r="M1616" i="2"/>
  <c r="L1616" i="2"/>
  <c r="K1616" i="2"/>
  <c r="J1616" i="2"/>
  <c r="I1616" i="2"/>
  <c r="H1616" i="2"/>
  <c r="G1616" i="2"/>
  <c r="F1616" i="2"/>
  <c r="E1616" i="2"/>
  <c r="D1616" i="2"/>
  <c r="C1616" i="2"/>
  <c r="B1616" i="2"/>
  <c r="V1615" i="2"/>
  <c r="U1615" i="2"/>
  <c r="T1615" i="2"/>
  <c r="S1615" i="2"/>
  <c r="R1615" i="2"/>
  <c r="Q1615" i="2"/>
  <c r="P1615" i="2"/>
  <c r="O1615" i="2"/>
  <c r="N1615" i="2"/>
  <c r="M1615" i="2"/>
  <c r="L1615" i="2"/>
  <c r="K1615" i="2"/>
  <c r="J1615" i="2"/>
  <c r="I1615" i="2"/>
  <c r="H1615" i="2"/>
  <c r="G1615" i="2"/>
  <c r="F1615" i="2"/>
  <c r="E1615" i="2"/>
  <c r="D1615" i="2"/>
  <c r="C1615" i="2"/>
  <c r="B1615" i="2"/>
  <c r="V1614" i="2"/>
  <c r="U1614" i="2"/>
  <c r="T1614" i="2"/>
  <c r="S1614" i="2"/>
  <c r="R1614" i="2"/>
  <c r="Q1614" i="2"/>
  <c r="P1614" i="2"/>
  <c r="O1614" i="2"/>
  <c r="N1614" i="2"/>
  <c r="M1614" i="2"/>
  <c r="L1614" i="2"/>
  <c r="K1614" i="2"/>
  <c r="J1614" i="2"/>
  <c r="I1614" i="2"/>
  <c r="H1614" i="2"/>
  <c r="G1614" i="2"/>
  <c r="F1614" i="2"/>
  <c r="E1614" i="2"/>
  <c r="D1614" i="2"/>
  <c r="C1614" i="2"/>
  <c r="B1614" i="2"/>
  <c r="V1613" i="2"/>
  <c r="U1613" i="2"/>
  <c r="T1613" i="2"/>
  <c r="S1613" i="2"/>
  <c r="R1613" i="2"/>
  <c r="Q1613" i="2"/>
  <c r="P1613" i="2"/>
  <c r="O1613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B1613" i="2"/>
  <c r="V1612" i="2"/>
  <c r="U1612" i="2"/>
  <c r="T1612" i="2"/>
  <c r="S1612" i="2"/>
  <c r="R1612" i="2"/>
  <c r="Q1612" i="2"/>
  <c r="P1612" i="2"/>
  <c r="O1612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B1612" i="2"/>
  <c r="V1611" i="2"/>
  <c r="U1611" i="2"/>
  <c r="T1611" i="2"/>
  <c r="S1611" i="2"/>
  <c r="R1611" i="2"/>
  <c r="Q1611" i="2"/>
  <c r="P1611" i="2"/>
  <c r="O1611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  <c r="B1611" i="2"/>
  <c r="V1610" i="2"/>
  <c r="U1610" i="2"/>
  <c r="T1610" i="2"/>
  <c r="S1610" i="2"/>
  <c r="R1610" i="2"/>
  <c r="Q1610" i="2"/>
  <c r="P1610" i="2"/>
  <c r="O1610" i="2"/>
  <c r="N1610" i="2"/>
  <c r="M1610" i="2"/>
  <c r="L1610" i="2"/>
  <c r="K1610" i="2"/>
  <c r="J1610" i="2"/>
  <c r="I1610" i="2"/>
  <c r="H1610" i="2"/>
  <c r="G1610" i="2"/>
  <c r="F1610" i="2"/>
  <c r="E1610" i="2"/>
  <c r="D1610" i="2"/>
  <c r="C1610" i="2"/>
  <c r="B1610" i="2"/>
  <c r="V1609" i="2"/>
  <c r="U1609" i="2"/>
  <c r="T1609" i="2"/>
  <c r="S1609" i="2"/>
  <c r="R1609" i="2"/>
  <c r="Q1609" i="2"/>
  <c r="P1609" i="2"/>
  <c r="O1609" i="2"/>
  <c r="N1609" i="2"/>
  <c r="M1609" i="2"/>
  <c r="L1609" i="2"/>
  <c r="K1609" i="2"/>
  <c r="J1609" i="2"/>
  <c r="I1609" i="2"/>
  <c r="H1609" i="2"/>
  <c r="G1609" i="2"/>
  <c r="F1609" i="2"/>
  <c r="E1609" i="2"/>
  <c r="D1609" i="2"/>
  <c r="C1609" i="2"/>
  <c r="B1609" i="2"/>
  <c r="V1608" i="2"/>
  <c r="U1608" i="2"/>
  <c r="T1608" i="2"/>
  <c r="S1608" i="2"/>
  <c r="R1608" i="2"/>
  <c r="Q1608" i="2"/>
  <c r="P1608" i="2"/>
  <c r="O1608" i="2"/>
  <c r="N1608" i="2"/>
  <c r="M1608" i="2"/>
  <c r="L1608" i="2"/>
  <c r="K1608" i="2"/>
  <c r="J1608" i="2"/>
  <c r="I1608" i="2"/>
  <c r="H1608" i="2"/>
  <c r="G1608" i="2"/>
  <c r="F1608" i="2"/>
  <c r="E1608" i="2"/>
  <c r="D1608" i="2"/>
  <c r="C1608" i="2"/>
  <c r="B1608" i="2"/>
  <c r="V1607" i="2"/>
  <c r="U1607" i="2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V1606" i="2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V1605" i="2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V1604" i="2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V1603" i="2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V1602" i="2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V1601" i="2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V1600" i="2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V1599" i="2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V1598" i="2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V1597" i="2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V1596" i="2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V1595" i="2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V1594" i="2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V1593" i="2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V1592" i="2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V1591" i="2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V1590" i="2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V1589" i="2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V1588" i="2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V1587" i="2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V1586" i="2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V1585" i="2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V1584" i="2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V1583" i="2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V1582" i="2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V1581" i="2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V1580" i="2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V1579" i="2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V1578" i="2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V1577" i="2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V1576" i="2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V1575" i="2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V1574" i="2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V1573" i="2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V1572" i="2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V1571" i="2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V1570" i="2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V1569" i="2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V1568" i="2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V1567" i="2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V1566" i="2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V1565" i="2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V1564" i="2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V1563" i="2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V1562" i="2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V1561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V1560" i="2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V1559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V1558" i="2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V1557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V1556" i="2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V1555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V1554" i="2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V1553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V1552" i="2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V1551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V1550" i="2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V1549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V1548" i="2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V1547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V1546" i="2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V1545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V1544" i="2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V1543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V1542" i="2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V1541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V1540" i="2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V1539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V1538" i="2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V1537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V1536" i="2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V1535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V1534" i="2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V1533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V1532" i="2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V1531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V1530" i="2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V1529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V1528" i="2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V1527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V1526" i="2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V1525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V1524" i="2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V1523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V1522" i="2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V1521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V1520" i="2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V1519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V1518" i="2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V1517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V1516" i="2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V1515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V1514" i="2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V1513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V1512" i="2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V1511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V1510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V1509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V1508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V1507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V1506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V1505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V1504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V1503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V1502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V1501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V1500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V1499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V1498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V1497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V1496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V1495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V1494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V1493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V1492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V1491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V1490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V1489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V1488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V1487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V1486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V1485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V1484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V1483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V1482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V1481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V1480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V1479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V1478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V1477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V1476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V1475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V1474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V1473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V1472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V1471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V1470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V1469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V1468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V1467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V1466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V1465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V1464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V1463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V1462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V1461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V1460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V1459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V1458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V1457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V1456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V1455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V1454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V1453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V1452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V1451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V1450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V1449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V1448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V1447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V1446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V1445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V1444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V1443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V1442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V1441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V1440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V1439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V1438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V1437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V1436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V1435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V1434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V1433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V1432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V1431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V1430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V1429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V1428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V1427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V1426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V1425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V1424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V1423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V1422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V1421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V1420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V1419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V1418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V1417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V1416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V1415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V1414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V1413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V1412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V1411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V1410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V1409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V1408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V1407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V1406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V1405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V1404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V1403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V1402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V1401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V1400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V1399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V1398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V1397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V1396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V1395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V1394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V1393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V1392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V1391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V1390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V1389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V1388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V1387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V1386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V1385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V1384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V1383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V1382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V1381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V1380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V1379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V1378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V1377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V1376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V1375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V1374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V1373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V1372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V1371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V1370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V1369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V1368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V1367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V1366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V1365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V1364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V1363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V1362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V1361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V1360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V1359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V1358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V1357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V1356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V1355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V1354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V1353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V1352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V1351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V1350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V1349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V1348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V1347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V1346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V1345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V1344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V1343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V1342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V1341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V1340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V1339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V1338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V1337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V1336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V1335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V1334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V1333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V1332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V1331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V1330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V1329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V1328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V1327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V1326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V1325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V1324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V1323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V1322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V1321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V1320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V1319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V1318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V1317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V1316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V1315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V1314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V1313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V1312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V1311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V1310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V1309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V1308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V1307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V1306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V1305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V1304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V1303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V1302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V1301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V1300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V1299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V1298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V1297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V1296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V1295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V1294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V1293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V1292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V1291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V1290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V1289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V1288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V1287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V1286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V1285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V1284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V1283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V1282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V1281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V1280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V1279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V1278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V1277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V1276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V1275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V1274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V1273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V1272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V1271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V1270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V1269" i="2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V1268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V1267" i="2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V1266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V1265" i="2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V1264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V1263" i="2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V1262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V1261" i="2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V1260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V1259" i="2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V1258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V1257" i="2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V1256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V1255" i="2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V1254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V1253" i="2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V1252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V1251" i="2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V1250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V1249" i="2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V1248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V1247" i="2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V1246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V1245" i="2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V1244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V1243" i="2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V1242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V1241" i="2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V1240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V1239" i="2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V1238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V1237" i="2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V1236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V1235" i="2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V1234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V1233" i="2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V1232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V1231" i="2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V1230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V1229" i="2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V1228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V1227" i="2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V1226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V1225" i="2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V1224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V1223" i="2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V1222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V1221" i="2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V1220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V1219" i="2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V1218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V1217" i="2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V1216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V1215" i="2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V1214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V1213" i="2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V1212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V1211" i="2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V1210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V1209" i="2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V1208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V1207" i="2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V1206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V1205" i="2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V1204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V1203" i="2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V1202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V1201" i="2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V1200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V1199" i="2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V1198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V1197" i="2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V1196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V1195" i="2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V1194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V1193" i="2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V1192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V1191" i="2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V1190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V1189" i="2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V1188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V1187" i="2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V1186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V1185" i="2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V1184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V1183" i="2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V1182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V1181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V1180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V1179" i="2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V1178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V1177" i="2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V1176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V1175" i="2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V1174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V1173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V1172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V1171" i="2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V1170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V1169" i="2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V1168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V1167" i="2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V1166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V1165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V1164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V1163" i="2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V1162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V1161" i="2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V1160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V1159" i="2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V1158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V1157" i="2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V1156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V1155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V1154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V1153" i="2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V1152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V1151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V1150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V1149" i="2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V1148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V1147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V1146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V1145" i="2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V1144" i="2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V1143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V1142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V1141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V1140" i="2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V1139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V1138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V1137" i="2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V1136" i="2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V1135" i="2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V1134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V1133" i="2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V1132" i="2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V1131" i="2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V1130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V1129" i="2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V1128" i="2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V1127" i="2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V1126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V1125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V1124" i="2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V1123" i="2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V1122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V1121" i="2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V1120" i="2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V1119" i="2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V1118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V1117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V1116" i="2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V1115" i="2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V1114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V1113" i="2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V1112" i="2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V1111" i="2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V1110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V1109" i="2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V1108" i="2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V1107" i="2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V1106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V1105" i="2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V1104" i="2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V1103" i="2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V1102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V1101" i="2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V1100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V1099" i="2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V1098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V1097" i="2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V1096" i="2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V1095" i="2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V1094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V1093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V1092" i="2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V1091" i="2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V1090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V1089" i="2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V1088" i="2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V1087" i="2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V1086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V1085" i="2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V1084" i="2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V1083" i="2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V1082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V1081" i="2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V1080" i="2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V1079" i="2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V1078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V1077" i="2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V1076" i="2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V1075" i="2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V1074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V1073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V1072" i="2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V1071" i="2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V1070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V1069" i="2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V1068" i="2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V1067" i="2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V1066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V1065" i="2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V1064" i="2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V1063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V1062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V1061" i="2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V1060" i="2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V1059" i="2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V1058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V1057" i="2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V1056" i="2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V1055" i="2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V1054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V1053" i="2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V1052" i="2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V1051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V1050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V1049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V1048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V1047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V1046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V1045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V1044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V1043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V1042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V1041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V1040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V1039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V1038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V1037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V1036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V1035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V1034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V1033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V1032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V1031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V1030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V1029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V1028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V1027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V1026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V1025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V1024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V1023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V1022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V1021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V1020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V1019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V1018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V1017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V1016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V1015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V1014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V1013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V1012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V1011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V1010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V1009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V1008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V1007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V1006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V1005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V1004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V1003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V1002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V1001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V1000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V999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V998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V997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V996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V995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V994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V993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V992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V991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V990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V989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V988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V987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V986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V985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V984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V983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V982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V981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V980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V979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V978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V977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V976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V975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V974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V973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V972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V971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V970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V969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V968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V967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V966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V965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V964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V963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V962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V961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V960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V959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V958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V957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V956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V955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V954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V953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V952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V951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V950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V949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V948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V947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V946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V945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V944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V943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V942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V941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V940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V939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V938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V937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V936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V935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V934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V933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V932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V931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V930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V929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V928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V927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V926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V925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V924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V923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V922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V921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V920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V919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V918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V917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V916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V915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V914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V913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V912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V911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V910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V909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V908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V907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V906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V905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V904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V903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V902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V901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V900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V899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V898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V897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V896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V895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V894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V893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V892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V891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V890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V889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V888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V887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V886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V885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V884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V883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V882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V881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V880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V879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V878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V877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V876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V875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V874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V873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V872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V871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V870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V869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V868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V867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V866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V865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V864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V863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V862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V861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V860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V859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V858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V857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V856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V855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V854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V853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V852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V851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V850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V849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V848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V847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V846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V845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V844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V843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V842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V841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V840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V839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V838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V837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V836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V835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V834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V833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V832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V831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V830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V829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V828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V827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V826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V825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V824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V823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V822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V821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V820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V819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V818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V817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V816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V815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V814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V813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V812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V811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V810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V809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V808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V807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V806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V805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V804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V803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V802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V801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V800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V799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V798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V797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V796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V795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V794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V793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V792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V791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V790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V789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V788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V787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V786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V785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V784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V783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V782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V781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V780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V779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V778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V777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V776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V775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V774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V773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V772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V771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V770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V769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V768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V767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V766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V765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V764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V763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V762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V761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V760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V759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V758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V757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V756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V755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V754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V753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V752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V751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V750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V749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V748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V747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V746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V745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V744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V743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V742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V741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V740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V739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V738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V737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V736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V735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V734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V733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V732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V731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V730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V729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V728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V727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V726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V725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V724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V723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V722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V721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V720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V719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V718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V717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V716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V715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V714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V713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V712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V711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V710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V709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V708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V707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V706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V705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V704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V703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V702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V701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V700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V699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V698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V697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V696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V695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V693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V692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V691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V690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V689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V688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V687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V686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V685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V684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V683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V682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V681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V680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V679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V678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V677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V676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V675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V674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V673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V672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V671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V670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V669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V668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V667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V666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V665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V664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V663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V662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V661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V660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V659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V658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V657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V656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V655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V654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V653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V652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V651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V650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V649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V648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V647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V646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V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V643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V642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V641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V640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V639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V638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V637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V636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V635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V634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V633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V632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V631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V630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V629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V628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V627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V626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V625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V624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V623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V622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V621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V620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V619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V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V616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V615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V614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V613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V612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V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V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V607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V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V605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V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V603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V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V601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V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V599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V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V597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V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V595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V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V593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V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V591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V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V589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V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V587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V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V585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V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V583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V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V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V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V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V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V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V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V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V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V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V569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V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V567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V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V563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V561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V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V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V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<sst xmlns="http://schemas.openxmlformats.org/spreadsheetml/2006/main" count="66" uniqueCount="40">
  <si>
    <t>Date</t>
  </si>
  <si>
    <t>FUDP</t>
  </si>
  <si>
    <t>M2EFDY</t>
  </si>
  <si>
    <t>TUKXG</t>
  </si>
  <si>
    <t>GDUEEGF</t>
  </si>
  <si>
    <t>M2GBDY</t>
  </si>
  <si>
    <t>GDDUUK</t>
  </si>
  <si>
    <t>M2JPDY</t>
  </si>
  <si>
    <t>GDDUE15X</t>
  </si>
  <si>
    <t>M2USADVD</t>
  </si>
  <si>
    <t>GDDUUS</t>
  </si>
  <si>
    <t>M2WDHDVD</t>
  </si>
  <si>
    <t>GDDUWI</t>
  </si>
  <si>
    <t>SPDAEET</t>
  </si>
  <si>
    <t>SPTR350E</t>
  </si>
  <si>
    <t>SPJXDAJT</t>
  </si>
  <si>
    <t>SPDAUDT</t>
  </si>
  <si>
    <t>SPXT</t>
  </si>
  <si>
    <t>TPXDDVD</t>
  </si>
  <si>
    <t>SPSADAZT</t>
  </si>
  <si>
    <t>JALSH</t>
  </si>
  <si>
    <t>TJDIVD</t>
  </si>
  <si>
    <t xml:space="preserve">Index Ticker </t>
  </si>
  <si>
    <t xml:space="preserve">Name </t>
  </si>
  <si>
    <t xml:space="preserve">Benchmark Ticker </t>
  </si>
  <si>
    <t xml:space="preserve">M2EUGDY </t>
  </si>
  <si>
    <t>Name</t>
  </si>
  <si>
    <t xml:space="preserve">Index Start Date </t>
  </si>
  <si>
    <t xml:space="preserve">Style </t>
  </si>
  <si>
    <t xml:space="preserve">INDU Index </t>
  </si>
  <si>
    <t xml:space="preserve">Dow Jones </t>
  </si>
  <si>
    <t xml:space="preserve">UKX Index </t>
  </si>
  <si>
    <t xml:space="preserve">FTSE 100 Index </t>
  </si>
  <si>
    <t xml:space="preserve">IBEX 35 Index </t>
  </si>
  <si>
    <t xml:space="preserve">Toronto 35 </t>
  </si>
  <si>
    <t>OMXH25GI index</t>
  </si>
  <si>
    <t xml:space="preserve">Finland Top 25 </t>
  </si>
  <si>
    <t xml:space="preserve">HY </t>
  </si>
  <si>
    <t>MSCI EAFE Index</t>
  </si>
  <si>
    <t>MXEA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</si>
</sst>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19"/>
  <sheetViews>
    <sheetView workbookViewId="0">
      <selection activeCell="B1" sqref="B1:V1"/>
    </sheetView>
  </sheetViews>
  <sheetFormatPr baseColWidth="10" defaultColWidth="8.83203125" defaultRowHeight="15" x14ac:dyDescent="0.2"/>
  <cols>
    <col min="1" max="1" width="16" bestFit="1" customWidth="1"/>
    <col min="2" max="9" width="9.1640625" bestFit="1" customWidth="1"/>
    <col min="10" max="11" width="13.5" customWidth="1"/>
    <col min="12" max="22" width="9.1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s="1">
        <v>45105</v>
      </c>
      <c r="B2">
        <f>2132</f>
        <v>2132</v>
      </c>
      <c r="C2">
        <f>10211.17</f>
        <v>10211.17</v>
      </c>
      <c r="D2">
        <f>7871.54</f>
        <v>7871.54</v>
      </c>
      <c r="E2">
        <f>2519.334</f>
        <v>2519.3339999999998</v>
      </c>
      <c r="F2">
        <f>2118.35</f>
        <v>2118.35</v>
      </c>
      <c r="G2">
        <f>10010.14</f>
        <v>10010.14</v>
      </c>
      <c r="H2">
        <f>4262.11</f>
        <v>4262.1099999999997</v>
      </c>
      <c r="I2">
        <f>13918.2</f>
        <v>13918.2</v>
      </c>
      <c r="J2">
        <f>5528.84</f>
        <v>5528.84</v>
      </c>
      <c r="K2">
        <f>19448.24</f>
        <v>19448.240000000002</v>
      </c>
      <c r="L2">
        <f>2737.71</f>
        <v>2737.71</v>
      </c>
      <c r="M2">
        <f>13312.78</f>
        <v>13312.78</v>
      </c>
      <c r="N2">
        <f>434.395</f>
        <v>434.39499999999998</v>
      </c>
      <c r="O2">
        <f>4135.24</f>
        <v>4135.24</v>
      </c>
      <c r="P2">
        <f>399.51</f>
        <v>399.51</v>
      </c>
      <c r="Q2">
        <f>4101.081</f>
        <v>4101.0810000000001</v>
      </c>
      <c r="R2">
        <f>9400.3</f>
        <v>9400.2999999999993</v>
      </c>
      <c r="S2">
        <f>3816.85</f>
        <v>3816.85</v>
      </c>
      <c r="T2">
        <f>4086.238</f>
        <v>4086.2379999999998</v>
      </c>
      <c r="U2">
        <f>74831.11</f>
        <v>74831.11</v>
      </c>
      <c r="V2">
        <f>609.74</f>
        <v>609.74</v>
      </c>
    </row>
    <row r="3" spans="1:22" x14ac:dyDescent="0.2">
      <c r="A3" s="1">
        <v>45104</v>
      </c>
      <c r="B3">
        <f>2120.12</f>
        <v>2120.12</v>
      </c>
      <c r="C3">
        <f>10237.59</f>
        <v>10237.59</v>
      </c>
      <c r="D3">
        <f>7830.58</f>
        <v>7830.58</v>
      </c>
      <c r="E3">
        <f>2526.507</f>
        <v>2526.5070000000001</v>
      </c>
      <c r="F3">
        <f>2158.68</f>
        <v>2158.6799999999998</v>
      </c>
      <c r="G3">
        <f>10070.13</f>
        <v>10070.129999999999</v>
      </c>
      <c r="H3">
        <f>4196.21</f>
        <v>4196.21</v>
      </c>
      <c r="I3">
        <f>13856.33</f>
        <v>13856.33</v>
      </c>
      <c r="J3">
        <f>5550.14</f>
        <v>5550.14</v>
      </c>
      <c r="K3">
        <f>19446.86</f>
        <v>19446.86</v>
      </c>
      <c r="L3">
        <f>2741.58</f>
        <v>2741.58</v>
      </c>
      <c r="M3">
        <f>13295.81</f>
        <v>13295.81</v>
      </c>
      <c r="N3">
        <f>430.197</f>
        <v>430.197</v>
      </c>
      <c r="O3">
        <f>4107.31</f>
        <v>4107.3100000000004</v>
      </c>
      <c r="P3">
        <f>392.32</f>
        <v>392.32</v>
      </c>
      <c r="Q3">
        <f>4121.063</f>
        <v>4121.0630000000001</v>
      </c>
      <c r="R3">
        <f>9403.62</f>
        <v>9403.6200000000008</v>
      </c>
      <c r="S3">
        <f>3742.49</f>
        <v>3742.49</v>
      </c>
      <c r="T3">
        <f>4087.787</f>
        <v>4087.7869999999998</v>
      </c>
      <c r="U3">
        <f>74543.48</f>
        <v>74543.48</v>
      </c>
      <c r="V3">
        <f>613.9</f>
        <v>613.9</v>
      </c>
    </row>
    <row r="4" spans="1:22" x14ac:dyDescent="0.2">
      <c r="A4" s="1">
        <v>45103</v>
      </c>
      <c r="B4">
        <f>2114.49</f>
        <v>2114.4899999999998</v>
      </c>
      <c r="C4">
        <f>10191.15</f>
        <v>10191.15</v>
      </c>
      <c r="D4">
        <f>7822.32</f>
        <v>7822.32</v>
      </c>
      <c r="E4">
        <f>2510.905</f>
        <v>2510.9050000000002</v>
      </c>
      <c r="F4">
        <f>2146.71</f>
        <v>2146.71</v>
      </c>
      <c r="G4">
        <f>10035.05</f>
        <v>10035.049999999999</v>
      </c>
      <c r="H4">
        <f>4200.47</f>
        <v>4200.47</v>
      </c>
      <c r="I4">
        <f>13792.05</f>
        <v>13792.05</v>
      </c>
      <c r="J4">
        <f>5507.41</f>
        <v>5507.41</v>
      </c>
      <c r="K4">
        <f>19220.26</f>
        <v>19220.259999999998</v>
      </c>
      <c r="L4">
        <f>2727.16</f>
        <v>2727.16</v>
      </c>
      <c r="M4">
        <f>13176.15</f>
        <v>13176.15</v>
      </c>
      <c r="N4">
        <f>431.588</f>
        <v>431.58800000000002</v>
      </c>
      <c r="O4">
        <f>4104.3</f>
        <v>4104.3</v>
      </c>
      <c r="P4">
        <f>391.39</f>
        <v>391.39</v>
      </c>
      <c r="Q4">
        <f>4088.049</f>
        <v>4088.049</v>
      </c>
      <c r="R4">
        <f>9297.12</f>
        <v>9297.1200000000008</v>
      </c>
      <c r="S4">
        <f>3753.05</f>
        <v>3753.05</v>
      </c>
      <c r="T4">
        <f>4082.792</f>
        <v>4082.7919999999999</v>
      </c>
      <c r="U4">
        <f>74265.04</f>
        <v>74265.039999999994</v>
      </c>
      <c r="V4">
        <f>618.7</f>
        <v>618.70000000000005</v>
      </c>
    </row>
    <row r="5" spans="1:22" x14ac:dyDescent="0.2">
      <c r="A5" s="1">
        <v>45100</v>
      </c>
      <c r="B5">
        <f>2110.51</f>
        <v>2110.5100000000002</v>
      </c>
      <c r="C5">
        <f>10200.8</f>
        <v>10200.799999999999</v>
      </c>
      <c r="D5">
        <f>7831.01</f>
        <v>7831.01</v>
      </c>
      <c r="E5">
        <f>2516.867</f>
        <v>2516.8670000000002</v>
      </c>
      <c r="F5">
        <f>2130.69</f>
        <v>2130.69</v>
      </c>
      <c r="G5">
        <f>10043.63</f>
        <v>10043.629999999999</v>
      </c>
      <c r="H5">
        <f>4191.65</f>
        <v>4191.6499999999996</v>
      </c>
      <c r="I5">
        <f>13762.64</f>
        <v>13762.64</v>
      </c>
      <c r="J5">
        <f>5484.35</f>
        <v>5484.35</v>
      </c>
      <c r="K5">
        <f>19303.87</f>
        <v>19303.87</v>
      </c>
      <c r="L5">
        <f>2719.88</f>
        <v>2719.88</v>
      </c>
      <c r="M5">
        <f>13209.62</f>
        <v>13209.62</v>
      </c>
      <c r="N5">
        <f>433.309</f>
        <v>433.30900000000003</v>
      </c>
      <c r="O5">
        <f>4106.04</f>
        <v>4106.04</v>
      </c>
      <c r="P5">
        <f>392.12</f>
        <v>392.12</v>
      </c>
      <c r="Q5">
        <f>4056.129</f>
        <v>4056.1289999999999</v>
      </c>
      <c r="R5">
        <f>9338.84</f>
        <v>9338.84</v>
      </c>
      <c r="S5">
        <f>3760.62</f>
        <v>3760.62</v>
      </c>
      <c r="T5">
        <f>4078.227</f>
        <v>4078.2269999999999</v>
      </c>
      <c r="U5">
        <f>74402.9</f>
        <v>74402.899999999994</v>
      </c>
      <c r="V5">
        <f>613.67</f>
        <v>613.66999999999996</v>
      </c>
    </row>
    <row r="6" spans="1:22" x14ac:dyDescent="0.2">
      <c r="A6" s="1">
        <v>45099</v>
      </c>
      <c r="B6">
        <f>2125.68</f>
        <v>2125.6799999999998</v>
      </c>
      <c r="C6">
        <f>10289.13</f>
        <v>10289.129999999999</v>
      </c>
      <c r="D6">
        <f>7873.16</f>
        <v>7873.16</v>
      </c>
      <c r="E6">
        <f>2540.054</f>
        <v>2540.0540000000001</v>
      </c>
      <c r="F6">
        <f>2163.3</f>
        <v>2163.3000000000002</v>
      </c>
      <c r="G6">
        <f>10121.41</f>
        <v>10121.41</v>
      </c>
      <c r="H6">
        <f>4278.25</f>
        <v>4278.25</v>
      </c>
      <c r="I6">
        <f>13911.29</f>
        <v>13911.29</v>
      </c>
      <c r="J6">
        <f>5531.91</f>
        <v>5531.91</v>
      </c>
      <c r="K6">
        <f>19455.27</f>
        <v>19455.27</v>
      </c>
      <c r="L6">
        <f>2745.33</f>
        <v>2745.33</v>
      </c>
      <c r="M6">
        <f>13337.04</f>
        <v>13337.04</v>
      </c>
      <c r="N6">
        <f>432.21</f>
        <v>432.21</v>
      </c>
      <c r="O6">
        <f>4121.02</f>
        <v>4121.0200000000004</v>
      </c>
      <c r="P6">
        <f>395.89</f>
        <v>395.89</v>
      </c>
      <c r="Q6">
        <f>4084.668</f>
        <v>4084.6680000000001</v>
      </c>
      <c r="R6">
        <f>9410.83</f>
        <v>9410.83</v>
      </c>
      <c r="S6">
        <f>3813.38</f>
        <v>3813.38</v>
      </c>
      <c r="T6">
        <f>4120.274</f>
        <v>4120.2740000000003</v>
      </c>
      <c r="U6">
        <f>75105.79</f>
        <v>75105.789999999994</v>
      </c>
      <c r="V6">
        <f>626.26</f>
        <v>626.26</v>
      </c>
    </row>
    <row r="7" spans="1:22" x14ac:dyDescent="0.2">
      <c r="A7" s="1">
        <v>45098</v>
      </c>
      <c r="B7">
        <f>2155.92</f>
        <v>2155.92</v>
      </c>
      <c r="C7">
        <f>10323.4</f>
        <v>10323.4</v>
      </c>
      <c r="D7">
        <f>7929.9</f>
        <v>7929.9</v>
      </c>
      <c r="E7">
        <f>2547.875</f>
        <v>2547.875</v>
      </c>
      <c r="F7">
        <f>2172.67</f>
        <v>2172.67</v>
      </c>
      <c r="G7">
        <f>10183.02</f>
        <v>10183.02</v>
      </c>
      <c r="H7">
        <f>4276.11</f>
        <v>4276.1099999999997</v>
      </c>
      <c r="I7">
        <f>13963.67</f>
        <v>13963.67</v>
      </c>
      <c r="J7">
        <f>5544.48</f>
        <v>5544.48</v>
      </c>
      <c r="K7">
        <f>19382.31</f>
        <v>19382.310000000001</v>
      </c>
      <c r="L7">
        <f>2753.69</f>
        <v>2753.69</v>
      </c>
      <c r="M7">
        <f>13323.79</f>
        <v>13323.79</v>
      </c>
      <c r="N7">
        <f>433.105</f>
        <v>433.10500000000002</v>
      </c>
      <c r="O7">
        <f>4139.9</f>
        <v>4139.8999999999996</v>
      </c>
      <c r="P7">
        <f>392.38</f>
        <v>392.38</v>
      </c>
      <c r="Q7">
        <f>4101.215</f>
        <v>4101.2150000000001</v>
      </c>
      <c r="R7">
        <f>9375.21</f>
        <v>9375.2099999999991</v>
      </c>
      <c r="S7">
        <f>3810.9</f>
        <v>3810.9</v>
      </c>
      <c r="T7">
        <f>4153.621</f>
        <v>4153.6210000000001</v>
      </c>
      <c r="U7">
        <f>75629.88</f>
        <v>75629.88</v>
      </c>
      <c r="V7">
        <f>635.51</f>
        <v>635.51</v>
      </c>
    </row>
    <row r="8" spans="1:22" x14ac:dyDescent="0.2">
      <c r="A8" s="1">
        <v>45097</v>
      </c>
      <c r="B8">
        <f>2171.49</f>
        <v>2171.4899999999998</v>
      </c>
      <c r="C8">
        <f>10333.78</f>
        <v>10333.780000000001</v>
      </c>
      <c r="D8">
        <f>7940.52</f>
        <v>7940.52</v>
      </c>
      <c r="E8">
        <f>2569.942</f>
        <v>2569.942</v>
      </c>
      <c r="F8">
        <f>2199.79</f>
        <v>2199.79</v>
      </c>
      <c r="G8">
        <f>10198.99</f>
        <v>10198.99</v>
      </c>
      <c r="H8">
        <f>4261.25</f>
        <v>4261.25</v>
      </c>
      <c r="I8">
        <f>13954.71</f>
        <v>13954.71</v>
      </c>
      <c r="J8">
        <f>5552.75</f>
        <v>5552.75</v>
      </c>
      <c r="K8">
        <f>19489.99</f>
        <v>19489.990000000002</v>
      </c>
      <c r="L8">
        <f>2755.24</f>
        <v>2755.24</v>
      </c>
      <c r="M8">
        <f>13376.52</f>
        <v>13376.52</v>
      </c>
      <c r="N8">
        <f>436.799</f>
        <v>436.79899999999998</v>
      </c>
      <c r="O8">
        <f>4157.8</f>
        <v>4157.8</v>
      </c>
      <c r="P8">
        <f>388.45</f>
        <v>388.45</v>
      </c>
      <c r="Q8">
        <f>4096.025</f>
        <v>4096.0249999999996</v>
      </c>
      <c r="R8">
        <f>9424.02</f>
        <v>9424.02</v>
      </c>
      <c r="S8">
        <f>3792.37</f>
        <v>3792.37</v>
      </c>
      <c r="T8">
        <f>4246.106</f>
        <v>4246.1059999999998</v>
      </c>
      <c r="U8">
        <f>76769.22</f>
        <v>76769.22</v>
      </c>
      <c r="V8">
        <f>649.51</f>
        <v>649.51</v>
      </c>
    </row>
    <row r="9" spans="1:22" x14ac:dyDescent="0.2">
      <c r="A9" s="1">
        <v>45096</v>
      </c>
      <c r="B9">
        <f>2182.6</f>
        <v>2182.6</v>
      </c>
      <c r="C9">
        <f>10428.01</f>
        <v>10428.01</v>
      </c>
      <c r="D9">
        <f>7960.64</f>
        <v>7960.64</v>
      </c>
      <c r="E9">
        <f>2593.815</f>
        <v>2593.8150000000001</v>
      </c>
      <c r="F9">
        <f>2240.76</f>
        <v>2240.7600000000002</v>
      </c>
      <c r="G9">
        <f>10278.64</f>
        <v>10278.64</v>
      </c>
      <c r="H9">
        <f>4267.11</f>
        <v>4267.1099999999997</v>
      </c>
      <c r="I9">
        <f>14064.96</f>
        <v>14064.96</v>
      </c>
      <c r="J9">
        <f>5606.49</f>
        <v>5606.49</v>
      </c>
      <c r="K9">
        <f>19584.73</f>
        <v>19584.73</v>
      </c>
      <c r="L9">
        <f>2777.17</f>
        <v>2777.17</v>
      </c>
      <c r="M9">
        <f>13447.32</f>
        <v>13447.32</v>
      </c>
      <c r="N9">
        <f>439.085</f>
        <v>439.08499999999998</v>
      </c>
      <c r="O9">
        <f>4182.84</f>
        <v>4182.84</v>
      </c>
      <c r="P9">
        <f>391.12</f>
        <v>391.12</v>
      </c>
      <c r="Q9" t="e">
        <f>NA()</f>
        <v>#N/A</v>
      </c>
      <c r="R9" t="e">
        <f>NA()</f>
        <v>#N/A</v>
      </c>
      <c r="S9">
        <f>3803.41</f>
        <v>3803.41</v>
      </c>
      <c r="T9">
        <f>4342.853</f>
        <v>4342.8530000000001</v>
      </c>
      <c r="U9">
        <f>78014.35</f>
        <v>78014.350000000006</v>
      </c>
      <c r="V9">
        <f>657.33</f>
        <v>657.33</v>
      </c>
    </row>
    <row r="10" spans="1:22" x14ac:dyDescent="0.2">
      <c r="A10" s="1">
        <v>45093</v>
      </c>
      <c r="B10">
        <f>2199.14</f>
        <v>2199.14</v>
      </c>
      <c r="C10">
        <f>10451.22</f>
        <v>10451.219999999999</v>
      </c>
      <c r="D10">
        <f>8017.54</f>
        <v>8017.54</v>
      </c>
      <c r="E10">
        <f>2610.302</f>
        <v>2610.3020000000001</v>
      </c>
      <c r="F10">
        <f>2269.55</f>
        <v>2269.5500000000002</v>
      </c>
      <c r="G10">
        <f>10362.19</f>
        <v>10362.19</v>
      </c>
      <c r="H10">
        <f>4305.95</f>
        <v>4305.95</v>
      </c>
      <c r="I10">
        <f>14214.52</f>
        <v>14214.52</v>
      </c>
      <c r="J10">
        <f>5606.49</f>
        <v>5606.49</v>
      </c>
      <c r="K10">
        <f>19584.73</f>
        <v>19584.73</v>
      </c>
      <c r="L10">
        <f>2787.35</f>
        <v>2787.35</v>
      </c>
      <c r="M10">
        <f>13479.92</f>
        <v>13479.92</v>
      </c>
      <c r="N10">
        <f>445.47</f>
        <v>445.47</v>
      </c>
      <c r="O10">
        <f>4223.14</f>
        <v>4223.1400000000003</v>
      </c>
      <c r="P10">
        <f>391.46</f>
        <v>391.46</v>
      </c>
      <c r="Q10">
        <f>4136.748</f>
        <v>4136.7479999999996</v>
      </c>
      <c r="R10">
        <f>9468.81</f>
        <v>9468.81</v>
      </c>
      <c r="S10">
        <f>3819.77</f>
        <v>3819.77</v>
      </c>
      <c r="T10" t="e">
        <f>NA()</f>
        <v>#N/A</v>
      </c>
      <c r="U10" t="e">
        <f>NA()</f>
        <v>#N/A</v>
      </c>
      <c r="V10" t="e">
        <f>NA()</f>
        <v>#N/A</v>
      </c>
    </row>
    <row r="11" spans="1:22" x14ac:dyDescent="0.2">
      <c r="A11" s="1">
        <v>45092</v>
      </c>
      <c r="B11">
        <f>2203.95</f>
        <v>2203.9499999999998</v>
      </c>
      <c r="C11">
        <f>10427.52</f>
        <v>10427.52</v>
      </c>
      <c r="D11">
        <f>8002.37</f>
        <v>8002.37</v>
      </c>
      <c r="E11">
        <f>2593.81</f>
        <v>2593.81</v>
      </c>
      <c r="F11">
        <f>2285.28</f>
        <v>2285.2800000000002</v>
      </c>
      <c r="G11">
        <f>10294.6</f>
        <v>10294.6</v>
      </c>
      <c r="H11">
        <f>4338.28</f>
        <v>4338.28</v>
      </c>
      <c r="I11">
        <f>14120.82</f>
        <v>14120.82</v>
      </c>
      <c r="J11">
        <f>5609.88</f>
        <v>5609.88</v>
      </c>
      <c r="K11">
        <f>19658.96</f>
        <v>19658.96</v>
      </c>
      <c r="L11">
        <f>2784.7</f>
        <v>2784.7</v>
      </c>
      <c r="M11">
        <f>13498.33</f>
        <v>13498.33</v>
      </c>
      <c r="N11">
        <f>443.244</f>
        <v>443.24400000000003</v>
      </c>
      <c r="O11">
        <f>4200.57</f>
        <v>4200.57</v>
      </c>
      <c r="P11">
        <f>392.39</f>
        <v>392.39</v>
      </c>
      <c r="Q11">
        <f>4129.803</f>
        <v>4129.8029999999999</v>
      </c>
      <c r="R11">
        <f>9503.53</f>
        <v>9503.5300000000007</v>
      </c>
      <c r="S11">
        <f>3809.16</f>
        <v>3809.16</v>
      </c>
      <c r="T11">
        <f>4389.744</f>
        <v>4389.7439999999997</v>
      </c>
      <c r="U11">
        <f>78531.81</f>
        <v>78531.81</v>
      </c>
      <c r="V11">
        <f>670.68</f>
        <v>670.68</v>
      </c>
    </row>
    <row r="12" spans="1:22" x14ac:dyDescent="0.2">
      <c r="A12" s="1">
        <v>45091</v>
      </c>
      <c r="B12">
        <f>2207.81</f>
        <v>2207.81</v>
      </c>
      <c r="C12">
        <f>10391.88</f>
        <v>10391.879999999999</v>
      </c>
      <c r="D12">
        <f>7974.98</f>
        <v>7974.98</v>
      </c>
      <c r="E12">
        <f>2570.725</f>
        <v>2570.7249999999999</v>
      </c>
      <c r="F12">
        <f>2280.16</f>
        <v>2280.16</v>
      </c>
      <c r="G12">
        <f>10217.37</f>
        <v>10217.370000000001</v>
      </c>
      <c r="H12">
        <f>4344.98</f>
        <v>4344.9799999999996</v>
      </c>
      <c r="I12">
        <f>14073.95</f>
        <v>14073.95</v>
      </c>
      <c r="J12">
        <f>5544.24</f>
        <v>5544.24</v>
      </c>
      <c r="K12">
        <f>19415.78</f>
        <v>19415.78</v>
      </c>
      <c r="L12">
        <f>2759.08</f>
        <v>2759.08</v>
      </c>
      <c r="M12">
        <f>13374.14</f>
        <v>13374.14</v>
      </c>
      <c r="N12">
        <f>444.617</f>
        <v>444.61700000000002</v>
      </c>
      <c r="O12">
        <f>4204.6</f>
        <v>4204.6000000000004</v>
      </c>
      <c r="P12">
        <f>390.65</f>
        <v>390.65</v>
      </c>
      <c r="Q12">
        <f>4078.146</f>
        <v>4078.1460000000002</v>
      </c>
      <c r="R12">
        <f>9387.54</f>
        <v>9387.5400000000009</v>
      </c>
      <c r="S12">
        <f>3810.08</f>
        <v>3810.08</v>
      </c>
      <c r="T12">
        <f>4354.308</f>
        <v>4354.308</v>
      </c>
      <c r="U12">
        <f>78060.22</f>
        <v>78060.22</v>
      </c>
      <c r="V12">
        <f>660.63</f>
        <v>660.63</v>
      </c>
    </row>
    <row r="13" spans="1:22" x14ac:dyDescent="0.2">
      <c r="A13" s="1">
        <v>45090</v>
      </c>
      <c r="B13">
        <f>2199.11</f>
        <v>2199.11</v>
      </c>
      <c r="C13">
        <f>10361.7</f>
        <v>10361.700000000001</v>
      </c>
      <c r="D13">
        <f>7966.62</f>
        <v>7966.62</v>
      </c>
      <c r="E13">
        <f>2565.706</f>
        <v>2565.7060000000001</v>
      </c>
      <c r="F13">
        <f>2233.83</f>
        <v>2233.83</v>
      </c>
      <c r="G13">
        <f>10138.49</f>
        <v>10138.49</v>
      </c>
      <c r="H13">
        <f>4260.66</f>
        <v>4260.66</v>
      </c>
      <c r="I13">
        <f>13956.53</f>
        <v>13956.53</v>
      </c>
      <c r="J13">
        <f>5544.64</f>
        <v>5544.64</v>
      </c>
      <c r="K13">
        <f>19396.68</f>
        <v>19396.68</v>
      </c>
      <c r="L13">
        <f>2747.05</f>
        <v>2747.05</v>
      </c>
      <c r="M13">
        <f>13326.69</f>
        <v>13326.69</v>
      </c>
      <c r="N13">
        <f>444.183</f>
        <v>444.18299999999999</v>
      </c>
      <c r="O13">
        <f>4191.87</f>
        <v>4191.87</v>
      </c>
      <c r="P13">
        <f>387.14</f>
        <v>387.14</v>
      </c>
      <c r="Q13">
        <f>4083.869</f>
        <v>4083.8690000000001</v>
      </c>
      <c r="R13">
        <f>9377.65</f>
        <v>9377.65</v>
      </c>
      <c r="S13">
        <f>3760.71</f>
        <v>3760.71</v>
      </c>
      <c r="T13">
        <f>4315.649</f>
        <v>4315.6490000000003</v>
      </c>
      <c r="U13">
        <f>77827.73</f>
        <v>77827.73</v>
      </c>
      <c r="V13">
        <f>647.18</f>
        <v>647.17999999999995</v>
      </c>
    </row>
    <row r="14" spans="1:22" x14ac:dyDescent="0.2">
      <c r="A14" s="1">
        <v>45089</v>
      </c>
      <c r="B14">
        <f>2205.79</f>
        <v>2205.79</v>
      </c>
      <c r="C14">
        <f>10307.52</f>
        <v>10307.52</v>
      </c>
      <c r="D14">
        <f>7941.36</f>
        <v>7941.36</v>
      </c>
      <c r="E14">
        <f>2538.6</f>
        <v>2538.6</v>
      </c>
      <c r="F14">
        <f>2194.04</f>
        <v>2194.04</v>
      </c>
      <c r="G14">
        <f>10033.09</f>
        <v>10033.09</v>
      </c>
      <c r="H14">
        <f>4203.14</f>
        <v>4203.1400000000003</v>
      </c>
      <c r="I14">
        <f>13801.88</f>
        <v>13801.88</v>
      </c>
      <c r="J14">
        <f>5507.57</f>
        <v>5507.57</v>
      </c>
      <c r="K14">
        <f>19259.31</f>
        <v>19259.310000000001</v>
      </c>
      <c r="L14">
        <f>2728.05</f>
        <v>2728.05</v>
      </c>
      <c r="M14">
        <f>13218.26</f>
        <v>13218.26</v>
      </c>
      <c r="N14">
        <f>441.296</f>
        <v>441.29599999999999</v>
      </c>
      <c r="O14">
        <f>4163.07</f>
        <v>4163.07</v>
      </c>
      <c r="P14">
        <f>385.36</f>
        <v>385.36</v>
      </c>
      <c r="Q14">
        <f>4041.941</f>
        <v>4041.9409999999998</v>
      </c>
      <c r="R14">
        <f>9312.72</f>
        <v>9312.7199999999993</v>
      </c>
      <c r="S14">
        <f>3717.5</f>
        <v>3717.5</v>
      </c>
      <c r="T14">
        <f>4219.436</f>
        <v>4219.4359999999997</v>
      </c>
      <c r="U14">
        <f>76282.13</f>
        <v>76282.13</v>
      </c>
      <c r="V14">
        <f>629.78</f>
        <v>629.78</v>
      </c>
    </row>
    <row r="15" spans="1:22" x14ac:dyDescent="0.2">
      <c r="A15" s="1">
        <v>45086</v>
      </c>
      <c r="B15">
        <f>2212.44</f>
        <v>2212.44</v>
      </c>
      <c r="C15">
        <f>10328.24</f>
        <v>10328.24</v>
      </c>
      <c r="D15">
        <f>7932.62</f>
        <v>7932.62</v>
      </c>
      <c r="E15">
        <f>2535.962</f>
        <v>2535.962</v>
      </c>
      <c r="F15">
        <f>2208.45</f>
        <v>2208.4499999999998</v>
      </c>
      <c r="G15">
        <f>10082.92</f>
        <v>10082.92</v>
      </c>
      <c r="H15">
        <f>4207.92</f>
        <v>4207.92</v>
      </c>
      <c r="I15">
        <f>13766.78</f>
        <v>13766.78</v>
      </c>
      <c r="J15">
        <f>5481.25</f>
        <v>5481.25</v>
      </c>
      <c r="K15">
        <f>19074.65</f>
        <v>19074.650000000001</v>
      </c>
      <c r="L15">
        <f>2724.42</f>
        <v>2724.42</v>
      </c>
      <c r="M15">
        <f>13125.29</f>
        <v>13125.29</v>
      </c>
      <c r="N15">
        <f>441.63</f>
        <v>441.63</v>
      </c>
      <c r="O15">
        <f>4158.96</f>
        <v>4158.96</v>
      </c>
      <c r="P15">
        <f>384.31</f>
        <v>384.31</v>
      </c>
      <c r="Q15">
        <f>4032.123</f>
        <v>4032.123</v>
      </c>
      <c r="R15">
        <f>9226.7</f>
        <v>9226.7000000000007</v>
      </c>
      <c r="S15">
        <f>3693.51</f>
        <v>3693.51</v>
      </c>
      <c r="T15">
        <f>4289.242</f>
        <v>4289.2420000000002</v>
      </c>
      <c r="U15">
        <f>76936.11</f>
        <v>76936.11</v>
      </c>
      <c r="V15">
        <f>642.2</f>
        <v>642.20000000000005</v>
      </c>
    </row>
    <row r="16" spans="1:22" x14ac:dyDescent="0.2">
      <c r="A16" s="1">
        <v>45085</v>
      </c>
      <c r="B16">
        <f>2216.33</f>
        <v>2216.33</v>
      </c>
      <c r="C16">
        <f>10252.43</f>
        <v>10252.43</v>
      </c>
      <c r="D16">
        <f>7971.83</f>
        <v>7971.83</v>
      </c>
      <c r="E16">
        <f>2514.715</f>
        <v>2514.7150000000001</v>
      </c>
      <c r="F16">
        <f>2204.32</f>
        <v>2204.3200000000002</v>
      </c>
      <c r="G16">
        <f>10091.94</f>
        <v>10091.94</v>
      </c>
      <c r="H16">
        <f>4154.24</f>
        <v>4154.24</v>
      </c>
      <c r="I16">
        <f>13818.51</f>
        <v>13818.51</v>
      </c>
      <c r="J16">
        <f>5491.77</f>
        <v>5491.77</v>
      </c>
      <c r="K16">
        <f>19054.52</f>
        <v>19054.52</v>
      </c>
      <c r="L16">
        <f>2726.29</f>
        <v>2726.29</v>
      </c>
      <c r="M16">
        <f>13108.95</f>
        <v>13108.95</v>
      </c>
      <c r="N16">
        <f>445.149</f>
        <v>445.149</v>
      </c>
      <c r="O16">
        <f>4165.55</f>
        <v>4165.55</v>
      </c>
      <c r="P16">
        <f>379.67</f>
        <v>379.67</v>
      </c>
      <c r="Q16">
        <f>4037.494</f>
        <v>4037.4940000000001</v>
      </c>
      <c r="R16">
        <f>9215.86</f>
        <v>9215.86</v>
      </c>
      <c r="S16">
        <f>3639.01</f>
        <v>3639.01</v>
      </c>
      <c r="T16">
        <f>4284.462</f>
        <v>4284.4620000000004</v>
      </c>
      <c r="U16">
        <f>77015.21</f>
        <v>77015.210000000006</v>
      </c>
      <c r="V16">
        <f>637.48</f>
        <v>637.48</v>
      </c>
    </row>
    <row r="17" spans="1:22" x14ac:dyDescent="0.2">
      <c r="A17" s="1">
        <v>45084</v>
      </c>
      <c r="B17">
        <f>2227.79</f>
        <v>2227.79</v>
      </c>
      <c r="C17">
        <f>10222.84</f>
        <v>10222.84</v>
      </c>
      <c r="D17">
        <f>7990.27</f>
        <v>7990.27</v>
      </c>
      <c r="E17">
        <f>2517.43</f>
        <v>2517.4299999999998</v>
      </c>
      <c r="F17">
        <f>2186.44</f>
        <v>2186.44</v>
      </c>
      <c r="G17">
        <f>10055.71</f>
        <v>10055.709999999999</v>
      </c>
      <c r="H17">
        <f>4142.89</f>
        <v>4142.8900000000003</v>
      </c>
      <c r="I17">
        <f>13727.63</f>
        <v>13727.63</v>
      </c>
      <c r="J17">
        <f>5474.41</f>
        <v>5474.41</v>
      </c>
      <c r="K17">
        <f>18933.7</f>
        <v>18933.7</v>
      </c>
      <c r="L17">
        <f>2714.76</f>
        <v>2714.76</v>
      </c>
      <c r="M17">
        <f>13036.6</f>
        <v>13036.6</v>
      </c>
      <c r="N17">
        <f>445.138</f>
        <v>445.13799999999998</v>
      </c>
      <c r="O17">
        <f>4164.28</f>
        <v>4164.28</v>
      </c>
      <c r="P17">
        <f>380.52</f>
        <v>380.52</v>
      </c>
      <c r="Q17">
        <f>4029.369</f>
        <v>4029.3690000000001</v>
      </c>
      <c r="R17">
        <f>9158.14</f>
        <v>9158.14</v>
      </c>
      <c r="S17">
        <f>3663.58</f>
        <v>3663.58</v>
      </c>
      <c r="T17">
        <f>4303.511</f>
        <v>4303.5110000000004</v>
      </c>
      <c r="U17">
        <f>77125.85</f>
        <v>77125.850000000006</v>
      </c>
      <c r="V17">
        <f>637.49</f>
        <v>637.49</v>
      </c>
    </row>
    <row r="18" spans="1:22" x14ac:dyDescent="0.2">
      <c r="A18" s="1">
        <v>45083</v>
      </c>
      <c r="B18">
        <f>2236.99</f>
        <v>2236.9899999999998</v>
      </c>
      <c r="C18">
        <f>10149.89</f>
        <v>10149.89</v>
      </c>
      <c r="D18">
        <f>7994.21</f>
        <v>7994.21</v>
      </c>
      <c r="E18">
        <f>2499.658</f>
        <v>2499.6579999999999</v>
      </c>
      <c r="F18">
        <f>2183.29</f>
        <v>2183.29</v>
      </c>
      <c r="G18">
        <f>10019.84</f>
        <v>10019.84</v>
      </c>
      <c r="H18">
        <f>4193.11</f>
        <v>4193.1099999999997</v>
      </c>
      <c r="I18">
        <f>13748.94</f>
        <v>13748.94</v>
      </c>
      <c r="J18">
        <f>5423.24</f>
        <v>5423.24</v>
      </c>
      <c r="K18">
        <f>19014.9</f>
        <v>19014.900000000001</v>
      </c>
      <c r="L18">
        <f>2704.49</f>
        <v>2704.49</v>
      </c>
      <c r="M18">
        <f>13087.96</f>
        <v>13087.96</v>
      </c>
      <c r="N18">
        <f>447.579</f>
        <v>447.57900000000001</v>
      </c>
      <c r="O18">
        <f>4174.51</f>
        <v>4174.51</v>
      </c>
      <c r="P18">
        <f>383.98</f>
        <v>383.98</v>
      </c>
      <c r="Q18">
        <f>3985.42</f>
        <v>3985.42</v>
      </c>
      <c r="R18">
        <f>9192.91</f>
        <v>9192.91</v>
      </c>
      <c r="S18">
        <f>3713.36</f>
        <v>3713.36</v>
      </c>
      <c r="T18">
        <f>4254.452</f>
        <v>4254.4520000000002</v>
      </c>
      <c r="U18">
        <f>76840.11</f>
        <v>76840.11</v>
      </c>
      <c r="V18">
        <f>622.12</f>
        <v>622.12</v>
      </c>
    </row>
    <row r="19" spans="1:22" x14ac:dyDescent="0.2">
      <c r="A19" s="1">
        <v>45082</v>
      </c>
      <c r="B19">
        <f>2220.25</f>
        <v>2220.25</v>
      </c>
      <c r="C19">
        <f>10123.09</f>
        <v>10123.09</v>
      </c>
      <c r="D19">
        <f>7964.75</f>
        <v>7964.75</v>
      </c>
      <c r="E19">
        <f>2494.905</f>
        <v>2494.9050000000002</v>
      </c>
      <c r="F19">
        <f>2163.97</f>
        <v>2163.9699999999998</v>
      </c>
      <c r="G19">
        <f>9981.74</f>
        <v>9981.74</v>
      </c>
      <c r="H19">
        <f>4142.06</f>
        <v>4142.0600000000004</v>
      </c>
      <c r="I19">
        <f>13730.4</f>
        <v>13730.4</v>
      </c>
      <c r="J19">
        <f>5416.11</f>
        <v>5416.11</v>
      </c>
      <c r="K19">
        <f>18967.02</f>
        <v>18967.02</v>
      </c>
      <c r="L19">
        <f>2700.29</f>
        <v>2700.29</v>
      </c>
      <c r="M19">
        <f>13052.38</f>
        <v>13052.38</v>
      </c>
      <c r="N19">
        <f>444.637</f>
        <v>444.637</v>
      </c>
      <c r="O19">
        <f>4158.58</f>
        <v>4158.58</v>
      </c>
      <c r="P19">
        <f>382.36</f>
        <v>382.36</v>
      </c>
      <c r="Q19">
        <f>3974.035</f>
        <v>3974.0349999999999</v>
      </c>
      <c r="R19">
        <f>9171.09</f>
        <v>9171.09</v>
      </c>
      <c r="S19">
        <f>3685.98</f>
        <v>3685.98</v>
      </c>
      <c r="T19">
        <f>4267.716</f>
        <v>4267.7160000000003</v>
      </c>
      <c r="U19">
        <f>76602.84</f>
        <v>76602.84</v>
      </c>
      <c r="V19">
        <f>620.42</f>
        <v>620.41999999999996</v>
      </c>
    </row>
    <row r="20" spans="1:22" x14ac:dyDescent="0.2">
      <c r="A20" s="1">
        <v>45079</v>
      </c>
      <c r="B20">
        <f>2221.11</f>
        <v>2221.11</v>
      </c>
      <c r="C20">
        <f>10066.19</f>
        <v>10066.19</v>
      </c>
      <c r="D20">
        <f>7972.39</f>
        <v>7972.39</v>
      </c>
      <c r="E20">
        <f>2488.709</f>
        <v>2488.7089999999998</v>
      </c>
      <c r="F20">
        <f>2183.86</f>
        <v>2183.86</v>
      </c>
      <c r="G20">
        <f>10046.13</f>
        <v>10046.129999999999</v>
      </c>
      <c r="H20">
        <f>4067.77</f>
        <v>4067.77</v>
      </c>
      <c r="I20">
        <f>13814.43</f>
        <v>13814.43</v>
      </c>
      <c r="J20">
        <f>5442.76</f>
        <v>5442.76</v>
      </c>
      <c r="K20">
        <f>19003.06</f>
        <v>19003.060000000001</v>
      </c>
      <c r="L20">
        <f>2703.49</f>
        <v>2703.49</v>
      </c>
      <c r="M20">
        <f>13066.1</f>
        <v>13066.1</v>
      </c>
      <c r="N20">
        <f>446.088</f>
        <v>446.08800000000002</v>
      </c>
      <c r="O20">
        <f>4175.38</f>
        <v>4175.38</v>
      </c>
      <c r="P20">
        <f>377.46</f>
        <v>377.46</v>
      </c>
      <c r="Q20">
        <f>3991.316</f>
        <v>3991.3159999999998</v>
      </c>
      <c r="R20">
        <f>9189.34</f>
        <v>9189.34</v>
      </c>
      <c r="S20">
        <f>3624.4</f>
        <v>3624.4</v>
      </c>
      <c r="T20">
        <f>4303.036</f>
        <v>4303.0360000000001</v>
      </c>
      <c r="U20">
        <f>77126.06</f>
        <v>77126.06</v>
      </c>
      <c r="V20">
        <f>622.25</f>
        <v>622.25</v>
      </c>
    </row>
    <row r="21" spans="1:22" x14ac:dyDescent="0.2">
      <c r="A21" s="1">
        <v>45078</v>
      </c>
      <c r="B21">
        <f>2179.88</f>
        <v>2179.88</v>
      </c>
      <c r="C21">
        <f>9874.82</f>
        <v>9874.82</v>
      </c>
      <c r="D21">
        <f>7849.77</f>
        <v>7849.77</v>
      </c>
      <c r="E21">
        <f>2431.08</f>
        <v>2431.08</v>
      </c>
      <c r="F21">
        <f>2127.15</f>
        <v>2127.15</v>
      </c>
      <c r="G21">
        <f>9923.175</f>
        <v>9923.1749999999993</v>
      </c>
      <c r="H21">
        <f>4036.73</f>
        <v>4036.73</v>
      </c>
      <c r="I21">
        <f>13612.65</f>
        <v>13612.65</v>
      </c>
      <c r="J21">
        <f>5336.01</f>
        <v>5336.01</v>
      </c>
      <c r="K21">
        <f>18723.22</f>
        <v>18723.22</v>
      </c>
      <c r="L21">
        <f>2657.67</f>
        <v>2657.67</v>
      </c>
      <c r="M21">
        <f>12875.56</f>
        <v>12875.56</v>
      </c>
      <c r="N21">
        <f>440.178</f>
        <v>440.178</v>
      </c>
      <c r="O21">
        <f>4115.12</f>
        <v>4115.12</v>
      </c>
      <c r="P21">
        <f>372.57</f>
        <v>372.57</v>
      </c>
      <c r="Q21">
        <f>3889.401</f>
        <v>3889.4009999999998</v>
      </c>
      <c r="R21">
        <f>9057.17</f>
        <v>9057.17</v>
      </c>
      <c r="S21">
        <f>3568.92</f>
        <v>3568.92</v>
      </c>
      <c r="T21">
        <f>4218.35</f>
        <v>4218.3500000000004</v>
      </c>
      <c r="U21">
        <f>75783.25</f>
        <v>75783.25</v>
      </c>
      <c r="V21">
        <f>614.85</f>
        <v>614.85</v>
      </c>
    </row>
    <row r="22" spans="1:22" x14ac:dyDescent="0.2">
      <c r="A22" s="1">
        <v>45077</v>
      </c>
      <c r="B22">
        <f>2165.6</f>
        <v>2165.6</v>
      </c>
      <c r="C22">
        <f>9851.73</f>
        <v>9851.73</v>
      </c>
      <c r="D22">
        <f>7796.27</f>
        <v>7796.27</v>
      </c>
      <c r="E22">
        <f>2422.676</f>
        <v>2422.6759999999999</v>
      </c>
      <c r="F22">
        <f>2078.39</f>
        <v>2078.39</v>
      </c>
      <c r="G22">
        <f>9758.534</f>
        <v>9758.5339999999997</v>
      </c>
      <c r="H22">
        <f>3988.83</f>
        <v>3988.83</v>
      </c>
      <c r="I22">
        <f>13430.26</f>
        <v>13430.26</v>
      </c>
      <c r="J22">
        <f>5310.74</f>
        <v>5310.74</v>
      </c>
      <c r="K22">
        <f>18534.69</f>
        <v>18534.689999999999</v>
      </c>
      <c r="L22">
        <f>2637.58</f>
        <v>2637.58</v>
      </c>
      <c r="M22">
        <f>12731.91</f>
        <v>12731.91</v>
      </c>
      <c r="N22">
        <f>437.746</f>
        <v>437.74599999999998</v>
      </c>
      <c r="O22">
        <f>4085.24</f>
        <v>4085.24</v>
      </c>
      <c r="P22">
        <f>370.49</f>
        <v>370.49</v>
      </c>
      <c r="Q22">
        <f>3856.796</f>
        <v>3856.7959999999998</v>
      </c>
      <c r="R22">
        <f>8967.16</f>
        <v>8967.16</v>
      </c>
      <c r="S22">
        <f>3537.93</f>
        <v>3537.93</v>
      </c>
      <c r="T22">
        <f>4149.223</f>
        <v>4149.223</v>
      </c>
      <c r="U22">
        <f>75067.47</f>
        <v>75067.47</v>
      </c>
      <c r="V22">
        <f>609.86</f>
        <v>609.86</v>
      </c>
    </row>
    <row r="23" spans="1:22" x14ac:dyDescent="0.2">
      <c r="A23" s="1">
        <v>45076</v>
      </c>
      <c r="B23">
        <f>2189.5</f>
        <v>2189.5</v>
      </c>
      <c r="C23">
        <f>9943.12</f>
        <v>9943.1200000000008</v>
      </c>
      <c r="D23">
        <f>7875.78</f>
        <v>7875.78</v>
      </c>
      <c r="E23">
        <f>2452.296</f>
        <v>2452.2959999999998</v>
      </c>
      <c r="F23">
        <f>2106.92</f>
        <v>2106.92</v>
      </c>
      <c r="G23">
        <f>9872.892</f>
        <v>9872.8919999999998</v>
      </c>
      <c r="H23">
        <f>4050.38</f>
        <v>4050.38</v>
      </c>
      <c r="I23">
        <f>13684</f>
        <v>13684</v>
      </c>
      <c r="J23">
        <f>5334.72</f>
        <v>5334.72</v>
      </c>
      <c r="K23">
        <f>18639.23</f>
        <v>18639.23</v>
      </c>
      <c r="L23">
        <f>2657.52</f>
        <v>2657.52</v>
      </c>
      <c r="M23">
        <f>12843.8</f>
        <v>12843.8</v>
      </c>
      <c r="N23">
        <f>438.67</f>
        <v>438.67</v>
      </c>
      <c r="O23">
        <f>4127.86</f>
        <v>4127.8599999999997</v>
      </c>
      <c r="P23">
        <f>374.77</f>
        <v>374.77</v>
      </c>
      <c r="Q23">
        <f>3887.821</f>
        <v>3887.8209999999999</v>
      </c>
      <c r="R23">
        <f>9020.39</f>
        <v>9020.39</v>
      </c>
      <c r="S23">
        <f>3583.52</f>
        <v>3583.52</v>
      </c>
      <c r="T23">
        <f>4137.179</f>
        <v>4137.1790000000001</v>
      </c>
      <c r="U23">
        <f>75939.46</f>
        <v>75939.460000000006</v>
      </c>
      <c r="V23">
        <f>602.74</f>
        <v>602.74</v>
      </c>
    </row>
    <row r="24" spans="1:22" x14ac:dyDescent="0.2">
      <c r="A24" s="1">
        <v>45075</v>
      </c>
      <c r="B24" t="e">
        <f>NA()</f>
        <v>#N/A</v>
      </c>
      <c r="C24">
        <f>9994.62</f>
        <v>9994.6200000000008</v>
      </c>
      <c r="D24" t="e">
        <f>NA()</f>
        <v>#N/A</v>
      </c>
      <c r="E24">
        <f>2455.076</f>
        <v>2455.076</v>
      </c>
      <c r="F24">
        <f>2123.53</f>
        <v>2123.5300000000002</v>
      </c>
      <c r="G24">
        <f>9972.838</f>
        <v>9972.8379999999997</v>
      </c>
      <c r="H24">
        <f>4043.52</f>
        <v>4043.52</v>
      </c>
      <c r="I24">
        <f>13767.43</f>
        <v>13767.43</v>
      </c>
      <c r="J24">
        <f>5353.79</f>
        <v>5353.79</v>
      </c>
      <c r="K24">
        <f>18635.75</f>
        <v>18635.75</v>
      </c>
      <c r="L24">
        <f>2671.5</f>
        <v>2671.5</v>
      </c>
      <c r="M24">
        <f>12862.89</f>
        <v>12862.89</v>
      </c>
      <c r="N24">
        <f>442.297</f>
        <v>442.29700000000003</v>
      </c>
      <c r="O24">
        <f>4164.83</f>
        <v>4164.83</v>
      </c>
      <c r="P24">
        <f>376.83</f>
        <v>376.83</v>
      </c>
      <c r="Q24" t="e">
        <f>NA()</f>
        <v>#N/A</v>
      </c>
      <c r="R24" t="e">
        <f>NA()</f>
        <v>#N/A</v>
      </c>
      <c r="S24">
        <f>3585.71</f>
        <v>3585.71</v>
      </c>
      <c r="T24">
        <f>4203.346</f>
        <v>4203.3459999999995</v>
      </c>
      <c r="U24">
        <f>76613.35</f>
        <v>76613.350000000006</v>
      </c>
      <c r="V24">
        <f>627.23</f>
        <v>627.23</v>
      </c>
    </row>
    <row r="25" spans="1:22" x14ac:dyDescent="0.2">
      <c r="A25" s="1">
        <v>45072</v>
      </c>
      <c r="B25">
        <f>2202.74</f>
        <v>2202.7399999999998</v>
      </c>
      <c r="C25">
        <f>9971.19</f>
        <v>9971.19</v>
      </c>
      <c r="D25">
        <f>7985.85</f>
        <v>7985.85</v>
      </c>
      <c r="E25">
        <f>2457.653</f>
        <v>2457.6529999999998</v>
      </c>
      <c r="F25">
        <f>2120</f>
        <v>2120</v>
      </c>
      <c r="G25">
        <f>9956.288</f>
        <v>9956.2880000000005</v>
      </c>
      <c r="H25">
        <f>3994.84</f>
        <v>3994.84</v>
      </c>
      <c r="I25">
        <f>13788.66</f>
        <v>13788.66</v>
      </c>
      <c r="J25">
        <f>5353.79</f>
        <v>5353.79</v>
      </c>
      <c r="K25">
        <f>18635.75</f>
        <v>18635.75</v>
      </c>
      <c r="L25">
        <f>2667.48</f>
        <v>2667.48</v>
      </c>
      <c r="M25">
        <f>12851.35</f>
        <v>12851.35</v>
      </c>
      <c r="N25">
        <f>442.05</f>
        <v>442.05</v>
      </c>
      <c r="O25">
        <f>4169.33</f>
        <v>4169.33</v>
      </c>
      <c r="P25">
        <f>373.74</f>
        <v>373.74</v>
      </c>
      <c r="Q25">
        <f>3907.971</f>
        <v>3907.971</v>
      </c>
      <c r="R25">
        <f>9019.64</f>
        <v>9019.64</v>
      </c>
      <c r="S25">
        <f>3561.13</f>
        <v>3561.13</v>
      </c>
      <c r="T25">
        <f>4215.268</f>
        <v>4215.268</v>
      </c>
      <c r="U25">
        <f>76589.54</f>
        <v>76589.539999999994</v>
      </c>
      <c r="V25">
        <f>627.28</f>
        <v>627.28</v>
      </c>
    </row>
    <row r="26" spans="1:22" x14ac:dyDescent="0.2">
      <c r="A26" s="1">
        <v>45071</v>
      </c>
      <c r="B26">
        <f>2195.23</f>
        <v>2195.23</v>
      </c>
      <c r="C26">
        <f>9919.61</f>
        <v>9919.61</v>
      </c>
      <c r="D26">
        <f>7926.87</f>
        <v>7926.87</v>
      </c>
      <c r="E26">
        <f>2435.147</f>
        <v>2435.1469999999999</v>
      </c>
      <c r="F26">
        <f>2094.67</f>
        <v>2094.67</v>
      </c>
      <c r="G26">
        <f>9885.116</f>
        <v>9885.116</v>
      </c>
      <c r="H26">
        <f>4019.46</f>
        <v>4019.46</v>
      </c>
      <c r="I26">
        <f>13646.87</f>
        <v>13646.87</v>
      </c>
      <c r="J26">
        <f>5301.25</f>
        <v>5301.25</v>
      </c>
      <c r="K26">
        <f>18384.25</f>
        <v>18384.25</v>
      </c>
      <c r="L26">
        <f>2647.97</f>
        <v>2647.97</v>
      </c>
      <c r="M26">
        <f>12709.35</f>
        <v>12709.35</v>
      </c>
      <c r="N26">
        <f>436.907</f>
        <v>436.90699999999998</v>
      </c>
      <c r="O26">
        <f>4119.26</f>
        <v>4119.26</v>
      </c>
      <c r="P26">
        <f>377.47</f>
        <v>377.47</v>
      </c>
      <c r="Q26">
        <f>3897.829</f>
        <v>3897.8290000000002</v>
      </c>
      <c r="R26">
        <f>8902.84</f>
        <v>8902.84</v>
      </c>
      <c r="S26">
        <f>3561.64</f>
        <v>3561.64</v>
      </c>
      <c r="T26">
        <f>4204.734</f>
        <v>4204.7340000000004</v>
      </c>
      <c r="U26">
        <f>76174.61</f>
        <v>76174.61</v>
      </c>
      <c r="V26">
        <f>626.44</f>
        <v>626.44000000000005</v>
      </c>
    </row>
    <row r="27" spans="1:22" x14ac:dyDescent="0.2">
      <c r="A27" s="1">
        <v>45070</v>
      </c>
      <c r="B27">
        <f>2218.96</f>
        <v>2218.96</v>
      </c>
      <c r="C27">
        <f>10022.17</f>
        <v>10022.17</v>
      </c>
      <c r="D27">
        <f>7982.32</f>
        <v>7982.32</v>
      </c>
      <c r="E27">
        <f>2452.351</f>
        <v>2452.3510000000001</v>
      </c>
      <c r="F27">
        <f>2118.81</f>
        <v>2118.81</v>
      </c>
      <c r="G27">
        <f>9990.121</f>
        <v>9990.1209999999992</v>
      </c>
      <c r="H27">
        <f>4052.55</f>
        <v>4052.55</v>
      </c>
      <c r="I27">
        <f>13715.98</f>
        <v>13715.98</v>
      </c>
      <c r="J27">
        <f>5329.33</f>
        <v>5329.33</v>
      </c>
      <c r="K27">
        <f>18237.42</f>
        <v>18237.419999999998</v>
      </c>
      <c r="L27">
        <f>2668.27</f>
        <v>2668.27</v>
      </c>
      <c r="M27">
        <f>12672.24</f>
        <v>12672.24</v>
      </c>
      <c r="N27">
        <f>438.942</f>
        <v>438.94200000000001</v>
      </c>
      <c r="O27">
        <f>4132.48</f>
        <v>4132.4799999999996</v>
      </c>
      <c r="P27">
        <f>378.12</f>
        <v>378.12</v>
      </c>
      <c r="Q27">
        <f>3921.211</f>
        <v>3921.2109999999998</v>
      </c>
      <c r="R27">
        <f>8825.26</f>
        <v>8825.26</v>
      </c>
      <c r="S27">
        <f>3572.02</f>
        <v>3572.02</v>
      </c>
      <c r="T27">
        <f>4221.076</f>
        <v>4221.076</v>
      </c>
      <c r="U27">
        <f>75621.9</f>
        <v>75621.899999999994</v>
      </c>
      <c r="V27">
        <f>631.09</f>
        <v>631.09</v>
      </c>
    </row>
    <row r="28" spans="1:22" x14ac:dyDescent="0.2">
      <c r="A28" s="1">
        <v>45069</v>
      </c>
      <c r="B28">
        <f>2268.66</f>
        <v>2268.66</v>
      </c>
      <c r="C28">
        <f>10097.7</f>
        <v>10097.700000000001</v>
      </c>
      <c r="D28">
        <f>8124.49</f>
        <v>8124.49</v>
      </c>
      <c r="E28">
        <f>2471.627</f>
        <v>2471.627</v>
      </c>
      <c r="F28">
        <f>2172.54</f>
        <v>2172.54</v>
      </c>
      <c r="G28">
        <f>10211.39</f>
        <v>10211.39</v>
      </c>
      <c r="H28">
        <f>4065.85</f>
        <v>4065.85</v>
      </c>
      <c r="I28">
        <f>13973.83</f>
        <v>13973.83</v>
      </c>
      <c r="J28">
        <f>5386.2</f>
        <v>5386.2</v>
      </c>
      <c r="K28">
        <f>18366.37</f>
        <v>18366.37</v>
      </c>
      <c r="L28">
        <f>2696.13</f>
        <v>2696.13</v>
      </c>
      <c r="M28">
        <f>12799.38</f>
        <v>12799.38</v>
      </c>
      <c r="N28">
        <f>446.04</f>
        <v>446.04</v>
      </c>
      <c r="O28">
        <f>4206.99</f>
        <v>4206.99</v>
      </c>
      <c r="P28">
        <f>379.33</f>
        <v>379.33</v>
      </c>
      <c r="Q28">
        <f>3963.801</f>
        <v>3963.8009999999999</v>
      </c>
      <c r="R28">
        <f>8890.16</f>
        <v>8890.16</v>
      </c>
      <c r="S28">
        <f>3587.1</f>
        <v>3587.1</v>
      </c>
      <c r="T28">
        <f>4293.837</f>
        <v>4293.8370000000004</v>
      </c>
      <c r="U28">
        <f>76748.27</f>
        <v>76748.27</v>
      </c>
      <c r="V28">
        <f>642.88</f>
        <v>642.88</v>
      </c>
    </row>
    <row r="29" spans="1:22" x14ac:dyDescent="0.2">
      <c r="A29" s="1">
        <v>45068</v>
      </c>
      <c r="B29">
        <f>2265.71</f>
        <v>2265.71</v>
      </c>
      <c r="C29">
        <f>10156.97</f>
        <v>10156.969999999999</v>
      </c>
      <c r="D29">
        <f>8132.91</f>
        <v>8132.91</v>
      </c>
      <c r="E29">
        <f>2483.314</f>
        <v>2483.3139999999999</v>
      </c>
      <c r="F29">
        <f>2178.46</f>
        <v>2178.46</v>
      </c>
      <c r="G29">
        <f>10208.3</f>
        <v>10208.299999999999</v>
      </c>
      <c r="H29">
        <f>4093.72</f>
        <v>4093.72</v>
      </c>
      <c r="I29">
        <f>14121.02</f>
        <v>14121.02</v>
      </c>
      <c r="J29">
        <f>5416.88</f>
        <v>5416.88</v>
      </c>
      <c r="K29">
        <f>18575.38</f>
        <v>18575.38</v>
      </c>
      <c r="L29">
        <f>2711.19</f>
        <v>2711.19</v>
      </c>
      <c r="M29">
        <f>12929.33</f>
        <v>12929.33</v>
      </c>
      <c r="N29">
        <f>448.796</f>
        <v>448.79599999999999</v>
      </c>
      <c r="O29">
        <f>4232.14</f>
        <v>4232.1400000000003</v>
      </c>
      <c r="P29">
        <f>380.85</f>
        <v>380.85</v>
      </c>
      <c r="Q29">
        <f>4000.364</f>
        <v>4000.364</v>
      </c>
      <c r="R29">
        <f>8990.89</f>
        <v>8990.89</v>
      </c>
      <c r="S29">
        <f>3611.02</f>
        <v>3611.02</v>
      </c>
      <c r="T29">
        <f>4332.829</f>
        <v>4332.8289999999997</v>
      </c>
      <c r="U29">
        <f>77962.73</f>
        <v>77962.73</v>
      </c>
      <c r="V29">
        <f>640.76</f>
        <v>640.76</v>
      </c>
    </row>
    <row r="30" spans="1:22" x14ac:dyDescent="0.2">
      <c r="A30" s="1">
        <v>45065</v>
      </c>
      <c r="B30">
        <f>2261.38</f>
        <v>2261.38</v>
      </c>
      <c r="C30">
        <f>10134.01</f>
        <v>10134.01</v>
      </c>
      <c r="D30">
        <f>8118.13</f>
        <v>8118.13</v>
      </c>
      <c r="E30">
        <f>2467.767</f>
        <v>2467.7669999999998</v>
      </c>
      <c r="F30">
        <f>2173.73</f>
        <v>2173.73</v>
      </c>
      <c r="G30">
        <f>10207.41</f>
        <v>10207.41</v>
      </c>
      <c r="H30">
        <f>4045.31</f>
        <v>4045.31</v>
      </c>
      <c r="I30">
        <f>14082.86</f>
        <v>14082.86</v>
      </c>
      <c r="J30">
        <f>5427.59</f>
        <v>5427.59</v>
      </c>
      <c r="K30">
        <f>18559.56</f>
        <v>18559.560000000001</v>
      </c>
      <c r="L30">
        <f>2713.4</f>
        <v>2713.4</v>
      </c>
      <c r="M30">
        <f>12912.34</f>
        <v>12912.34</v>
      </c>
      <c r="N30">
        <f>449.312</f>
        <v>449.31200000000001</v>
      </c>
      <c r="O30">
        <f>4227.82</f>
        <v>4227.82</v>
      </c>
      <c r="P30">
        <f>378.63</f>
        <v>378.63</v>
      </c>
      <c r="Q30">
        <f>4018.997</f>
        <v>4018.9969999999998</v>
      </c>
      <c r="R30">
        <f>8988.46</f>
        <v>8988.4599999999991</v>
      </c>
      <c r="S30">
        <f>3587.44</f>
        <v>3587.44</v>
      </c>
      <c r="T30">
        <f>4364.674</f>
        <v>4364.674</v>
      </c>
      <c r="U30">
        <f>78175.82</f>
        <v>78175.820000000007</v>
      </c>
      <c r="V30">
        <f>643.76</f>
        <v>643.76</v>
      </c>
    </row>
    <row r="31" spans="1:22" x14ac:dyDescent="0.2">
      <c r="A31" s="1">
        <v>45064</v>
      </c>
      <c r="B31">
        <f>2260.35</f>
        <v>2260.35</v>
      </c>
      <c r="C31">
        <f>10135.94</f>
        <v>10135.94</v>
      </c>
      <c r="D31">
        <f>8102.88</f>
        <v>8102.88</v>
      </c>
      <c r="E31">
        <f>2469.249</f>
        <v>2469.2489999999998</v>
      </c>
      <c r="F31">
        <f>2173.69</f>
        <v>2173.69</v>
      </c>
      <c r="G31">
        <f>10166.48</f>
        <v>10166.48</v>
      </c>
      <c r="H31">
        <f>4044.47</f>
        <v>4044.47</v>
      </c>
      <c r="I31">
        <f>13947.55</f>
        <v>13947.55</v>
      </c>
      <c r="J31">
        <f>5427.58</f>
        <v>5427.58</v>
      </c>
      <c r="K31">
        <f>18590.7</f>
        <v>18590.7</v>
      </c>
      <c r="L31">
        <f>2702.77</f>
        <v>2702.77</v>
      </c>
      <c r="M31">
        <f>12899.64</f>
        <v>12899.64</v>
      </c>
      <c r="N31">
        <f>445.9</f>
        <v>445.9</v>
      </c>
      <c r="O31">
        <f>4201.21</f>
        <v>4201.21</v>
      </c>
      <c r="P31">
        <f>379.65</f>
        <v>379.65</v>
      </c>
      <c r="Q31">
        <f>4021.882</f>
        <v>4021.8820000000001</v>
      </c>
      <c r="R31">
        <f>9001.25</f>
        <v>9001.25</v>
      </c>
      <c r="S31">
        <f>3581.06</f>
        <v>3581.06</v>
      </c>
      <c r="T31">
        <f>4334.002</f>
        <v>4334.0020000000004</v>
      </c>
      <c r="U31">
        <f>77667.96</f>
        <v>77667.960000000006</v>
      </c>
      <c r="V31">
        <f>639.32</f>
        <v>639.32000000000005</v>
      </c>
    </row>
    <row r="32" spans="1:22" x14ac:dyDescent="0.2">
      <c r="A32" s="1">
        <v>45063</v>
      </c>
      <c r="B32">
        <f>2261.51</f>
        <v>2261.5100000000002</v>
      </c>
      <c r="C32">
        <f>10090.66</f>
        <v>10090.66</v>
      </c>
      <c r="D32">
        <f>8069.54</f>
        <v>8069.54</v>
      </c>
      <c r="E32">
        <f>2463.018</f>
        <v>2463.018</v>
      </c>
      <c r="F32">
        <f>2195.12</f>
        <v>2195.12</v>
      </c>
      <c r="G32">
        <f>10173.59</f>
        <v>10173.59</v>
      </c>
      <c r="H32">
        <f>4040.31</f>
        <v>4040.31</v>
      </c>
      <c r="I32">
        <f>13944.97</f>
        <v>13944.97</v>
      </c>
      <c r="J32">
        <f>5404.22</f>
        <v>5404.22</v>
      </c>
      <c r="K32">
        <f>18407.57</f>
        <v>18407.57</v>
      </c>
      <c r="L32">
        <f>2700.32</f>
        <v>2700.32</v>
      </c>
      <c r="M32">
        <f>12809.12</f>
        <v>12809.12</v>
      </c>
      <c r="N32">
        <f>443.621</f>
        <v>443.62099999999998</v>
      </c>
      <c r="O32">
        <f>4180.09</f>
        <v>4180.09</v>
      </c>
      <c r="P32">
        <f>379.94</f>
        <v>379.94</v>
      </c>
      <c r="Q32">
        <f>4014.344</f>
        <v>4014.3440000000001</v>
      </c>
      <c r="R32">
        <f>8915.43</f>
        <v>8915.43</v>
      </c>
      <c r="S32">
        <f>3540.82</f>
        <v>3540.82</v>
      </c>
      <c r="T32">
        <f>4409.372</f>
        <v>4409.3720000000003</v>
      </c>
      <c r="U32">
        <f>78390.74</f>
        <v>78390.740000000005</v>
      </c>
      <c r="V32">
        <f>648.35</f>
        <v>648.35</v>
      </c>
    </row>
    <row r="33" spans="1:22" x14ac:dyDescent="0.2">
      <c r="A33" s="1">
        <v>45062</v>
      </c>
      <c r="B33">
        <f>2277.49</f>
        <v>2277.4899999999998</v>
      </c>
      <c r="C33">
        <f>10126.44</f>
        <v>10126.44</v>
      </c>
      <c r="D33">
        <f>8098.63</f>
        <v>8098.63</v>
      </c>
      <c r="E33">
        <f>2471.57</f>
        <v>2471.5700000000002</v>
      </c>
      <c r="F33">
        <f>2206.86</f>
        <v>2206.86</v>
      </c>
      <c r="G33">
        <f>10240.17</f>
        <v>10240.17</v>
      </c>
      <c r="H33">
        <f>4037.74</f>
        <v>4037.74</v>
      </c>
      <c r="I33">
        <f>14017.85</f>
        <v>14017.85</v>
      </c>
      <c r="J33">
        <f>5350.66</f>
        <v>5350.66</v>
      </c>
      <c r="K33">
        <f>18183.47</f>
        <v>18183.47</v>
      </c>
      <c r="L33">
        <f>2696.13</f>
        <v>2696.13</v>
      </c>
      <c r="M33">
        <f>12722.77</f>
        <v>12722.77</v>
      </c>
      <c r="N33">
        <f>446.233</f>
        <v>446.233</v>
      </c>
      <c r="O33">
        <f>4184.66</f>
        <v>4184.66</v>
      </c>
      <c r="P33">
        <f>378.28</f>
        <v>378.28</v>
      </c>
      <c r="Q33">
        <f>3984.638</f>
        <v>3984.6379999999999</v>
      </c>
      <c r="R33">
        <f>8808.95</f>
        <v>8808.9500000000007</v>
      </c>
      <c r="S33">
        <f>3530.14</f>
        <v>3530.14</v>
      </c>
      <c r="T33">
        <f>4374.346</f>
        <v>4374.3459999999995</v>
      </c>
      <c r="U33">
        <f>77973.02</f>
        <v>77973.02</v>
      </c>
      <c r="V33">
        <f>654.96</f>
        <v>654.96</v>
      </c>
    </row>
    <row r="34" spans="1:22" x14ac:dyDescent="0.2">
      <c r="A34" s="1">
        <v>45061</v>
      </c>
      <c r="B34">
        <f>2292.97</f>
        <v>2292.9699999999998</v>
      </c>
      <c r="C34">
        <f>10137.96</f>
        <v>10137.959999999999</v>
      </c>
      <c r="D34">
        <f>8126.45</f>
        <v>8126.45</v>
      </c>
      <c r="E34">
        <f>2466.567</f>
        <v>2466.567</v>
      </c>
      <c r="F34">
        <f>2236.2</f>
        <v>2236.1999999999998</v>
      </c>
      <c r="G34">
        <f>10287.67</f>
        <v>10287.67</v>
      </c>
      <c r="H34">
        <f>4032.07</f>
        <v>4032.07</v>
      </c>
      <c r="I34">
        <f>14074.39</f>
        <v>14074.39</v>
      </c>
      <c r="J34">
        <f>5415.8</f>
        <v>5415.8</v>
      </c>
      <c r="K34">
        <f>18310.46</f>
        <v>18310.46</v>
      </c>
      <c r="L34">
        <f>2716.89</f>
        <v>2716.89</v>
      </c>
      <c r="M34">
        <f>12799.51</f>
        <v>12799.51</v>
      </c>
      <c r="N34">
        <f>448.099</f>
        <v>448.09899999999999</v>
      </c>
      <c r="O34">
        <f>4203.09</f>
        <v>4203.09</v>
      </c>
      <c r="P34">
        <f>376.33</f>
        <v>376.33</v>
      </c>
      <c r="Q34">
        <f>4030.82</f>
        <v>4030.82</v>
      </c>
      <c r="R34">
        <f>8865.03</f>
        <v>8865.0300000000007</v>
      </c>
      <c r="S34">
        <f>3509.69</f>
        <v>3509.69</v>
      </c>
      <c r="T34">
        <f>4394.825</f>
        <v>4394.8249999999998</v>
      </c>
      <c r="U34">
        <f>78261.65</f>
        <v>78261.649999999994</v>
      </c>
      <c r="V34">
        <f>659.71</f>
        <v>659.71</v>
      </c>
    </row>
    <row r="35" spans="1:22" x14ac:dyDescent="0.2">
      <c r="A35" s="1">
        <v>45058</v>
      </c>
      <c r="B35">
        <f>2284.15</f>
        <v>2284.15</v>
      </c>
      <c r="C35">
        <f>10082.77</f>
        <v>10082.77</v>
      </c>
      <c r="D35">
        <f>8102.33</f>
        <v>8102.33</v>
      </c>
      <c r="E35">
        <f>2454.991</f>
        <v>2454.991</v>
      </c>
      <c r="F35">
        <f>2219.2</f>
        <v>2219.1999999999998</v>
      </c>
      <c r="G35">
        <f>10227.53</f>
        <v>10227.530000000001</v>
      </c>
      <c r="H35">
        <f>4025.16</f>
        <v>4025.16</v>
      </c>
      <c r="I35">
        <f>14045.12</f>
        <v>14045.12</v>
      </c>
      <c r="J35">
        <f>5403.98</f>
        <v>5403.98</v>
      </c>
      <c r="K35">
        <f>18246</f>
        <v>18246</v>
      </c>
      <c r="L35">
        <f>2710.68</f>
        <v>2710.68</v>
      </c>
      <c r="M35">
        <f>12750.92</f>
        <v>12750.92</v>
      </c>
      <c r="N35">
        <f>447.35</f>
        <v>447.35</v>
      </c>
      <c r="O35">
        <f>4191.55</f>
        <v>4191.55</v>
      </c>
      <c r="P35">
        <f>370.22</f>
        <v>370.22</v>
      </c>
      <c r="Q35">
        <f>4030.285</f>
        <v>4030.2849999999999</v>
      </c>
      <c r="R35">
        <f>8837.68</f>
        <v>8837.68</v>
      </c>
      <c r="S35">
        <f>3479.05</f>
        <v>3479.05</v>
      </c>
      <c r="T35">
        <f>4393.451</f>
        <v>4393.451</v>
      </c>
      <c r="U35">
        <f>78330.2</f>
        <v>78330.2</v>
      </c>
      <c r="V35">
        <f>664.98</f>
        <v>664.98</v>
      </c>
    </row>
    <row r="36" spans="1:22" x14ac:dyDescent="0.2">
      <c r="A36" s="1">
        <v>45057</v>
      </c>
      <c r="B36">
        <f>2277.66</f>
        <v>2277.66</v>
      </c>
      <c r="C36">
        <f>10168.28</f>
        <v>10168.280000000001</v>
      </c>
      <c r="D36">
        <f>8077.22</f>
        <v>8077.22</v>
      </c>
      <c r="E36">
        <f>2467.138</f>
        <v>2467.1379999999999</v>
      </c>
      <c r="F36">
        <f>2222.74</f>
        <v>2222.7399999999998</v>
      </c>
      <c r="G36">
        <f>10235.47</f>
        <v>10235.469999999999</v>
      </c>
      <c r="H36">
        <f>4027.24</f>
        <v>4027.24</v>
      </c>
      <c r="I36">
        <f>14047.98</f>
        <v>14047.98</v>
      </c>
      <c r="J36">
        <f>5394.36</f>
        <v>5394.36</v>
      </c>
      <c r="K36">
        <f>18276.22</f>
        <v>18276.22</v>
      </c>
      <c r="L36">
        <f>2710.17</f>
        <v>2710.17</v>
      </c>
      <c r="M36">
        <f>12771.9</f>
        <v>12771.9</v>
      </c>
      <c r="N36">
        <f>446.734</f>
        <v>446.73399999999998</v>
      </c>
      <c r="O36">
        <f>4169.11</f>
        <v>4169.1099999999997</v>
      </c>
      <c r="P36">
        <f>369.83</f>
        <v>369.83</v>
      </c>
      <c r="Q36">
        <f>4024.449</f>
        <v>4024.4490000000001</v>
      </c>
      <c r="R36">
        <f>8849.69</f>
        <v>8849.69</v>
      </c>
      <c r="S36">
        <f>3456.95</f>
        <v>3456.95</v>
      </c>
      <c r="T36">
        <f>4337.893</f>
        <v>4337.893</v>
      </c>
      <c r="U36">
        <f>76997.16</f>
        <v>76997.16</v>
      </c>
      <c r="V36">
        <f>647.21</f>
        <v>647.21</v>
      </c>
    </row>
    <row r="37" spans="1:22" x14ac:dyDescent="0.2">
      <c r="A37" s="1">
        <v>45056</v>
      </c>
      <c r="B37">
        <f>2292.79</f>
        <v>2292.79</v>
      </c>
      <c r="C37">
        <f>10233.64</f>
        <v>10233.64</v>
      </c>
      <c r="D37">
        <f>8076.09</f>
        <v>8076.09</v>
      </c>
      <c r="E37">
        <f>2471.695</f>
        <v>2471.6950000000002</v>
      </c>
      <c r="F37">
        <f>2266.8</f>
        <v>2266.8000000000002</v>
      </c>
      <c r="G37">
        <f>10316.5</f>
        <v>10316.5</v>
      </c>
      <c r="H37">
        <f>4055.32</f>
        <v>4055.32</v>
      </c>
      <c r="I37">
        <f>14088.39</f>
        <v>14088.39</v>
      </c>
      <c r="J37">
        <f>5418.17</f>
        <v>5418.17</v>
      </c>
      <c r="K37">
        <f>18302.73</f>
        <v>18302.73</v>
      </c>
      <c r="L37">
        <f>2722.08</f>
        <v>2722.08</v>
      </c>
      <c r="M37">
        <f>12802.53</f>
        <v>12802.53</v>
      </c>
      <c r="N37">
        <f>446.315</f>
        <v>446.315</v>
      </c>
      <c r="O37">
        <f>4166.97</f>
        <v>4166.97</v>
      </c>
      <c r="P37">
        <f>370.74</f>
        <v>370.74</v>
      </c>
      <c r="Q37">
        <f>4037.716</f>
        <v>4037.7159999999999</v>
      </c>
      <c r="R37">
        <f>8862.85</f>
        <v>8862.85</v>
      </c>
      <c r="S37">
        <f>3461.63</f>
        <v>3461.63</v>
      </c>
      <c r="T37">
        <f>4420.848</f>
        <v>4420.848</v>
      </c>
      <c r="U37">
        <f>77775.02</f>
        <v>77775.02</v>
      </c>
      <c r="V37">
        <f>665.5</f>
        <v>665.5</v>
      </c>
    </row>
    <row r="38" spans="1:22" x14ac:dyDescent="0.2">
      <c r="A38" s="1">
        <v>45055</v>
      </c>
      <c r="B38">
        <f>2300.82</f>
        <v>2300.8200000000002</v>
      </c>
      <c r="C38">
        <f>10294.22</f>
        <v>10294.219999999999</v>
      </c>
      <c r="D38">
        <f>8099.85</f>
        <v>8099.85</v>
      </c>
      <c r="E38">
        <f>2478.133</f>
        <v>2478.1329999999998</v>
      </c>
      <c r="F38">
        <f>2282.53</f>
        <v>2282.5300000000002</v>
      </c>
      <c r="G38">
        <f>10348.3</f>
        <v>10348.299999999999</v>
      </c>
      <c r="H38">
        <f>4056.75</f>
        <v>4056.75</v>
      </c>
      <c r="I38">
        <f>14121.25</f>
        <v>14121.25</v>
      </c>
      <c r="J38">
        <f>5420</f>
        <v>5420</v>
      </c>
      <c r="K38">
        <f>18214.93</f>
        <v>18214.93</v>
      </c>
      <c r="L38">
        <f>2728.59</f>
        <v>2728.59</v>
      </c>
      <c r="M38">
        <f>12768.53</f>
        <v>12768.53</v>
      </c>
      <c r="N38">
        <f>447.326</f>
        <v>447.32600000000002</v>
      </c>
      <c r="O38">
        <f>4184.4</f>
        <v>4184.3999999999996</v>
      </c>
      <c r="P38">
        <f>370.16</f>
        <v>370.16</v>
      </c>
      <c r="Q38">
        <f>4037.2</f>
        <v>4037.2</v>
      </c>
      <c r="R38">
        <f>8823.05</f>
        <v>8823.0499999999993</v>
      </c>
      <c r="S38">
        <f>3480.94</f>
        <v>3480.94</v>
      </c>
      <c r="T38">
        <f>4413.426</f>
        <v>4413.4260000000004</v>
      </c>
      <c r="U38">
        <f>77776.87</f>
        <v>77776.87</v>
      </c>
      <c r="V38">
        <f>673.06</f>
        <v>673.06</v>
      </c>
    </row>
    <row r="39" spans="1:22" x14ac:dyDescent="0.2">
      <c r="A39" s="1">
        <v>45054</v>
      </c>
      <c r="B39" t="e">
        <f>NA()</f>
        <v>#N/A</v>
      </c>
      <c r="C39">
        <f>10324.95</f>
        <v>10324.950000000001</v>
      </c>
      <c r="D39" t="e">
        <f>NA()</f>
        <v>#N/A</v>
      </c>
      <c r="E39">
        <f>2496.244</f>
        <v>2496.2440000000001</v>
      </c>
      <c r="F39">
        <f>2283.24</f>
        <v>2283.2399999999998</v>
      </c>
      <c r="G39">
        <f>10383.48</f>
        <v>10383.48</v>
      </c>
      <c r="H39">
        <f>4005.78</f>
        <v>4005.78</v>
      </c>
      <c r="I39">
        <f>14248.2</f>
        <v>14248.2</v>
      </c>
      <c r="J39">
        <f>5445.85</f>
        <v>5445.85</v>
      </c>
      <c r="K39">
        <f>18294.07</f>
        <v>18294.07</v>
      </c>
      <c r="L39">
        <f>2738.33</f>
        <v>2738.33</v>
      </c>
      <c r="M39">
        <f>12820.92</f>
        <v>12820.92</v>
      </c>
      <c r="N39">
        <f>447.17</f>
        <v>447.17</v>
      </c>
      <c r="O39">
        <f>4193.72</f>
        <v>4193.72</v>
      </c>
      <c r="P39">
        <f>365.73</f>
        <v>365.73</v>
      </c>
      <c r="Q39">
        <f>4054.564</f>
        <v>4054.5639999999999</v>
      </c>
      <c r="R39">
        <f>8863.01</f>
        <v>8863.01</v>
      </c>
      <c r="S39">
        <f>3437.23</f>
        <v>3437.23</v>
      </c>
      <c r="T39">
        <f>4477.329</f>
        <v>4477.3289999999997</v>
      </c>
      <c r="U39">
        <f>78572.33</f>
        <v>78572.33</v>
      </c>
      <c r="V39">
        <f>685.86</f>
        <v>685.86</v>
      </c>
    </row>
    <row r="40" spans="1:22" x14ac:dyDescent="0.2">
      <c r="A40" s="1">
        <v>45051</v>
      </c>
      <c r="B40">
        <f>2314.79</f>
        <v>2314.79</v>
      </c>
      <c r="C40">
        <f>10222.03</f>
        <v>10222.030000000001</v>
      </c>
      <c r="D40">
        <f>8114.75</f>
        <v>8114.75</v>
      </c>
      <c r="E40">
        <f>2476.154</f>
        <v>2476.154</v>
      </c>
      <c r="F40">
        <f>2280.8</f>
        <v>2280.8000000000002</v>
      </c>
      <c r="G40">
        <f>10372.38</f>
        <v>10372.379999999999</v>
      </c>
      <c r="H40">
        <f>4000.55</f>
        <v>4000.55</v>
      </c>
      <c r="I40">
        <f>14166.33</f>
        <v>14166.33</v>
      </c>
      <c r="J40">
        <f>5460.68</f>
        <v>5460.68</v>
      </c>
      <c r="K40">
        <f>18277.56</f>
        <v>18277.560000000001</v>
      </c>
      <c r="L40">
        <f>2738.81</f>
        <v>2738.81</v>
      </c>
      <c r="M40">
        <f>12794.75</f>
        <v>12794.75</v>
      </c>
      <c r="N40">
        <f>445.615</f>
        <v>445.61500000000001</v>
      </c>
      <c r="O40">
        <f>4176.98</f>
        <v>4176.9799999999996</v>
      </c>
      <c r="P40" t="e">
        <f>NA()</f>
        <v>#N/A</v>
      </c>
      <c r="Q40">
        <f>4066.477</f>
        <v>4066.4769999999999</v>
      </c>
      <c r="R40">
        <f>8858.86</f>
        <v>8858.86</v>
      </c>
      <c r="S40" t="e">
        <f>NA()</f>
        <v>#N/A</v>
      </c>
      <c r="T40">
        <f>4442.51</f>
        <v>4442.51</v>
      </c>
      <c r="U40">
        <f>78132.77</f>
        <v>78132.77</v>
      </c>
      <c r="V40">
        <f>677.05</f>
        <v>677.05</v>
      </c>
    </row>
    <row r="41" spans="1:22" x14ac:dyDescent="0.2">
      <c r="A41" s="1">
        <v>45050</v>
      </c>
      <c r="B41">
        <f>2285.98</f>
        <v>2285.98</v>
      </c>
      <c r="C41">
        <f>10141.65</f>
        <v>10141.65</v>
      </c>
      <c r="D41">
        <f>8035.73</f>
        <v>8035.73</v>
      </c>
      <c r="E41">
        <f>2462.347</f>
        <v>2462.3470000000002</v>
      </c>
      <c r="F41">
        <f>2236.69</f>
        <v>2236.69</v>
      </c>
      <c r="G41">
        <f>10234.82</f>
        <v>10234.82</v>
      </c>
      <c r="H41">
        <f>4030.43</f>
        <v>4030.43</v>
      </c>
      <c r="I41">
        <f>14007.6</f>
        <v>14007.6</v>
      </c>
      <c r="J41">
        <f>5387.31</f>
        <v>5387.31</v>
      </c>
      <c r="K41">
        <f>17942.96</f>
        <v>17942.96</v>
      </c>
      <c r="L41">
        <f>2712.08</f>
        <v>2712.08</v>
      </c>
      <c r="M41">
        <f>12598.61</f>
        <v>12598.61</v>
      </c>
      <c r="N41">
        <f>442.907</f>
        <v>442.90699999999998</v>
      </c>
      <c r="O41">
        <f>4130.01</f>
        <v>4130.01</v>
      </c>
      <c r="P41" t="e">
        <f>NA()</f>
        <v>#N/A</v>
      </c>
      <c r="Q41">
        <f>4019.767</f>
        <v>4019.7669999999998</v>
      </c>
      <c r="R41">
        <f>8697.68</f>
        <v>8697.68</v>
      </c>
      <c r="S41" t="e">
        <f>NA()</f>
        <v>#N/A</v>
      </c>
      <c r="T41">
        <f>4379.54</f>
        <v>4379.54</v>
      </c>
      <c r="U41">
        <f>77271.13</f>
        <v>77271.13</v>
      </c>
      <c r="V41">
        <f>665.33</f>
        <v>665.33</v>
      </c>
    </row>
    <row r="42" spans="1:22" x14ac:dyDescent="0.2">
      <c r="A42" s="1">
        <v>45049</v>
      </c>
      <c r="B42">
        <f>2315.25</f>
        <v>2315.25</v>
      </c>
      <c r="C42">
        <f>10075.85</f>
        <v>10075.85</v>
      </c>
      <c r="D42">
        <f>8114.66</f>
        <v>8114.66</v>
      </c>
      <c r="E42">
        <f>2445.182</f>
        <v>2445.1819999999998</v>
      </c>
      <c r="F42">
        <f>2244.63</f>
        <v>2244.63</v>
      </c>
      <c r="G42">
        <f>10303.1</f>
        <v>10303.1</v>
      </c>
      <c r="H42">
        <f>3993.45</f>
        <v>3993.45</v>
      </c>
      <c r="I42">
        <f>14135.24</f>
        <v>14135.24</v>
      </c>
      <c r="J42">
        <f>5439.29</f>
        <v>5439.29</v>
      </c>
      <c r="K42">
        <f>18069.45</f>
        <v>18069.45</v>
      </c>
      <c r="L42">
        <f>2724.75</f>
        <v>2724.75</v>
      </c>
      <c r="M42">
        <f>12672.94</f>
        <v>12672.94</v>
      </c>
      <c r="N42">
        <f>444.701</f>
        <v>444.70100000000002</v>
      </c>
      <c r="O42">
        <f>4148.33</f>
        <v>4148.33</v>
      </c>
      <c r="P42" t="e">
        <f>NA()</f>
        <v>#N/A</v>
      </c>
      <c r="Q42">
        <f>4044.695</f>
        <v>4044.6950000000002</v>
      </c>
      <c r="R42">
        <f>8759.95</f>
        <v>8759.9500000000007</v>
      </c>
      <c r="S42" t="e">
        <f>NA()</f>
        <v>#N/A</v>
      </c>
      <c r="T42">
        <f>4411.399</f>
        <v>4411.3990000000003</v>
      </c>
      <c r="U42">
        <f>78218.6</f>
        <v>78218.600000000006</v>
      </c>
      <c r="V42">
        <f>682.5</f>
        <v>682.5</v>
      </c>
    </row>
    <row r="43" spans="1:22" x14ac:dyDescent="0.2">
      <c r="A43" s="1">
        <v>45048</v>
      </c>
      <c r="B43">
        <f>2312.06</f>
        <v>2312.06</v>
      </c>
      <c r="C43">
        <f>10082.9</f>
        <v>10082.9</v>
      </c>
      <c r="D43">
        <f>8098.68</f>
        <v>8098.68</v>
      </c>
      <c r="E43">
        <f>2455.801</f>
        <v>2455.8009999999999</v>
      </c>
      <c r="F43">
        <f>2233.06</f>
        <v>2233.06</v>
      </c>
      <c r="G43">
        <f>10224.41</f>
        <v>10224.41</v>
      </c>
      <c r="H43">
        <f>3954.24</f>
        <v>3954.24</v>
      </c>
      <c r="I43">
        <f>13979.86</f>
        <v>13979.86</v>
      </c>
      <c r="J43">
        <f>5487.54</f>
        <v>5487.54</v>
      </c>
      <c r="K43">
        <f>18191.7</f>
        <v>18191.7</v>
      </c>
      <c r="L43">
        <f>2728.11</f>
        <v>2728.11</v>
      </c>
      <c r="M43">
        <f>12702.69</f>
        <v>12702.69</v>
      </c>
      <c r="N43">
        <f>441.103</f>
        <v>441.10300000000001</v>
      </c>
      <c r="O43">
        <f>4131.08</f>
        <v>4131.08</v>
      </c>
      <c r="P43">
        <f>364.97</f>
        <v>364.97</v>
      </c>
      <c r="Q43">
        <f>4062.469</f>
        <v>4062.4690000000001</v>
      </c>
      <c r="R43">
        <f>8821.59</f>
        <v>8821.59</v>
      </c>
      <c r="S43">
        <f>3444.4</f>
        <v>3444.4</v>
      </c>
      <c r="T43">
        <f>4365.15</f>
        <v>4365.1499999999996</v>
      </c>
      <c r="U43">
        <f>77532.9</f>
        <v>77532.899999999994</v>
      </c>
      <c r="V43">
        <f>676.01</f>
        <v>676.01</v>
      </c>
    </row>
    <row r="44" spans="1:22" x14ac:dyDescent="0.2">
      <c r="A44" s="1">
        <v>45047</v>
      </c>
      <c r="B44" t="e">
        <f>NA()</f>
        <v>#N/A</v>
      </c>
      <c r="C44">
        <f>10102.28</f>
        <v>10102.280000000001</v>
      </c>
      <c r="D44" t="e">
        <f>NA()</f>
        <v>#N/A</v>
      </c>
      <c r="E44">
        <f>2462.622</f>
        <v>2462.6219999999998</v>
      </c>
      <c r="F44">
        <f>2271.78</f>
        <v>2271.7800000000002</v>
      </c>
      <c r="G44">
        <f>10404.05</f>
        <v>10404.049999999999</v>
      </c>
      <c r="H44">
        <f>3945.05</f>
        <v>3945.05</v>
      </c>
      <c r="I44">
        <f>14127.22</f>
        <v>14127.22</v>
      </c>
      <c r="J44">
        <f>5558.31</f>
        <v>5558.31</v>
      </c>
      <c r="K44">
        <f>18408.98</f>
        <v>18408.98</v>
      </c>
      <c r="L44">
        <f>2755.73</f>
        <v>2755.73</v>
      </c>
      <c r="M44">
        <f>12839.84</f>
        <v>12839.84</v>
      </c>
      <c r="N44">
        <f>446.164</f>
        <v>446.16399999999999</v>
      </c>
      <c r="O44">
        <f>4180.25</f>
        <v>4180.25</v>
      </c>
      <c r="P44">
        <f>367.58</f>
        <v>367.58</v>
      </c>
      <c r="Q44">
        <f>4104.06</f>
        <v>4104.0600000000004</v>
      </c>
      <c r="R44">
        <f>8924.92</f>
        <v>8924.92</v>
      </c>
      <c r="S44">
        <f>3448.61</f>
        <v>3448.61</v>
      </c>
      <c r="T44" t="e">
        <f>NA()</f>
        <v>#N/A</v>
      </c>
      <c r="U44" t="e">
        <f>NA()</f>
        <v>#N/A</v>
      </c>
      <c r="V44" t="e">
        <f>NA()</f>
        <v>#N/A</v>
      </c>
    </row>
    <row r="45" spans="1:22" x14ac:dyDescent="0.2">
      <c r="A45" s="1">
        <v>45044</v>
      </c>
      <c r="B45">
        <f>2334.78</f>
        <v>2334.7800000000002</v>
      </c>
      <c r="C45">
        <f>10105.31</f>
        <v>10105.31</v>
      </c>
      <c r="D45">
        <f>8200.3</f>
        <v>8200.2999999999993</v>
      </c>
      <c r="E45">
        <f>2463.339</f>
        <v>2463.3389999999999</v>
      </c>
      <c r="F45">
        <f>2280.58</f>
        <v>2280.58</v>
      </c>
      <c r="G45">
        <f>10444.35</f>
        <v>10444.35</v>
      </c>
      <c r="H45">
        <f>3943.07</f>
        <v>3943.07</v>
      </c>
      <c r="I45">
        <f>14199.2</f>
        <v>14199.2</v>
      </c>
      <c r="J45">
        <f>5553.45</f>
        <v>5553.45</v>
      </c>
      <c r="K45">
        <f>18414.91</f>
        <v>18414.91</v>
      </c>
      <c r="L45">
        <f>2757.6</f>
        <v>2757.6</v>
      </c>
      <c r="M45">
        <f>12850.38</f>
        <v>12850.38</v>
      </c>
      <c r="N45">
        <f>445.962</f>
        <v>445.96199999999999</v>
      </c>
      <c r="O45">
        <f>4179.16</f>
        <v>4179.16</v>
      </c>
      <c r="P45">
        <f>364.05</f>
        <v>364.05</v>
      </c>
      <c r="Q45">
        <f>4096.723</f>
        <v>4096.723</v>
      </c>
      <c r="R45">
        <f>8928.35</f>
        <v>8928.35</v>
      </c>
      <c r="S45">
        <f>3414.45</f>
        <v>3414.45</v>
      </c>
      <c r="T45">
        <f>4412.589</f>
        <v>4412.5889999999999</v>
      </c>
      <c r="U45">
        <f>78218.37</f>
        <v>78218.37</v>
      </c>
      <c r="V45">
        <f>683.24</f>
        <v>683.24</v>
      </c>
    </row>
    <row r="46" spans="1:22" x14ac:dyDescent="0.2">
      <c r="A46" s="1">
        <v>45043</v>
      </c>
      <c r="B46">
        <f>2317.39</f>
        <v>2317.39</v>
      </c>
      <c r="C46">
        <f>10062.97</f>
        <v>10062.969999999999</v>
      </c>
      <c r="D46">
        <f>8159.68</f>
        <v>8159.68</v>
      </c>
      <c r="E46">
        <f>2448.674</f>
        <v>2448.674</v>
      </c>
      <c r="F46">
        <f>2268.62</f>
        <v>2268.62</v>
      </c>
      <c r="G46">
        <f>10312.51</f>
        <v>10312.51</v>
      </c>
      <c r="H46">
        <f>3952.93</f>
        <v>3952.93</v>
      </c>
      <c r="I46">
        <f>14085.35</f>
        <v>14085.35</v>
      </c>
      <c r="J46">
        <f>5501.56</f>
        <v>5501.56</v>
      </c>
      <c r="K46">
        <f>18266.35</f>
        <v>18266.349999999999</v>
      </c>
      <c r="L46">
        <f>2734.55</f>
        <v>2734.55</v>
      </c>
      <c r="M46">
        <f>12755.57</f>
        <v>12755.57</v>
      </c>
      <c r="N46">
        <f>441.961</f>
        <v>441.96100000000001</v>
      </c>
      <c r="O46">
        <f>4152.05</f>
        <v>4152.05</v>
      </c>
      <c r="P46">
        <f>359.67</f>
        <v>359.67</v>
      </c>
      <c r="Q46">
        <f>4064.042</f>
        <v>4064.0419999999999</v>
      </c>
      <c r="R46">
        <f>8854.32</f>
        <v>8854.32</v>
      </c>
      <c r="S46">
        <f>3372.95</f>
        <v>3372.95</v>
      </c>
      <c r="T46" t="e">
        <f>NA()</f>
        <v>#N/A</v>
      </c>
      <c r="U46" t="e">
        <f>NA()</f>
        <v>#N/A</v>
      </c>
      <c r="V46" t="e">
        <f>NA()</f>
        <v>#N/A</v>
      </c>
    </row>
    <row r="47" spans="1:22" x14ac:dyDescent="0.2">
      <c r="A47" s="1">
        <v>45042</v>
      </c>
      <c r="B47">
        <f>2330.88</f>
        <v>2330.88</v>
      </c>
      <c r="C47">
        <f>9972.84</f>
        <v>9972.84</v>
      </c>
      <c r="D47">
        <f>8174.64</f>
        <v>8174.64</v>
      </c>
      <c r="E47">
        <f>2437.719</f>
        <v>2437.7190000000001</v>
      </c>
      <c r="F47">
        <f>2275.2</f>
        <v>2275.1999999999998</v>
      </c>
      <c r="G47">
        <f>10328.29</f>
        <v>10328.290000000001</v>
      </c>
      <c r="H47">
        <f>3958.27</f>
        <v>3958.27</v>
      </c>
      <c r="I47">
        <f>14096.41</f>
        <v>14096.41</v>
      </c>
      <c r="J47">
        <f>5436.44</f>
        <v>5436.44</v>
      </c>
      <c r="K47">
        <f>17920.08</f>
        <v>17920.080000000002</v>
      </c>
      <c r="L47">
        <f>2718.72</f>
        <v>2718.72</v>
      </c>
      <c r="M47">
        <f>12590.73</f>
        <v>12590.73</v>
      </c>
      <c r="N47">
        <f>441.172</f>
        <v>441.17200000000003</v>
      </c>
      <c r="O47">
        <f>4144.19</f>
        <v>4144.1899999999996</v>
      </c>
      <c r="P47">
        <f>357.16</f>
        <v>357.16</v>
      </c>
      <c r="Q47">
        <f>3985.148</f>
        <v>3985.1480000000001</v>
      </c>
      <c r="R47">
        <f>8684.19</f>
        <v>8684.19</v>
      </c>
      <c r="S47">
        <f>3358.6</f>
        <v>3358.6</v>
      </c>
      <c r="T47">
        <f>4402.332</f>
        <v>4402.3320000000003</v>
      </c>
      <c r="U47">
        <f>78122.12</f>
        <v>78122.12</v>
      </c>
      <c r="V47">
        <f>679.86</f>
        <v>679.86</v>
      </c>
    </row>
    <row r="48" spans="1:22" x14ac:dyDescent="0.2">
      <c r="A48" s="1">
        <v>45041</v>
      </c>
      <c r="B48">
        <f>2315.6</f>
        <v>2315.6</v>
      </c>
      <c r="C48">
        <f>9966.45</f>
        <v>9966.4500000000007</v>
      </c>
      <c r="D48">
        <f>8214.71</f>
        <v>8214.7099999999991</v>
      </c>
      <c r="E48">
        <f>2431.851</f>
        <v>2431.8510000000001</v>
      </c>
      <c r="F48">
        <f>2266.03</f>
        <v>2266.0300000000002</v>
      </c>
      <c r="G48">
        <f>10323.73</f>
        <v>10323.73</v>
      </c>
      <c r="H48">
        <f>3950.52</f>
        <v>3950.52</v>
      </c>
      <c r="I48">
        <f>14140.73</f>
        <v>14140.73</v>
      </c>
      <c r="J48">
        <f>5501.26</f>
        <v>5501.26</v>
      </c>
      <c r="K48">
        <f>17988.24</f>
        <v>17988.240000000002</v>
      </c>
      <c r="L48">
        <f>2741.03</f>
        <v>2741.03</v>
      </c>
      <c r="M48">
        <f>12633.99</f>
        <v>12633.99</v>
      </c>
      <c r="N48">
        <f>446.706</f>
        <v>446.70600000000002</v>
      </c>
      <c r="O48">
        <f>4178.74</f>
        <v>4178.74</v>
      </c>
      <c r="P48">
        <f>358.81</f>
        <v>358.81</v>
      </c>
      <c r="Q48">
        <f>4033.569</f>
        <v>4033.569</v>
      </c>
      <c r="R48">
        <f>8717.63</f>
        <v>8717.6299999999992</v>
      </c>
      <c r="S48">
        <f>3388.87</f>
        <v>3388.87</v>
      </c>
      <c r="T48">
        <f>4362.565</f>
        <v>4362.5649999999996</v>
      </c>
      <c r="U48">
        <f>77891.13</f>
        <v>77891.13</v>
      </c>
      <c r="V48">
        <f>678.83</f>
        <v>678.83</v>
      </c>
    </row>
    <row r="49" spans="1:22" x14ac:dyDescent="0.2">
      <c r="A49" s="1">
        <v>45040</v>
      </c>
      <c r="B49">
        <f>2319.55</f>
        <v>2319.5500000000002</v>
      </c>
      <c r="C49">
        <f>10064.4</f>
        <v>10064.4</v>
      </c>
      <c r="D49">
        <f>8236.64</f>
        <v>8236.64</v>
      </c>
      <c r="E49">
        <f>2461.501</f>
        <v>2461.5010000000002</v>
      </c>
      <c r="F49">
        <f>2299.97</f>
        <v>2299.9699999999998</v>
      </c>
      <c r="G49">
        <f>10401.2</f>
        <v>10401.200000000001</v>
      </c>
      <c r="H49">
        <f>3913.19</f>
        <v>3913.19</v>
      </c>
      <c r="I49">
        <f>14251.76</f>
        <v>14251.76</v>
      </c>
      <c r="J49">
        <f>5557.47</f>
        <v>5557.47</v>
      </c>
      <c r="K49">
        <f>18287.27</f>
        <v>18287.27</v>
      </c>
      <c r="L49">
        <f>2753.67</f>
        <v>2753.67</v>
      </c>
      <c r="M49">
        <f>12801.02</f>
        <v>12801.02</v>
      </c>
      <c r="N49">
        <f>447.174</f>
        <v>447.17399999999998</v>
      </c>
      <c r="O49">
        <f>4190.28</f>
        <v>4190.28</v>
      </c>
      <c r="P49">
        <f>357.36</f>
        <v>357.36</v>
      </c>
      <c r="Q49">
        <f>4072.649</f>
        <v>4072.6489999999999</v>
      </c>
      <c r="R49">
        <f>8857.3</f>
        <v>8857.2999999999993</v>
      </c>
      <c r="S49">
        <f>3380.89</f>
        <v>3380.89</v>
      </c>
      <c r="T49">
        <f>4394.553</f>
        <v>4394.5529999999999</v>
      </c>
      <c r="U49">
        <f>78121.37</f>
        <v>78121.37</v>
      </c>
      <c r="V49">
        <f>683.8</f>
        <v>683.8</v>
      </c>
    </row>
    <row r="50" spans="1:22" x14ac:dyDescent="0.2">
      <c r="A50" s="1">
        <v>45037</v>
      </c>
      <c r="B50">
        <f>2320.54</f>
        <v>2320.54</v>
      </c>
      <c r="C50">
        <f>10095.99</f>
        <v>10095.99</v>
      </c>
      <c r="D50">
        <f>8238.65</f>
        <v>8238.65</v>
      </c>
      <c r="E50">
        <f>2469.961</f>
        <v>2469.9609999999998</v>
      </c>
      <c r="F50">
        <f>2288.56</f>
        <v>2288.56</v>
      </c>
      <c r="G50">
        <f>10348.58</f>
        <v>10348.58</v>
      </c>
      <c r="H50">
        <f>3911.81</f>
        <v>3911.81</v>
      </c>
      <c r="I50">
        <f>14151.04</f>
        <v>14151.04</v>
      </c>
      <c r="J50">
        <f>5546.43</f>
        <v>5546.43</v>
      </c>
      <c r="K50">
        <f>18276.15</f>
        <v>18276.150000000001</v>
      </c>
      <c r="L50">
        <f>2746.01</f>
        <v>2746.01</v>
      </c>
      <c r="M50">
        <f>12779.62</f>
        <v>12779.62</v>
      </c>
      <c r="N50">
        <f>446.543</f>
        <v>446.54300000000001</v>
      </c>
      <c r="O50">
        <f>4187.06</f>
        <v>4187.0600000000004</v>
      </c>
      <c r="P50">
        <f>356.92</f>
        <v>356.92</v>
      </c>
      <c r="Q50">
        <f>4052.902</f>
        <v>4052.902</v>
      </c>
      <c r="R50">
        <f>8849.76</f>
        <v>8849.76</v>
      </c>
      <c r="S50">
        <f>3377.11</f>
        <v>3377.11</v>
      </c>
      <c r="T50">
        <f>4388.39</f>
        <v>4388.3900000000003</v>
      </c>
      <c r="U50">
        <f>77910.96</f>
        <v>77910.960000000006</v>
      </c>
      <c r="V50">
        <f>685.59</f>
        <v>685.59</v>
      </c>
    </row>
    <row r="51" spans="1:22" x14ac:dyDescent="0.2">
      <c r="A51" s="1">
        <v>45036</v>
      </c>
      <c r="B51">
        <f>2326.31</f>
        <v>2326.31</v>
      </c>
      <c r="C51">
        <f>10159.26</f>
        <v>10159.26</v>
      </c>
      <c r="D51">
        <f>8226.66</f>
        <v>8226.66</v>
      </c>
      <c r="E51">
        <f>2492.609</f>
        <v>2492.6089999999999</v>
      </c>
      <c r="F51">
        <f>2335.64</f>
        <v>2335.64</v>
      </c>
      <c r="G51">
        <f>10380.63</f>
        <v>10380.629999999999</v>
      </c>
      <c r="H51">
        <f>3935.25</f>
        <v>3935.25</v>
      </c>
      <c r="I51">
        <f>14081.11</f>
        <v>14081.11</v>
      </c>
      <c r="J51">
        <f>5543.09</f>
        <v>5543.09</v>
      </c>
      <c r="K51">
        <f>18261.87</f>
        <v>18261.87</v>
      </c>
      <c r="L51">
        <f>2746.73</f>
        <v>2746.73</v>
      </c>
      <c r="M51">
        <f>12776.76</f>
        <v>12776.76</v>
      </c>
      <c r="N51">
        <f>443.578</f>
        <v>443.57799999999997</v>
      </c>
      <c r="O51">
        <f>4169.98</f>
        <v>4169.9799999999996</v>
      </c>
      <c r="P51">
        <f>357.59</f>
        <v>357.59</v>
      </c>
      <c r="Q51">
        <f>4048.678</f>
        <v>4048.6779999999999</v>
      </c>
      <c r="R51">
        <f>8841.62</f>
        <v>8841.6200000000008</v>
      </c>
      <c r="S51">
        <f>3384.86</f>
        <v>3384.86</v>
      </c>
      <c r="T51">
        <f>4488.311</f>
        <v>4488.3109999999997</v>
      </c>
      <c r="U51">
        <f>78883.26</f>
        <v>78883.259999999995</v>
      </c>
      <c r="V51">
        <f>696.75</f>
        <v>696.75</v>
      </c>
    </row>
    <row r="52" spans="1:22" x14ac:dyDescent="0.2">
      <c r="A52" s="1">
        <v>45035</v>
      </c>
      <c r="B52">
        <f>2339.91</f>
        <v>2339.91</v>
      </c>
      <c r="C52">
        <f>10179.78</f>
        <v>10179.780000000001</v>
      </c>
      <c r="D52">
        <f>8218.31</f>
        <v>8218.31</v>
      </c>
      <c r="E52">
        <f>2494.013</f>
        <v>2494.0129999999999</v>
      </c>
      <c r="F52">
        <f>2343.42</f>
        <v>2343.42</v>
      </c>
      <c r="G52">
        <f>10363.13</f>
        <v>10363.129999999999</v>
      </c>
      <c r="H52">
        <f>3921.86</f>
        <v>3921.86</v>
      </c>
      <c r="I52">
        <f>14074.42</f>
        <v>14074.42</v>
      </c>
      <c r="J52">
        <f>5578.65</f>
        <v>5578.65</v>
      </c>
      <c r="K52">
        <f>18371.34</f>
        <v>18371.34</v>
      </c>
      <c r="L52">
        <f>2757.39</f>
        <v>2757.39</v>
      </c>
      <c r="M52">
        <f>12824.6</f>
        <v>12824.6</v>
      </c>
      <c r="N52">
        <f>442.411</f>
        <v>442.411</v>
      </c>
      <c r="O52">
        <f>4173.76</f>
        <v>4173.76</v>
      </c>
      <c r="P52">
        <f>356.09</f>
        <v>356.09</v>
      </c>
      <c r="Q52">
        <f>4046.005</f>
        <v>4046.0050000000001</v>
      </c>
      <c r="R52">
        <f>8893.6</f>
        <v>8893.6</v>
      </c>
      <c r="S52">
        <f>3385.94</f>
        <v>3385.94</v>
      </c>
      <c r="T52">
        <f>4472.862</f>
        <v>4472.8620000000001</v>
      </c>
      <c r="U52">
        <f>78796.86</f>
        <v>78796.86</v>
      </c>
      <c r="V52">
        <f>686.19</f>
        <v>686.19</v>
      </c>
    </row>
    <row r="53" spans="1:22" x14ac:dyDescent="0.2">
      <c r="A53" s="1">
        <v>45034</v>
      </c>
      <c r="B53">
        <f>2341.5</f>
        <v>2341.5</v>
      </c>
      <c r="C53">
        <f>10268.29</f>
        <v>10268.290000000001</v>
      </c>
      <c r="D53">
        <f>8229.41</f>
        <v>8229.41</v>
      </c>
      <c r="E53">
        <f>2519.341</f>
        <v>2519.3409999999999</v>
      </c>
      <c r="F53">
        <f>2358.87</f>
        <v>2358.87</v>
      </c>
      <c r="G53">
        <f>10362.32</f>
        <v>10362.32</v>
      </c>
      <c r="H53">
        <f>3930.39</f>
        <v>3930.39</v>
      </c>
      <c r="I53">
        <f>14097.77</f>
        <v>14097.77</v>
      </c>
      <c r="J53">
        <f>5583.56</f>
        <v>5583.56</v>
      </c>
      <c r="K53">
        <f>18374.89</f>
        <v>18374.89</v>
      </c>
      <c r="L53">
        <f>2759.07</f>
        <v>2759.07</v>
      </c>
      <c r="M53">
        <f>12835.9</f>
        <v>12835.9</v>
      </c>
      <c r="N53">
        <f>442.409</f>
        <v>442.40899999999999</v>
      </c>
      <c r="O53">
        <f>4177.61</f>
        <v>4177.6099999999997</v>
      </c>
      <c r="P53">
        <f>355.04</f>
        <v>355.04</v>
      </c>
      <c r="Q53">
        <f>4038.364</f>
        <v>4038.364</v>
      </c>
      <c r="R53">
        <f>8894.35</f>
        <v>8894.35</v>
      </c>
      <c r="S53">
        <f>3386.79</f>
        <v>3386.79</v>
      </c>
      <c r="T53">
        <f>4515.106</f>
        <v>4515.1059999999998</v>
      </c>
      <c r="U53">
        <f>79294.76</f>
        <v>79294.759999999995</v>
      </c>
      <c r="V53">
        <f>688.42</f>
        <v>688.42</v>
      </c>
    </row>
    <row r="54" spans="1:22" x14ac:dyDescent="0.2">
      <c r="A54" s="1">
        <v>45033</v>
      </c>
      <c r="B54">
        <f>2335.48</f>
        <v>2335.48</v>
      </c>
      <c r="C54">
        <f>10278.74</f>
        <v>10278.74</v>
      </c>
      <c r="D54">
        <f>8198.27</f>
        <v>8198.27</v>
      </c>
      <c r="E54">
        <f>2527.433</f>
        <v>2527.433</v>
      </c>
      <c r="F54">
        <f>2325.86</f>
        <v>2325.86</v>
      </c>
      <c r="G54">
        <f>10270.9</f>
        <v>10270.9</v>
      </c>
      <c r="H54">
        <f>3887.58</f>
        <v>3887.58</v>
      </c>
      <c r="I54">
        <f>13986.75</f>
        <v>13986.75</v>
      </c>
      <c r="J54">
        <f>5589.52</f>
        <v>5589.52</v>
      </c>
      <c r="K54">
        <f>18356.92</f>
        <v>18356.919999999998</v>
      </c>
      <c r="L54">
        <f>2756.07</f>
        <v>2756.07</v>
      </c>
      <c r="M54">
        <f>12796.58</f>
        <v>12796.58</v>
      </c>
      <c r="N54">
        <f>441.17</f>
        <v>441.17</v>
      </c>
      <c r="O54">
        <f>4159.9</f>
        <v>4159.8999999999996</v>
      </c>
      <c r="P54">
        <f>353.32</f>
        <v>353.32</v>
      </c>
      <c r="Q54">
        <f>4033.982</f>
        <v>4033.982</v>
      </c>
      <c r="R54">
        <f>8886.76</f>
        <v>8886.76</v>
      </c>
      <c r="S54">
        <f>3363.69</f>
        <v>3363.69</v>
      </c>
      <c r="T54">
        <f>4417.626</f>
        <v>4417.6260000000002</v>
      </c>
      <c r="U54">
        <f>78723.7</f>
        <v>78723.7</v>
      </c>
      <c r="V54">
        <f>674.59</f>
        <v>674.59</v>
      </c>
    </row>
    <row r="55" spans="1:22" x14ac:dyDescent="0.2">
      <c r="A55" s="1">
        <v>45030</v>
      </c>
      <c r="B55">
        <f>2332.98</f>
        <v>2332.98</v>
      </c>
      <c r="C55">
        <f>10273.54</f>
        <v>10273.540000000001</v>
      </c>
      <c r="D55">
        <f>8190.37</f>
        <v>8190.37</v>
      </c>
      <c r="E55">
        <f>2519.079</f>
        <v>2519.0790000000002</v>
      </c>
      <c r="F55">
        <f>2334.34</f>
        <v>2334.34</v>
      </c>
      <c r="G55">
        <f>10332.58</f>
        <v>10332.58</v>
      </c>
      <c r="H55">
        <f>3908.09</f>
        <v>3908.09</v>
      </c>
      <c r="I55">
        <f>14116.12</f>
        <v>14116.12</v>
      </c>
      <c r="J55">
        <f>5563.09</f>
        <v>5563.09</v>
      </c>
      <c r="K55">
        <f>18295.51</f>
        <v>18295.509999999998</v>
      </c>
      <c r="L55">
        <f>2752.35</f>
        <v>2752.35</v>
      </c>
      <c r="M55">
        <f>12789.56</f>
        <v>12789.56</v>
      </c>
      <c r="N55">
        <f>439.367</f>
        <v>439.36700000000002</v>
      </c>
      <c r="O55">
        <f>4162.45</f>
        <v>4162.45</v>
      </c>
      <c r="P55">
        <f>351.06</f>
        <v>351.06</v>
      </c>
      <c r="Q55">
        <f>4007.316</f>
        <v>4007.3159999999998</v>
      </c>
      <c r="R55">
        <f>8857.31</f>
        <v>8857.31</v>
      </c>
      <c r="S55">
        <f>3350</f>
        <v>3350</v>
      </c>
      <c r="T55">
        <f>4383.515</f>
        <v>4383.5150000000003</v>
      </c>
      <c r="U55">
        <f>78870.36</f>
        <v>78870.36</v>
      </c>
      <c r="V55">
        <f>680.6</f>
        <v>680.6</v>
      </c>
    </row>
    <row r="56" spans="1:22" x14ac:dyDescent="0.2">
      <c r="A56" s="1">
        <v>45029</v>
      </c>
      <c r="B56">
        <f>2325.86</f>
        <v>2325.86</v>
      </c>
      <c r="C56">
        <f>10236.96</f>
        <v>10236.959999999999</v>
      </c>
      <c r="D56">
        <f>8160.69</f>
        <v>8160.69</v>
      </c>
      <c r="E56">
        <f>2510.107</f>
        <v>2510.107</v>
      </c>
      <c r="F56">
        <f>2339.52</f>
        <v>2339.52</v>
      </c>
      <c r="G56">
        <f>10350.05</f>
        <v>10350.049999999999</v>
      </c>
      <c r="H56">
        <f>3916.95</f>
        <v>3916.95</v>
      </c>
      <c r="I56">
        <f>14067.42</f>
        <v>14067.42</v>
      </c>
      <c r="J56">
        <f>5578.59</f>
        <v>5578.59</v>
      </c>
      <c r="K56">
        <f>18334.42</f>
        <v>18334.419999999998</v>
      </c>
      <c r="L56">
        <f>2760.7</f>
        <v>2760.7</v>
      </c>
      <c r="M56">
        <f>12804.29</f>
        <v>12804.29</v>
      </c>
      <c r="N56">
        <f>438.092</f>
        <v>438.09199999999998</v>
      </c>
      <c r="O56">
        <f>4138.85</f>
        <v>4138.8500000000004</v>
      </c>
      <c r="P56">
        <f>349.95</f>
        <v>349.95</v>
      </c>
      <c r="Q56">
        <f>4026.578</f>
        <v>4026.578</v>
      </c>
      <c r="R56">
        <f>8875.65</f>
        <v>8875.65</v>
      </c>
      <c r="S56">
        <f>3332.09</f>
        <v>3332.09</v>
      </c>
      <c r="T56">
        <f>4409.56</f>
        <v>4409.5600000000004</v>
      </c>
      <c r="U56">
        <f>78462.77</f>
        <v>78462.77</v>
      </c>
      <c r="V56">
        <f>685.66</f>
        <v>685.66</v>
      </c>
    </row>
    <row r="57" spans="1:22" x14ac:dyDescent="0.2">
      <c r="A57" s="1">
        <v>45028</v>
      </c>
      <c r="B57">
        <f>2324.75</f>
        <v>2324.75</v>
      </c>
      <c r="C57">
        <f>10222.06</f>
        <v>10222.06</v>
      </c>
      <c r="D57">
        <f>8135</f>
        <v>8135</v>
      </c>
      <c r="E57">
        <f>2501.301</f>
        <v>2501.3009999999999</v>
      </c>
      <c r="F57">
        <f>2315.49</f>
        <v>2315.4899999999998</v>
      </c>
      <c r="G57">
        <f>10283.93</f>
        <v>10283.93</v>
      </c>
      <c r="H57">
        <f>3899.96</f>
        <v>3899.96</v>
      </c>
      <c r="I57">
        <f>13903.04</f>
        <v>13903.04</v>
      </c>
      <c r="J57">
        <f>5541.54</f>
        <v>5541.54</v>
      </c>
      <c r="K57">
        <f>18088.86</f>
        <v>18088.86</v>
      </c>
      <c r="L57">
        <f>2742.96</f>
        <v>2742.96</v>
      </c>
      <c r="M57">
        <f>12649.8</f>
        <v>12649.8</v>
      </c>
      <c r="N57">
        <f>436.847</f>
        <v>436.84699999999998</v>
      </c>
      <c r="O57">
        <f>4118.55</f>
        <v>4118.55</v>
      </c>
      <c r="P57">
        <f>350.56</f>
        <v>350.56</v>
      </c>
      <c r="Q57">
        <f>4003.208</f>
        <v>4003.2080000000001</v>
      </c>
      <c r="R57">
        <f>8758.11</f>
        <v>8758.11</v>
      </c>
      <c r="S57">
        <f>3330.42</f>
        <v>3330.42</v>
      </c>
      <c r="T57">
        <f>4358.268</f>
        <v>4358.268</v>
      </c>
      <c r="U57">
        <f>77740.69</f>
        <v>77740.69</v>
      </c>
      <c r="V57">
        <f>680.94</f>
        <v>680.94</v>
      </c>
    </row>
    <row r="58" spans="1:22" x14ac:dyDescent="0.2">
      <c r="A58" s="1">
        <v>45027</v>
      </c>
      <c r="B58">
        <f>2315.56</f>
        <v>2315.56</v>
      </c>
      <c r="C58">
        <f>10152.8</f>
        <v>10152.799999999999</v>
      </c>
      <c r="D58">
        <f>8094.32</f>
        <v>8094.32</v>
      </c>
      <c r="E58">
        <f>2507.8</f>
        <v>2507.8000000000002</v>
      </c>
      <c r="F58">
        <f>2308.84</f>
        <v>2308.84</v>
      </c>
      <c r="G58">
        <f>10199.67</f>
        <v>10199.67</v>
      </c>
      <c r="H58">
        <f>3859.15</f>
        <v>3859.15</v>
      </c>
      <c r="I58">
        <f>13796.06</f>
        <v>13796.06</v>
      </c>
      <c r="J58">
        <f>5563.86</f>
        <v>5563.86</v>
      </c>
      <c r="K58">
        <f>18166.64</f>
        <v>18166.64</v>
      </c>
      <c r="L58">
        <f>2738.76</f>
        <v>2738.76</v>
      </c>
      <c r="M58">
        <f>12655.4</f>
        <v>12655.4</v>
      </c>
      <c r="N58">
        <f>434.563</f>
        <v>434.56299999999999</v>
      </c>
      <c r="O58">
        <f>4111.39</f>
        <v>4111.3900000000003</v>
      </c>
      <c r="P58">
        <f>347.87</f>
        <v>347.87</v>
      </c>
      <c r="Q58">
        <f>4015.976</f>
        <v>4015.9760000000001</v>
      </c>
      <c r="R58">
        <f>8794.29</f>
        <v>8794.2900000000009</v>
      </c>
      <c r="S58">
        <f>3305.41</f>
        <v>3305.41</v>
      </c>
      <c r="T58">
        <f>4371.27</f>
        <v>4371.2700000000004</v>
      </c>
      <c r="U58">
        <f>77990.54</f>
        <v>77990.539999999994</v>
      </c>
      <c r="V58">
        <f>680.69</f>
        <v>680.69</v>
      </c>
    </row>
    <row r="59" spans="1:22" x14ac:dyDescent="0.2">
      <c r="A59" s="1">
        <v>45026</v>
      </c>
      <c r="B59" t="e">
        <f>NA()</f>
        <v>#N/A</v>
      </c>
      <c r="C59">
        <f>9987.73</f>
        <v>9987.73</v>
      </c>
      <c r="D59" t="e">
        <f>NA()</f>
        <v>#N/A</v>
      </c>
      <c r="E59">
        <f>2488.671</f>
        <v>2488.6709999999998</v>
      </c>
      <c r="F59">
        <f>2245.93</f>
        <v>2245.9299999999998</v>
      </c>
      <c r="G59">
        <f>10088.56</f>
        <v>10088.56</v>
      </c>
      <c r="H59">
        <f>3809.57</f>
        <v>3809.57</v>
      </c>
      <c r="I59">
        <f>13619.81</f>
        <v>13619.81</v>
      </c>
      <c r="J59">
        <f>5546.91</f>
        <v>5546.91</v>
      </c>
      <c r="K59">
        <f>18162.72</f>
        <v>18162.72</v>
      </c>
      <c r="L59">
        <f>2721.46</f>
        <v>2721.46</v>
      </c>
      <c r="M59">
        <f>12606.19</f>
        <v>12606.19</v>
      </c>
      <c r="N59" t="e">
        <f>NA()</f>
        <v>#N/A</v>
      </c>
      <c r="O59" t="e">
        <f>NA()</f>
        <v>#N/A</v>
      </c>
      <c r="P59">
        <f>345.99</f>
        <v>345.99</v>
      </c>
      <c r="Q59">
        <f>3995.445</f>
        <v>3995.4450000000002</v>
      </c>
      <c r="R59">
        <f>8794.65</f>
        <v>8794.65</v>
      </c>
      <c r="S59">
        <f>3279.99</f>
        <v>3279.99</v>
      </c>
      <c r="T59" t="e">
        <f>NA()</f>
        <v>#N/A</v>
      </c>
      <c r="U59" t="e">
        <f>NA()</f>
        <v>#N/A</v>
      </c>
      <c r="V59" t="e">
        <f>NA()</f>
        <v>#N/A</v>
      </c>
    </row>
    <row r="60" spans="1:22" x14ac:dyDescent="0.2">
      <c r="A60" s="1">
        <v>45023</v>
      </c>
      <c r="B60" t="e">
        <f>NA()</f>
        <v>#N/A</v>
      </c>
      <c r="C60">
        <f>9952.07</f>
        <v>9952.07</v>
      </c>
      <c r="D60" t="e">
        <f>NA()</f>
        <v>#N/A</v>
      </c>
      <c r="E60">
        <f>2484.542</f>
        <v>2484.5419999999999</v>
      </c>
      <c r="F60">
        <f>2259.65</f>
        <v>2259.65</v>
      </c>
      <c r="G60">
        <f>10150.18</f>
        <v>10150.18</v>
      </c>
      <c r="H60">
        <f>3846.72</f>
        <v>3846.72</v>
      </c>
      <c r="I60">
        <f>13729.09</f>
        <v>13729.09</v>
      </c>
      <c r="J60">
        <f>5531.42</f>
        <v>5531.42</v>
      </c>
      <c r="K60">
        <f>18141.4</f>
        <v>18141.400000000001</v>
      </c>
      <c r="L60">
        <f>2728</f>
        <v>2728</v>
      </c>
      <c r="M60">
        <f>12624.62</f>
        <v>12624.62</v>
      </c>
      <c r="N60" t="e">
        <f>NA()</f>
        <v>#N/A</v>
      </c>
      <c r="O60" t="e">
        <f>NA()</f>
        <v>#N/A</v>
      </c>
      <c r="P60">
        <f>344.32</f>
        <v>344.32</v>
      </c>
      <c r="Q60" t="e">
        <f>NA()</f>
        <v>#N/A</v>
      </c>
      <c r="R60" t="e">
        <f>NA()</f>
        <v>#N/A</v>
      </c>
      <c r="S60">
        <f>3261.59</f>
        <v>3261.59</v>
      </c>
      <c r="T60" t="e">
        <f>NA()</f>
        <v>#N/A</v>
      </c>
      <c r="U60" t="e">
        <f>NA()</f>
        <v>#N/A</v>
      </c>
      <c r="V60" t="e">
        <f>NA()</f>
        <v>#N/A</v>
      </c>
    </row>
    <row r="61" spans="1:22" x14ac:dyDescent="0.2">
      <c r="A61" s="1">
        <v>45022</v>
      </c>
      <c r="B61">
        <f>2289.13</f>
        <v>2289.13</v>
      </c>
      <c r="C61">
        <f>9959.04</f>
        <v>9959.0400000000009</v>
      </c>
      <c r="D61">
        <f>8048.41</f>
        <v>8048.41</v>
      </c>
      <c r="E61">
        <f>2477.896</f>
        <v>2477.8960000000002</v>
      </c>
      <c r="F61">
        <f>2259.65</f>
        <v>2259.65</v>
      </c>
      <c r="G61">
        <f>10150.18</f>
        <v>10150.18</v>
      </c>
      <c r="H61">
        <f>3841.56</f>
        <v>3841.56</v>
      </c>
      <c r="I61">
        <f>13729.09</f>
        <v>13729.09</v>
      </c>
      <c r="J61">
        <f>5531.42</f>
        <v>5531.42</v>
      </c>
      <c r="K61">
        <f>18141.4</f>
        <v>18141.400000000001</v>
      </c>
      <c r="L61">
        <f>2728.06</f>
        <v>2728.06</v>
      </c>
      <c r="M61">
        <f>12623.35</f>
        <v>12623.35</v>
      </c>
      <c r="N61">
        <f>432.583</f>
        <v>432.58300000000003</v>
      </c>
      <c r="O61">
        <f>4089.73</f>
        <v>4089.73</v>
      </c>
      <c r="P61">
        <f>342.41</f>
        <v>342.41</v>
      </c>
      <c r="Q61">
        <f>3979.761</f>
        <v>3979.761</v>
      </c>
      <c r="R61">
        <f>8785.7</f>
        <v>8785.7000000000007</v>
      </c>
      <c r="S61">
        <f>3254.69</f>
        <v>3254.69</v>
      </c>
      <c r="T61">
        <f>4311.438</f>
        <v>4311.4380000000001</v>
      </c>
      <c r="U61">
        <f>77113.7</f>
        <v>77113.7</v>
      </c>
      <c r="V61">
        <f>666.69</f>
        <v>666.69</v>
      </c>
    </row>
    <row r="62" spans="1:22" x14ac:dyDescent="0.2">
      <c r="A62" s="1">
        <v>45021</v>
      </c>
      <c r="B62">
        <f>2257.98</f>
        <v>2257.98</v>
      </c>
      <c r="C62">
        <f>10002.57</f>
        <v>10002.57</v>
      </c>
      <c r="D62">
        <f>7962.05</f>
        <v>7962.05</v>
      </c>
      <c r="E62">
        <f>2486.432</f>
        <v>2486.4319999999998</v>
      </c>
      <c r="F62">
        <f>2250.05</f>
        <v>2250.0500000000002</v>
      </c>
      <c r="G62">
        <f>10054.94</f>
        <v>10054.94</v>
      </c>
      <c r="H62">
        <f>3901.53</f>
        <v>3901.53</v>
      </c>
      <c r="I62">
        <f>13649.04</f>
        <v>13649.04</v>
      </c>
      <c r="J62">
        <f>5532.24</f>
        <v>5532.24</v>
      </c>
      <c r="K62">
        <f>18076.15</f>
        <v>18076.150000000001</v>
      </c>
      <c r="L62">
        <f>2726.41</f>
        <v>2726.41</v>
      </c>
      <c r="M62">
        <f>12593.01</f>
        <v>12593.01</v>
      </c>
      <c r="N62">
        <f>428.773</f>
        <v>428.77300000000002</v>
      </c>
      <c r="O62">
        <f>4066.06</f>
        <v>4066.06</v>
      </c>
      <c r="P62">
        <f>345.18</f>
        <v>345.18</v>
      </c>
      <c r="Q62">
        <f>3982.176</f>
        <v>3982.1759999999999</v>
      </c>
      <c r="R62">
        <f>8752.54</f>
        <v>8752.5400000000009</v>
      </c>
      <c r="S62">
        <f>3292.12</f>
        <v>3292.12</v>
      </c>
      <c r="T62">
        <f>4286.932</f>
        <v>4286.9319999999998</v>
      </c>
      <c r="U62">
        <f>76656.42</f>
        <v>76656.42</v>
      </c>
      <c r="V62">
        <f>668.79</f>
        <v>668.79</v>
      </c>
    </row>
    <row r="63" spans="1:22" x14ac:dyDescent="0.2">
      <c r="A63" s="1">
        <v>45020</v>
      </c>
      <c r="B63">
        <f>2263.23</f>
        <v>2263.23</v>
      </c>
      <c r="C63">
        <f>10018.31</f>
        <v>10018.31</v>
      </c>
      <c r="D63">
        <f>7932.51</f>
        <v>7932.51</v>
      </c>
      <c r="E63">
        <f>2485.669</f>
        <v>2485.6689999999999</v>
      </c>
      <c r="F63">
        <f>2284.6</f>
        <v>2284.6</v>
      </c>
      <c r="G63">
        <f>10050.94</f>
        <v>10050.94</v>
      </c>
      <c r="H63">
        <f>3951.16</f>
        <v>3951.16</v>
      </c>
      <c r="I63">
        <f>13753.73</f>
        <v>13753.73</v>
      </c>
      <c r="J63">
        <f>5502.71</f>
        <v>5502.71</v>
      </c>
      <c r="K63">
        <f>18132.94</f>
        <v>18132.939999999999</v>
      </c>
      <c r="L63">
        <f>2714.46</f>
        <v>2714.46</v>
      </c>
      <c r="M63">
        <f>12648.33</f>
        <v>12648.33</v>
      </c>
      <c r="N63">
        <f>428.921</f>
        <v>428.92099999999999</v>
      </c>
      <c r="O63">
        <f>4068.51</f>
        <v>4068.51</v>
      </c>
      <c r="P63">
        <f>351.93</f>
        <v>351.93</v>
      </c>
      <c r="Q63">
        <f>3980.754</f>
        <v>3980.7539999999999</v>
      </c>
      <c r="R63">
        <f>8773.31</f>
        <v>8773.31</v>
      </c>
      <c r="S63">
        <f>3356.7</f>
        <v>3356.7</v>
      </c>
      <c r="T63">
        <f>4348.22</f>
        <v>4348.22</v>
      </c>
      <c r="U63">
        <f>77458.58</f>
        <v>77458.58</v>
      </c>
      <c r="V63">
        <f>687.31</f>
        <v>687.31</v>
      </c>
    </row>
    <row r="64" spans="1:22" x14ac:dyDescent="0.2">
      <c r="A64" s="1">
        <v>45019</v>
      </c>
      <c r="B64">
        <f>2276.88</f>
        <v>2276.88</v>
      </c>
      <c r="C64">
        <f>10024.25</f>
        <v>10024.25</v>
      </c>
      <c r="D64">
        <f>7972.5</f>
        <v>7972.5</v>
      </c>
      <c r="E64">
        <f>2488.7</f>
        <v>2488.6999999999998</v>
      </c>
      <c r="F64">
        <f>2285.75</f>
        <v>2285.75</v>
      </c>
      <c r="G64">
        <f>10007.76</f>
        <v>10007.76</v>
      </c>
      <c r="H64">
        <f>3918.15</f>
        <v>3918.15</v>
      </c>
      <c r="I64">
        <f>13656.2</f>
        <v>13656.2</v>
      </c>
      <c r="J64">
        <f>5547.98</f>
        <v>5547.98</v>
      </c>
      <c r="K64">
        <f>18241.86</f>
        <v>18241.86</v>
      </c>
      <c r="L64">
        <f>2714.69</f>
        <v>2714.69</v>
      </c>
      <c r="M64">
        <f>12678.5</f>
        <v>12678.5</v>
      </c>
      <c r="N64">
        <f>429.448</f>
        <v>429.44799999999998</v>
      </c>
      <c r="O64">
        <f>4070.92</f>
        <v>4070.92</v>
      </c>
      <c r="P64">
        <f>350.76</f>
        <v>350.76</v>
      </c>
      <c r="Q64">
        <f>4023.224</f>
        <v>4023.2240000000002</v>
      </c>
      <c r="R64">
        <f>8823.66</f>
        <v>8823.66</v>
      </c>
      <c r="S64">
        <f>3348.27</f>
        <v>3348.27</v>
      </c>
      <c r="T64">
        <f>4278.301</f>
        <v>4278.3010000000004</v>
      </c>
      <c r="U64">
        <f>76614.96</f>
        <v>76614.960000000006</v>
      </c>
      <c r="V64">
        <f>674.33</f>
        <v>674.33</v>
      </c>
    </row>
    <row r="65" spans="1:22" x14ac:dyDescent="0.2">
      <c r="A65" s="1">
        <v>45016</v>
      </c>
      <c r="B65">
        <f>2272.43</f>
        <v>2272.4299999999998</v>
      </c>
      <c r="C65">
        <f>9986.5</f>
        <v>9986.5</v>
      </c>
      <c r="D65">
        <f>7929.62</f>
        <v>7929.62</v>
      </c>
      <c r="E65">
        <f>2491.096</f>
        <v>2491.096</v>
      </c>
      <c r="F65">
        <f>2287.86</f>
        <v>2287.86</v>
      </c>
      <c r="G65">
        <f>9917.271</f>
        <v>9917.2710000000006</v>
      </c>
      <c r="H65">
        <f>3880.49</f>
        <v>3880.49</v>
      </c>
      <c r="I65">
        <f>13650.53</f>
        <v>13650.53</v>
      </c>
      <c r="J65">
        <f>5530.48</f>
        <v>5530.48</v>
      </c>
      <c r="K65">
        <f>18184.14</f>
        <v>18184.14</v>
      </c>
      <c r="L65">
        <f>2704.59</f>
        <v>2704.59</v>
      </c>
      <c r="M65">
        <f>12622.66</f>
        <v>12622.66</v>
      </c>
      <c r="N65">
        <f>431.751</f>
        <v>431.75099999999998</v>
      </c>
      <c r="O65">
        <f>4070.42</f>
        <v>4070.42</v>
      </c>
      <c r="P65">
        <f>346.27</f>
        <v>346.27</v>
      </c>
      <c r="Q65">
        <f>4010.52102</f>
        <v>4010.5210200000001</v>
      </c>
      <c r="R65">
        <f>8791.13</f>
        <v>8791.1299999999992</v>
      </c>
      <c r="S65">
        <f>3324.74</f>
        <v>3324.74</v>
      </c>
      <c r="T65">
        <f>4251.629</f>
        <v>4251.6289999999999</v>
      </c>
      <c r="U65">
        <f>76100.17</f>
        <v>76100.17</v>
      </c>
      <c r="V65">
        <f>666.05</f>
        <v>666.05</v>
      </c>
    </row>
    <row r="66" spans="1:22" x14ac:dyDescent="0.2">
      <c r="A66" s="1">
        <v>45015</v>
      </c>
      <c r="B66">
        <f>2275.97</f>
        <v>2275.9699999999998</v>
      </c>
      <c r="C66">
        <f>9980.4</f>
        <v>9980.4</v>
      </c>
      <c r="D66">
        <f>7917.87</f>
        <v>7917.87</v>
      </c>
      <c r="E66">
        <f>2479.759</f>
        <v>2479.759</v>
      </c>
      <c r="F66">
        <f>2290.24</f>
        <v>2290.2399999999998</v>
      </c>
      <c r="G66">
        <f>9917.402</f>
        <v>9917.402</v>
      </c>
      <c r="H66">
        <f>3858.96</f>
        <v>3858.96</v>
      </c>
      <c r="I66">
        <f>13607.76</f>
        <v>13607.76</v>
      </c>
      <c r="J66">
        <f>5464.65</f>
        <v>5464.65</v>
      </c>
      <c r="K66">
        <f>17916.28</f>
        <v>17916.28</v>
      </c>
      <c r="L66">
        <f>2682.26</f>
        <v>2682.26</v>
      </c>
      <c r="M66">
        <f>12478.59</f>
        <v>12478.59</v>
      </c>
      <c r="N66">
        <f>428.79</f>
        <v>428.79</v>
      </c>
      <c r="O66">
        <f>4043.44</f>
        <v>4043.44</v>
      </c>
      <c r="P66">
        <f>343.27</f>
        <v>343.27</v>
      </c>
      <c r="Q66">
        <f>3950.50886</f>
        <v>3950.5088599999999</v>
      </c>
      <c r="R66">
        <f>8665.7</f>
        <v>8665.7000000000007</v>
      </c>
      <c r="S66">
        <f>3291.23</f>
        <v>3291.23</v>
      </c>
      <c r="T66">
        <f>4327.428</f>
        <v>4327.4279999999999</v>
      </c>
      <c r="U66">
        <f>76704.63</f>
        <v>76704.63</v>
      </c>
      <c r="V66">
        <f>673.97</f>
        <v>673.97</v>
      </c>
    </row>
    <row r="67" spans="1:22" x14ac:dyDescent="0.2">
      <c r="A67" s="1">
        <v>45014</v>
      </c>
      <c r="B67">
        <f>2259.34</f>
        <v>2259.34</v>
      </c>
      <c r="C67">
        <f>9933.73</f>
        <v>9933.73</v>
      </c>
      <c r="D67">
        <f>7853.11</f>
        <v>7853.11</v>
      </c>
      <c r="E67">
        <f>2464.533</f>
        <v>2464.5329999999999</v>
      </c>
      <c r="F67">
        <f>2252.63</f>
        <v>2252.63</v>
      </c>
      <c r="G67">
        <f>9788.469</f>
        <v>9788.4689999999991</v>
      </c>
      <c r="H67">
        <f>3844.32</f>
        <v>3844.32</v>
      </c>
      <c r="I67">
        <f>13349.85</f>
        <v>13349.85</v>
      </c>
      <c r="J67">
        <f>5441.24</f>
        <v>5441.24</v>
      </c>
      <c r="K67">
        <f>17809.74</f>
        <v>17809.740000000002</v>
      </c>
      <c r="L67">
        <f>2664.95</f>
        <v>2664.95</v>
      </c>
      <c r="M67">
        <f>12375.05</f>
        <v>12375.05</v>
      </c>
      <c r="N67">
        <f>425.716</f>
        <v>425.71600000000001</v>
      </c>
      <c r="O67">
        <f>4002.71</f>
        <v>4002.71</v>
      </c>
      <c r="P67">
        <f>342.11</f>
        <v>342.11</v>
      </c>
      <c r="Q67">
        <f>3936.674</f>
        <v>3936.674</v>
      </c>
      <c r="R67">
        <f>8615.29</f>
        <v>8615.2900000000009</v>
      </c>
      <c r="S67">
        <f>3272.91</f>
        <v>3272.91</v>
      </c>
      <c r="T67">
        <f>4302.021</f>
        <v>4302.0209999999997</v>
      </c>
      <c r="U67">
        <f>76480.11</f>
        <v>76480.11</v>
      </c>
      <c r="V67">
        <f>668.54</f>
        <v>668.54</v>
      </c>
    </row>
    <row r="68" spans="1:22" x14ac:dyDescent="0.2">
      <c r="A68" s="1">
        <v>45013</v>
      </c>
      <c r="B68">
        <f>2223</f>
        <v>2223</v>
      </c>
      <c r="C68">
        <f>9860.38</f>
        <v>9860.3799999999992</v>
      </c>
      <c r="D68">
        <f>7770.03</f>
        <v>7770.03</v>
      </c>
      <c r="E68">
        <f>2440.102</f>
        <v>2440.1019999999999</v>
      </c>
      <c r="F68">
        <f>2251.18</f>
        <v>2251.1799999999998</v>
      </c>
      <c r="G68">
        <f>9700.752</f>
        <v>9700.7520000000004</v>
      </c>
      <c r="H68">
        <f>3841.69</f>
        <v>3841.69</v>
      </c>
      <c r="I68">
        <f>13167.85</f>
        <v>13167.85</v>
      </c>
      <c r="J68">
        <f>5377.36</f>
        <v>5377.36</v>
      </c>
      <c r="K68">
        <f>17555.2</f>
        <v>17555.2</v>
      </c>
      <c r="L68">
        <f>2639.02</f>
        <v>2639.02</v>
      </c>
      <c r="M68">
        <f>12217.82</f>
        <v>12217.82</v>
      </c>
      <c r="N68">
        <f>420.405</f>
        <v>420.40499999999997</v>
      </c>
      <c r="O68">
        <f>3950.7</f>
        <v>3950.7</v>
      </c>
      <c r="P68">
        <f>337.38</f>
        <v>337.38</v>
      </c>
      <c r="Q68">
        <f>3897.345</f>
        <v>3897.3449999999998</v>
      </c>
      <c r="R68">
        <f>8494.35</f>
        <v>8494.35</v>
      </c>
      <c r="S68">
        <f>3225.67</f>
        <v>3225.67</v>
      </c>
      <c r="T68">
        <f>4264.801</f>
        <v>4264.8010000000004</v>
      </c>
      <c r="U68">
        <f>76047.34</f>
        <v>76047.34</v>
      </c>
      <c r="V68">
        <f>661.15</f>
        <v>661.15</v>
      </c>
    </row>
    <row r="69" spans="1:22" x14ac:dyDescent="0.2">
      <c r="A69" s="1">
        <v>45012</v>
      </c>
      <c r="B69">
        <f>2217.14</f>
        <v>2217.14</v>
      </c>
      <c r="C69">
        <f>9792.79</f>
        <v>9792.7900000000009</v>
      </c>
      <c r="D69">
        <f>7757.08</f>
        <v>7757.08</v>
      </c>
      <c r="E69">
        <f>2423.158</f>
        <v>2423.1579999999999</v>
      </c>
      <c r="F69">
        <f>2231.42</f>
        <v>2231.42</v>
      </c>
      <c r="G69">
        <f>9641.116</f>
        <v>9641.116</v>
      </c>
      <c r="H69">
        <f>3805.36</f>
        <v>3805.36</v>
      </c>
      <c r="I69">
        <f>13116.48</f>
        <v>13116.48</v>
      </c>
      <c r="J69">
        <f>5367.65</f>
        <v>5367.65</v>
      </c>
      <c r="K69">
        <f>17583.93</f>
        <v>17583.93</v>
      </c>
      <c r="L69">
        <f>2628.66</f>
        <v>2628.66</v>
      </c>
      <c r="M69">
        <f>12206.91</f>
        <v>12206.91</v>
      </c>
      <c r="N69">
        <f>421.77</f>
        <v>421.77</v>
      </c>
      <c r="O69">
        <f>3950.01</f>
        <v>3950.01</v>
      </c>
      <c r="P69">
        <f>335.04</f>
        <v>335.04</v>
      </c>
      <c r="Q69">
        <f>3880.359</f>
        <v>3880.3589999999999</v>
      </c>
      <c r="R69">
        <f>8507.54</f>
        <v>8507.5400000000009</v>
      </c>
      <c r="S69">
        <f>3217.73</f>
        <v>3217.73</v>
      </c>
      <c r="T69">
        <f>4196.572</f>
        <v>4196.5720000000001</v>
      </c>
      <c r="U69">
        <f>75283.68</f>
        <v>75283.679999999993</v>
      </c>
      <c r="V69">
        <f>651.24</f>
        <v>651.24</v>
      </c>
    </row>
    <row r="70" spans="1:22" x14ac:dyDescent="0.2">
      <c r="A70" s="1">
        <v>45009</v>
      </c>
      <c r="B70">
        <f>2202.93</f>
        <v>2202.9299999999998</v>
      </c>
      <c r="C70">
        <f>9844.58</f>
        <v>9844.58</v>
      </c>
      <c r="D70">
        <f>7688.22</f>
        <v>7688.22</v>
      </c>
      <c r="E70">
        <f>2443.13</f>
        <v>2443.13</v>
      </c>
      <c r="F70">
        <f>2218.06</f>
        <v>2218.06</v>
      </c>
      <c r="G70">
        <f>9519.707</f>
        <v>9519.7070000000003</v>
      </c>
      <c r="H70">
        <f>3810.24</f>
        <v>3810.24</v>
      </c>
      <c r="I70">
        <f>12954.42</f>
        <v>12954.42</v>
      </c>
      <c r="J70">
        <f>5342.11</f>
        <v>5342.11</v>
      </c>
      <c r="K70">
        <f>17550.96</f>
        <v>17550.96</v>
      </c>
      <c r="L70">
        <f>2612.83</f>
        <v>2612.83</v>
      </c>
      <c r="M70">
        <f>12161.66</f>
        <v>12161.66</v>
      </c>
      <c r="N70">
        <f>417.559</f>
        <v>417.55900000000003</v>
      </c>
      <c r="O70">
        <f>3908.69</f>
        <v>3908.69</v>
      </c>
      <c r="P70">
        <f>334.53</f>
        <v>334.53</v>
      </c>
      <c r="Q70">
        <f>3852.654</f>
        <v>3852.654</v>
      </c>
      <c r="R70">
        <f>8493.55</f>
        <v>8493.5499999999993</v>
      </c>
      <c r="S70">
        <f>3207.05</f>
        <v>3207.05</v>
      </c>
      <c r="T70">
        <f>4186.952</f>
        <v>4186.9520000000002</v>
      </c>
      <c r="U70">
        <f>74695.04</f>
        <v>74695.039999999994</v>
      </c>
      <c r="V70">
        <f>649.71</f>
        <v>649.71</v>
      </c>
    </row>
    <row r="71" spans="1:22" x14ac:dyDescent="0.2">
      <c r="A71" s="1">
        <v>45008</v>
      </c>
      <c r="B71">
        <f>2232.79</f>
        <v>2232.79</v>
      </c>
      <c r="C71">
        <f>9898.25</f>
        <v>9898.25</v>
      </c>
      <c r="D71">
        <f>7785.97</f>
        <v>7785.97</v>
      </c>
      <c r="E71">
        <f>2456.451</f>
        <v>2456.451</v>
      </c>
      <c r="F71">
        <f>2273.35</f>
        <v>2273.35</v>
      </c>
      <c r="G71">
        <f>9707.583</f>
        <v>9707.5830000000005</v>
      </c>
      <c r="H71">
        <f>3812.4</f>
        <v>3812.4</v>
      </c>
      <c r="I71">
        <f>13290.83</f>
        <v>13290.83</v>
      </c>
      <c r="J71">
        <f>5295.67</f>
        <v>5295.67</v>
      </c>
      <c r="K71">
        <f>17459.31</f>
        <v>17459.310000000001</v>
      </c>
      <c r="L71">
        <f>2608.51</f>
        <v>2608.5100000000002</v>
      </c>
      <c r="M71">
        <f>12179.75</f>
        <v>12179.75</v>
      </c>
      <c r="N71">
        <f>419.541</f>
        <v>419.541</v>
      </c>
      <c r="O71">
        <f>3956.76</f>
        <v>3956.76</v>
      </c>
      <c r="P71">
        <f>335.49</f>
        <v>335.49</v>
      </c>
      <c r="Q71">
        <f>3807.96905</f>
        <v>3807.9690500000002</v>
      </c>
      <c r="R71">
        <f>8445.87</f>
        <v>8445.8700000000008</v>
      </c>
      <c r="S71">
        <f>3210.33</f>
        <v>3210.33</v>
      </c>
      <c r="T71">
        <f>4195.057</f>
        <v>4195.0569999999998</v>
      </c>
      <c r="U71">
        <f>75585.23</f>
        <v>75585.23</v>
      </c>
      <c r="V71">
        <f>656.11</f>
        <v>656.11</v>
      </c>
    </row>
    <row r="72" spans="1:22" x14ac:dyDescent="0.2">
      <c r="A72" s="1">
        <v>45007</v>
      </c>
      <c r="B72">
        <f>2255.2</f>
        <v>2255.1999999999998</v>
      </c>
      <c r="C72">
        <f>9822.02</f>
        <v>9822.02</v>
      </c>
      <c r="D72">
        <f>7848.41</f>
        <v>7848.41</v>
      </c>
      <c r="E72">
        <f>2415.516</f>
        <v>2415.5160000000001</v>
      </c>
      <c r="F72">
        <f>2271.89</f>
        <v>2271.89</v>
      </c>
      <c r="G72">
        <f>9717.507</f>
        <v>9717.5069999999996</v>
      </c>
      <c r="H72">
        <f>3773.93</f>
        <v>3773.93</v>
      </c>
      <c r="I72">
        <f>13165.55</f>
        <v>13165.55</v>
      </c>
      <c r="J72">
        <f>5302.9</f>
        <v>5302.9</v>
      </c>
      <c r="K72">
        <f>17406.65</f>
        <v>17406.650000000001</v>
      </c>
      <c r="L72">
        <f>2603.13</f>
        <v>2603.13</v>
      </c>
      <c r="M72">
        <f>12129.81</f>
        <v>12129.81</v>
      </c>
      <c r="N72">
        <f>419.247</f>
        <v>419.24700000000001</v>
      </c>
      <c r="O72">
        <f>3965.05</f>
        <v>3965.05</v>
      </c>
      <c r="P72">
        <f>335.64</f>
        <v>335.64</v>
      </c>
      <c r="Q72">
        <f>3827.665</f>
        <v>3827.665</v>
      </c>
      <c r="R72">
        <f>8420.02</f>
        <v>8420.02</v>
      </c>
      <c r="S72">
        <f>3219.53</f>
        <v>3219.53</v>
      </c>
      <c r="T72">
        <f>4185.222</f>
        <v>4185.2219999999998</v>
      </c>
      <c r="U72">
        <f>75243.44</f>
        <v>75243.44</v>
      </c>
      <c r="V72">
        <f>656.84</f>
        <v>656.84</v>
      </c>
    </row>
    <row r="73" spans="1:22" x14ac:dyDescent="0.2">
      <c r="A73" s="1">
        <v>45006</v>
      </c>
      <c r="B73">
        <f>2260.47</f>
        <v>2260.4699999999998</v>
      </c>
      <c r="C73">
        <f>9750.67</f>
        <v>9750.67</v>
      </c>
      <c r="D73">
        <f>7816.65</f>
        <v>7816.65</v>
      </c>
      <c r="E73">
        <f>2392.393</f>
        <v>2392.393</v>
      </c>
      <c r="F73">
        <f>2263.23</f>
        <v>2263.23</v>
      </c>
      <c r="G73">
        <f>9644.043</f>
        <v>9644.0429999999997</v>
      </c>
      <c r="H73">
        <f>3720.46</f>
        <v>3720.46</v>
      </c>
      <c r="I73">
        <f>13123.5</f>
        <v>13123.5</v>
      </c>
      <c r="J73">
        <f>5397.52</f>
        <v>5397.52</v>
      </c>
      <c r="K73">
        <f>17704.5</f>
        <v>17704.5</v>
      </c>
      <c r="L73">
        <f>2620.94</f>
        <v>2620.94</v>
      </c>
      <c r="M73">
        <f>12244.79</f>
        <v>12244.79</v>
      </c>
      <c r="N73">
        <f>419.05</f>
        <v>419.05</v>
      </c>
      <c r="O73">
        <f>3956.11</f>
        <v>3956.11</v>
      </c>
      <c r="P73" t="e">
        <f>NA()</f>
        <v>#N/A</v>
      </c>
      <c r="Q73">
        <f>3895.58565</f>
        <v>3895.58565</v>
      </c>
      <c r="R73">
        <f>8560.31</f>
        <v>8560.31</v>
      </c>
      <c r="S73" t="e">
        <f>NA()</f>
        <v>#N/A</v>
      </c>
      <c r="T73" t="e">
        <f>NA()</f>
        <v>#N/A</v>
      </c>
      <c r="U73" t="e">
        <f>NA()</f>
        <v>#N/A</v>
      </c>
      <c r="V73" t="e">
        <f>NA()</f>
        <v>#N/A</v>
      </c>
    </row>
    <row r="74" spans="1:22" x14ac:dyDescent="0.2">
      <c r="A74" s="1">
        <v>45005</v>
      </c>
      <c r="B74">
        <f>2225.84</f>
        <v>2225.84</v>
      </c>
      <c r="C74">
        <f>9724.61</f>
        <v>9724.61</v>
      </c>
      <c r="D74">
        <f>7679.35</f>
        <v>7679.35</v>
      </c>
      <c r="E74">
        <f>2368.389</f>
        <v>2368.3890000000001</v>
      </c>
      <c r="F74">
        <f>2257.94</f>
        <v>2257.94</v>
      </c>
      <c r="G74">
        <f>9523.565</f>
        <v>9523.5650000000005</v>
      </c>
      <c r="H74">
        <f>3738.98</f>
        <v>3738.98</v>
      </c>
      <c r="I74">
        <f>12877.13</f>
        <v>12877.13</v>
      </c>
      <c r="J74">
        <f>5366.56</f>
        <v>5366.56</v>
      </c>
      <c r="K74">
        <f>17465.78</f>
        <v>17465.78</v>
      </c>
      <c r="L74">
        <f>2606.9</f>
        <v>2606.9</v>
      </c>
      <c r="M74">
        <f>12092.6</f>
        <v>12092.6</v>
      </c>
      <c r="N74">
        <f>416.983</f>
        <v>416.983</v>
      </c>
      <c r="O74">
        <f>3905.22</f>
        <v>3905.22</v>
      </c>
      <c r="P74">
        <f>330.52</f>
        <v>330.52</v>
      </c>
      <c r="Q74">
        <f>3871.315</f>
        <v>3871.3150000000001</v>
      </c>
      <c r="R74">
        <f>8449.98</f>
        <v>8449.98</v>
      </c>
      <c r="S74">
        <f>3164.37</f>
        <v>3164.37</v>
      </c>
      <c r="T74">
        <f>4144.568</f>
        <v>4144.5680000000002</v>
      </c>
      <c r="U74">
        <f>74271.06</f>
        <v>74271.06</v>
      </c>
      <c r="V74">
        <f>651.67</f>
        <v>651.66999999999996</v>
      </c>
    </row>
    <row r="75" spans="1:22" x14ac:dyDescent="0.2">
      <c r="A75" s="1">
        <v>45002</v>
      </c>
      <c r="B75">
        <f>2196.3</f>
        <v>2196.3000000000002</v>
      </c>
      <c r="C75">
        <f>9787.23</f>
        <v>9787.23</v>
      </c>
      <c r="D75">
        <f>7608.35</f>
        <v>7608.35</v>
      </c>
      <c r="E75">
        <f>2389.658</f>
        <v>2389.6579999999999</v>
      </c>
      <c r="F75">
        <f>2190.31</f>
        <v>2190.31</v>
      </c>
      <c r="G75">
        <f>9348.536</f>
        <v>9348.5360000000001</v>
      </c>
      <c r="H75">
        <f>3778.6</f>
        <v>3778.6</v>
      </c>
      <c r="I75">
        <f>12667.56</f>
        <v>12667.56</v>
      </c>
      <c r="J75">
        <f>5293.08</f>
        <v>5293.08</v>
      </c>
      <c r="K75">
        <f>17314.62</f>
        <v>17314.62</v>
      </c>
      <c r="L75">
        <f>2578.12</f>
        <v>2578.12</v>
      </c>
      <c r="M75">
        <f>11992.59</f>
        <v>11992.59</v>
      </c>
      <c r="N75">
        <f>413.587</f>
        <v>413.58699999999999</v>
      </c>
      <c r="O75">
        <f>3865.62</f>
        <v>3865.62</v>
      </c>
      <c r="P75">
        <f>336.77</f>
        <v>336.77</v>
      </c>
      <c r="Q75">
        <f>3816.19687</f>
        <v>3816.1968700000002</v>
      </c>
      <c r="R75">
        <f>8375.21</f>
        <v>8375.2099999999991</v>
      </c>
      <c r="S75">
        <f>3213.77</f>
        <v>3213.77</v>
      </c>
      <c r="T75">
        <f>4055.138</f>
        <v>4055.1379999999999</v>
      </c>
      <c r="U75">
        <f>72527.92</f>
        <v>72527.92</v>
      </c>
      <c r="V75">
        <f>646.71</f>
        <v>646.71</v>
      </c>
    </row>
    <row r="76" spans="1:22" x14ac:dyDescent="0.2">
      <c r="A76" s="1">
        <v>45001</v>
      </c>
      <c r="B76">
        <f>2234.89</f>
        <v>2234.89</v>
      </c>
      <c r="C76">
        <f>9664</f>
        <v>9664</v>
      </c>
      <c r="D76">
        <f>7685.76</f>
        <v>7685.76</v>
      </c>
      <c r="E76">
        <f>2363.994</f>
        <v>2363.9940000000001</v>
      </c>
      <c r="F76">
        <f>2197.88</f>
        <v>2197.88</v>
      </c>
      <c r="G76">
        <f>9419.48</f>
        <v>9419.48</v>
      </c>
      <c r="H76">
        <f>3742.31</f>
        <v>3742.31</v>
      </c>
      <c r="I76">
        <f>12795.71</f>
        <v>12795.71</v>
      </c>
      <c r="J76">
        <f>5362.82</f>
        <v>5362.82</v>
      </c>
      <c r="K76">
        <f>17510.62</f>
        <v>17510.62</v>
      </c>
      <c r="L76">
        <f>2600.31</f>
        <v>2600.31</v>
      </c>
      <c r="M76">
        <f>12090.57</f>
        <v>12090.57</v>
      </c>
      <c r="N76">
        <f>418.235</f>
        <v>418.23500000000001</v>
      </c>
      <c r="O76">
        <f>3912.07</f>
        <v>3912.07</v>
      </c>
      <c r="P76">
        <f>336.11</f>
        <v>336.11</v>
      </c>
      <c r="Q76">
        <f>3875.571</f>
        <v>3875.5709999999999</v>
      </c>
      <c r="R76">
        <f>8468.33</f>
        <v>8468.33</v>
      </c>
      <c r="S76">
        <f>3176.99</f>
        <v>3176.99</v>
      </c>
      <c r="T76">
        <f>4036.082</f>
        <v>4036.0819999999999</v>
      </c>
      <c r="U76">
        <f>72905.5</f>
        <v>72905.5</v>
      </c>
      <c r="V76">
        <f>645.7</f>
        <v>645.70000000000005</v>
      </c>
    </row>
    <row r="77" spans="1:22" x14ac:dyDescent="0.2">
      <c r="A77" s="1">
        <v>45000</v>
      </c>
      <c r="B77">
        <f>2227.04</f>
        <v>2227.04</v>
      </c>
      <c r="C77">
        <f>9697.65</f>
        <v>9697.65</v>
      </c>
      <c r="D77">
        <f>7607.44</f>
        <v>7607.44</v>
      </c>
      <c r="E77">
        <f>2376.545</f>
        <v>2376.5450000000001</v>
      </c>
      <c r="F77">
        <f>2179.68</f>
        <v>2179.6799999999998</v>
      </c>
      <c r="G77">
        <f>9269.966</f>
        <v>9269.9660000000003</v>
      </c>
      <c r="H77">
        <f>3798.13</f>
        <v>3798.13</v>
      </c>
      <c r="I77">
        <f>12509.88</f>
        <v>12509.88</v>
      </c>
      <c r="J77">
        <f>5311.25</f>
        <v>5311.25</v>
      </c>
      <c r="K77">
        <f>17204.08</f>
        <v>17204.080000000002</v>
      </c>
      <c r="L77">
        <f>2579.73</f>
        <v>2579.73</v>
      </c>
      <c r="M77">
        <f>11908.05</f>
        <v>11908.05</v>
      </c>
      <c r="N77">
        <f>412.384</f>
        <v>412.38400000000001</v>
      </c>
      <c r="O77">
        <f>3856.13</f>
        <v>3856.13</v>
      </c>
      <c r="P77">
        <f>342.64</f>
        <v>342.64</v>
      </c>
      <c r="Q77">
        <f>3845.891</f>
        <v>3845.8910000000001</v>
      </c>
      <c r="R77">
        <f>8320.96</f>
        <v>8320.9599999999991</v>
      </c>
      <c r="S77">
        <f>3214.73</f>
        <v>3214.73</v>
      </c>
      <c r="T77">
        <f>4070.642</f>
        <v>4070.6419999999998</v>
      </c>
      <c r="U77">
        <f>72895.54</f>
        <v>72895.539999999994</v>
      </c>
      <c r="V77">
        <f>651.01</f>
        <v>651.01</v>
      </c>
    </row>
    <row r="78" spans="1:22" x14ac:dyDescent="0.2">
      <c r="A78" s="1">
        <v>44999</v>
      </c>
      <c r="B78">
        <f>2310.84</f>
        <v>2310.84</v>
      </c>
      <c r="C78">
        <f>9679</f>
        <v>9679</v>
      </c>
      <c r="D78">
        <f>7910.58</f>
        <v>7910.58</v>
      </c>
      <c r="E78">
        <f>2371.638</f>
        <v>2371.6379999999999</v>
      </c>
      <c r="F78">
        <f>2292.1</f>
        <v>2292.1</v>
      </c>
      <c r="G78">
        <f>9725.999</f>
        <v>9725.9989999999998</v>
      </c>
      <c r="H78">
        <f>3715.4</f>
        <v>3715.4</v>
      </c>
      <c r="I78">
        <f>13106.94</f>
        <v>13106.94</v>
      </c>
      <c r="J78">
        <f>5341.39</f>
        <v>5341.39</v>
      </c>
      <c r="K78">
        <f>17327.09</f>
        <v>17327.09</v>
      </c>
      <c r="L78">
        <f>2601.48</f>
        <v>2601.48</v>
      </c>
      <c r="M78">
        <f>12069.69</f>
        <v>12069.69</v>
      </c>
      <c r="N78">
        <f>418.492</f>
        <v>418.49200000000002</v>
      </c>
      <c r="O78">
        <f>3977.02</f>
        <v>3977.02</v>
      </c>
      <c r="P78">
        <f>336.17</f>
        <v>336.17</v>
      </c>
      <c r="Q78">
        <f>3881.38757</f>
        <v>3881.3875699999999</v>
      </c>
      <c r="R78">
        <f>8379.16</f>
        <v>8379.16</v>
      </c>
      <c r="S78">
        <f>3194.11</f>
        <v>3194.11</v>
      </c>
      <c r="T78">
        <f>4124.487</f>
        <v>4124.4870000000001</v>
      </c>
      <c r="U78">
        <f>75008.68</f>
        <v>75008.679999999993</v>
      </c>
      <c r="V78">
        <f>668.24</f>
        <v>668.24</v>
      </c>
    </row>
    <row r="79" spans="1:22" x14ac:dyDescent="0.2">
      <c r="A79" s="1">
        <v>44998</v>
      </c>
      <c r="B79">
        <f>2287.24</f>
        <v>2287.2399999999998</v>
      </c>
      <c r="C79">
        <f>9814.51</f>
        <v>9814.51</v>
      </c>
      <c r="D79">
        <f>7818.94</f>
        <v>7818.94</v>
      </c>
      <c r="E79">
        <f>2411.937</f>
        <v>2411.9369999999999</v>
      </c>
      <c r="F79">
        <f>2265.08</f>
        <v>2265.08</v>
      </c>
      <c r="G79">
        <f>9628.176</f>
        <v>9628.1759999999995</v>
      </c>
      <c r="H79">
        <f>3848.13</f>
        <v>3848.13</v>
      </c>
      <c r="I79">
        <f>12906.74</f>
        <v>12906.74</v>
      </c>
      <c r="J79">
        <f>5289.75</f>
        <v>5289.75</v>
      </c>
      <c r="K79">
        <f>17035.14</f>
        <v>17035.14</v>
      </c>
      <c r="L79">
        <f>2588.89</f>
        <v>2588.89</v>
      </c>
      <c r="M79">
        <f>11928.87</f>
        <v>11928.87</v>
      </c>
      <c r="N79">
        <f>413.392</f>
        <v>413.392</v>
      </c>
      <c r="O79">
        <f>3916.86</f>
        <v>3916.86</v>
      </c>
      <c r="P79">
        <f>349.24</f>
        <v>349.24</v>
      </c>
      <c r="Q79">
        <f>3845.82711</f>
        <v>3845.8271100000002</v>
      </c>
      <c r="R79">
        <f>8241.39</f>
        <v>8241.39</v>
      </c>
      <c r="S79">
        <f>3281.77</f>
        <v>3281.77</v>
      </c>
      <c r="T79">
        <f>4174.602</f>
        <v>4174.6019999999999</v>
      </c>
      <c r="U79">
        <f>75502.28</f>
        <v>75502.28</v>
      </c>
      <c r="V79">
        <f>683.41</f>
        <v>683.41</v>
      </c>
    </row>
    <row r="80" spans="1:22" x14ac:dyDescent="0.2">
      <c r="A80" s="1">
        <v>44995</v>
      </c>
      <c r="B80">
        <f>2349.56</f>
        <v>2349.56</v>
      </c>
      <c r="C80">
        <f>9736.23</f>
        <v>9736.23</v>
      </c>
      <c r="D80">
        <f>8025.8</f>
        <v>8025.8</v>
      </c>
      <c r="E80">
        <f>2395.979</f>
        <v>2395.9789999999998</v>
      </c>
      <c r="F80">
        <f>2308.3</f>
        <v>2308.3000000000002</v>
      </c>
      <c r="G80">
        <f>9834.717</f>
        <v>9834.7170000000006</v>
      </c>
      <c r="H80">
        <f>3875.33</f>
        <v>3875.33</v>
      </c>
      <c r="I80">
        <f>13157.38</f>
        <v>13157.38</v>
      </c>
      <c r="J80">
        <f>5319.62</f>
        <v>5319.62</v>
      </c>
      <c r="K80">
        <f>17060.46</f>
        <v>17060.46</v>
      </c>
      <c r="L80">
        <f>2602.08</f>
        <v>2602.08</v>
      </c>
      <c r="M80">
        <f>11990.78</f>
        <v>11990.78</v>
      </c>
      <c r="N80">
        <f>417.965</f>
        <v>417.96499999999997</v>
      </c>
      <c r="O80">
        <f>4010.94</f>
        <v>4010.94</v>
      </c>
      <c r="P80">
        <f>358.43</f>
        <v>358.43</v>
      </c>
      <c r="Q80">
        <f>3845.737</f>
        <v>3845.7370000000001</v>
      </c>
      <c r="R80">
        <f>8253.65</f>
        <v>8253.65</v>
      </c>
      <c r="S80">
        <f>3331.93</f>
        <v>3331.93</v>
      </c>
      <c r="T80">
        <f>4145.149</f>
        <v>4145.1490000000003</v>
      </c>
      <c r="U80">
        <f>76454.36</f>
        <v>76454.36</v>
      </c>
      <c r="V80">
        <f>685.88</f>
        <v>685.88</v>
      </c>
    </row>
    <row r="81" spans="1:22" x14ac:dyDescent="0.2">
      <c r="A81" s="1">
        <v>44994</v>
      </c>
      <c r="B81">
        <f>2386.5</f>
        <v>2386.5</v>
      </c>
      <c r="C81">
        <f>9824.95</f>
        <v>9824.9500000000007</v>
      </c>
      <c r="D81">
        <f>8162.15</f>
        <v>8162.15</v>
      </c>
      <c r="E81">
        <f>2428.698</f>
        <v>2428.6979999999999</v>
      </c>
      <c r="F81">
        <f>2292.01</f>
        <v>2292.0100000000002</v>
      </c>
      <c r="G81">
        <f>9844.527</f>
        <v>9844.527</v>
      </c>
      <c r="H81">
        <f>3870.36</f>
        <v>3870.36</v>
      </c>
      <c r="I81">
        <f>13188.61</f>
        <v>13188.61</v>
      </c>
      <c r="J81">
        <f>5368.69</f>
        <v>5368.69</v>
      </c>
      <c r="K81">
        <f>17328.25</f>
        <v>17328.25</v>
      </c>
      <c r="L81">
        <f>2613.43</f>
        <v>2613.4299999999998</v>
      </c>
      <c r="M81">
        <f>12142.45</f>
        <v>12142.45</v>
      </c>
      <c r="N81">
        <f>424.008</f>
        <v>424.00799999999998</v>
      </c>
      <c r="O81">
        <f>4066.86</f>
        <v>4066.86</v>
      </c>
      <c r="P81">
        <f>364.91</f>
        <v>364.91</v>
      </c>
      <c r="Q81">
        <f>3903.26</f>
        <v>3903.26</v>
      </c>
      <c r="R81">
        <f>8374.25</f>
        <v>8374.25</v>
      </c>
      <c r="S81">
        <f>3396.73</f>
        <v>3396.73</v>
      </c>
      <c r="T81">
        <f>4176.963</f>
        <v>4176.9629999999997</v>
      </c>
      <c r="U81">
        <f>77664.05</f>
        <v>77664.05</v>
      </c>
      <c r="V81">
        <f>690.3</f>
        <v>690.3</v>
      </c>
    </row>
    <row r="82" spans="1:22" x14ac:dyDescent="0.2">
      <c r="A82" s="1">
        <v>44993</v>
      </c>
      <c r="B82">
        <f>2408.99</f>
        <v>2408.9899999999998</v>
      </c>
      <c r="C82">
        <f>9909.65</f>
        <v>9909.65</v>
      </c>
      <c r="D82">
        <f>8204.97</f>
        <v>8204.9699999999993</v>
      </c>
      <c r="E82">
        <f>2452.702</f>
        <v>2452.7020000000002</v>
      </c>
      <c r="F82">
        <f>2307.56</f>
        <v>2307.56</v>
      </c>
      <c r="G82">
        <f>9831.37</f>
        <v>9831.3700000000008</v>
      </c>
      <c r="H82">
        <f>3812.27</f>
        <v>3812.27</v>
      </c>
      <c r="I82">
        <f>13183.72</f>
        <v>13183.72</v>
      </c>
      <c r="J82">
        <f>5457.93</f>
        <v>5457.93</v>
      </c>
      <c r="K82">
        <f>17661.47</f>
        <v>17661.47</v>
      </c>
      <c r="L82">
        <f>2633.9</f>
        <v>2633.9</v>
      </c>
      <c r="M82">
        <f>12290.74</f>
        <v>12290.74</v>
      </c>
      <c r="N82">
        <f>423.848</f>
        <v>423.84800000000001</v>
      </c>
      <c r="O82">
        <f>4070.41</f>
        <v>4070.41</v>
      </c>
      <c r="P82">
        <f>360.16</f>
        <v>360.16</v>
      </c>
      <c r="Q82">
        <f>3963.06759</f>
        <v>3963.0675900000001</v>
      </c>
      <c r="R82">
        <f>8530.33</f>
        <v>8530.33</v>
      </c>
      <c r="S82">
        <f>3364.12</f>
        <v>3364.12</v>
      </c>
      <c r="T82">
        <f>4225.133</f>
        <v>4225.1329999999998</v>
      </c>
      <c r="U82">
        <f>77741.83</f>
        <v>77741.83</v>
      </c>
      <c r="V82">
        <f>693.51</f>
        <v>693.51</v>
      </c>
    </row>
    <row r="83" spans="1:22" x14ac:dyDescent="0.2">
      <c r="A83" s="1">
        <v>44992</v>
      </c>
      <c r="B83">
        <f>2407.76</f>
        <v>2407.7600000000002</v>
      </c>
      <c r="C83">
        <f>9965.01</f>
        <v>9965.01</v>
      </c>
      <c r="D83">
        <f>8194.17</f>
        <v>8194.17</v>
      </c>
      <c r="E83">
        <f>2478.265</f>
        <v>2478.2649999999999</v>
      </c>
      <c r="F83">
        <f>2300.75</f>
        <v>2300.75</v>
      </c>
      <c r="G83">
        <f>9849.049</f>
        <v>9849.0490000000009</v>
      </c>
      <c r="H83">
        <f>3810.08</f>
        <v>3810.08</v>
      </c>
      <c r="I83">
        <f>13216.95</f>
        <v>13216.95</v>
      </c>
      <c r="J83">
        <f>5463.73</f>
        <v>5463.73</v>
      </c>
      <c r="K83">
        <f>17636.78</f>
        <v>17636.78</v>
      </c>
      <c r="L83">
        <f>2638.15</f>
        <v>2638.15</v>
      </c>
      <c r="M83">
        <f>12287.15</f>
        <v>12287.15</v>
      </c>
      <c r="N83">
        <f>423.998</f>
        <v>423.99799999999999</v>
      </c>
      <c r="O83">
        <f>4066.43</f>
        <v>4066.43</v>
      </c>
      <c r="P83">
        <f>358.44</f>
        <v>358.44</v>
      </c>
      <c r="Q83">
        <f>3958.036</f>
        <v>3958.0360000000001</v>
      </c>
      <c r="R83">
        <f>8517.54</f>
        <v>8517.5400000000009</v>
      </c>
      <c r="S83">
        <f>3353.9</f>
        <v>3353.9</v>
      </c>
      <c r="T83">
        <f>4237.661</f>
        <v>4237.6610000000001</v>
      </c>
      <c r="U83">
        <f>78556.54</f>
        <v>78556.539999999994</v>
      </c>
      <c r="V83">
        <f>695.69</f>
        <v>695.69</v>
      </c>
    </row>
    <row r="84" spans="1:22" x14ac:dyDescent="0.2">
      <c r="A84" s="1">
        <v>44991</v>
      </c>
      <c r="B84">
        <f>2422.09</f>
        <v>2422.09</v>
      </c>
      <c r="C84">
        <f>9976.11</f>
        <v>9976.11</v>
      </c>
      <c r="D84">
        <f>8204.84</f>
        <v>8204.84</v>
      </c>
      <c r="E84">
        <f>2491.703</f>
        <v>2491.703</v>
      </c>
      <c r="F84">
        <f>2357.03</f>
        <v>2357.0300000000002</v>
      </c>
      <c r="G84">
        <f>9990.608</f>
        <v>9990.6080000000002</v>
      </c>
      <c r="H84">
        <f>3821.27</f>
        <v>3821.27</v>
      </c>
      <c r="I84">
        <f>13441.1</f>
        <v>13441.1</v>
      </c>
      <c r="J84">
        <f>5551.45</f>
        <v>5551.45</v>
      </c>
      <c r="K84">
        <f>17907.34</f>
        <v>17907.34</v>
      </c>
      <c r="L84">
        <f>2675.14</f>
        <v>2675.14</v>
      </c>
      <c r="M84">
        <f>12466.5</f>
        <v>12466.5</v>
      </c>
      <c r="N84">
        <f>427.142</f>
        <v>427.142</v>
      </c>
      <c r="O84">
        <f>4097.62</f>
        <v>4097.62</v>
      </c>
      <c r="P84">
        <f>356.28</f>
        <v>356.28</v>
      </c>
      <c r="Q84">
        <f>4020.559</f>
        <v>4020.5590000000002</v>
      </c>
      <c r="R84">
        <f>8649.88</f>
        <v>8649.8799999999992</v>
      </c>
      <c r="S84">
        <f>3339.99</f>
        <v>3339.99</v>
      </c>
      <c r="T84">
        <f>4268.904</f>
        <v>4268.9040000000005</v>
      </c>
      <c r="U84">
        <f>78697.83</f>
        <v>78697.83</v>
      </c>
      <c r="V84">
        <f>700.34</f>
        <v>700.34</v>
      </c>
    </row>
    <row r="85" spans="1:22" x14ac:dyDescent="0.2">
      <c r="A85" s="1">
        <v>44988</v>
      </c>
      <c r="B85">
        <f>2423.6</f>
        <v>2423.6</v>
      </c>
      <c r="C85">
        <f>9928.76</f>
        <v>9928.76</v>
      </c>
      <c r="D85">
        <f>8222.76</f>
        <v>8222.76</v>
      </c>
      <c r="E85">
        <f>2477.363</f>
        <v>2477.3629999999998</v>
      </c>
      <c r="F85">
        <f>2361.49</f>
        <v>2361.4899999999998</v>
      </c>
      <c r="G85">
        <f>9974.587</f>
        <v>9974.5869999999995</v>
      </c>
      <c r="H85">
        <f>3784.95</f>
        <v>3784.95</v>
      </c>
      <c r="I85">
        <f>13322.06</f>
        <v>13322.06</v>
      </c>
      <c r="J85">
        <f>5552.76</f>
        <v>5552.76</v>
      </c>
      <c r="K85">
        <f>17903.22</f>
        <v>17903.22</v>
      </c>
      <c r="L85">
        <f>2669.77</f>
        <v>2669.77</v>
      </c>
      <c r="M85">
        <f>12435.85</f>
        <v>12435.85</v>
      </c>
      <c r="N85">
        <f>427.908</f>
        <v>427.90800000000002</v>
      </c>
      <c r="O85">
        <f>4098.92</f>
        <v>4098.92</v>
      </c>
      <c r="P85">
        <f>355.09</f>
        <v>355.09</v>
      </c>
      <c r="Q85">
        <f>4031.494</f>
        <v>4031.4940000000001</v>
      </c>
      <c r="R85">
        <f>8643.61</f>
        <v>8643.61</v>
      </c>
      <c r="S85">
        <f>3312.16</f>
        <v>3312.16</v>
      </c>
      <c r="T85">
        <f>4306.287</f>
        <v>4306.2870000000003</v>
      </c>
      <c r="U85">
        <f>78293.01</f>
        <v>78293.009999999995</v>
      </c>
      <c r="V85">
        <f>706.19</f>
        <v>706.19</v>
      </c>
    </row>
    <row r="86" spans="1:22" x14ac:dyDescent="0.2">
      <c r="A86" s="1">
        <v>44987</v>
      </c>
      <c r="B86">
        <f>2405.32</f>
        <v>2405.3200000000002</v>
      </c>
      <c r="C86">
        <f>9874.04</f>
        <v>9874.0400000000009</v>
      </c>
      <c r="D86">
        <f>8219.58</f>
        <v>8219.58</v>
      </c>
      <c r="E86">
        <f>2457.225</f>
        <v>2457.2249999999999</v>
      </c>
      <c r="F86">
        <f>2330.33</f>
        <v>2330.33</v>
      </c>
      <c r="G86">
        <f>9954.233</f>
        <v>9954.2330000000002</v>
      </c>
      <c r="H86">
        <f>3737.98</f>
        <v>3737.98</v>
      </c>
      <c r="I86">
        <f>13194.47</f>
        <v>13194.47</v>
      </c>
      <c r="J86">
        <f>5500.33</f>
        <v>5500.33</v>
      </c>
      <c r="K86">
        <f>17613.88</f>
        <v>17613.88</v>
      </c>
      <c r="L86">
        <f>2647.43</f>
        <v>2647.43</v>
      </c>
      <c r="M86">
        <f>12262.44</f>
        <v>12262.44</v>
      </c>
      <c r="N86">
        <f>425.416</f>
        <v>425.416</v>
      </c>
      <c r="O86">
        <f>4063.36</f>
        <v>4063.36</v>
      </c>
      <c r="P86">
        <f>352.35</f>
        <v>352.35</v>
      </c>
      <c r="Q86">
        <f>3989.339</f>
        <v>3989.3389999999999</v>
      </c>
      <c r="R86">
        <f>8505.55</f>
        <v>8505.5499999999993</v>
      </c>
      <c r="S86">
        <f>3271.23</f>
        <v>3271.23</v>
      </c>
      <c r="T86">
        <f>4252.386</f>
        <v>4252.3860000000004</v>
      </c>
      <c r="U86">
        <f>77547.01</f>
        <v>77547.009999999995</v>
      </c>
      <c r="V86">
        <f>699.3</f>
        <v>699.3</v>
      </c>
    </row>
    <row r="87" spans="1:22" x14ac:dyDescent="0.2">
      <c r="A87" s="1">
        <v>44986</v>
      </c>
      <c r="B87">
        <f>2411.53</f>
        <v>2411.5300000000002</v>
      </c>
      <c r="C87">
        <f>9850.9</f>
        <v>9850.9</v>
      </c>
      <c r="D87">
        <f>8170.71</f>
        <v>8170.71</v>
      </c>
      <c r="E87">
        <f>2467.496</f>
        <v>2467.4960000000001</v>
      </c>
      <c r="F87">
        <f>2338.32</f>
        <v>2338.3200000000002</v>
      </c>
      <c r="G87">
        <f>9941.716</f>
        <v>9941.7160000000003</v>
      </c>
      <c r="H87">
        <f>3756.61</f>
        <v>3756.61</v>
      </c>
      <c r="I87">
        <f>13192.18</f>
        <v>13192.18</v>
      </c>
      <c r="J87">
        <f>5466.1</f>
        <v>5466.1</v>
      </c>
      <c r="K87">
        <f>17479.34</f>
        <v>17479.34</v>
      </c>
      <c r="L87">
        <f>2637.29</f>
        <v>2637.29</v>
      </c>
      <c r="M87">
        <f>12201.33</f>
        <v>12201.33</v>
      </c>
      <c r="N87">
        <f>421.494</f>
        <v>421.49400000000003</v>
      </c>
      <c r="O87">
        <f>4040.25</f>
        <v>4040.25</v>
      </c>
      <c r="P87">
        <f>352.93</f>
        <v>352.93</v>
      </c>
      <c r="Q87">
        <f>3951.694</f>
        <v>3951.694</v>
      </c>
      <c r="R87">
        <f>8440.25</f>
        <v>8440.25</v>
      </c>
      <c r="S87">
        <f>3276.54</f>
        <v>3276.54</v>
      </c>
      <c r="T87">
        <f>4315.853</f>
        <v>4315.8530000000001</v>
      </c>
      <c r="U87">
        <f>78631.45</f>
        <v>78631.45</v>
      </c>
      <c r="V87">
        <f>708.41</f>
        <v>708.41</v>
      </c>
    </row>
    <row r="88" spans="1:22" x14ac:dyDescent="0.2">
      <c r="A88" s="1">
        <v>44985</v>
      </c>
      <c r="B88">
        <f>2417.5</f>
        <v>2417.5</v>
      </c>
      <c r="C88">
        <f>9685.77</f>
        <v>9685.77</v>
      </c>
      <c r="D88">
        <f>8130.81</f>
        <v>8130.81</v>
      </c>
      <c r="E88">
        <f>2416.856</f>
        <v>2416.8560000000002</v>
      </c>
      <c r="F88">
        <f>2319.6</f>
        <v>2319.6</v>
      </c>
      <c r="G88">
        <f>9979.468</f>
        <v>9979.4680000000008</v>
      </c>
      <c r="H88">
        <f>3730.52</f>
        <v>3730.52</v>
      </c>
      <c r="I88">
        <f>13196.03</f>
        <v>13196.03</v>
      </c>
      <c r="J88">
        <f>5480.57</f>
        <v>5480.57</v>
      </c>
      <c r="K88">
        <f>17560.42</f>
        <v>17560.419999999998</v>
      </c>
      <c r="L88">
        <f>2639.77</f>
        <v>2639.77</v>
      </c>
      <c r="M88">
        <f>12235.69</f>
        <v>12235.69</v>
      </c>
      <c r="N88">
        <f>425.923</f>
        <v>425.923</v>
      </c>
      <c r="O88">
        <f>4065.94</f>
        <v>4065.94</v>
      </c>
      <c r="P88">
        <f>351.78</f>
        <v>351.78</v>
      </c>
      <c r="Q88">
        <f>3973.877</f>
        <v>3973.877</v>
      </c>
      <c r="R88">
        <f>8479.8</f>
        <v>8479.7999999999993</v>
      </c>
      <c r="S88">
        <f>3269.12</f>
        <v>3269.12</v>
      </c>
      <c r="T88">
        <f>4252.996</f>
        <v>4252.9960000000001</v>
      </c>
      <c r="U88">
        <f>77733.87</f>
        <v>77733.87</v>
      </c>
      <c r="V88">
        <f>702.25</f>
        <v>702.25</v>
      </c>
    </row>
    <row r="89" spans="1:22" x14ac:dyDescent="0.2">
      <c r="A89" s="1">
        <v>44984</v>
      </c>
      <c r="B89">
        <f>2412.19</f>
        <v>2412.19</v>
      </c>
      <c r="C89">
        <f>9709.66</f>
        <v>9709.66</v>
      </c>
      <c r="D89">
        <f>8191.55</f>
        <v>8191.55</v>
      </c>
      <c r="E89">
        <f>2424.878</f>
        <v>2424.8780000000002</v>
      </c>
      <c r="F89">
        <f>2298.67</f>
        <v>2298.67</v>
      </c>
      <c r="G89">
        <f>9989.912</f>
        <v>9989.9120000000003</v>
      </c>
      <c r="H89">
        <f>3755.09</f>
        <v>3755.09</v>
      </c>
      <c r="I89">
        <f>13246.06</f>
        <v>13246.06</v>
      </c>
      <c r="J89">
        <f>5509.96</f>
        <v>5509.96</v>
      </c>
      <c r="K89">
        <f>17609.16</f>
        <v>17609.16</v>
      </c>
      <c r="L89">
        <f>2652.73</f>
        <v>2652.73</v>
      </c>
      <c r="M89">
        <f>12266.52</f>
        <v>12266.52</v>
      </c>
      <c r="N89">
        <f>431.679</f>
        <v>431.67899999999997</v>
      </c>
      <c r="O89">
        <f>4082.95</f>
        <v>4082.95</v>
      </c>
      <c r="P89">
        <f>353.26</f>
        <v>353.26</v>
      </c>
      <c r="Q89">
        <f>3983.847</f>
        <v>3983.8470000000002</v>
      </c>
      <c r="R89">
        <f>8504.76</f>
        <v>8504.76</v>
      </c>
      <c r="S89">
        <f>3268.15</f>
        <v>3268.15</v>
      </c>
      <c r="T89">
        <f>4258.603</f>
        <v>4258.6030000000001</v>
      </c>
      <c r="U89">
        <f>77513.78</f>
        <v>77513.78</v>
      </c>
      <c r="V89">
        <f>703.39</f>
        <v>703.39</v>
      </c>
    </row>
    <row r="90" spans="1:22" x14ac:dyDescent="0.2">
      <c r="A90" s="1">
        <v>44981</v>
      </c>
      <c r="B90">
        <f>2391.35</f>
        <v>2391.35</v>
      </c>
      <c r="C90">
        <f>9727.8</f>
        <v>9727.7999999999993</v>
      </c>
      <c r="D90">
        <f>8133.27</f>
        <v>8133.27</v>
      </c>
      <c r="E90">
        <f>2436.378</f>
        <v>2436.3780000000002</v>
      </c>
      <c r="F90">
        <f>2270.28</f>
        <v>2270.2800000000002</v>
      </c>
      <c r="G90">
        <f>9853.547</f>
        <v>9853.5470000000005</v>
      </c>
      <c r="H90">
        <f>3737.87</f>
        <v>3737.87</v>
      </c>
      <c r="I90">
        <f>13024.82</f>
        <v>13024.82</v>
      </c>
      <c r="J90">
        <f>5501.74</f>
        <v>5501.74</v>
      </c>
      <c r="K90">
        <f>17552.11</f>
        <v>17552.11</v>
      </c>
      <c r="L90">
        <f>2646.42</f>
        <v>2646.42</v>
      </c>
      <c r="M90">
        <f>12198.36</f>
        <v>12198.36</v>
      </c>
      <c r="N90">
        <f>427.844</f>
        <v>427.84399999999999</v>
      </c>
      <c r="O90">
        <f>4039.04</f>
        <v>4039.04</v>
      </c>
      <c r="P90">
        <f>349.31</f>
        <v>349.31</v>
      </c>
      <c r="Q90">
        <f>3977.796</f>
        <v>3977.7959999999998</v>
      </c>
      <c r="R90">
        <f>8477.66</f>
        <v>8477.66</v>
      </c>
      <c r="S90">
        <f>3260.04</f>
        <v>3260.04</v>
      </c>
      <c r="T90">
        <f>4248.435</f>
        <v>4248.4350000000004</v>
      </c>
      <c r="U90">
        <f>76937.77</f>
        <v>76937.77</v>
      </c>
      <c r="V90">
        <f>704.07</f>
        <v>704.07</v>
      </c>
    </row>
    <row r="91" spans="1:22" x14ac:dyDescent="0.2">
      <c r="A91" s="1">
        <v>44980</v>
      </c>
      <c r="B91">
        <f>2399.53</f>
        <v>2399.5300000000002</v>
      </c>
      <c r="C91">
        <f>9867.37</f>
        <v>9867.3700000000008</v>
      </c>
      <c r="D91">
        <f>8163.27</f>
        <v>8163.27</v>
      </c>
      <c r="E91">
        <f>2476.038</f>
        <v>2476.038</v>
      </c>
      <c r="F91">
        <f>2320.79</f>
        <v>2320.79</v>
      </c>
      <c r="G91">
        <f>9951.82</f>
        <v>9951.82</v>
      </c>
      <c r="H91">
        <f>3749.45</f>
        <v>3749.45</v>
      </c>
      <c r="I91">
        <f>13263.45</f>
        <v>13263.45</v>
      </c>
      <c r="J91">
        <f>5533.7</f>
        <v>5533.7</v>
      </c>
      <c r="K91">
        <f>17742.95</f>
        <v>17742.95</v>
      </c>
      <c r="L91">
        <f>2668.23</f>
        <v>2668.23</v>
      </c>
      <c r="M91">
        <f>12335.38</f>
        <v>12335.38</v>
      </c>
      <c r="N91">
        <f>429.594</f>
        <v>429.59399999999999</v>
      </c>
      <c r="O91">
        <f>4084.52</f>
        <v>4084.52</v>
      </c>
      <c r="P91" t="e">
        <f>NA()</f>
        <v>#N/A</v>
      </c>
      <c r="Q91">
        <f>3994.095</f>
        <v>3994.0949999999998</v>
      </c>
      <c r="R91">
        <f>8567.57</f>
        <v>8567.57</v>
      </c>
      <c r="S91" t="e">
        <f>NA()</f>
        <v>#N/A</v>
      </c>
      <c r="T91">
        <f>4327.332</f>
        <v>4327.3320000000003</v>
      </c>
      <c r="U91">
        <f>79010.83</f>
        <v>79010.83</v>
      </c>
      <c r="V91">
        <f>714.67</f>
        <v>714.67</v>
      </c>
    </row>
    <row r="92" spans="1:22" x14ac:dyDescent="0.2">
      <c r="A92" s="1">
        <v>44979</v>
      </c>
      <c r="B92">
        <f>2412.59</f>
        <v>2412.59</v>
      </c>
      <c r="C92">
        <f>9787.12</f>
        <v>9787.1200000000008</v>
      </c>
      <c r="D92">
        <f>8166.44</f>
        <v>8166.44</v>
      </c>
      <c r="E92">
        <f>2461.625</f>
        <v>2461.625</v>
      </c>
      <c r="F92">
        <f>2364.23</f>
        <v>2364.23</v>
      </c>
      <c r="G92">
        <f>9993.788</f>
        <v>9993.7880000000005</v>
      </c>
      <c r="H92">
        <f>3756.13</f>
        <v>3756.13</v>
      </c>
      <c r="I92">
        <f>13288.12</f>
        <v>13288.12</v>
      </c>
      <c r="J92">
        <f>5522.11</f>
        <v>5522.11</v>
      </c>
      <c r="K92">
        <f>17649.97</f>
        <v>17649.97</v>
      </c>
      <c r="L92">
        <f>2674.37</f>
        <v>2674.37</v>
      </c>
      <c r="M92">
        <f>12303.76</f>
        <v>12303.76</v>
      </c>
      <c r="N92">
        <f>431.348</f>
        <v>431.34800000000001</v>
      </c>
      <c r="O92">
        <f>4082.63</f>
        <v>4082.63</v>
      </c>
      <c r="P92">
        <f>347.83</f>
        <v>347.83</v>
      </c>
      <c r="Q92">
        <f>3986.816</f>
        <v>3986.8159999999998</v>
      </c>
      <c r="R92">
        <f>8521.45</f>
        <v>8521.4500000000007</v>
      </c>
      <c r="S92">
        <f>3238.49</f>
        <v>3238.49</v>
      </c>
      <c r="T92">
        <f>4289.485</f>
        <v>4289.4849999999997</v>
      </c>
      <c r="U92">
        <f>78170.14</f>
        <v>78170.14</v>
      </c>
      <c r="V92">
        <f>705.86</f>
        <v>705.86</v>
      </c>
    </row>
    <row r="93" spans="1:22" x14ac:dyDescent="0.2">
      <c r="A93" s="1">
        <v>44978</v>
      </c>
      <c r="B93">
        <f>2433.78</f>
        <v>2433.7800000000002</v>
      </c>
      <c r="C93">
        <f>9890.83</f>
        <v>9890.83</v>
      </c>
      <c r="D93">
        <f>8214.96</f>
        <v>8214.9599999999991</v>
      </c>
      <c r="E93">
        <f>2494.444</f>
        <v>2494.444</v>
      </c>
      <c r="F93">
        <f>2414.61</f>
        <v>2414.61</v>
      </c>
      <c r="G93">
        <f>10111.66</f>
        <v>10111.66</v>
      </c>
      <c r="H93">
        <f>3791.31</f>
        <v>3791.31</v>
      </c>
      <c r="I93">
        <f>13386.09</f>
        <v>13386.09</v>
      </c>
      <c r="J93">
        <f>5535.96</f>
        <v>5535.96</v>
      </c>
      <c r="K93">
        <f>17668.1</f>
        <v>17668.099999999999</v>
      </c>
      <c r="L93">
        <f>2684.35</f>
        <v>2684.35</v>
      </c>
      <c r="M93">
        <f>12345.81</f>
        <v>12345.81</v>
      </c>
      <c r="N93">
        <f>430.366</f>
        <v>430.36599999999999</v>
      </c>
      <c r="O93">
        <f>4096.2</f>
        <v>4096.2</v>
      </c>
      <c r="P93">
        <f>351.28</f>
        <v>351.28</v>
      </c>
      <c r="Q93">
        <f>3986.823</f>
        <v>3986.8229999999999</v>
      </c>
      <c r="R93">
        <f>8534.73</f>
        <v>8534.73</v>
      </c>
      <c r="S93">
        <f>3274.9</f>
        <v>3274.9</v>
      </c>
      <c r="T93">
        <f>4388.083</f>
        <v>4388.0829999999996</v>
      </c>
      <c r="U93">
        <f>78811.05</f>
        <v>78811.05</v>
      </c>
      <c r="V93">
        <f>715.13</f>
        <v>715.13</v>
      </c>
    </row>
    <row r="94" spans="1:22" x14ac:dyDescent="0.2">
      <c r="A94" s="1">
        <v>44977</v>
      </c>
      <c r="B94">
        <f>2462.51</f>
        <v>2462.5100000000002</v>
      </c>
      <c r="C94">
        <f>9895.39</f>
        <v>9895.39</v>
      </c>
      <c r="D94">
        <f>8252.6</f>
        <v>8252.6</v>
      </c>
      <c r="E94">
        <f>2519.552</f>
        <v>2519.5520000000001</v>
      </c>
      <c r="F94">
        <f>2432.7</f>
        <v>2432.6999999999998</v>
      </c>
      <c r="G94">
        <f>10061.03</f>
        <v>10061.030000000001</v>
      </c>
      <c r="H94">
        <f>3798.66</f>
        <v>3798.66</v>
      </c>
      <c r="I94">
        <f>13445.25</f>
        <v>13445.25</v>
      </c>
      <c r="J94">
        <f>5638.38</f>
        <v>5638.38</v>
      </c>
      <c r="K94">
        <f>18034.86</f>
        <v>18034.86</v>
      </c>
      <c r="L94">
        <f>2710.69</f>
        <v>2710.69</v>
      </c>
      <c r="M94">
        <f>12538.78</f>
        <v>12538.78</v>
      </c>
      <c r="N94">
        <f>430.751</f>
        <v>430.75099999999998</v>
      </c>
      <c r="O94">
        <f>4104.07</f>
        <v>4104.07</v>
      </c>
      <c r="P94">
        <f>349.73</f>
        <v>349.73</v>
      </c>
      <c r="Q94" t="e">
        <f>NA()</f>
        <v>#N/A</v>
      </c>
      <c r="R94" t="e">
        <f>NA()</f>
        <v>#N/A</v>
      </c>
      <c r="S94">
        <f>3278.59</f>
        <v>3278.59</v>
      </c>
      <c r="T94">
        <f>4456.721</f>
        <v>4456.7209999999995</v>
      </c>
      <c r="U94">
        <f>79829.39</f>
        <v>79829.39</v>
      </c>
      <c r="V94">
        <f>725.14</f>
        <v>725.14</v>
      </c>
    </row>
    <row r="95" spans="1:22" x14ac:dyDescent="0.2">
      <c r="A95" s="1">
        <v>44974</v>
      </c>
      <c r="B95">
        <f>2448.64</f>
        <v>2448.64</v>
      </c>
      <c r="C95">
        <f>9808.33</f>
        <v>9808.33</v>
      </c>
      <c r="D95">
        <f>8242.36</f>
        <v>8242.36</v>
      </c>
      <c r="E95">
        <f>2505.055</f>
        <v>2505.0549999999998</v>
      </c>
      <c r="F95">
        <f>2401.97</f>
        <v>2401.9699999999998</v>
      </c>
      <c r="G95">
        <f>10022.16</f>
        <v>10022.16</v>
      </c>
      <c r="H95">
        <f>3769.4</f>
        <v>3769.4</v>
      </c>
      <c r="I95">
        <f>13407.91</f>
        <v>13407.91</v>
      </c>
      <c r="J95">
        <f>5638.38</f>
        <v>5638.38</v>
      </c>
      <c r="K95">
        <f>18034.86</f>
        <v>18034.86</v>
      </c>
      <c r="L95">
        <f>2704.24</f>
        <v>2704.24</v>
      </c>
      <c r="M95">
        <f>12523.32</f>
        <v>12523.32</v>
      </c>
      <c r="N95">
        <f>429.985</f>
        <v>429.98500000000001</v>
      </c>
      <c r="O95">
        <f>4100.11</f>
        <v>4100.1099999999997</v>
      </c>
      <c r="P95">
        <f>345.95</f>
        <v>345.95</v>
      </c>
      <c r="Q95">
        <f>4074.042</f>
        <v>4074.0419999999999</v>
      </c>
      <c r="R95">
        <f>8709.21</f>
        <v>8709.2099999999991</v>
      </c>
      <c r="S95">
        <f>3265.83</f>
        <v>3265.83</v>
      </c>
      <c r="T95">
        <f>4417.628</f>
        <v>4417.6279999999997</v>
      </c>
      <c r="U95">
        <f>79271.78</f>
        <v>79271.78</v>
      </c>
      <c r="V95">
        <f>717.67</f>
        <v>717.67</v>
      </c>
    </row>
    <row r="96" spans="1:22" x14ac:dyDescent="0.2">
      <c r="A96" s="1">
        <v>44973</v>
      </c>
      <c r="B96">
        <f>2444.48</f>
        <v>2444.48</v>
      </c>
      <c r="C96">
        <f>9829.48</f>
        <v>9829.48</v>
      </c>
      <c r="D96">
        <f>8250.77</f>
        <v>8250.77</v>
      </c>
      <c r="E96">
        <f>2534.388</f>
        <v>2534.3879999999999</v>
      </c>
      <c r="F96">
        <f>2391.53</f>
        <v>2391.5300000000002</v>
      </c>
      <c r="G96">
        <f>10044.72</f>
        <v>10044.719999999999</v>
      </c>
      <c r="H96">
        <f>3772.25</f>
        <v>3772.25</v>
      </c>
      <c r="I96">
        <f>13445.1</f>
        <v>13445.1</v>
      </c>
      <c r="J96">
        <f>5612.64</f>
        <v>5612.64</v>
      </c>
      <c r="K96">
        <f>18094.05</f>
        <v>18094.05</v>
      </c>
      <c r="L96">
        <f>2693.64</f>
        <v>2693.64</v>
      </c>
      <c r="M96">
        <f>12570.1</f>
        <v>12570.1</v>
      </c>
      <c r="N96">
        <f>429.093</f>
        <v>429.09300000000002</v>
      </c>
      <c r="O96">
        <f>4107.27</f>
        <v>4107.2700000000004</v>
      </c>
      <c r="P96">
        <f>345.23</f>
        <v>345.23</v>
      </c>
      <c r="Q96">
        <f>4064.236</f>
        <v>4064.2359999999999</v>
      </c>
      <c r="R96">
        <f>8731.75</f>
        <v>8731.75</v>
      </c>
      <c r="S96">
        <f>3280.81</f>
        <v>3280.81</v>
      </c>
      <c r="T96">
        <f>4474.486</f>
        <v>4474.4859999999999</v>
      </c>
      <c r="U96">
        <f>80227.19</f>
        <v>80227.19</v>
      </c>
      <c r="V96">
        <f>725.84</f>
        <v>725.84</v>
      </c>
    </row>
    <row r="97" spans="1:22" x14ac:dyDescent="0.2">
      <c r="A97" s="1">
        <v>44972</v>
      </c>
      <c r="B97">
        <f>2442.18</f>
        <v>2442.1799999999998</v>
      </c>
      <c r="C97">
        <f>9792.73</f>
        <v>9792.73</v>
      </c>
      <c r="D97">
        <f>8222.98</f>
        <v>8222.98</v>
      </c>
      <c r="E97">
        <f>2518.616</f>
        <v>2518.616</v>
      </c>
      <c r="F97">
        <f>2376.4</f>
        <v>2376.4</v>
      </c>
      <c r="G97">
        <f>10000.54</f>
        <v>10000.540000000001</v>
      </c>
      <c r="H97">
        <f>3750.08</f>
        <v>3750.08</v>
      </c>
      <c r="I97">
        <f>13425.37</f>
        <v>13425.37</v>
      </c>
      <c r="J97">
        <f>5654.18</f>
        <v>5654.18</v>
      </c>
      <c r="K97">
        <f>18346.6</f>
        <v>18346.599999999999</v>
      </c>
      <c r="L97">
        <f>2704.91</f>
        <v>2704.91</v>
      </c>
      <c r="M97">
        <f>12680.04</f>
        <v>12680.04</v>
      </c>
      <c r="N97">
        <f>429.467</f>
        <v>429.46699999999998</v>
      </c>
      <c r="O97">
        <f>4099.47</f>
        <v>4099.47</v>
      </c>
      <c r="P97">
        <f>344.87</f>
        <v>344.87</v>
      </c>
      <c r="Q97">
        <f>4085.051</f>
        <v>4085.0509999999999</v>
      </c>
      <c r="R97">
        <f>8853.02</f>
        <v>8853.02</v>
      </c>
      <c r="S97">
        <f>3258.92</f>
        <v>3258.92</v>
      </c>
      <c r="T97">
        <f>4427.02</f>
        <v>4427.0200000000004</v>
      </c>
      <c r="U97">
        <f>79471.76</f>
        <v>79471.759999999995</v>
      </c>
      <c r="V97">
        <f>718.33</f>
        <v>718.33</v>
      </c>
    </row>
    <row r="98" spans="1:22" x14ac:dyDescent="0.2">
      <c r="A98" s="1">
        <v>44971</v>
      </c>
      <c r="B98">
        <f>2423.65</f>
        <v>2423.65</v>
      </c>
      <c r="C98">
        <f>9868.41</f>
        <v>9868.41</v>
      </c>
      <c r="D98">
        <f>8177.76</f>
        <v>8177.76</v>
      </c>
      <c r="E98">
        <f>2542.233</f>
        <v>2542.2330000000002</v>
      </c>
      <c r="F98">
        <f>2394.54</f>
        <v>2394.54</v>
      </c>
      <c r="G98">
        <f>10084.53</f>
        <v>10084.530000000001</v>
      </c>
      <c r="H98">
        <f>3789.71</f>
        <v>3789.71</v>
      </c>
      <c r="I98">
        <f>13387.1</f>
        <v>13387.1</v>
      </c>
      <c r="J98">
        <f>5640.32</f>
        <v>5640.32</v>
      </c>
      <c r="K98">
        <f>18268.15</f>
        <v>18268.150000000001</v>
      </c>
      <c r="L98">
        <f>2709.34</f>
        <v>2709.34</v>
      </c>
      <c r="M98">
        <f>12664.79</f>
        <v>12664.79</v>
      </c>
      <c r="N98">
        <f>426.875</f>
        <v>426.875</v>
      </c>
      <c r="O98">
        <f>4078.69</f>
        <v>4078.69</v>
      </c>
      <c r="P98">
        <f>343.66</f>
        <v>343.66</v>
      </c>
      <c r="Q98">
        <f>4065.155</f>
        <v>4065.1550000000002</v>
      </c>
      <c r="R98">
        <f>8826.32</f>
        <v>8826.32</v>
      </c>
      <c r="S98">
        <f>3267.69</f>
        <v>3267.69</v>
      </c>
      <c r="T98">
        <f>4486.428</f>
        <v>4486.4279999999999</v>
      </c>
      <c r="U98">
        <f>79858.02</f>
        <v>79858.02</v>
      </c>
      <c r="V98">
        <f>728.57</f>
        <v>728.57</v>
      </c>
    </row>
    <row r="99" spans="1:22" x14ac:dyDescent="0.2">
      <c r="A99" s="1">
        <v>44970</v>
      </c>
      <c r="B99">
        <f>2422.81</f>
        <v>2422.81</v>
      </c>
      <c r="C99">
        <f>9822.96</f>
        <v>9822.9599999999991</v>
      </c>
      <c r="D99">
        <f>8171.33</f>
        <v>8171.33</v>
      </c>
      <c r="E99">
        <f>2539.724</f>
        <v>2539.7240000000002</v>
      </c>
      <c r="F99">
        <f>2401.02</f>
        <v>2401.02</v>
      </c>
      <c r="G99">
        <f>10058.23</f>
        <v>10058.23</v>
      </c>
      <c r="H99">
        <f>3761.22</f>
        <v>3761.22</v>
      </c>
      <c r="I99">
        <f>13381.53</f>
        <v>13381.53</v>
      </c>
      <c r="J99">
        <f>5675.34</f>
        <v>5675.34</v>
      </c>
      <c r="K99">
        <f>18259.47</f>
        <v>18259.47</v>
      </c>
      <c r="L99">
        <f>2717.52</f>
        <v>2717.52</v>
      </c>
      <c r="M99">
        <f>12652.11</f>
        <v>12652.11</v>
      </c>
      <c r="N99">
        <f>427.194</f>
        <v>427.19400000000002</v>
      </c>
      <c r="O99">
        <f>4076.79</f>
        <v>4076.79</v>
      </c>
      <c r="P99">
        <f>340.35</f>
        <v>340.35</v>
      </c>
      <c r="Q99">
        <f>4082.871</f>
        <v>4082.8710000000001</v>
      </c>
      <c r="R99">
        <f>8827.72</f>
        <v>8827.7199999999993</v>
      </c>
      <c r="S99">
        <f>3242.41</f>
        <v>3242.41</v>
      </c>
      <c r="T99">
        <f>4499.444</f>
        <v>4499.4440000000004</v>
      </c>
      <c r="U99">
        <f>79770.21</f>
        <v>79770.210000000006</v>
      </c>
      <c r="V99">
        <f>730.16</f>
        <v>730.16</v>
      </c>
    </row>
    <row r="100" spans="1:22" x14ac:dyDescent="0.2">
      <c r="A100" s="1">
        <v>44967</v>
      </c>
      <c r="B100">
        <f>2415.32</f>
        <v>2415.3200000000002</v>
      </c>
      <c r="C100">
        <f>9811.83</f>
        <v>9811.83</v>
      </c>
      <c r="D100">
        <f>8104.35</f>
        <v>8104.35</v>
      </c>
      <c r="E100">
        <f>2539.946</f>
        <v>2539.9459999999999</v>
      </c>
      <c r="F100">
        <f>2370.73</f>
        <v>2370.73</v>
      </c>
      <c r="G100">
        <f>9929.04</f>
        <v>9929.0400000000009</v>
      </c>
      <c r="H100">
        <f>3806.24</f>
        <v>3806.24</v>
      </c>
      <c r="I100">
        <f>13209.16</f>
        <v>13209.16</v>
      </c>
      <c r="J100">
        <f>5618.88</f>
        <v>5618.88</v>
      </c>
      <c r="K100">
        <f>18050.38</f>
        <v>18050.38</v>
      </c>
      <c r="L100">
        <f>2695.63</f>
        <v>2695.63</v>
      </c>
      <c r="M100">
        <f>12533.23</f>
        <v>12533.23</v>
      </c>
      <c r="N100">
        <f>423.039</f>
        <v>423.03899999999999</v>
      </c>
      <c r="O100">
        <f>4038.74</f>
        <v>4038.74</v>
      </c>
      <c r="P100">
        <f>340.07</f>
        <v>340.07</v>
      </c>
      <c r="Q100">
        <f>4036.626</f>
        <v>4036.6260000000002</v>
      </c>
      <c r="R100">
        <f>8726.47</f>
        <v>8726.4699999999993</v>
      </c>
      <c r="S100">
        <f>3257.65</f>
        <v>3257.65</v>
      </c>
      <c r="T100">
        <f>4449.169</f>
        <v>4449.1689999999999</v>
      </c>
      <c r="U100">
        <f>78985.35</f>
        <v>78985.350000000006</v>
      </c>
      <c r="V100">
        <f>719.19</f>
        <v>719.19</v>
      </c>
    </row>
    <row r="101" spans="1:22" x14ac:dyDescent="0.2">
      <c r="A101" s="1">
        <v>44966</v>
      </c>
      <c r="B101">
        <f>2436.71</f>
        <v>2436.71</v>
      </c>
      <c r="C101">
        <f>9871.76</f>
        <v>9871.76</v>
      </c>
      <c r="D101">
        <f>8133.85</f>
        <v>8133.85</v>
      </c>
      <c r="E101">
        <f>2567.107</f>
        <v>2567.107</v>
      </c>
      <c r="F101">
        <f>2432.67</f>
        <v>2432.67</v>
      </c>
      <c r="G101">
        <f>10027.97</f>
        <v>10027.969999999999</v>
      </c>
      <c r="H101">
        <f>3800.32</f>
        <v>3800.32</v>
      </c>
      <c r="I101">
        <f>13461.05</f>
        <v>13461.05</v>
      </c>
      <c r="J101">
        <f>5569.85</f>
        <v>5569.85</v>
      </c>
      <c r="K101">
        <f>18015.76</f>
        <v>18015.759999999998</v>
      </c>
      <c r="L101">
        <f>2692.8</f>
        <v>2692.8</v>
      </c>
      <c r="M101">
        <f>12560.5</f>
        <v>12560.5</v>
      </c>
      <c r="N101">
        <f>427.68</f>
        <v>427.68</v>
      </c>
      <c r="O101">
        <f>4074.19</f>
        <v>4074.19</v>
      </c>
      <c r="P101">
        <f>338.65</f>
        <v>338.65</v>
      </c>
      <c r="Q101">
        <f>4007.073</f>
        <v>4007.0729999999999</v>
      </c>
      <c r="R101">
        <f>8705.58</f>
        <v>8705.58</v>
      </c>
      <c r="S101">
        <f>3254.43</f>
        <v>3254.43</v>
      </c>
      <c r="T101">
        <f>4488.568</f>
        <v>4488.5680000000002</v>
      </c>
      <c r="U101">
        <f>80021.09</f>
        <v>80021.09</v>
      </c>
      <c r="V101">
        <f>730.91</f>
        <v>730.91</v>
      </c>
    </row>
    <row r="102" spans="1:22" x14ac:dyDescent="0.2">
      <c r="A102" s="1">
        <v>44965</v>
      </c>
      <c r="B102">
        <f>2430.55</f>
        <v>2430.5500000000002</v>
      </c>
      <c r="C102">
        <f>9894.4</f>
        <v>9894.4</v>
      </c>
      <c r="D102">
        <f>8107.14</f>
        <v>8107.14</v>
      </c>
      <c r="E102">
        <f>2557.147</f>
        <v>2557.1469999999999</v>
      </c>
      <c r="F102">
        <f>2407.99</f>
        <v>2407.9899999999998</v>
      </c>
      <c r="G102">
        <f>9908.055</f>
        <v>9908.0550000000003</v>
      </c>
      <c r="H102">
        <f>3782.17</f>
        <v>3782.17</v>
      </c>
      <c r="I102">
        <f>13334.11</f>
        <v>13334.11</v>
      </c>
      <c r="J102">
        <f>5613.77</f>
        <v>5613.77</v>
      </c>
      <c r="K102">
        <f>18179.33</f>
        <v>18179.330000000002</v>
      </c>
      <c r="L102">
        <f>2699.61</f>
        <v>2699.61</v>
      </c>
      <c r="M102">
        <f>12610.63</f>
        <v>12610.63</v>
      </c>
      <c r="N102">
        <f>427.573</f>
        <v>427.57299999999998</v>
      </c>
      <c r="O102">
        <f>4049.37</f>
        <v>4049.37</v>
      </c>
      <c r="P102">
        <f>337.6</f>
        <v>337.6</v>
      </c>
      <c r="Q102">
        <f>4048.972</f>
        <v>4048.9720000000002</v>
      </c>
      <c r="R102">
        <f>8781.79</f>
        <v>8781.7900000000009</v>
      </c>
      <c r="S102">
        <f>3252.75</f>
        <v>3252.75</v>
      </c>
      <c r="T102">
        <f>4522.912</f>
        <v>4522.9120000000003</v>
      </c>
      <c r="U102">
        <f>79975.59</f>
        <v>79975.59</v>
      </c>
      <c r="V102">
        <f>736.04</f>
        <v>736.04</v>
      </c>
    </row>
    <row r="103" spans="1:22" x14ac:dyDescent="0.2">
      <c r="A103" s="1">
        <v>44964</v>
      </c>
      <c r="B103">
        <f>2426.04</f>
        <v>2426.04</v>
      </c>
      <c r="C103">
        <f>9846.27</f>
        <v>9846.27</v>
      </c>
      <c r="D103">
        <f>8086.11</f>
        <v>8086.11</v>
      </c>
      <c r="E103">
        <f>2544.255</f>
        <v>2544.2550000000001</v>
      </c>
      <c r="F103">
        <f>2397.82</f>
        <v>2397.8200000000002</v>
      </c>
      <c r="G103">
        <f>9820.982</f>
        <v>9820.982</v>
      </c>
      <c r="H103">
        <f>3807.31</f>
        <v>3807.31</v>
      </c>
      <c r="I103">
        <f>13277.82</f>
        <v>13277.82</v>
      </c>
      <c r="J103">
        <f>5660.95</f>
        <v>5660.95</v>
      </c>
      <c r="K103">
        <f>18382.88</f>
        <v>18382.88</v>
      </c>
      <c r="L103">
        <f>2707.86</f>
        <v>2707.86</v>
      </c>
      <c r="M103">
        <f>12693.72</f>
        <v>12693.72</v>
      </c>
      <c r="N103">
        <f>426.547</f>
        <v>426.54700000000003</v>
      </c>
      <c r="O103">
        <f>4038.21</f>
        <v>4038.21</v>
      </c>
      <c r="P103">
        <f>336.13</f>
        <v>336.13</v>
      </c>
      <c r="Q103">
        <f>4091.335</f>
        <v>4091.335</v>
      </c>
      <c r="R103">
        <f>8879.91</f>
        <v>8879.91</v>
      </c>
      <c r="S103">
        <f>3251.81</f>
        <v>3251.81</v>
      </c>
      <c r="T103">
        <f>4543.698</f>
        <v>4543.6980000000003</v>
      </c>
      <c r="U103">
        <f>79534.22</f>
        <v>79534.22</v>
      </c>
      <c r="V103">
        <f>741.45</f>
        <v>741.45</v>
      </c>
    </row>
    <row r="104" spans="1:22" x14ac:dyDescent="0.2">
      <c r="A104" s="1">
        <v>44963</v>
      </c>
      <c r="B104">
        <f>2422.5</f>
        <v>2422.5</v>
      </c>
      <c r="C104">
        <f>9844.62</f>
        <v>9844.6200000000008</v>
      </c>
      <c r="D104">
        <f>8057.32</f>
        <v>8057.32</v>
      </c>
      <c r="E104">
        <f>2541.682</f>
        <v>2541.6819999999998</v>
      </c>
      <c r="F104">
        <f>2391.66</f>
        <v>2391.66</v>
      </c>
      <c r="G104">
        <f>9777.299</f>
        <v>9777.2990000000009</v>
      </c>
      <c r="H104">
        <f>3760.59</f>
        <v>3760.59</v>
      </c>
      <c r="I104">
        <f>13320.19</f>
        <v>13320.19</v>
      </c>
      <c r="J104">
        <f>5638.73</f>
        <v>5638.73</v>
      </c>
      <c r="K104">
        <f>18148.51</f>
        <v>18148.509999999998</v>
      </c>
      <c r="L104">
        <f>2700.91</f>
        <v>2700.91</v>
      </c>
      <c r="M104">
        <f>12572.48</f>
        <v>12572.48</v>
      </c>
      <c r="N104">
        <f>427.893</f>
        <v>427.89299999999997</v>
      </c>
      <c r="O104">
        <f>4032.17</f>
        <v>4032.17</v>
      </c>
      <c r="P104">
        <f>334.59</f>
        <v>334.59</v>
      </c>
      <c r="Q104">
        <f>4074.926</f>
        <v>4074.9259999999999</v>
      </c>
      <c r="R104">
        <f>8766.9</f>
        <v>8766.9</v>
      </c>
      <c r="S104">
        <f>3244.95</f>
        <v>3244.95</v>
      </c>
      <c r="T104">
        <f>4502.992</f>
        <v>4502.9920000000002</v>
      </c>
      <c r="U104">
        <f>79582.83</f>
        <v>79582.83</v>
      </c>
      <c r="V104">
        <f>737.64</f>
        <v>737.64</v>
      </c>
    </row>
    <row r="105" spans="1:22" x14ac:dyDescent="0.2">
      <c r="A105" s="1">
        <v>44960</v>
      </c>
      <c r="B105">
        <f>2446.69</f>
        <v>2446.69</v>
      </c>
      <c r="C105">
        <f>10015.19</f>
        <v>10015.19</v>
      </c>
      <c r="D105">
        <f>8124.24</f>
        <v>8124.24</v>
      </c>
      <c r="E105">
        <f>2602.426</f>
        <v>2602.4259999999999</v>
      </c>
      <c r="F105">
        <f>2440.65</f>
        <v>2440.65</v>
      </c>
      <c r="G105">
        <f>9931.236</f>
        <v>9931.2360000000008</v>
      </c>
      <c r="H105">
        <f>3769.24</f>
        <v>3769.24</v>
      </c>
      <c r="I105">
        <f>13591.95</f>
        <v>13591.95</v>
      </c>
      <c r="J105">
        <f>5666.33</f>
        <v>5666.33</v>
      </c>
      <c r="K105">
        <f>18266.7</f>
        <v>18266.7</v>
      </c>
      <c r="L105">
        <f>2722.5</f>
        <v>2722.5</v>
      </c>
      <c r="M105">
        <f>12693.94</f>
        <v>12693.94</v>
      </c>
      <c r="N105">
        <f>429.777</f>
        <v>429.77699999999999</v>
      </c>
      <c r="O105">
        <f>4061.32</f>
        <v>4061.32</v>
      </c>
      <c r="P105">
        <f>333.21</f>
        <v>333.21</v>
      </c>
      <c r="Q105">
        <f>4104.38</f>
        <v>4104.38</v>
      </c>
      <c r="R105">
        <f>8820.47</f>
        <v>8820.4699999999993</v>
      </c>
      <c r="S105">
        <f>3230.27</f>
        <v>3230.27</v>
      </c>
      <c r="T105">
        <f>4577.112</f>
        <v>4577.1120000000001</v>
      </c>
      <c r="U105">
        <f>80240.92</f>
        <v>80240.92</v>
      </c>
      <c r="V105">
        <f>747.23</f>
        <v>747.23</v>
      </c>
    </row>
    <row r="106" spans="1:22" x14ac:dyDescent="0.2">
      <c r="A106" s="1">
        <v>44959</v>
      </c>
      <c r="B106">
        <f>2451.5</f>
        <v>2451.5</v>
      </c>
      <c r="C106">
        <f>10094.45</f>
        <v>10094.450000000001</v>
      </c>
      <c r="D106">
        <f>8040.31</f>
        <v>8040.31</v>
      </c>
      <c r="E106">
        <f>2619.49</f>
        <v>2619.4899999999998</v>
      </c>
      <c r="F106">
        <f>2466.08</f>
        <v>2466.08</v>
      </c>
      <c r="G106">
        <f>9974.786</f>
        <v>9974.7860000000001</v>
      </c>
      <c r="H106">
        <f>3854.43</f>
        <v>3854.43</v>
      </c>
      <c r="I106">
        <f>13636.86</f>
        <v>13636.86</v>
      </c>
      <c r="J106">
        <f>5714.21</f>
        <v>5714.21</v>
      </c>
      <c r="K106">
        <f>18466.77</f>
        <v>18466.77</v>
      </c>
      <c r="L106">
        <f>2746.36</f>
        <v>2746.36</v>
      </c>
      <c r="M106">
        <f>12815.31</f>
        <v>12815.31</v>
      </c>
      <c r="N106">
        <f>429.455</f>
        <v>429.45499999999998</v>
      </c>
      <c r="O106">
        <f>4043.1</f>
        <v>4043.1</v>
      </c>
      <c r="P106">
        <f>334.83</f>
        <v>334.83</v>
      </c>
      <c r="Q106">
        <f>4133.597</f>
        <v>4133.5969999999998</v>
      </c>
      <c r="R106">
        <f>8912.35</f>
        <v>8912.35</v>
      </c>
      <c r="S106">
        <f>3221.93</f>
        <v>3221.93</v>
      </c>
      <c r="T106">
        <f>4551.139</f>
        <v>4551.1390000000001</v>
      </c>
      <c r="U106">
        <f>79802.09</f>
        <v>79802.09</v>
      </c>
      <c r="V106">
        <f>745.79</f>
        <v>745.79</v>
      </c>
    </row>
    <row r="107" spans="1:22" x14ac:dyDescent="0.2">
      <c r="A107" s="1">
        <v>44958</v>
      </c>
      <c r="B107">
        <f>2407.91</f>
        <v>2407.91</v>
      </c>
      <c r="C107">
        <f>10078.4</f>
        <v>10078.4</v>
      </c>
      <c r="D107">
        <f>7979.6</f>
        <v>7979.6</v>
      </c>
      <c r="E107">
        <f>2612.544</f>
        <v>2612.5439999999999</v>
      </c>
      <c r="F107">
        <f>2452.49</f>
        <v>2452.4899999999998</v>
      </c>
      <c r="G107">
        <f>9944.957</f>
        <v>9944.9570000000003</v>
      </c>
      <c r="H107">
        <f>3859.6</f>
        <v>3859.6</v>
      </c>
      <c r="I107">
        <f>13403.7</f>
        <v>13403.7</v>
      </c>
      <c r="J107">
        <f>5692.44</f>
        <v>5692.44</v>
      </c>
      <c r="K107">
        <f>18186.83</f>
        <v>18186.830000000002</v>
      </c>
      <c r="L107">
        <f>2739.71</f>
        <v>2739.71</v>
      </c>
      <c r="M107">
        <f>12644.37</f>
        <v>12644.37</v>
      </c>
      <c r="N107">
        <f>418.717</f>
        <v>418.71699999999998</v>
      </c>
      <c r="O107">
        <f>3994.83</f>
        <v>3994.83</v>
      </c>
      <c r="P107">
        <f>339.02</f>
        <v>339.02</v>
      </c>
      <c r="Q107">
        <f>4100.896</f>
        <v>4100.8959999999997</v>
      </c>
      <c r="R107">
        <f>8782.77</f>
        <v>8782.77</v>
      </c>
      <c r="S107">
        <f>3233.51</f>
        <v>3233.51</v>
      </c>
      <c r="T107">
        <f>4532.209</f>
        <v>4532.2089999999998</v>
      </c>
      <c r="U107">
        <f>79816.87</f>
        <v>79816.87</v>
      </c>
      <c r="V107">
        <f>744.75</f>
        <v>744.75</v>
      </c>
    </row>
    <row r="108" spans="1:22" x14ac:dyDescent="0.2">
      <c r="A108" s="1">
        <v>44957</v>
      </c>
      <c r="B108">
        <f>2411.34</f>
        <v>2411.34</v>
      </c>
      <c r="C108">
        <f>10011.69</f>
        <v>10011.69</v>
      </c>
      <c r="D108">
        <f>7990.49</f>
        <v>7990.49</v>
      </c>
      <c r="E108">
        <f>2584.23</f>
        <v>2584.23</v>
      </c>
      <c r="F108">
        <f>2462.94</f>
        <v>2462.94</v>
      </c>
      <c r="G108">
        <f>9954.648</f>
        <v>9954.6479999999992</v>
      </c>
      <c r="H108">
        <f>3829.65</f>
        <v>3829.65</v>
      </c>
      <c r="I108">
        <f>13311.02</f>
        <v>13311.02</v>
      </c>
      <c r="J108">
        <f>5667.25</f>
        <v>5667.25</v>
      </c>
      <c r="K108">
        <f>17989.88</f>
        <v>17989.88</v>
      </c>
      <c r="L108">
        <f>2728.37</f>
        <v>2728.37</v>
      </c>
      <c r="M108">
        <f>12532.09</f>
        <v>12532.09</v>
      </c>
      <c r="N108">
        <f>418.838</f>
        <v>418.83800000000002</v>
      </c>
      <c r="O108">
        <f>4000.1</f>
        <v>4000.1</v>
      </c>
      <c r="P108">
        <f>341.53</f>
        <v>341.53</v>
      </c>
      <c r="Q108">
        <f>4067.273</f>
        <v>4067.2730000000001</v>
      </c>
      <c r="R108">
        <f>8691.88</f>
        <v>8691.8799999999992</v>
      </c>
      <c r="S108">
        <f>3238.48</f>
        <v>3238.48</v>
      </c>
      <c r="T108">
        <f>4536.872</f>
        <v>4536.8720000000003</v>
      </c>
      <c r="U108">
        <f>79476.6</f>
        <v>79476.600000000006</v>
      </c>
      <c r="V108">
        <f>739.81</f>
        <v>739.81</v>
      </c>
    </row>
    <row r="109" spans="1:22" x14ac:dyDescent="0.2">
      <c r="A109" s="1">
        <v>44956</v>
      </c>
      <c r="B109">
        <f>2420.53</f>
        <v>2420.5300000000002</v>
      </c>
      <c r="C109">
        <f>10095.93</f>
        <v>10095.93</v>
      </c>
      <c r="D109">
        <f>8004.02</f>
        <v>8004.02</v>
      </c>
      <c r="E109">
        <f>2615.626</f>
        <v>2615.6260000000002</v>
      </c>
      <c r="F109">
        <f>2480.58</f>
        <v>2480.58</v>
      </c>
      <c r="G109">
        <f>10028.65</f>
        <v>10028.65</v>
      </c>
      <c r="H109">
        <f>3820.91</f>
        <v>3820.91</v>
      </c>
      <c r="I109">
        <f>13341.28</f>
        <v>13341.28</v>
      </c>
      <c r="J109">
        <f>5602.73</f>
        <v>5602.73</v>
      </c>
      <c r="K109">
        <f>17724.78</f>
        <v>17724.78</v>
      </c>
      <c r="L109">
        <f>2712.69</f>
        <v>2712.69</v>
      </c>
      <c r="M109">
        <f>12416.34</f>
        <v>12416.34</v>
      </c>
      <c r="N109">
        <f>420.57</f>
        <v>420.57</v>
      </c>
      <c r="O109">
        <f>4008.37</f>
        <v>4008.37</v>
      </c>
      <c r="P109">
        <f>341.42</f>
        <v>341.42</v>
      </c>
      <c r="Q109">
        <f>3997.401</f>
        <v>3997.4009999999998</v>
      </c>
      <c r="R109">
        <f>8566.28</f>
        <v>8566.2800000000007</v>
      </c>
      <c r="S109">
        <f>3250.16</f>
        <v>3250.16</v>
      </c>
      <c r="T109">
        <f>4559.91</f>
        <v>4559.91</v>
      </c>
      <c r="U109">
        <f>80324.86</f>
        <v>80324.86</v>
      </c>
      <c r="V109">
        <f>743.86</f>
        <v>743.86</v>
      </c>
    </row>
    <row r="110" spans="1:22" x14ac:dyDescent="0.2">
      <c r="A110" s="1">
        <v>44953</v>
      </c>
      <c r="B110">
        <f>2426.61</f>
        <v>2426.61</v>
      </c>
      <c r="C110">
        <f>10090.65</f>
        <v>10090.65</v>
      </c>
      <c r="D110">
        <f>7983.75</f>
        <v>7983.75</v>
      </c>
      <c r="E110">
        <f>2633.491</f>
        <v>2633.491</v>
      </c>
      <c r="F110">
        <f>2474</f>
        <v>2474</v>
      </c>
      <c r="G110">
        <f>9981.253</f>
        <v>9981.2530000000006</v>
      </c>
      <c r="H110">
        <f>3841.28</f>
        <v>3841.28</v>
      </c>
      <c r="I110">
        <f>13335.81</f>
        <v>13335.81</v>
      </c>
      <c r="J110">
        <f>5639.11</f>
        <v>5639.11</v>
      </c>
      <c r="K110">
        <f>17965.57</f>
        <v>17965.57</v>
      </c>
      <c r="L110">
        <f>2721.12</f>
        <v>2721.12</v>
      </c>
      <c r="M110">
        <f>12534.83</f>
        <v>12534.83</v>
      </c>
      <c r="N110">
        <f>419.779</f>
        <v>419.779</v>
      </c>
      <c r="O110">
        <f>4014</f>
        <v>4014</v>
      </c>
      <c r="P110">
        <f>341.34</f>
        <v>341.34</v>
      </c>
      <c r="Q110">
        <f>4017.469</f>
        <v>4017.4690000000001</v>
      </c>
      <c r="R110">
        <f>8678.01</f>
        <v>8678.01</v>
      </c>
      <c r="S110">
        <f>3250.36</f>
        <v>3250.36</v>
      </c>
      <c r="T110">
        <f>4627.142</f>
        <v>4627.1419999999998</v>
      </c>
      <c r="U110">
        <f>80791.36</f>
        <v>80791.360000000001</v>
      </c>
      <c r="V110">
        <f>747.06</f>
        <v>747.06</v>
      </c>
    </row>
    <row r="111" spans="1:22" x14ac:dyDescent="0.2">
      <c r="A111" s="1">
        <v>44952</v>
      </c>
      <c r="B111">
        <f>2416.71</f>
        <v>2416.71</v>
      </c>
      <c r="C111">
        <f>10095.95</f>
        <v>10095.950000000001</v>
      </c>
      <c r="D111">
        <f>7979.59</f>
        <v>7979.59</v>
      </c>
      <c r="E111">
        <f>2636.66</f>
        <v>2636.66</v>
      </c>
      <c r="F111">
        <f>2485.27</f>
        <v>2485.27</v>
      </c>
      <c r="G111">
        <f>9974.947</f>
        <v>9974.9470000000001</v>
      </c>
      <c r="H111">
        <f>3822.09</f>
        <v>3822.09</v>
      </c>
      <c r="I111">
        <f>13322.69</f>
        <v>13322.69</v>
      </c>
      <c r="J111">
        <f>5653.33</f>
        <v>5653.33</v>
      </c>
      <c r="K111">
        <f>17909</f>
        <v>17909</v>
      </c>
      <c r="L111">
        <f>2726.81</f>
        <v>2726.81</v>
      </c>
      <c r="M111">
        <f>12497.51</f>
        <v>12497.51</v>
      </c>
      <c r="N111">
        <f>418.291</f>
        <v>418.291</v>
      </c>
      <c r="O111">
        <f>4005.51</f>
        <v>4005.51</v>
      </c>
      <c r="P111">
        <f>338.61</f>
        <v>338.61</v>
      </c>
      <c r="Q111">
        <f>4021.906</f>
        <v>4021.9059999999999</v>
      </c>
      <c r="R111">
        <f>8656.26</f>
        <v>8656.26</v>
      </c>
      <c r="S111">
        <f>3243.37</f>
        <v>3243.37</v>
      </c>
      <c r="T111">
        <f>4620.742</f>
        <v>4620.7420000000002</v>
      </c>
      <c r="U111">
        <f>80508.97</f>
        <v>80508.97</v>
      </c>
      <c r="V111">
        <f>742.04</f>
        <v>742.04</v>
      </c>
    </row>
    <row r="112" spans="1:22" x14ac:dyDescent="0.2">
      <c r="A112" s="1">
        <v>44951</v>
      </c>
      <c r="B112">
        <f>2403.49</f>
        <v>2403.4899999999998</v>
      </c>
      <c r="C112">
        <f>10039.45</f>
        <v>10039.450000000001</v>
      </c>
      <c r="D112">
        <f>7962.9</f>
        <v>7962.9</v>
      </c>
      <c r="E112">
        <f>2608.583</f>
        <v>2608.5830000000001</v>
      </c>
      <c r="F112">
        <f>2467.49</f>
        <v>2467.4899999999998</v>
      </c>
      <c r="G112">
        <f>9956.206</f>
        <v>9956.2060000000001</v>
      </c>
      <c r="H112">
        <f>3850.19</f>
        <v>3850.19</v>
      </c>
      <c r="I112">
        <f>13341.35</f>
        <v>13341.35</v>
      </c>
      <c r="J112">
        <f>5635.92</f>
        <v>5635.92</v>
      </c>
      <c r="K112">
        <f>17705.04</f>
        <v>17705.04</v>
      </c>
      <c r="L112">
        <f>2729.56</f>
        <v>2729.56</v>
      </c>
      <c r="M112">
        <f>12402.97</f>
        <v>12402.97</v>
      </c>
      <c r="N112">
        <f>416.744</f>
        <v>416.74400000000003</v>
      </c>
      <c r="O112">
        <f>3992.21</f>
        <v>3992.21</v>
      </c>
      <c r="P112">
        <f>338.29</f>
        <v>338.29</v>
      </c>
      <c r="Q112">
        <f>4016.907</f>
        <v>4016.9070000000002</v>
      </c>
      <c r="R112">
        <f>8561.4</f>
        <v>8561.4</v>
      </c>
      <c r="S112">
        <f>3247.13</f>
        <v>3247.13</v>
      </c>
      <c r="T112">
        <f>4568.783</f>
        <v>4568.7830000000004</v>
      </c>
      <c r="U112">
        <f>79725.46</f>
        <v>79725.460000000006</v>
      </c>
      <c r="V112">
        <f>741.72</f>
        <v>741.72</v>
      </c>
    </row>
    <row r="113" spans="1:22" x14ac:dyDescent="0.2">
      <c r="A113" s="1">
        <v>44950</v>
      </c>
      <c r="B113">
        <f>2402.7</f>
        <v>2402.6999999999998</v>
      </c>
      <c r="C113">
        <f>10019.76</f>
        <v>10019.76</v>
      </c>
      <c r="D113">
        <f>7975.73</f>
        <v>7975.73</v>
      </c>
      <c r="E113">
        <f>2603.403</f>
        <v>2603.4029999999998</v>
      </c>
      <c r="F113">
        <f>2451.08</f>
        <v>2451.08</v>
      </c>
      <c r="G113">
        <f>9932.077</f>
        <v>9932.0769999999993</v>
      </c>
      <c r="H113">
        <f>3825.97</f>
        <v>3825.97</v>
      </c>
      <c r="I113">
        <f>13351.16</f>
        <v>13351.16</v>
      </c>
      <c r="J113">
        <f>5622.77</f>
        <v>5622.77</v>
      </c>
      <c r="K113">
        <f>17707.56</f>
        <v>17707.560000000001</v>
      </c>
      <c r="L113">
        <f>2721.13</f>
        <v>2721.13</v>
      </c>
      <c r="M113">
        <f>12399.1</f>
        <v>12399.1</v>
      </c>
      <c r="N113">
        <f>420.416</f>
        <v>420.416</v>
      </c>
      <c r="O113">
        <f>4001.71</f>
        <v>4001.71</v>
      </c>
      <c r="P113">
        <f>337.47</f>
        <v>337.47</v>
      </c>
      <c r="Q113">
        <f>4031.147</f>
        <v>4031.1469999999999</v>
      </c>
      <c r="R113">
        <f>8562.87</f>
        <v>8562.8700000000008</v>
      </c>
      <c r="S113">
        <f>3234.39</f>
        <v>3234.39</v>
      </c>
      <c r="T113">
        <f>4603.27</f>
        <v>4603.2700000000004</v>
      </c>
      <c r="U113">
        <f>80037.01</f>
        <v>80037.009999999995</v>
      </c>
      <c r="V113">
        <f>748.16</f>
        <v>748.16</v>
      </c>
    </row>
    <row r="114" spans="1:22" x14ac:dyDescent="0.2">
      <c r="A114" s="1">
        <v>44949</v>
      </c>
      <c r="B114">
        <f>2400.24</f>
        <v>2400.2399999999998</v>
      </c>
      <c r="C114">
        <f>10006.29</f>
        <v>10006.290000000001</v>
      </c>
      <c r="D114">
        <f>8003.82</f>
        <v>8003.82</v>
      </c>
      <c r="E114">
        <f>2602.086</f>
        <v>2602.0859999999998</v>
      </c>
      <c r="F114">
        <f>2465.57</f>
        <v>2465.5700000000002</v>
      </c>
      <c r="G114">
        <f>10021.33</f>
        <v>10021.33</v>
      </c>
      <c r="H114">
        <f>3757.08</f>
        <v>3757.08</v>
      </c>
      <c r="I114">
        <f>13343.58</f>
        <v>13343.58</v>
      </c>
      <c r="J114">
        <f>5620.81</f>
        <v>5620.81</v>
      </c>
      <c r="K114">
        <f>17725.67</f>
        <v>17725.669999999998</v>
      </c>
      <c r="L114">
        <f>2719.34</f>
        <v>2719.34</v>
      </c>
      <c r="M114">
        <f>12394.39</f>
        <v>12394.39</v>
      </c>
      <c r="N114">
        <f>422.179</f>
        <v>422.17899999999997</v>
      </c>
      <c r="O114">
        <f>4010.4</f>
        <v>4010.4</v>
      </c>
      <c r="P114">
        <f>333.97</f>
        <v>333.97</v>
      </c>
      <c r="Q114">
        <f>4031.332</f>
        <v>4031.3319999999999</v>
      </c>
      <c r="R114">
        <f>8568.77</f>
        <v>8568.77</v>
      </c>
      <c r="S114">
        <f>3189.24</f>
        <v>3189.24</v>
      </c>
      <c r="T114">
        <f>4620.21</f>
        <v>4620.21</v>
      </c>
      <c r="U114">
        <f>80128.63</f>
        <v>80128.63</v>
      </c>
      <c r="V114">
        <f>753.59</f>
        <v>753.59</v>
      </c>
    </row>
    <row r="115" spans="1:22" x14ac:dyDescent="0.2">
      <c r="A115" s="1">
        <v>44946</v>
      </c>
      <c r="B115">
        <f>2388.97</f>
        <v>2388.9699999999998</v>
      </c>
      <c r="C115">
        <f>9991.23</f>
        <v>9991.23</v>
      </c>
      <c r="D115">
        <f>7989.34</f>
        <v>7989.34</v>
      </c>
      <c r="E115">
        <f>2595.987</f>
        <v>2595.9870000000001</v>
      </c>
      <c r="F115">
        <f>2447.31</f>
        <v>2447.31</v>
      </c>
      <c r="G115">
        <f>10004.09</f>
        <v>10004.09</v>
      </c>
      <c r="H115">
        <f>3746.47</f>
        <v>3746.47</v>
      </c>
      <c r="I115">
        <f>13205.38</f>
        <v>13205.38</v>
      </c>
      <c r="J115">
        <f>5578.67</f>
        <v>5578.67</v>
      </c>
      <c r="K115">
        <f>17507.92</f>
        <v>17507.919999999998</v>
      </c>
      <c r="L115">
        <f>2705.32</f>
        <v>2705.32</v>
      </c>
      <c r="M115">
        <f>12260.79</f>
        <v>12260.79</v>
      </c>
      <c r="N115">
        <f>421.281</f>
        <v>421.28100000000001</v>
      </c>
      <c r="O115">
        <f>3989.61</f>
        <v>3989.61</v>
      </c>
      <c r="P115">
        <f>332.06</f>
        <v>332.06</v>
      </c>
      <c r="Q115">
        <f>3999.056</f>
        <v>3999.056</v>
      </c>
      <c r="R115">
        <f>8468.15</f>
        <v>8468.15</v>
      </c>
      <c r="S115">
        <f>3158.9</f>
        <v>3158.9</v>
      </c>
      <c r="T115">
        <f>4587.85</f>
        <v>4587.8500000000004</v>
      </c>
      <c r="U115">
        <f>79269.77</f>
        <v>79269.77</v>
      </c>
      <c r="V115">
        <f>743.86</f>
        <v>743.86</v>
      </c>
    </row>
    <row r="116" spans="1:22" x14ac:dyDescent="0.2">
      <c r="A116" s="1">
        <v>44945</v>
      </c>
      <c r="B116">
        <f>2375.51</f>
        <v>2375.5100000000002</v>
      </c>
      <c r="C116">
        <f>9930.82</f>
        <v>9930.82</v>
      </c>
      <c r="D116">
        <f>7965.38</f>
        <v>7965.38</v>
      </c>
      <c r="E116">
        <f>2575.106</f>
        <v>2575.1060000000002</v>
      </c>
      <c r="F116">
        <f>2438.19</f>
        <v>2438.19</v>
      </c>
      <c r="G116">
        <f>9973.268</f>
        <v>9973.268</v>
      </c>
      <c r="H116">
        <f>3755.74</f>
        <v>3755.74</v>
      </c>
      <c r="I116">
        <f>13092.64</f>
        <v>13092.64</v>
      </c>
      <c r="J116">
        <f>5511.17</f>
        <v>5511.17</v>
      </c>
      <c r="K116">
        <f>17174.42</f>
        <v>17174.419999999998</v>
      </c>
      <c r="L116">
        <f>2684.99</f>
        <v>2684.99</v>
      </c>
      <c r="M116">
        <f>12080.31</f>
        <v>12080.31</v>
      </c>
      <c r="N116">
        <f>419.903</f>
        <v>419.90300000000002</v>
      </c>
      <c r="O116">
        <f>3974.26</f>
        <v>3974.26</v>
      </c>
      <c r="P116">
        <f>329.06</f>
        <v>329.06</v>
      </c>
      <c r="Q116">
        <f>3938.374</f>
        <v>3938.3739999999998</v>
      </c>
      <c r="R116">
        <f>8310.75</f>
        <v>8310.75</v>
      </c>
      <c r="S116">
        <f>3140.46</f>
        <v>3140.46</v>
      </c>
      <c r="T116">
        <f>4628.951</f>
        <v>4628.951</v>
      </c>
      <c r="U116">
        <f>79505.06</f>
        <v>79505.06</v>
      </c>
      <c r="V116">
        <f>747.66</f>
        <v>747.66</v>
      </c>
    </row>
    <row r="117" spans="1:22" x14ac:dyDescent="0.2">
      <c r="A117" s="1">
        <v>44944</v>
      </c>
      <c r="B117">
        <f>2407.62</f>
        <v>2407.62</v>
      </c>
      <c r="C117">
        <f>9966.24</f>
        <v>9966.24</v>
      </c>
      <c r="D117">
        <f>8049.6</f>
        <v>8049.6</v>
      </c>
      <c r="E117">
        <f>2580.44</f>
        <v>2580.44</v>
      </c>
      <c r="F117">
        <f>2487.19</f>
        <v>2487.19</v>
      </c>
      <c r="G117">
        <f>10106.53</f>
        <v>10106.530000000001</v>
      </c>
      <c r="H117">
        <f>3807.26</f>
        <v>3807.26</v>
      </c>
      <c r="I117">
        <f>13372.02</f>
        <v>13372.02</v>
      </c>
      <c r="J117">
        <f>5567.5</f>
        <v>5567.5</v>
      </c>
      <c r="K117">
        <f>17309.91</f>
        <v>17309.91</v>
      </c>
      <c r="L117">
        <f>2710.45</f>
        <v>2710.45</v>
      </c>
      <c r="M117">
        <f>12206.16</f>
        <v>12206.16</v>
      </c>
      <c r="N117">
        <f>425.235</f>
        <v>425.23500000000001</v>
      </c>
      <c r="O117">
        <f>4034.81</f>
        <v>4034.81</v>
      </c>
      <c r="P117">
        <f>331.99</f>
        <v>331.99</v>
      </c>
      <c r="Q117">
        <f>3998.793</f>
        <v>3998.7930000000001</v>
      </c>
      <c r="R117">
        <f>8373.66</f>
        <v>8373.66</v>
      </c>
      <c r="S117">
        <f>3172.11</f>
        <v>3172.11</v>
      </c>
      <c r="T117">
        <f>4634.279</f>
        <v>4634.2790000000005</v>
      </c>
      <c r="U117">
        <f>79865.48</f>
        <v>79865.48</v>
      </c>
      <c r="V117">
        <f>751.44</f>
        <v>751.44</v>
      </c>
    </row>
    <row r="118" spans="1:22" x14ac:dyDescent="0.2">
      <c r="A118" s="1">
        <v>44943</v>
      </c>
      <c r="B118">
        <f>2406.63</f>
        <v>2406.63</v>
      </c>
      <c r="C118">
        <f>9924.94</f>
        <v>9924.94</v>
      </c>
      <c r="D118">
        <f>8070.49</f>
        <v>8070.49</v>
      </c>
      <c r="E118">
        <f>2573.723</f>
        <v>2573.723</v>
      </c>
      <c r="F118">
        <f>2457.63</f>
        <v>2457.63</v>
      </c>
      <c r="G118">
        <f>10042.99</f>
        <v>10042.99</v>
      </c>
      <c r="H118">
        <f>3757.33</f>
        <v>3757.33</v>
      </c>
      <c r="I118">
        <f>13304.02</f>
        <v>13304.02</v>
      </c>
      <c r="J118">
        <f>5677.05</f>
        <v>5677.05</v>
      </c>
      <c r="K118">
        <f>17580.39</f>
        <v>17580.39</v>
      </c>
      <c r="L118">
        <f>2737.86</f>
        <v>2737.86</v>
      </c>
      <c r="M118">
        <f>12309.18</f>
        <v>12309.18</v>
      </c>
      <c r="N118">
        <f>424.378</f>
        <v>424.37799999999999</v>
      </c>
      <c r="O118">
        <f>4025.64</f>
        <v>4025.64</v>
      </c>
      <c r="P118">
        <f>329.05</f>
        <v>329.05</v>
      </c>
      <c r="Q118">
        <f>4071.093</f>
        <v>4071.0929999999998</v>
      </c>
      <c r="R118">
        <f>8506.03</f>
        <v>8506.0300000000007</v>
      </c>
      <c r="S118">
        <f>3119.58</f>
        <v>3119.58</v>
      </c>
      <c r="T118">
        <f>4635.713</f>
        <v>4635.7129999999997</v>
      </c>
      <c r="U118">
        <f>79385.11</f>
        <v>79385.11</v>
      </c>
      <c r="V118">
        <f>746.17</f>
        <v>746.17</v>
      </c>
    </row>
    <row r="119" spans="1:22" x14ac:dyDescent="0.2">
      <c r="A119" s="1">
        <v>44942</v>
      </c>
      <c r="B119">
        <f>2410.05</f>
        <v>2410.0500000000002</v>
      </c>
      <c r="C119">
        <f>9952.84</f>
        <v>9952.84</v>
      </c>
      <c r="D119">
        <f>8079.78</f>
        <v>8079.78</v>
      </c>
      <c r="E119">
        <f>2582.542</f>
        <v>2582.5419999999999</v>
      </c>
      <c r="F119">
        <f>2436.63</f>
        <v>2436.63</v>
      </c>
      <c r="G119">
        <f>9990.194</f>
        <v>9990.1939999999995</v>
      </c>
      <c r="H119">
        <f>3704.17</f>
        <v>3704.17</v>
      </c>
      <c r="I119">
        <f>13291.38</f>
        <v>13291.38</v>
      </c>
      <c r="J119">
        <f>5718.55</f>
        <v>5718.55</v>
      </c>
      <c r="K119">
        <f>17609.08</f>
        <v>17609.080000000002</v>
      </c>
      <c r="L119">
        <f>2745.12</f>
        <v>2745.12</v>
      </c>
      <c r="M119">
        <f>12306.6</f>
        <v>12306.6</v>
      </c>
      <c r="N119">
        <f>422.183</f>
        <v>422.18299999999999</v>
      </c>
      <c r="O119">
        <f>4010.67</f>
        <v>4010.67</v>
      </c>
      <c r="P119">
        <f>328.07</f>
        <v>328.07</v>
      </c>
      <c r="Q119" t="e">
        <f>NA()</f>
        <v>#N/A</v>
      </c>
      <c r="R119" t="e">
        <f>NA()</f>
        <v>#N/A</v>
      </c>
      <c r="S119">
        <f>3092.4</f>
        <v>3092.4</v>
      </c>
      <c r="T119">
        <f>4640.79</f>
        <v>4640.79</v>
      </c>
      <c r="U119">
        <f>79167.8</f>
        <v>79167.8</v>
      </c>
      <c r="V119">
        <f>749.74</f>
        <v>749.74</v>
      </c>
    </row>
    <row r="120" spans="1:22" x14ac:dyDescent="0.2">
      <c r="A120" s="1">
        <v>44939</v>
      </c>
      <c r="B120">
        <f>2401.9</f>
        <v>2401.9</v>
      </c>
      <c r="C120">
        <f>9952.82</f>
        <v>9952.82</v>
      </c>
      <c r="D120">
        <f>8063.34</f>
        <v>8063.34</v>
      </c>
      <c r="E120">
        <f>2579.568</f>
        <v>2579.5680000000002</v>
      </c>
      <c r="F120">
        <f>2440.46</f>
        <v>2440.46</v>
      </c>
      <c r="G120">
        <f>9977.844</f>
        <v>9977.8439999999991</v>
      </c>
      <c r="H120">
        <f>3765.24</f>
        <v>3765.24</v>
      </c>
      <c r="I120">
        <f>13220.82</f>
        <v>13220.82</v>
      </c>
      <c r="J120">
        <f>5718.55</f>
        <v>5718.55</v>
      </c>
      <c r="K120">
        <f>17609.08</f>
        <v>17609.080000000002</v>
      </c>
      <c r="L120">
        <f>2743.88</f>
        <v>2743.88</v>
      </c>
      <c r="M120">
        <f>12305.77</f>
        <v>12305.77</v>
      </c>
      <c r="N120">
        <f>417.478</f>
        <v>417.47800000000001</v>
      </c>
      <c r="O120">
        <f>3990.59</f>
        <v>3990.59</v>
      </c>
      <c r="P120">
        <f>333.41</f>
        <v>333.41</v>
      </c>
      <c r="Q120">
        <f>4088.722</f>
        <v>4088.7220000000002</v>
      </c>
      <c r="R120">
        <f>8523.32</f>
        <v>8523.32</v>
      </c>
      <c r="S120">
        <f>3119.89</f>
        <v>3119.89</v>
      </c>
      <c r="T120">
        <f>4691.961</f>
        <v>4691.9610000000002</v>
      </c>
      <c r="U120">
        <f>79333.72</f>
        <v>79333.72</v>
      </c>
      <c r="V120">
        <f>757.45</f>
        <v>757.45</v>
      </c>
    </row>
    <row r="121" spans="1:22" x14ac:dyDescent="0.2">
      <c r="A121" s="1">
        <v>44938</v>
      </c>
      <c r="B121">
        <f>2405.59</f>
        <v>2405.59</v>
      </c>
      <c r="C121">
        <f>9896.03</f>
        <v>9896.0300000000007</v>
      </c>
      <c r="D121">
        <f>8011.91</f>
        <v>8011.91</v>
      </c>
      <c r="E121">
        <f>2550.684</f>
        <v>2550.6840000000002</v>
      </c>
      <c r="F121">
        <f>2441.33</f>
        <v>2441.33</v>
      </c>
      <c r="G121">
        <f>9867.552</f>
        <v>9867.5519999999997</v>
      </c>
      <c r="H121">
        <f>3712.43</f>
        <v>3712.43</v>
      </c>
      <c r="I121">
        <f>13143.24</f>
        <v>13143.24</v>
      </c>
      <c r="J121">
        <f>5709.15</f>
        <v>5709.15</v>
      </c>
      <c r="K121">
        <f>17532.99</f>
        <v>17532.990000000002</v>
      </c>
      <c r="L121">
        <f>2736.17</f>
        <v>2736.17</v>
      </c>
      <c r="M121">
        <f>12235.19</f>
        <v>12235.19</v>
      </c>
      <c r="N121">
        <f>416.601</f>
        <v>416.601</v>
      </c>
      <c r="O121">
        <f>3970.09</f>
        <v>3970.09</v>
      </c>
      <c r="P121">
        <f>330.45</f>
        <v>330.45</v>
      </c>
      <c r="Q121">
        <f>4070.503</f>
        <v>4070.5030000000002</v>
      </c>
      <c r="R121">
        <f>8489.08</f>
        <v>8489.08</v>
      </c>
      <c r="S121">
        <f>3128.26</f>
        <v>3128.26</v>
      </c>
      <c r="T121">
        <f>4652.013</f>
        <v>4652.0129999999999</v>
      </c>
      <c r="U121">
        <f>78627.55</f>
        <v>78627.55</v>
      </c>
      <c r="V121">
        <f>752.37</f>
        <v>752.37</v>
      </c>
    </row>
    <row r="122" spans="1:22" x14ac:dyDescent="0.2">
      <c r="A122" s="1">
        <v>44937</v>
      </c>
      <c r="B122">
        <f>2351.37</f>
        <v>2351.37</v>
      </c>
      <c r="C122">
        <f>9854.4</f>
        <v>9854.4</v>
      </c>
      <c r="D122">
        <f>7938.97</f>
        <v>7938.97</v>
      </c>
      <c r="E122">
        <f>2547.026</f>
        <v>2547.0259999999998</v>
      </c>
      <c r="F122">
        <f>2383.92</f>
        <v>2383.92</v>
      </c>
      <c r="G122">
        <f>9754.893</f>
        <v>9754.893</v>
      </c>
      <c r="H122">
        <f>3629.48</f>
        <v>3629.48</v>
      </c>
      <c r="I122">
        <f>12996.19</f>
        <v>12996.19</v>
      </c>
      <c r="J122">
        <f>5710.7</f>
        <v>5710.7</v>
      </c>
      <c r="K122">
        <f>17467.7</f>
        <v>17467.7</v>
      </c>
      <c r="L122">
        <f>2724.17</f>
        <v>2724.17</v>
      </c>
      <c r="M122">
        <f>12147.1</f>
        <v>12147.1</v>
      </c>
      <c r="N122">
        <f>415.664</f>
        <v>415.66399999999999</v>
      </c>
      <c r="O122">
        <f>3948.29</f>
        <v>3948.29</v>
      </c>
      <c r="P122">
        <f>328.2</f>
        <v>328.2</v>
      </c>
      <c r="Q122">
        <f>4076.606</f>
        <v>4076.6060000000002</v>
      </c>
      <c r="R122">
        <f>8459.18</f>
        <v>8459.18</v>
      </c>
      <c r="S122">
        <f>3116.89</f>
        <v>3116.89</v>
      </c>
      <c r="T122">
        <f>4671.335</f>
        <v>4671.335</v>
      </c>
      <c r="U122">
        <f>78522.1</f>
        <v>78522.100000000006</v>
      </c>
      <c r="V122">
        <f>753.93</f>
        <v>753.93</v>
      </c>
    </row>
    <row r="123" spans="1:22" x14ac:dyDescent="0.2">
      <c r="A123" s="1">
        <v>44936</v>
      </c>
      <c r="B123">
        <f>2358.81</f>
        <v>2358.81</v>
      </c>
      <c r="C123">
        <f>9828.84</f>
        <v>9828.84</v>
      </c>
      <c r="D123">
        <f>7907.63</f>
        <v>7907.63</v>
      </c>
      <c r="E123">
        <f>2539.926</f>
        <v>2539.9259999999999</v>
      </c>
      <c r="F123">
        <f>2373.47</f>
        <v>2373.4699999999998</v>
      </c>
      <c r="G123">
        <f>9738.355</f>
        <v>9738.3549999999996</v>
      </c>
      <c r="H123">
        <f>3617.18</f>
        <v>3617.18</v>
      </c>
      <c r="I123">
        <f>12901.24</f>
        <v>12901.24</v>
      </c>
      <c r="J123">
        <f>5689.41</f>
        <v>5689.41</v>
      </c>
      <c r="K123">
        <f>17238.9</f>
        <v>17238.900000000001</v>
      </c>
      <c r="L123">
        <f>2718.12</f>
        <v>2718.12</v>
      </c>
      <c r="M123">
        <f>12014.02</f>
        <v>12014.02</v>
      </c>
      <c r="N123">
        <f>413.509</f>
        <v>413.50900000000001</v>
      </c>
      <c r="O123">
        <f>3931.37</f>
        <v>3931.37</v>
      </c>
      <c r="P123">
        <f>325.84</f>
        <v>325.83999999999997</v>
      </c>
      <c r="Q123">
        <f>4027.6985</f>
        <v>4027.6985</v>
      </c>
      <c r="R123">
        <f>8351.68</f>
        <v>8351.68</v>
      </c>
      <c r="S123">
        <f>3083.51</f>
        <v>3083.51</v>
      </c>
      <c r="T123">
        <f>4644.344</f>
        <v>4644.3440000000001</v>
      </c>
      <c r="U123">
        <f>78000.31</f>
        <v>78000.31</v>
      </c>
      <c r="V123">
        <f>757.2</f>
        <v>757.2</v>
      </c>
    </row>
    <row r="124" spans="1:22" x14ac:dyDescent="0.2">
      <c r="A124" s="1">
        <v>44935</v>
      </c>
      <c r="B124">
        <f>2369.77</f>
        <v>2369.77</v>
      </c>
      <c r="C124">
        <f>9805.71</f>
        <v>9805.7099999999991</v>
      </c>
      <c r="D124">
        <f>7938.92</f>
        <v>7938.92</v>
      </c>
      <c r="E124">
        <f>2538.516</f>
        <v>2538.5160000000001</v>
      </c>
      <c r="F124">
        <f>2405.17</f>
        <v>2405.17</v>
      </c>
      <c r="G124">
        <f>9809.005</f>
        <v>9809.0049999999992</v>
      </c>
      <c r="H124">
        <f>3619.33</f>
        <v>3619.33</v>
      </c>
      <c r="I124">
        <f>12994.58</f>
        <v>12994.58</v>
      </c>
      <c r="J124">
        <f>5672.97</f>
        <v>5672.97</v>
      </c>
      <c r="K124">
        <f>17117.41</f>
        <v>17117.41</v>
      </c>
      <c r="L124">
        <f>2722.86</f>
        <v>2722.86</v>
      </c>
      <c r="M124">
        <f>11977.9</f>
        <v>11977.9</v>
      </c>
      <c r="N124">
        <f>416.301</f>
        <v>416.30099999999999</v>
      </c>
      <c r="O124">
        <f>3955.17</f>
        <v>3955.17</v>
      </c>
      <c r="P124" t="e">
        <f>NA()</f>
        <v>#N/A</v>
      </c>
      <c r="Q124">
        <f>4007.082</f>
        <v>4007.0819999999999</v>
      </c>
      <c r="R124">
        <f>8293.8</f>
        <v>8293.7999999999993</v>
      </c>
      <c r="S124" t="e">
        <f>NA()</f>
        <v>#N/A</v>
      </c>
      <c r="T124">
        <f>4648.545</f>
        <v>4648.5450000000001</v>
      </c>
      <c r="U124">
        <f>78342.7</f>
        <v>78342.7</v>
      </c>
      <c r="V124">
        <f>758.54</f>
        <v>758.54</v>
      </c>
    </row>
    <row r="125" spans="1:22" x14ac:dyDescent="0.2">
      <c r="A125" s="1">
        <v>44932</v>
      </c>
      <c r="B125">
        <f>2370.24</f>
        <v>2370.2399999999998</v>
      </c>
      <c r="C125">
        <f>9650.03</f>
        <v>9650.0300000000007</v>
      </c>
      <c r="D125">
        <f>7912.76</f>
        <v>7912.76</v>
      </c>
      <c r="E125">
        <f>2476.057</f>
        <v>2476.0569999999998</v>
      </c>
      <c r="F125">
        <f>2356.34</f>
        <v>2356.34</v>
      </c>
      <c r="G125">
        <f>9669.385</f>
        <v>9669.3850000000002</v>
      </c>
      <c r="H125">
        <f>3605.66</f>
        <v>3605.66</v>
      </c>
      <c r="I125">
        <f>12689.41</f>
        <v>12689.41</v>
      </c>
      <c r="J125">
        <f>5724.29</f>
        <v>5724.29</v>
      </c>
      <c r="K125">
        <f>17120.3</f>
        <v>17120.3</v>
      </c>
      <c r="L125">
        <f>2724.99</f>
        <v>2724.99</v>
      </c>
      <c r="M125">
        <f>11915.75</f>
        <v>11915.75</v>
      </c>
      <c r="N125">
        <f>413.175</f>
        <v>413.17500000000001</v>
      </c>
      <c r="O125">
        <f>3922.93</f>
        <v>3922.93</v>
      </c>
      <c r="P125">
        <f>326.69</f>
        <v>326.69</v>
      </c>
      <c r="Q125">
        <f>4026.122</f>
        <v>4026.1219999999998</v>
      </c>
      <c r="R125">
        <f>8298.61</f>
        <v>8298.61</v>
      </c>
      <c r="S125">
        <f>3075.1</f>
        <v>3075.1</v>
      </c>
      <c r="T125">
        <f>4577.916</f>
        <v>4577.9160000000002</v>
      </c>
      <c r="U125">
        <f>76858.94</f>
        <v>76858.94</v>
      </c>
      <c r="V125">
        <f>746.01</f>
        <v>746.01</v>
      </c>
    </row>
    <row r="126" spans="1:22" x14ac:dyDescent="0.2">
      <c r="A126" s="1">
        <v>44931</v>
      </c>
      <c r="B126">
        <f>2345.79</f>
        <v>2345.79</v>
      </c>
      <c r="C126">
        <f>9538.71</f>
        <v>9538.7099999999991</v>
      </c>
      <c r="D126">
        <f>7844.9</f>
        <v>7844.9</v>
      </c>
      <c r="E126">
        <f>2464.356</f>
        <v>2464.3560000000002</v>
      </c>
      <c r="F126">
        <f>2293.5</f>
        <v>2293.5</v>
      </c>
      <c r="G126">
        <f>9458.606</f>
        <v>9458.6059999999998</v>
      </c>
      <c r="H126">
        <f>3564.03</f>
        <v>3564.03</v>
      </c>
      <c r="I126">
        <f>12458.98</f>
        <v>12458.98</v>
      </c>
      <c r="J126">
        <f>5586.37</f>
        <v>5586.37</v>
      </c>
      <c r="K126">
        <f>16740.7</f>
        <v>16740.7</v>
      </c>
      <c r="L126">
        <f>2667.84</f>
        <v>2667.84</v>
      </c>
      <c r="M126">
        <f>11667.92</f>
        <v>11667.92</v>
      </c>
      <c r="N126">
        <f>409.233</f>
        <v>409.233</v>
      </c>
      <c r="O126">
        <f>3879.97</f>
        <v>3879.97</v>
      </c>
      <c r="P126">
        <f>326.98</f>
        <v>326.98</v>
      </c>
      <c r="Q126">
        <f>3931.142</f>
        <v>3931.1419999999998</v>
      </c>
      <c r="R126">
        <f>8113.15</f>
        <v>8113.15</v>
      </c>
      <c r="S126">
        <f>3063.86</f>
        <v>3063.86</v>
      </c>
      <c r="T126">
        <f>4479.329</f>
        <v>4479.3289999999997</v>
      </c>
      <c r="U126">
        <f>75439.3</f>
        <v>75439.3</v>
      </c>
      <c r="V126">
        <f>733.04</f>
        <v>733.04</v>
      </c>
    </row>
    <row r="127" spans="1:22" x14ac:dyDescent="0.2">
      <c r="A127" s="1">
        <v>44930</v>
      </c>
      <c r="B127">
        <f>2332.37</f>
        <v>2332.37</v>
      </c>
      <c r="C127">
        <f>9502.64</f>
        <v>9502.64</v>
      </c>
      <c r="D127">
        <f>7794.62</f>
        <v>7794.62</v>
      </c>
      <c r="E127">
        <f>2439.792</f>
        <v>2439.7919999999999</v>
      </c>
      <c r="F127">
        <f>2268.39</f>
        <v>2268.39</v>
      </c>
      <c r="G127">
        <f>9519.548</f>
        <v>9519.5480000000007</v>
      </c>
      <c r="H127">
        <f>3618.98</f>
        <v>3618.98</v>
      </c>
      <c r="I127">
        <f>12589.12</f>
        <v>12589.12</v>
      </c>
      <c r="J127">
        <f>5630.54</f>
        <v>5630.54</v>
      </c>
      <c r="K127">
        <f>16940.59</f>
        <v>16940.59</v>
      </c>
      <c r="L127">
        <f>2690.78</f>
        <v>2690.78</v>
      </c>
      <c r="M127">
        <f>11799.73</f>
        <v>11799.73</v>
      </c>
      <c r="N127">
        <f>412.481</f>
        <v>412.48099999999999</v>
      </c>
      <c r="O127">
        <f>3884.65</f>
        <v>3884.65</v>
      </c>
      <c r="P127">
        <f>329.97</f>
        <v>329.97</v>
      </c>
      <c r="Q127">
        <f>3988.285</f>
        <v>3988.2849999999999</v>
      </c>
      <c r="R127">
        <f>8207.42</f>
        <v>8207.42</v>
      </c>
      <c r="S127">
        <f>3062.63</f>
        <v>3062.63</v>
      </c>
      <c r="T127">
        <f>4403.054</f>
        <v>4403.0540000000001</v>
      </c>
      <c r="U127">
        <f>74567.61</f>
        <v>74567.61</v>
      </c>
      <c r="V127">
        <f>720.47</f>
        <v>720.47</v>
      </c>
    </row>
    <row r="128" spans="1:22" x14ac:dyDescent="0.2">
      <c r="A128" s="1">
        <v>44929</v>
      </c>
      <c r="B128">
        <f>2306.69</f>
        <v>2306.69</v>
      </c>
      <c r="C128">
        <f>9476.43</f>
        <v>9476.43</v>
      </c>
      <c r="D128">
        <f>7762.65</f>
        <v>7762.65</v>
      </c>
      <c r="E128">
        <f>2410.524</f>
        <v>2410.5239999999999</v>
      </c>
      <c r="F128">
        <f>2254.11</f>
        <v>2254.11</v>
      </c>
      <c r="G128">
        <f>9461.617</f>
        <v>9461.6170000000002</v>
      </c>
      <c r="H128">
        <f>3693.28</f>
        <v>3693.28</v>
      </c>
      <c r="I128">
        <f>12310.45</f>
        <v>12310.45</v>
      </c>
      <c r="J128">
        <f>5576.2</f>
        <v>5576.2</v>
      </c>
      <c r="K128">
        <f>16806.73</f>
        <v>16806.73</v>
      </c>
      <c r="L128">
        <f>2663.09</f>
        <v>2663.09</v>
      </c>
      <c r="M128">
        <f>11693.93</f>
        <v>11693.93</v>
      </c>
      <c r="N128">
        <f>404.979</f>
        <v>404.97899999999998</v>
      </c>
      <c r="O128">
        <f>3826.64</f>
        <v>3826.64</v>
      </c>
      <c r="P128" t="e">
        <f>NA()</f>
        <v>#N/A</v>
      </c>
      <c r="Q128">
        <f>3944.02</f>
        <v>3944.02</v>
      </c>
      <c r="R128">
        <f>8145.6</f>
        <v>8145.6</v>
      </c>
      <c r="S128" t="e">
        <f>NA()</f>
        <v>#N/A</v>
      </c>
      <c r="T128">
        <f>4397.789</f>
        <v>4397.7889999999998</v>
      </c>
      <c r="U128">
        <f>74436.48</f>
        <v>74436.479999999996</v>
      </c>
      <c r="V128">
        <f>729.94</f>
        <v>729.94</v>
      </c>
    </row>
    <row r="129" spans="1:22" x14ac:dyDescent="0.2">
      <c r="A129" s="1">
        <v>44928</v>
      </c>
      <c r="B129" t="e">
        <f>NA()</f>
        <v>#N/A</v>
      </c>
      <c r="C129">
        <f>9449.17</f>
        <v>9449.17</v>
      </c>
      <c r="D129" t="e">
        <f>NA()</f>
        <v>#N/A</v>
      </c>
      <c r="E129">
        <f>2394.336</f>
        <v>2394.3359999999998</v>
      </c>
      <c r="F129">
        <f>2231.14</f>
        <v>2231.14</v>
      </c>
      <c r="G129">
        <f>9346.157</f>
        <v>9346.1569999999992</v>
      </c>
      <c r="H129">
        <f>3659.97</f>
        <v>3659.97</v>
      </c>
      <c r="I129">
        <f>12326.15</f>
        <v>12326.15</v>
      </c>
      <c r="J129">
        <f>5570.48</f>
        <v>5570.48</v>
      </c>
      <c r="K129">
        <f>16879.3</f>
        <v>16879.3</v>
      </c>
      <c r="L129">
        <f>2657.16</f>
        <v>2657.16</v>
      </c>
      <c r="M129">
        <f>11721.94</f>
        <v>11721.94</v>
      </c>
      <c r="N129">
        <f>399.514</f>
        <v>399.51400000000001</v>
      </c>
      <c r="O129">
        <f>3782.39</f>
        <v>3782.39</v>
      </c>
      <c r="P129" t="e">
        <f>NA()</f>
        <v>#N/A</v>
      </c>
      <c r="Q129" t="e">
        <f>NA()</f>
        <v>#N/A</v>
      </c>
      <c r="R129" t="e">
        <f>NA()</f>
        <v>#N/A</v>
      </c>
      <c r="S129" t="e">
        <f>NA()</f>
        <v>#N/A</v>
      </c>
      <c r="T129" t="e">
        <f>NA()</f>
        <v>#N/A</v>
      </c>
      <c r="U129" t="e">
        <f>NA()</f>
        <v>#N/A</v>
      </c>
      <c r="V129" t="e">
        <f>NA()</f>
        <v>#N/A</v>
      </c>
    </row>
    <row r="130" spans="1:22" x14ac:dyDescent="0.2">
      <c r="A130" s="1">
        <v>44925</v>
      </c>
      <c r="B130">
        <f>2272.41</f>
        <v>2272.41</v>
      </c>
      <c r="C130">
        <f>9455.44</f>
        <v>9455.44</v>
      </c>
      <c r="D130">
        <f>7657.48</f>
        <v>7657.48</v>
      </c>
      <c r="E130">
        <f>2394.898</f>
        <v>2394.8980000000001</v>
      </c>
      <c r="F130">
        <f>2231.14</f>
        <v>2231.14</v>
      </c>
      <c r="G130">
        <f>9346.157</f>
        <v>9346.1569999999992</v>
      </c>
      <c r="H130">
        <f>3659.97</f>
        <v>3659.97</v>
      </c>
      <c r="I130">
        <f>12171.03</f>
        <v>12171.03</v>
      </c>
      <c r="J130">
        <f>5570.48</f>
        <v>5570.48</v>
      </c>
      <c r="K130">
        <f>16879.3</f>
        <v>16879.3</v>
      </c>
      <c r="L130">
        <f>2653.36</f>
        <v>2653.36</v>
      </c>
      <c r="M130">
        <f>11700.99</f>
        <v>11700.99</v>
      </c>
      <c r="N130">
        <f>397.281</f>
        <v>397.28100000000001</v>
      </c>
      <c r="O130">
        <f>3743.2</f>
        <v>3743.2</v>
      </c>
      <c r="P130">
        <f>331.8</f>
        <v>331.8</v>
      </c>
      <c r="Q130">
        <f>3939.471</f>
        <v>3939.471</v>
      </c>
      <c r="R130">
        <f>8178.02</f>
        <v>8178.02</v>
      </c>
      <c r="S130">
        <f>3101.25</f>
        <v>3101.25</v>
      </c>
      <c r="T130">
        <f>4313.413</f>
        <v>4313.4129999999996</v>
      </c>
      <c r="U130">
        <f>73048.57</f>
        <v>73048.570000000007</v>
      </c>
      <c r="V130">
        <f>731.11</f>
        <v>731.11</v>
      </c>
    </row>
    <row r="131" spans="1:22" x14ac:dyDescent="0.2">
      <c r="A131" s="1">
        <v>44924</v>
      </c>
      <c r="B131">
        <f>2293.95</f>
        <v>2293.9499999999998</v>
      </c>
      <c r="C131">
        <f>9445.55</f>
        <v>9445.5499999999993</v>
      </c>
      <c r="D131">
        <f>7720.14</f>
        <v>7720.14</v>
      </c>
      <c r="E131">
        <f>2397.577</f>
        <v>2397.5770000000002</v>
      </c>
      <c r="F131">
        <f>2242.11</f>
        <v>2242.11</v>
      </c>
      <c r="G131">
        <f>9443.514</f>
        <v>9443.5139999999992</v>
      </c>
      <c r="H131">
        <f>3636.63</f>
        <v>3636.63</v>
      </c>
      <c r="I131">
        <f>12327.8</f>
        <v>12327.8</v>
      </c>
      <c r="J131">
        <f>5593.51</f>
        <v>5593.51</v>
      </c>
      <c r="K131">
        <f>16920.92</f>
        <v>16920.919999999998</v>
      </c>
      <c r="L131">
        <f>2664.55</f>
        <v>2664.55</v>
      </c>
      <c r="M131">
        <f>11742.32</f>
        <v>11742.32</v>
      </c>
      <c r="N131">
        <f>402.529</f>
        <v>402.529</v>
      </c>
      <c r="O131">
        <f>3792.18</f>
        <v>3792.18</v>
      </c>
      <c r="P131">
        <f>331.63</f>
        <v>331.63</v>
      </c>
      <c r="Q131">
        <f>3969.21</f>
        <v>3969.21</v>
      </c>
      <c r="R131">
        <f>8198.36</f>
        <v>8198.36</v>
      </c>
      <c r="S131">
        <f>3107.08</f>
        <v>3107.08</v>
      </c>
      <c r="T131">
        <f>4372.018</f>
        <v>4372.018</v>
      </c>
      <c r="U131">
        <f>73597.14</f>
        <v>73597.14</v>
      </c>
      <c r="V131">
        <f>738.28</f>
        <v>738.28</v>
      </c>
    </row>
    <row r="132" spans="1:22" x14ac:dyDescent="0.2">
      <c r="A132" s="1">
        <v>44923</v>
      </c>
      <c r="B132">
        <f>2292.43</f>
        <v>2292.4299999999998</v>
      </c>
      <c r="C132">
        <f>9475.68</f>
        <v>9475.68</v>
      </c>
      <c r="D132">
        <f>7703.54</f>
        <v>7703.54</v>
      </c>
      <c r="E132">
        <f>2404.38</f>
        <v>2404.38</v>
      </c>
      <c r="F132">
        <f>2243.14</f>
        <v>2243.14</v>
      </c>
      <c r="G132">
        <f>9410.379</f>
        <v>9410.3790000000008</v>
      </c>
      <c r="H132">
        <f>3641.83</f>
        <v>3641.83</v>
      </c>
      <c r="I132">
        <f>12162.56</f>
        <v>12162.56</v>
      </c>
      <c r="J132">
        <f>5534.75</f>
        <v>5534.75</v>
      </c>
      <c r="K132">
        <f>16621.48</f>
        <v>16621.48</v>
      </c>
      <c r="L132">
        <f>2643.78</f>
        <v>2643.78</v>
      </c>
      <c r="M132">
        <f>11573.61</f>
        <v>11573.61</v>
      </c>
      <c r="N132">
        <f>400.322</f>
        <v>400.322</v>
      </c>
      <c r="O132">
        <f>3766.4</f>
        <v>3766.4</v>
      </c>
      <c r="P132">
        <f>334.91</f>
        <v>334.91</v>
      </c>
      <c r="Q132">
        <f>3920.02</f>
        <v>3920.02</v>
      </c>
      <c r="R132">
        <f>8056.62</f>
        <v>8056.62</v>
      </c>
      <c r="S132">
        <f>3124.36</f>
        <v>3124.36</v>
      </c>
      <c r="T132">
        <f>4385.682</f>
        <v>4385.6819999999998</v>
      </c>
      <c r="U132">
        <f>74277.56</f>
        <v>74277.56</v>
      </c>
      <c r="V132">
        <f>743.21</f>
        <v>743.21</v>
      </c>
    </row>
    <row r="133" spans="1:22" x14ac:dyDescent="0.2">
      <c r="A133" s="1">
        <v>44922</v>
      </c>
      <c r="B133" t="e">
        <f>NA()</f>
        <v>#N/A</v>
      </c>
      <c r="C133">
        <f>9442.53</f>
        <v>9442.5300000000007</v>
      </c>
      <c r="D133" t="e">
        <f>NA()</f>
        <v>#N/A</v>
      </c>
      <c r="E133">
        <f>2398.468</f>
        <v>2398.4679999999998</v>
      </c>
      <c r="F133">
        <f>2220.52</f>
        <v>2220.52</v>
      </c>
      <c r="G133">
        <f>9362.745</f>
        <v>9362.7450000000008</v>
      </c>
      <c r="H133">
        <f>3657.12</f>
        <v>3657.12</v>
      </c>
      <c r="I133">
        <f>12244.84</f>
        <v>12244.84</v>
      </c>
      <c r="J133">
        <f>5597.78</f>
        <v>5597.78</v>
      </c>
      <c r="K133">
        <f>16825</f>
        <v>16825</v>
      </c>
      <c r="L133">
        <f>2663.48</f>
        <v>2663.48</v>
      </c>
      <c r="M133">
        <f>11689.45</f>
        <v>11689.45</v>
      </c>
      <c r="N133">
        <f>398.817</f>
        <v>398.81700000000001</v>
      </c>
      <c r="O133">
        <f>3770.93</f>
        <v>3770.93</v>
      </c>
      <c r="P133">
        <f>334.16</f>
        <v>334.16</v>
      </c>
      <c r="Q133">
        <f>3974.259</f>
        <v>3974.259</v>
      </c>
      <c r="R133">
        <f>8154.57</f>
        <v>8154.57</v>
      </c>
      <c r="S133">
        <f>3126.2</f>
        <v>3126.2</v>
      </c>
      <c r="T133" t="e">
        <f>NA()</f>
        <v>#N/A</v>
      </c>
      <c r="U133" t="e">
        <f>NA()</f>
        <v>#N/A</v>
      </c>
      <c r="V133" t="e">
        <f>NA()</f>
        <v>#N/A</v>
      </c>
    </row>
    <row r="134" spans="1:22" x14ac:dyDescent="0.2">
      <c r="A134" s="1">
        <v>44921</v>
      </c>
      <c r="B134" t="e">
        <f>NA()</f>
        <v>#N/A</v>
      </c>
      <c r="C134">
        <f>9443.47</f>
        <v>9443.4699999999993</v>
      </c>
      <c r="D134" t="e">
        <f>NA()</f>
        <v>#N/A</v>
      </c>
      <c r="E134">
        <f>2391.153</f>
        <v>2391.1529999999998</v>
      </c>
      <c r="F134">
        <f>2228.37</f>
        <v>2228.37</v>
      </c>
      <c r="G134">
        <f>9395.855</f>
        <v>9395.8549999999996</v>
      </c>
      <c r="H134">
        <f>3677.24</f>
        <v>3677.24</v>
      </c>
      <c r="I134">
        <f>12157.06</f>
        <v>12157.06</v>
      </c>
      <c r="J134">
        <f>5582.01</f>
        <v>5582.01</v>
      </c>
      <c r="K134">
        <f>16896.23</f>
        <v>16896.23</v>
      </c>
      <c r="L134">
        <f>2656.37</f>
        <v>2656.37</v>
      </c>
      <c r="M134">
        <f>11709.23</f>
        <v>11709.23</v>
      </c>
      <c r="N134" t="e">
        <f>NA()</f>
        <v>#N/A</v>
      </c>
      <c r="O134" t="e">
        <f>NA()</f>
        <v>#N/A</v>
      </c>
      <c r="P134">
        <f>332.02</f>
        <v>332.02</v>
      </c>
      <c r="Q134" t="e">
        <f>NA()</f>
        <v>#N/A</v>
      </c>
      <c r="R134" t="e">
        <f>NA()</f>
        <v>#N/A</v>
      </c>
      <c r="S134">
        <f>3113.7</f>
        <v>3113.7</v>
      </c>
      <c r="T134" t="e">
        <f>NA()</f>
        <v>#N/A</v>
      </c>
      <c r="U134" t="e">
        <f>NA()</f>
        <v>#N/A</v>
      </c>
      <c r="V134" t="e">
        <f>NA()</f>
        <v>#N/A</v>
      </c>
    </row>
    <row r="135" spans="1:22" x14ac:dyDescent="0.2">
      <c r="A135" s="1">
        <v>44918</v>
      </c>
      <c r="B135">
        <f>2277.89</f>
        <v>2277.89</v>
      </c>
      <c r="C135">
        <f>9434.06</f>
        <v>9434.06</v>
      </c>
      <c r="D135">
        <f>7678.7</f>
        <v>7678.7</v>
      </c>
      <c r="E135">
        <f>2386.87</f>
        <v>2386.87</v>
      </c>
      <c r="F135">
        <f>2228.37</f>
        <v>2228.37</v>
      </c>
      <c r="G135">
        <f>9395.855</f>
        <v>9395.8549999999996</v>
      </c>
      <c r="H135">
        <f>3663.31</f>
        <v>3663.31</v>
      </c>
      <c r="I135">
        <f>12157.06</f>
        <v>12157.06</v>
      </c>
      <c r="J135">
        <f>5582.01</f>
        <v>5582.01</v>
      </c>
      <c r="K135">
        <f>16896.23</f>
        <v>16896.23</v>
      </c>
      <c r="L135">
        <f>2655.84</f>
        <v>2655.84</v>
      </c>
      <c r="M135">
        <f>11707.92</f>
        <v>11707.92</v>
      </c>
      <c r="N135">
        <f>399.216</f>
        <v>399.21600000000001</v>
      </c>
      <c r="O135">
        <f>3764.29</f>
        <v>3764.29</v>
      </c>
      <c r="P135">
        <f>331.33</f>
        <v>331.33</v>
      </c>
      <c r="Q135">
        <f>3962.87</f>
        <v>3962.87</v>
      </c>
      <c r="R135">
        <f>8187.06</f>
        <v>8187.06</v>
      </c>
      <c r="S135">
        <f>3106.22</f>
        <v>3106.22</v>
      </c>
      <c r="T135">
        <f>4335.803</f>
        <v>4335.8029999999999</v>
      </c>
      <c r="U135">
        <f>73493.47</f>
        <v>73493.47</v>
      </c>
      <c r="V135">
        <f>742.83</f>
        <v>742.83</v>
      </c>
    </row>
    <row r="136" spans="1:22" x14ac:dyDescent="0.2">
      <c r="A136" s="1">
        <v>44917</v>
      </c>
      <c r="B136">
        <f>2271.9</f>
        <v>2271.9</v>
      </c>
      <c r="C136">
        <f>9443.14</f>
        <v>9443.14</v>
      </c>
      <c r="D136">
        <f>7674.86</f>
        <v>7674.86</v>
      </c>
      <c r="E136">
        <f>2409.951</f>
        <v>2409.951</v>
      </c>
      <c r="F136">
        <f>2212.8</f>
        <v>2212.8000000000002</v>
      </c>
      <c r="G136">
        <f>9367.856</f>
        <v>9367.8559999999998</v>
      </c>
      <c r="H136">
        <f>3701.66</f>
        <v>3701.66</v>
      </c>
      <c r="I136">
        <f>12147.23</f>
        <v>12147.23</v>
      </c>
      <c r="J136">
        <f>5550.8</f>
        <v>5550.8</v>
      </c>
      <c r="K136">
        <f>16801.73</f>
        <v>16801.73</v>
      </c>
      <c r="L136">
        <f>2649.32</f>
        <v>2649.32</v>
      </c>
      <c r="M136">
        <f>11662.83</f>
        <v>11662.83</v>
      </c>
      <c r="N136">
        <f>399.489</f>
        <v>399.48899999999998</v>
      </c>
      <c r="O136">
        <f>3767.21</f>
        <v>3767.21</v>
      </c>
      <c r="P136">
        <f>329.71</f>
        <v>329.71</v>
      </c>
      <c r="Q136">
        <f>3939.891</f>
        <v>3939.8910000000001</v>
      </c>
      <c r="R136">
        <f>8139.07</f>
        <v>8139.07</v>
      </c>
      <c r="S136">
        <f>3122.96</f>
        <v>3122.96</v>
      </c>
      <c r="T136">
        <f>4316.47</f>
        <v>4316.47</v>
      </c>
      <c r="U136">
        <f>73225.13</f>
        <v>73225.13</v>
      </c>
      <c r="V136">
        <f>738.61</f>
        <v>738.61</v>
      </c>
    </row>
    <row r="137" spans="1:22" x14ac:dyDescent="0.2">
      <c r="A137" s="1">
        <v>44916</v>
      </c>
      <c r="B137">
        <f>2287.77</f>
        <v>2287.77</v>
      </c>
      <c r="C137">
        <f>9386.03</f>
        <v>9386.0300000000007</v>
      </c>
      <c r="D137">
        <f>7698.28</f>
        <v>7698.28</v>
      </c>
      <c r="E137">
        <f>2382.157</f>
        <v>2382.1570000000002</v>
      </c>
      <c r="F137">
        <f>2243.8</f>
        <v>2243.8000000000002</v>
      </c>
      <c r="G137">
        <f>9455.044</f>
        <v>9455.0439999999999</v>
      </c>
      <c r="H137">
        <f>3676.89</f>
        <v>3676.89</v>
      </c>
      <c r="I137">
        <f>12284.65</f>
        <v>12284.65</v>
      </c>
      <c r="J137">
        <f>5588.66</f>
        <v>5588.66</v>
      </c>
      <c r="K137">
        <f>17050.76</f>
        <v>17050.759999999998</v>
      </c>
      <c r="L137">
        <f>2662.54</f>
        <v>2662.54</v>
      </c>
      <c r="M137">
        <f>11804.72</f>
        <v>11804.72</v>
      </c>
      <c r="N137">
        <f>403.65</f>
        <v>403.65</v>
      </c>
      <c r="O137">
        <f>3799.99</f>
        <v>3799.99</v>
      </c>
      <c r="P137">
        <f>326.62</f>
        <v>326.62</v>
      </c>
      <c r="Q137">
        <f>3967.771</f>
        <v>3967.7710000000002</v>
      </c>
      <c r="R137">
        <f>8258.43</f>
        <v>8258.43</v>
      </c>
      <c r="S137">
        <f>3098.65</f>
        <v>3098.65</v>
      </c>
      <c r="T137">
        <f>4362.215</f>
        <v>4362.2150000000001</v>
      </c>
      <c r="U137">
        <f>73836.91</f>
        <v>73836.91</v>
      </c>
      <c r="V137">
        <f>745.47</f>
        <v>745.47</v>
      </c>
    </row>
    <row r="138" spans="1:22" x14ac:dyDescent="0.2">
      <c r="A138" s="1">
        <v>44915</v>
      </c>
      <c r="B138">
        <f>2241.12</f>
        <v>2241.12</v>
      </c>
      <c r="C138">
        <f>9359.71</f>
        <v>9359.7099999999991</v>
      </c>
      <c r="D138">
        <f>7568.19</f>
        <v>7568.19</v>
      </c>
      <c r="E138">
        <f>2377.406</f>
        <v>2377.4059999999999</v>
      </c>
      <c r="F138">
        <f>2196.53</f>
        <v>2196.5300000000002</v>
      </c>
      <c r="G138">
        <f>9319.766</f>
        <v>9319.7659999999996</v>
      </c>
      <c r="H138">
        <f>3721.91</f>
        <v>3721.91</v>
      </c>
      <c r="I138">
        <f>12104.59</f>
        <v>12104.59</v>
      </c>
      <c r="J138">
        <f>5519</f>
        <v>5519</v>
      </c>
      <c r="K138">
        <f>16797.46</f>
        <v>16797.46</v>
      </c>
      <c r="L138">
        <f>2633.98</f>
        <v>2633.98</v>
      </c>
      <c r="M138">
        <f>11650.61</f>
        <v>11650.61</v>
      </c>
      <c r="N138">
        <f>397.967</f>
        <v>397.96699999999998</v>
      </c>
      <c r="O138">
        <f>3737.97</f>
        <v>3737.97</v>
      </c>
      <c r="P138">
        <f>328.24</f>
        <v>328.24</v>
      </c>
      <c r="Q138">
        <f>3918.483</f>
        <v>3918.4830000000002</v>
      </c>
      <c r="R138">
        <f>8136.3</f>
        <v>8136.3</v>
      </c>
      <c r="S138">
        <f>3118.74</f>
        <v>3118.74</v>
      </c>
      <c r="T138">
        <f>4305.911</f>
        <v>4305.9110000000001</v>
      </c>
      <c r="U138">
        <f>73040.51</f>
        <v>73040.509999999995</v>
      </c>
      <c r="V138">
        <f>736.3</f>
        <v>736.3</v>
      </c>
    </row>
    <row r="139" spans="1:22" x14ac:dyDescent="0.2">
      <c r="A139" s="1">
        <v>44914</v>
      </c>
      <c r="B139">
        <f>2240.67</f>
        <v>2240.67</v>
      </c>
      <c r="C139">
        <f>9391.43</f>
        <v>9391.43</v>
      </c>
      <c r="D139">
        <f>7558.63</f>
        <v>7558.63</v>
      </c>
      <c r="E139">
        <f>2393.514</f>
        <v>2393.5140000000001</v>
      </c>
      <c r="F139">
        <f>2179.56</f>
        <v>2179.56</v>
      </c>
      <c r="G139">
        <f>9299.584</f>
        <v>9299.5840000000007</v>
      </c>
      <c r="H139">
        <f>3612.15</f>
        <v>3612.15</v>
      </c>
      <c r="I139">
        <f>12083.46</f>
        <v>12083.46</v>
      </c>
      <c r="J139">
        <f>5519.34</f>
        <v>5519.34</v>
      </c>
      <c r="K139">
        <f>16776.83</f>
        <v>16776.830000000002</v>
      </c>
      <c r="L139">
        <f>2629.49</f>
        <v>2629.49</v>
      </c>
      <c r="M139">
        <f>11618.98</f>
        <v>11618.98</v>
      </c>
      <c r="N139">
        <f>401.897</f>
        <v>401.89699999999999</v>
      </c>
      <c r="O139">
        <f>3750.69</f>
        <v>3750.69</v>
      </c>
      <c r="P139">
        <f>326.86</f>
        <v>326.86</v>
      </c>
      <c r="Q139">
        <f>3914.506</f>
        <v>3914.5059999999999</v>
      </c>
      <c r="R139">
        <f>8127.57</f>
        <v>8127.57</v>
      </c>
      <c r="S139">
        <f>3167.53</f>
        <v>3167.53</v>
      </c>
      <c r="T139">
        <f>4326.154</f>
        <v>4326.1540000000005</v>
      </c>
      <c r="U139">
        <f>73359.6</f>
        <v>73359.600000000006</v>
      </c>
      <c r="V139">
        <f>738.24</f>
        <v>738.24</v>
      </c>
    </row>
    <row r="140" spans="1:22" x14ac:dyDescent="0.2">
      <c r="A140" s="1">
        <v>44911</v>
      </c>
      <c r="B140">
        <f>2232.08</f>
        <v>2232.08</v>
      </c>
      <c r="C140">
        <f>9424.72</f>
        <v>9424.7199999999993</v>
      </c>
      <c r="D140">
        <f>7528.66</f>
        <v>7528.66</v>
      </c>
      <c r="E140">
        <f>2392.56</f>
        <v>2392.56</v>
      </c>
      <c r="F140">
        <f>2186.24</f>
        <v>2186.2399999999998</v>
      </c>
      <c r="G140">
        <f>9278.74</f>
        <v>9278.74</v>
      </c>
      <c r="H140">
        <f>3637.92</f>
        <v>3637.92</v>
      </c>
      <c r="I140">
        <f>12102.98</f>
        <v>12102.98</v>
      </c>
      <c r="J140">
        <f>5544.31</f>
        <v>5544.31</v>
      </c>
      <c r="K140">
        <f>16935.75</f>
        <v>16935.75</v>
      </c>
      <c r="L140">
        <f>2636.08</f>
        <v>2636.08</v>
      </c>
      <c r="M140">
        <f>11708.81</f>
        <v>11708.81</v>
      </c>
      <c r="N140">
        <f>401.899</f>
        <v>401.899</v>
      </c>
      <c r="O140">
        <f>3743.21</f>
        <v>3743.21</v>
      </c>
      <c r="P140">
        <f>326.61</f>
        <v>326.61</v>
      </c>
      <c r="Q140">
        <f>3930.23</f>
        <v>3930.23</v>
      </c>
      <c r="R140">
        <f>8200.9</f>
        <v>8200.9</v>
      </c>
      <c r="S140">
        <f>3191.75</f>
        <v>3191.75</v>
      </c>
      <c r="T140" t="e">
        <f>NA()</f>
        <v>#N/A</v>
      </c>
      <c r="U140" t="e">
        <f>NA()</f>
        <v>#N/A</v>
      </c>
      <c r="V140" t="e">
        <f>NA()</f>
        <v>#N/A</v>
      </c>
    </row>
    <row r="141" spans="1:22" x14ac:dyDescent="0.2">
      <c r="A141" s="1">
        <v>44910</v>
      </c>
      <c r="B141">
        <f>2268.26</f>
        <v>2268.2600000000002</v>
      </c>
      <c r="C141">
        <f>9448.69</f>
        <v>9448.69</v>
      </c>
      <c r="D141">
        <f>7625.23</f>
        <v>7625.23</v>
      </c>
      <c r="E141">
        <f>2399.85</f>
        <v>2399.85</v>
      </c>
      <c r="F141">
        <f>2218.23</f>
        <v>2218.23</v>
      </c>
      <c r="G141">
        <f>9452.01</f>
        <v>9452.01</v>
      </c>
      <c r="H141">
        <f>3659.12</f>
        <v>3659.12</v>
      </c>
      <c r="I141">
        <f>12275.37</f>
        <v>12275.37</v>
      </c>
      <c r="J141">
        <f>5594.53</f>
        <v>5594.53</v>
      </c>
      <c r="K141">
        <f>17126.36</f>
        <v>17126.36</v>
      </c>
      <c r="L141">
        <f>2662.56</f>
        <v>2662.56</v>
      </c>
      <c r="M141">
        <f>11847.05</f>
        <v>11847.05</v>
      </c>
      <c r="N141">
        <f>407.663</f>
        <v>407.66300000000001</v>
      </c>
      <c r="O141">
        <f>3786.03</f>
        <v>3786.03</v>
      </c>
      <c r="P141">
        <f>329.14</f>
        <v>329.14</v>
      </c>
      <c r="Q141">
        <f>3972.536</f>
        <v>3972.5360000000001</v>
      </c>
      <c r="R141">
        <f>8292.64</f>
        <v>8292.64</v>
      </c>
      <c r="S141">
        <f>3230.52</f>
        <v>3230.52</v>
      </c>
      <c r="T141">
        <f>4309.063</f>
        <v>4309.0630000000001</v>
      </c>
      <c r="U141">
        <f>72989.34</f>
        <v>72989.34</v>
      </c>
      <c r="V141">
        <f>730.66</f>
        <v>730.66</v>
      </c>
    </row>
    <row r="142" spans="1:22" x14ac:dyDescent="0.2">
      <c r="A142" s="1">
        <v>44909</v>
      </c>
      <c r="B142">
        <f>2273.26</f>
        <v>2273.2600000000002</v>
      </c>
      <c r="C142">
        <f>9550.27</f>
        <v>9550.27</v>
      </c>
      <c r="D142">
        <f>7695.89</f>
        <v>7695.89</v>
      </c>
      <c r="E142">
        <f>2432.691</f>
        <v>2432.6909999999998</v>
      </c>
      <c r="F142">
        <f>2267.23</f>
        <v>2267.23</v>
      </c>
      <c r="G142">
        <f>9678.702</f>
        <v>9678.7019999999993</v>
      </c>
      <c r="H142">
        <f>3740.34</f>
        <v>3740.34</v>
      </c>
      <c r="I142">
        <f>12648.51</f>
        <v>12648.51</v>
      </c>
      <c r="J142">
        <f>5704.7</f>
        <v>5704.7</v>
      </c>
      <c r="K142">
        <f>17571.19</f>
        <v>17571.189999999999</v>
      </c>
      <c r="L142">
        <f>2717.49</f>
        <v>2717.49</v>
      </c>
      <c r="M142">
        <f>12153.45</f>
        <v>12153.45</v>
      </c>
      <c r="N142">
        <f>419.044</f>
        <v>419.04399999999998</v>
      </c>
      <c r="O142">
        <f>3895.29</f>
        <v>3895.29</v>
      </c>
      <c r="P142">
        <f>328.09</f>
        <v>328.09</v>
      </c>
      <c r="Q142">
        <f>4067.197</f>
        <v>4067.1970000000001</v>
      </c>
      <c r="R142">
        <f>8503.97</f>
        <v>8503.9699999999993</v>
      </c>
      <c r="S142">
        <f>3236.29</f>
        <v>3236.29</v>
      </c>
      <c r="T142">
        <f>4356.321</f>
        <v>4356.3209999999999</v>
      </c>
      <c r="U142">
        <f>74294.67</f>
        <v>74294.67</v>
      </c>
      <c r="V142">
        <f>734.28</f>
        <v>734.28</v>
      </c>
    </row>
    <row r="143" spans="1:22" x14ac:dyDescent="0.2">
      <c r="A143" s="1">
        <v>44908</v>
      </c>
      <c r="B143">
        <f>2280.03</f>
        <v>2280.0300000000002</v>
      </c>
      <c r="C143">
        <f>9483.42</f>
        <v>9483.42</v>
      </c>
      <c r="D143">
        <f>7703.03</f>
        <v>7703.03</v>
      </c>
      <c r="E143">
        <f>2411.406</f>
        <v>2411.4059999999999</v>
      </c>
      <c r="F143">
        <f>2283.72</f>
        <v>2283.7199999999998</v>
      </c>
      <c r="G143">
        <f>9679.068</f>
        <v>9679.0679999999993</v>
      </c>
      <c r="H143">
        <f>3705.43</f>
        <v>3705.43</v>
      </c>
      <c r="I143">
        <f>12639.78</f>
        <v>12639.78</v>
      </c>
      <c r="J143">
        <f>5726.17</f>
        <v>5726.17</v>
      </c>
      <c r="K143">
        <f>17674.48</f>
        <v>17674.48</v>
      </c>
      <c r="L143">
        <f>2718.85</f>
        <v>2718.85</v>
      </c>
      <c r="M143">
        <f>12197.45</f>
        <v>12197.45</v>
      </c>
      <c r="N143">
        <f>418.194</f>
        <v>418.19400000000002</v>
      </c>
      <c r="O143">
        <f>3896.85</f>
        <v>3896.85</v>
      </c>
      <c r="P143">
        <f>327.31</f>
        <v>327.31</v>
      </c>
      <c r="Q143">
        <f>4095.29</f>
        <v>4095.29</v>
      </c>
      <c r="R143">
        <f>8554.1</f>
        <v>8554.1</v>
      </c>
      <c r="S143">
        <f>3217.07</f>
        <v>3217.07</v>
      </c>
      <c r="T143">
        <f>4479.131</f>
        <v>4479.1310000000003</v>
      </c>
      <c r="U143">
        <f>75835.45</f>
        <v>75835.45</v>
      </c>
      <c r="V143">
        <f>752.72</f>
        <v>752.72</v>
      </c>
    </row>
    <row r="144" spans="1:22" x14ac:dyDescent="0.2">
      <c r="A144" s="1">
        <v>44907</v>
      </c>
      <c r="B144">
        <f>2254.64</f>
        <v>2254.64</v>
      </c>
      <c r="C144">
        <f>9473.28</f>
        <v>9473.2800000000007</v>
      </c>
      <c r="D144">
        <f>7644.59</f>
        <v>7644.59</v>
      </c>
      <c r="E144">
        <f>2407.102</f>
        <v>2407.1019999999999</v>
      </c>
      <c r="F144">
        <f>2229.33</f>
        <v>2229.33</v>
      </c>
      <c r="G144">
        <f>9499.716</f>
        <v>9499.7160000000003</v>
      </c>
      <c r="H144">
        <f>3625.42</f>
        <v>3625.42</v>
      </c>
      <c r="I144">
        <f>12327.46</f>
        <v>12327.46</v>
      </c>
      <c r="J144">
        <f>5704.45</f>
        <v>5704.45</v>
      </c>
      <c r="K144">
        <f>17540.5</f>
        <v>17540.5</v>
      </c>
      <c r="L144">
        <f>2694.4</f>
        <v>2694.4</v>
      </c>
      <c r="M144">
        <f>12053.5</f>
        <v>12053.5</v>
      </c>
      <c r="N144">
        <f>412.646</f>
        <v>412.64600000000002</v>
      </c>
      <c r="O144">
        <f>3848</f>
        <v>3848</v>
      </c>
      <c r="P144">
        <f>325.82</f>
        <v>325.82</v>
      </c>
      <c r="Q144">
        <f>4067.221</f>
        <v>4067.221</v>
      </c>
      <c r="R144">
        <f>8491.86</f>
        <v>8491.86</v>
      </c>
      <c r="S144">
        <f>3203.4</f>
        <v>3203.4</v>
      </c>
      <c r="T144">
        <f>4423.564</f>
        <v>4423.5640000000003</v>
      </c>
      <c r="U144">
        <f>74422.18</f>
        <v>74422.179999999993</v>
      </c>
      <c r="V144">
        <f>746.95</f>
        <v>746.95</v>
      </c>
    </row>
    <row r="145" spans="1:22" x14ac:dyDescent="0.2">
      <c r="A145" s="1">
        <v>44904</v>
      </c>
      <c r="B145">
        <f>2275.8</f>
        <v>2275.8000000000002</v>
      </c>
      <c r="C145">
        <f>9573.08</f>
        <v>9573.08</v>
      </c>
      <c r="D145">
        <f>7676.07</f>
        <v>7676.07</v>
      </c>
      <c r="E145">
        <f>2443.542</f>
        <v>2443.5419999999999</v>
      </c>
      <c r="F145">
        <f>2272.47</f>
        <v>2272.4699999999998</v>
      </c>
      <c r="G145">
        <f>9568.546</f>
        <v>9568.5460000000003</v>
      </c>
      <c r="H145">
        <f>3656.12</f>
        <v>3656.12</v>
      </c>
      <c r="I145">
        <f>12410.62</f>
        <v>12410.62</v>
      </c>
      <c r="J145">
        <f>5620.33</f>
        <v>5620.33</v>
      </c>
      <c r="K145">
        <f>17290</f>
        <v>17290</v>
      </c>
      <c r="L145">
        <f>2680.62</f>
        <v>2680.62</v>
      </c>
      <c r="M145">
        <f>11960.43</f>
        <v>11960.43</v>
      </c>
      <c r="N145">
        <f>415.468</f>
        <v>415.46800000000002</v>
      </c>
      <c r="O145">
        <f>3869.58</f>
        <v>3869.58</v>
      </c>
      <c r="P145">
        <f>326.14</f>
        <v>326.14</v>
      </c>
      <c r="Q145">
        <f>4014.62717</f>
        <v>4014.6271700000002</v>
      </c>
      <c r="R145">
        <f>8372.26</f>
        <v>8372.26</v>
      </c>
      <c r="S145">
        <f>3210.32</f>
        <v>3210.32</v>
      </c>
      <c r="T145">
        <f>4463.359</f>
        <v>4463.3590000000004</v>
      </c>
      <c r="U145">
        <f>74548.14</f>
        <v>74548.14</v>
      </c>
      <c r="V145">
        <f>753.39</f>
        <v>753.39</v>
      </c>
    </row>
    <row r="146" spans="1:22" x14ac:dyDescent="0.2">
      <c r="A146" s="1">
        <v>44903</v>
      </c>
      <c r="B146">
        <f>2271.44</f>
        <v>2271.44</v>
      </c>
      <c r="C146">
        <f>9482.5</f>
        <v>9482.5</v>
      </c>
      <c r="D146">
        <f>7671.49</f>
        <v>7671.49</v>
      </c>
      <c r="E146">
        <f>2420.633</f>
        <v>2420.6329999999998</v>
      </c>
      <c r="F146">
        <f>2263.11</f>
        <v>2263.11</v>
      </c>
      <c r="G146">
        <f>9508.673</f>
        <v>9508.6730000000007</v>
      </c>
      <c r="H146">
        <f>3631.27</f>
        <v>3631.27</v>
      </c>
      <c r="I146">
        <f>12308.51</f>
        <v>12308.51</v>
      </c>
      <c r="J146">
        <f>5657.64</f>
        <v>5657.64</v>
      </c>
      <c r="K146">
        <f>17418.71</f>
        <v>17418.71</v>
      </c>
      <c r="L146">
        <f>2681.36</f>
        <v>2681.36</v>
      </c>
      <c r="M146">
        <f>11993.38</f>
        <v>11993.38</v>
      </c>
      <c r="N146">
        <f>411.194</f>
        <v>411.19400000000002</v>
      </c>
      <c r="O146">
        <f>3837.11</f>
        <v>3837.11</v>
      </c>
      <c r="P146">
        <f>325.07</f>
        <v>325.07</v>
      </c>
      <c r="Q146">
        <f>4043.643</f>
        <v>4043.643</v>
      </c>
      <c r="R146">
        <f>8433.9</f>
        <v>8433.9</v>
      </c>
      <c r="S146">
        <f>3177.5</f>
        <v>3177.5</v>
      </c>
      <c r="T146">
        <f>4446.499</f>
        <v>4446.4989999999998</v>
      </c>
      <c r="U146">
        <f>74467.26</f>
        <v>74467.259999999995</v>
      </c>
      <c r="V146">
        <f>752.83</f>
        <v>752.83</v>
      </c>
    </row>
    <row r="147" spans="1:22" x14ac:dyDescent="0.2">
      <c r="A147" s="1">
        <v>44902</v>
      </c>
      <c r="B147">
        <f>2280.9</f>
        <v>2280.9</v>
      </c>
      <c r="C147">
        <f>9487.19</f>
        <v>9487.19</v>
      </c>
      <c r="D147">
        <f>7688.68</f>
        <v>7688.68</v>
      </c>
      <c r="E147">
        <f>2394.516</f>
        <v>2394.5160000000001</v>
      </c>
      <c r="F147">
        <f>2256.51</f>
        <v>2256.5100000000002</v>
      </c>
      <c r="G147">
        <f>9511.252</f>
        <v>9511.2520000000004</v>
      </c>
      <c r="H147">
        <f>3637.52</f>
        <v>3637.52</v>
      </c>
      <c r="I147">
        <f>12270.78</f>
        <v>12270.78</v>
      </c>
      <c r="J147">
        <f>5618.7</f>
        <v>5618.7</v>
      </c>
      <c r="K147">
        <f>17280.28</f>
        <v>17280.28</v>
      </c>
      <c r="L147">
        <f>2670.25</f>
        <v>2670.25</v>
      </c>
      <c r="M147">
        <f>11920.61</f>
        <v>11920.61</v>
      </c>
      <c r="N147">
        <f>414.144</f>
        <v>414.14400000000001</v>
      </c>
      <c r="O147">
        <f>3841.58</f>
        <v>3841.58</v>
      </c>
      <c r="P147">
        <f>325.82</f>
        <v>325.82</v>
      </c>
      <c r="Q147">
        <f>4024.969</f>
        <v>4024.9690000000001</v>
      </c>
      <c r="R147">
        <f>8369.74</f>
        <v>8369.74</v>
      </c>
      <c r="S147">
        <f>3188.64</f>
        <v>3188.64</v>
      </c>
      <c r="T147">
        <f>4397.423</f>
        <v>4397.4229999999998</v>
      </c>
      <c r="U147">
        <f>74011.12</f>
        <v>74011.12</v>
      </c>
      <c r="V147">
        <f>749.16</f>
        <v>749.16</v>
      </c>
    </row>
    <row r="148" spans="1:22" x14ac:dyDescent="0.2">
      <c r="A148" s="1">
        <v>44901</v>
      </c>
      <c r="B148">
        <f>2292.97</f>
        <v>2292.9699999999998</v>
      </c>
      <c r="C148">
        <f>9595.06</f>
        <v>9595.06</v>
      </c>
      <c r="D148">
        <f>7721.73</f>
        <v>7721.73</v>
      </c>
      <c r="E148">
        <f>2429.844</f>
        <v>2429.8440000000001</v>
      </c>
      <c r="F148">
        <f>2250.63</f>
        <v>2250.63</v>
      </c>
      <c r="G148">
        <f>9573.057</f>
        <v>9573.0570000000007</v>
      </c>
      <c r="H148">
        <f>3643.54</f>
        <v>3643.54</v>
      </c>
      <c r="I148">
        <f>12348.19</f>
        <v>12348.19</v>
      </c>
      <c r="J148">
        <f>5610.5</f>
        <v>5610.5</v>
      </c>
      <c r="K148">
        <f>17310.18</f>
        <v>17310.18</v>
      </c>
      <c r="L148">
        <f>2669.93</f>
        <v>2669.93</v>
      </c>
      <c r="M148">
        <f>11954.96</f>
        <v>11954.96</v>
      </c>
      <c r="N148">
        <f>415.274</f>
        <v>415.274</v>
      </c>
      <c r="O148">
        <f>3866.5</f>
        <v>3866.5</v>
      </c>
      <c r="P148">
        <f>324.08</f>
        <v>324.08</v>
      </c>
      <c r="Q148">
        <f>4025.983</f>
        <v>4025.9830000000002</v>
      </c>
      <c r="R148">
        <f>8385.16</f>
        <v>8385.16</v>
      </c>
      <c r="S148">
        <f>3191.77</f>
        <v>3191.77</v>
      </c>
      <c r="T148">
        <f>4401.738</f>
        <v>4401.7380000000003</v>
      </c>
      <c r="U148">
        <f>74557.31</f>
        <v>74557.31</v>
      </c>
      <c r="V148">
        <f>748.17</f>
        <v>748.17</v>
      </c>
    </row>
    <row r="149" spans="1:22" x14ac:dyDescent="0.2">
      <c r="A149" s="1">
        <v>44900</v>
      </c>
      <c r="B149">
        <f>2304.08</f>
        <v>2304.08</v>
      </c>
      <c r="C149">
        <f>9667.19</f>
        <v>9667.19</v>
      </c>
      <c r="D149">
        <f>7769.11</f>
        <v>7769.11</v>
      </c>
      <c r="E149">
        <f>2457.749</f>
        <v>2457.7489999999998</v>
      </c>
      <c r="F149">
        <f>2263.72</f>
        <v>2263.7199999999998</v>
      </c>
      <c r="G149">
        <f>9623.36</f>
        <v>9623.36</v>
      </c>
      <c r="H149">
        <f>3619.97</f>
        <v>3619.97</v>
      </c>
      <c r="I149">
        <f>12456.8</f>
        <v>12456.8</v>
      </c>
      <c r="J149">
        <f>5662.28</f>
        <v>5662.28</v>
      </c>
      <c r="K149">
        <f>17569.69</f>
        <v>17569.689999999999</v>
      </c>
      <c r="L149">
        <f>2688.81</f>
        <v>2688.81</v>
      </c>
      <c r="M149">
        <f>12107.69</f>
        <v>12107.69</v>
      </c>
      <c r="N149">
        <f>418.971</f>
        <v>418.971</v>
      </c>
      <c r="O149">
        <f>3886.27</f>
        <v>3886.27</v>
      </c>
      <c r="P149">
        <f>322.38</f>
        <v>322.38</v>
      </c>
      <c r="Q149">
        <f>4058.223</f>
        <v>4058.223</v>
      </c>
      <c r="R149">
        <f>8507.34</f>
        <v>8507.34</v>
      </c>
      <c r="S149">
        <f>3187.97</f>
        <v>3187.97</v>
      </c>
      <c r="T149">
        <f>4412.823</f>
        <v>4412.8230000000003</v>
      </c>
      <c r="U149">
        <f>74693.42</f>
        <v>74693.42</v>
      </c>
      <c r="V149">
        <f>750.92</f>
        <v>750.92</v>
      </c>
    </row>
    <row r="150" spans="1:22" x14ac:dyDescent="0.2">
      <c r="A150" s="1">
        <v>44897</v>
      </c>
      <c r="B150">
        <f>2304.7</f>
        <v>2304.6999999999998</v>
      </c>
      <c r="C150">
        <f>9616.58</f>
        <v>9616.58</v>
      </c>
      <c r="D150">
        <f>7757.5</f>
        <v>7757.5</v>
      </c>
      <c r="E150">
        <f>2431.753</f>
        <v>2431.7530000000002</v>
      </c>
      <c r="F150">
        <f>2252.25</f>
        <v>2252.25</v>
      </c>
      <c r="G150">
        <f>9603.153</f>
        <v>9603.1530000000002</v>
      </c>
      <c r="H150">
        <f>3657.3</f>
        <v>3657.3</v>
      </c>
      <c r="I150">
        <f>12444.99</f>
        <v>12444.99</v>
      </c>
      <c r="J150">
        <f>5746.69</f>
        <v>5746.69</v>
      </c>
      <c r="K150">
        <f>17905.15</f>
        <v>17905.150000000001</v>
      </c>
      <c r="L150">
        <f>2709.77</f>
        <v>2709.77</v>
      </c>
      <c r="M150">
        <f>12272.37</f>
        <v>12272.37</v>
      </c>
      <c r="N150">
        <f>422.917</f>
        <v>422.91699999999997</v>
      </c>
      <c r="O150">
        <f>3904.66</f>
        <v>3904.66</v>
      </c>
      <c r="P150">
        <f>323.91</f>
        <v>323.91000000000003</v>
      </c>
      <c r="Q150">
        <f>4134.71877</f>
        <v>4134.7187700000004</v>
      </c>
      <c r="R150">
        <f>8662.23</f>
        <v>8662.23</v>
      </c>
      <c r="S150">
        <f>3197.92</f>
        <v>3197.92</v>
      </c>
      <c r="T150">
        <f>4363.052</f>
        <v>4363.0519999999997</v>
      </c>
      <c r="U150">
        <f>74322.91</f>
        <v>74322.91</v>
      </c>
      <c r="V150">
        <f>744.76</f>
        <v>744.76</v>
      </c>
    </row>
    <row r="151" spans="1:22" x14ac:dyDescent="0.2">
      <c r="A151" s="1">
        <v>44896</v>
      </c>
      <c r="B151">
        <f>2301.84</f>
        <v>2301.84</v>
      </c>
      <c r="C151">
        <f>9678.19</f>
        <v>9678.19</v>
      </c>
      <c r="D151">
        <f>7759.82</f>
        <v>7759.82</v>
      </c>
      <c r="E151">
        <f>2442.825</f>
        <v>2442.8249999999998</v>
      </c>
      <c r="F151">
        <f>2251.46</f>
        <v>2251.46</v>
      </c>
      <c r="G151">
        <f>9646.254</f>
        <v>9646.2540000000008</v>
      </c>
      <c r="H151">
        <f>3713.59</f>
        <v>3713.59</v>
      </c>
      <c r="I151">
        <f>12475.16</f>
        <v>12475.16</v>
      </c>
      <c r="J151">
        <f>5746.23</f>
        <v>5746.23</v>
      </c>
      <c r="K151">
        <f>17928.52</f>
        <v>17928.52</v>
      </c>
      <c r="L151">
        <f>2717.15</f>
        <v>2717.15</v>
      </c>
      <c r="M151">
        <f>12307.77</f>
        <v>12307.77</v>
      </c>
      <c r="N151">
        <f>423.144</f>
        <v>423.14400000000001</v>
      </c>
      <c r="O151">
        <f>3908.02</f>
        <v>3908.02</v>
      </c>
      <c r="P151">
        <f>328.75</f>
        <v>328.75</v>
      </c>
      <c r="Q151">
        <f>4118.104</f>
        <v>4118.1040000000003</v>
      </c>
      <c r="R151">
        <f>8671.9</f>
        <v>8671.9</v>
      </c>
      <c r="S151">
        <f>3251.07</f>
        <v>3251.07</v>
      </c>
      <c r="T151">
        <f>4439.553</f>
        <v>4439.5529999999999</v>
      </c>
      <c r="U151">
        <f>75020.01</f>
        <v>75020.009999999995</v>
      </c>
      <c r="V151">
        <f>757.49</f>
        <v>757.49</v>
      </c>
    </row>
    <row r="152" spans="1:22" x14ac:dyDescent="0.2">
      <c r="A152" s="1">
        <v>44895</v>
      </c>
      <c r="B152">
        <f>2300.21</f>
        <v>2300.21</v>
      </c>
      <c r="C152">
        <f>9655.71</f>
        <v>9655.7099999999991</v>
      </c>
      <c r="D152">
        <f>7773.14</f>
        <v>7773.14</v>
      </c>
      <c r="E152">
        <f>2427.707</f>
        <v>2427.7069999999999</v>
      </c>
      <c r="F152">
        <f>2189.31</f>
        <v>2189.31</v>
      </c>
      <c r="G152">
        <f>9383.167</f>
        <v>9383.1669999999995</v>
      </c>
      <c r="H152">
        <f>3638.98</f>
        <v>3638.98</v>
      </c>
      <c r="I152">
        <f>12149.48</f>
        <v>12149.48</v>
      </c>
      <c r="J152">
        <f>5748.62</f>
        <v>5748.62</v>
      </c>
      <c r="K152">
        <f>17933.75</f>
        <v>17933.75</v>
      </c>
      <c r="L152">
        <f>2690.45</f>
        <v>2690.45</v>
      </c>
      <c r="M152">
        <f>12215.11</f>
        <v>12215.11</v>
      </c>
      <c r="N152">
        <f>417.786</f>
        <v>417.786</v>
      </c>
      <c r="O152">
        <f>3879.74</f>
        <v>3879.74</v>
      </c>
      <c r="P152">
        <f>331.48</f>
        <v>331.48</v>
      </c>
      <c r="Q152">
        <f>4109.199</f>
        <v>4109.1989999999996</v>
      </c>
      <c r="R152">
        <f>8678</f>
        <v>8678</v>
      </c>
      <c r="S152">
        <f>3249.61</f>
        <v>3249.61</v>
      </c>
      <c r="T152">
        <f>4373.879</f>
        <v>4373.8789999999999</v>
      </c>
      <c r="U152">
        <f>74828</f>
        <v>74828</v>
      </c>
      <c r="V152">
        <f>762.03</f>
        <v>762.03</v>
      </c>
    </row>
    <row r="153" spans="1:22" x14ac:dyDescent="0.2">
      <c r="A153" s="1">
        <v>44894</v>
      </c>
      <c r="B153">
        <f>2299.8</f>
        <v>2299.8000000000002</v>
      </c>
      <c r="C153">
        <f>9498.67</f>
        <v>9498.67</v>
      </c>
      <c r="D153">
        <f>7710.47</f>
        <v>7710.47</v>
      </c>
      <c r="E153">
        <f>2379.319</f>
        <v>2379.319</v>
      </c>
      <c r="F153">
        <f>2185.49</f>
        <v>2185.4899999999998</v>
      </c>
      <c r="G153">
        <f>9381.343</f>
        <v>9381.3430000000008</v>
      </c>
      <c r="H153">
        <f>3671.82</f>
        <v>3671.82</v>
      </c>
      <c r="I153">
        <f>12132.24</f>
        <v>12132.24</v>
      </c>
      <c r="J153">
        <f>5631.95</f>
        <v>5631.95</v>
      </c>
      <c r="K153">
        <f>17381.42</f>
        <v>17381.419999999998</v>
      </c>
      <c r="L153">
        <f>2660.25</f>
        <v>2660.25</v>
      </c>
      <c r="M153">
        <f>11954.06</f>
        <v>11954.06</v>
      </c>
      <c r="N153">
        <f>416.352</f>
        <v>416.35199999999998</v>
      </c>
      <c r="O153">
        <f>3849.66</f>
        <v>3849.66</v>
      </c>
      <c r="P153">
        <f>332.63</f>
        <v>332.63</v>
      </c>
      <c r="Q153">
        <f>4033.58</f>
        <v>4033.58</v>
      </c>
      <c r="R153">
        <f>8415.27</f>
        <v>8415.27</v>
      </c>
      <c r="S153">
        <f>3260.59</f>
        <v>3260.59</v>
      </c>
      <c r="T153">
        <f>4257.387</f>
        <v>4257.3869999999997</v>
      </c>
      <c r="U153">
        <f>73127.92</f>
        <v>73127.92</v>
      </c>
      <c r="V153">
        <f>746.59</f>
        <v>746.59</v>
      </c>
    </row>
    <row r="154" spans="1:22" x14ac:dyDescent="0.2">
      <c r="A154" s="1">
        <v>44893</v>
      </c>
      <c r="B154">
        <f>2292.79</f>
        <v>2292.79</v>
      </c>
      <c r="C154">
        <f>9306.74</f>
        <v>9306.74</v>
      </c>
      <c r="D154">
        <f>7671.49</f>
        <v>7671.49</v>
      </c>
      <c r="E154">
        <f>2323.795</f>
        <v>2323.7950000000001</v>
      </c>
      <c r="F154">
        <f>2165.58</f>
        <v>2165.58</v>
      </c>
      <c r="G154">
        <f>9363.086</f>
        <v>9363.0859999999993</v>
      </c>
      <c r="H154">
        <f>3678.85</f>
        <v>3678.85</v>
      </c>
      <c r="I154">
        <f>12212.76</f>
        <v>12212.76</v>
      </c>
      <c r="J154">
        <f>5628.42</f>
        <v>5628.42</v>
      </c>
      <c r="K154">
        <f>17410.81</f>
        <v>17410.810000000001</v>
      </c>
      <c r="L154">
        <f>2662.77</f>
        <v>2662.77</v>
      </c>
      <c r="M154">
        <f>11976.51</f>
        <v>11976.51</v>
      </c>
      <c r="N154">
        <f>421.99</f>
        <v>421.99</v>
      </c>
      <c r="O154">
        <f>3853.02</f>
        <v>3853.02</v>
      </c>
      <c r="P154">
        <f>333.83</f>
        <v>333.83</v>
      </c>
      <c r="Q154">
        <f>4032.49</f>
        <v>4032.49</v>
      </c>
      <c r="R154">
        <f>8427.95</f>
        <v>8427.9500000000007</v>
      </c>
      <c r="S154">
        <f>3278.99</f>
        <v>3278.99</v>
      </c>
      <c r="T154">
        <f>4269.26</f>
        <v>4269.26</v>
      </c>
      <c r="U154">
        <f>73368.25</f>
        <v>73368.25</v>
      </c>
      <c r="V154">
        <f>744.38</f>
        <v>744.38</v>
      </c>
    </row>
    <row r="155" spans="1:22" x14ac:dyDescent="0.2">
      <c r="A155" s="1">
        <v>44890</v>
      </c>
      <c r="B155">
        <f>2317.8</f>
        <v>2317.8000000000002</v>
      </c>
      <c r="C155">
        <f>9408.86</f>
        <v>9408.86</v>
      </c>
      <c r="D155">
        <f>7684.48</f>
        <v>7684.48</v>
      </c>
      <c r="E155">
        <f>2349.285</f>
        <v>2349.2849999999999</v>
      </c>
      <c r="F155">
        <f>2191.25</f>
        <v>2191.25</v>
      </c>
      <c r="G155">
        <f>9424.937</f>
        <v>9424.9369999999999</v>
      </c>
      <c r="H155">
        <f>3696.97</f>
        <v>3696.97</v>
      </c>
      <c r="I155">
        <f>12301.67</f>
        <v>12301.67</v>
      </c>
      <c r="J155">
        <f>5695.42</f>
        <v>5695.42</v>
      </c>
      <c r="K155">
        <f>17685.14</f>
        <v>17685.14</v>
      </c>
      <c r="L155">
        <f>2685.15</f>
        <v>2685.15</v>
      </c>
      <c r="M155">
        <f>12134.53</f>
        <v>12134.53</v>
      </c>
      <c r="N155">
        <f>425.889</f>
        <v>425.88900000000001</v>
      </c>
      <c r="O155">
        <f>3876.75</f>
        <v>3876.75</v>
      </c>
      <c r="P155">
        <f>337.43</f>
        <v>337.43</v>
      </c>
      <c r="Q155">
        <f>4099.874</f>
        <v>4099.8739999999998</v>
      </c>
      <c r="R155">
        <f>8560.09</f>
        <v>8560.09</v>
      </c>
      <c r="S155">
        <f>3301.39</f>
        <v>3301.39</v>
      </c>
      <c r="T155">
        <f>4259.406</f>
        <v>4259.4059999999999</v>
      </c>
      <c r="U155">
        <f>73151.38</f>
        <v>73151.38</v>
      </c>
      <c r="V155">
        <f>744.62</f>
        <v>744.62</v>
      </c>
    </row>
    <row r="156" spans="1:22" x14ac:dyDescent="0.2">
      <c r="A156" s="1">
        <v>44889</v>
      </c>
      <c r="B156">
        <f>2316.04</f>
        <v>2316.04</v>
      </c>
      <c r="C156">
        <f>9393.94</f>
        <v>9393.94</v>
      </c>
      <c r="D156">
        <f>7663.87</f>
        <v>7663.87</v>
      </c>
      <c r="E156">
        <f>2360.255</f>
        <v>2360.2550000000001</v>
      </c>
      <c r="F156">
        <f>2195.46</f>
        <v>2195.46</v>
      </c>
      <c r="G156">
        <f>9431.972</f>
        <v>9431.9719999999998</v>
      </c>
      <c r="H156">
        <f>3721</f>
        <v>3721</v>
      </c>
      <c r="I156">
        <f>12300.66</f>
        <v>12300.66</v>
      </c>
      <c r="J156">
        <f>5682.2</f>
        <v>5682.2</v>
      </c>
      <c r="K156">
        <f>17690.93</f>
        <v>17690.93</v>
      </c>
      <c r="L156">
        <f>2683.3</f>
        <v>2683.3</v>
      </c>
      <c r="M156">
        <f>12144.65</f>
        <v>12144.65</v>
      </c>
      <c r="N156">
        <f>425.753</f>
        <v>425.75299999999999</v>
      </c>
      <c r="O156">
        <f>3873.27</f>
        <v>3873.27</v>
      </c>
      <c r="P156">
        <f>335.45</f>
        <v>335.45</v>
      </c>
      <c r="Q156" t="e">
        <f>NA()</f>
        <v>#N/A</v>
      </c>
      <c r="R156" t="e">
        <f>NA()</f>
        <v>#N/A</v>
      </c>
      <c r="S156">
        <f>3302.71</f>
        <v>3302.71</v>
      </c>
      <c r="T156">
        <f>4265.146</f>
        <v>4265.1459999999997</v>
      </c>
      <c r="U156">
        <f>73127.34</f>
        <v>73127.34</v>
      </c>
      <c r="V156">
        <f>738.73</f>
        <v>738.73</v>
      </c>
    </row>
    <row r="157" spans="1:22" x14ac:dyDescent="0.2">
      <c r="A157" s="1">
        <v>44888</v>
      </c>
      <c r="B157">
        <f>2310.42</f>
        <v>2310.42</v>
      </c>
      <c r="C157">
        <f>9225.17</f>
        <v>9225.17</v>
      </c>
      <c r="D157">
        <f>7653.3</f>
        <v>7653.3</v>
      </c>
      <c r="E157">
        <f>2327.075</f>
        <v>2327.0749999999998</v>
      </c>
      <c r="F157">
        <f>2185.89</f>
        <v>2185.89</v>
      </c>
      <c r="G157">
        <f>9364.429</f>
        <v>9364.4290000000001</v>
      </c>
      <c r="H157">
        <f>3643.3</f>
        <v>3643.3</v>
      </c>
      <c r="I157">
        <f>12202.43</f>
        <v>12202.43</v>
      </c>
      <c r="J157">
        <f>5682.2</f>
        <v>5682.2</v>
      </c>
      <c r="K157">
        <f>17690.93</f>
        <v>17690.93</v>
      </c>
      <c r="L157">
        <f>2673.91</f>
        <v>2673.91</v>
      </c>
      <c r="M157">
        <f>12105.21</f>
        <v>12105.21</v>
      </c>
      <c r="N157">
        <f>423.571</f>
        <v>423.57100000000003</v>
      </c>
      <c r="O157">
        <f>3856.01</f>
        <v>3856.01</v>
      </c>
      <c r="P157" t="e">
        <f>NA()</f>
        <v>#N/A</v>
      </c>
      <c r="Q157">
        <f>4090.25</f>
        <v>4090.25</v>
      </c>
      <c r="R157">
        <f>8562.27</f>
        <v>8562.27</v>
      </c>
      <c r="S157" t="e">
        <f>NA()</f>
        <v>#N/A</v>
      </c>
      <c r="T157">
        <f>4271.986</f>
        <v>4271.9859999999999</v>
      </c>
      <c r="U157">
        <f>72891.45</f>
        <v>72891.45</v>
      </c>
      <c r="V157">
        <f>738.66</f>
        <v>738.66</v>
      </c>
    </row>
    <row r="158" spans="1:22" x14ac:dyDescent="0.2">
      <c r="A158" s="1">
        <v>44887</v>
      </c>
      <c r="B158">
        <f>2297.03</f>
        <v>2297.0300000000002</v>
      </c>
      <c r="C158">
        <f>9179.51</f>
        <v>9179.51</v>
      </c>
      <c r="D158">
        <f>7640.59</f>
        <v>7640.59</v>
      </c>
      <c r="E158">
        <f>2314.835</f>
        <v>2314.835</v>
      </c>
      <c r="F158">
        <f>2140.41</f>
        <v>2140.41</v>
      </c>
      <c r="G158">
        <f>9211.246</f>
        <v>9211.2459999999992</v>
      </c>
      <c r="H158">
        <f>3601.55</f>
        <v>3601.55</v>
      </c>
      <c r="I158">
        <f>12036.32</f>
        <v>12036.32</v>
      </c>
      <c r="J158">
        <f>5669.25</f>
        <v>5669.25</v>
      </c>
      <c r="K158">
        <f>17580.84</f>
        <v>17580.84</v>
      </c>
      <c r="L158">
        <f>2657.84</f>
        <v>2657.84</v>
      </c>
      <c r="M158">
        <f>12006.39</f>
        <v>12006.39</v>
      </c>
      <c r="N158">
        <f>419.887</f>
        <v>419.887</v>
      </c>
      <c r="O158">
        <f>3836.06</f>
        <v>3836.06</v>
      </c>
      <c r="P158">
        <f>330.86</f>
        <v>330.86</v>
      </c>
      <c r="Q158">
        <f>4082.547</f>
        <v>4082.547</v>
      </c>
      <c r="R158">
        <f>8511.48</f>
        <v>8511.48</v>
      </c>
      <c r="S158">
        <f>3263.36</f>
        <v>3263.36</v>
      </c>
      <c r="T158">
        <f>4234.952</f>
        <v>4234.9520000000002</v>
      </c>
      <c r="U158">
        <f>72242.33</f>
        <v>72242.33</v>
      </c>
      <c r="V158">
        <f>733.83</f>
        <v>733.83</v>
      </c>
    </row>
    <row r="159" spans="1:22" x14ac:dyDescent="0.2">
      <c r="A159" s="1">
        <v>44886</v>
      </c>
      <c r="B159">
        <f>2284.93</f>
        <v>2284.9299999999998</v>
      </c>
      <c r="C159">
        <f>9136.45</f>
        <v>9136.4500000000007</v>
      </c>
      <c r="D159">
        <f>7562.68</f>
        <v>7562.68</v>
      </c>
      <c r="E159">
        <f>2321.641</f>
        <v>2321.6410000000001</v>
      </c>
      <c r="F159">
        <f>2101.45</f>
        <v>2101.4499999999998</v>
      </c>
      <c r="G159">
        <f>9038.946</f>
        <v>9038.9459999999999</v>
      </c>
      <c r="H159">
        <f>3540.29</f>
        <v>3540.29</v>
      </c>
      <c r="I159">
        <f>11921.93</f>
        <v>11921.93</v>
      </c>
      <c r="J159">
        <f>5605.33</f>
        <v>5605.33</v>
      </c>
      <c r="K159">
        <f>17346.07</f>
        <v>17346.07</v>
      </c>
      <c r="L159">
        <f>2629.74</f>
        <v>2629.74</v>
      </c>
      <c r="M159">
        <f>11848.94</f>
        <v>11848.94</v>
      </c>
      <c r="N159">
        <f>418.33</f>
        <v>418.33</v>
      </c>
      <c r="O159">
        <f>3807.42</f>
        <v>3807.42</v>
      </c>
      <c r="P159">
        <f>326.53</f>
        <v>326.52999999999997</v>
      </c>
      <c r="Q159">
        <f>4036.357</f>
        <v>4036.357</v>
      </c>
      <c r="R159">
        <f>8397.23</f>
        <v>8397.23</v>
      </c>
      <c r="S159">
        <f>3227.07</f>
        <v>3227.07</v>
      </c>
      <c r="T159">
        <f>4229.211</f>
        <v>4229.2110000000002</v>
      </c>
      <c r="U159">
        <f>71938.01</f>
        <v>71938.009999999995</v>
      </c>
      <c r="V159">
        <f>722.56</f>
        <v>722.56</v>
      </c>
    </row>
    <row r="160" spans="1:22" x14ac:dyDescent="0.2">
      <c r="A160" s="1">
        <v>44883</v>
      </c>
      <c r="B160">
        <f>2290.28</f>
        <v>2290.2800000000002</v>
      </c>
      <c r="C160">
        <f>9192.72</f>
        <v>9192.7199999999993</v>
      </c>
      <c r="D160">
        <f>7571.58</f>
        <v>7571.58</v>
      </c>
      <c r="E160">
        <f>2351.29</f>
        <v>2351.29</v>
      </c>
      <c r="F160">
        <f>2131.45</f>
        <v>2131.4499999999998</v>
      </c>
      <c r="G160">
        <f>9156.219</f>
        <v>9156.2189999999991</v>
      </c>
      <c r="H160">
        <f>3588.5</f>
        <v>3588.5</v>
      </c>
      <c r="I160">
        <f>12069.74</f>
        <v>12069.74</v>
      </c>
      <c r="J160">
        <f>5582.04</f>
        <v>5582.04</v>
      </c>
      <c r="K160">
        <f>17421.95</f>
        <v>17421.95</v>
      </c>
      <c r="L160">
        <f>2632.3</f>
        <v>2632.3</v>
      </c>
      <c r="M160">
        <f>11929.98</f>
        <v>11929.98</v>
      </c>
      <c r="N160">
        <f>416.497</f>
        <v>416.49700000000001</v>
      </c>
      <c r="O160">
        <f>3809.13</f>
        <v>3809.13</v>
      </c>
      <c r="P160">
        <f>324.07</f>
        <v>324.07</v>
      </c>
      <c r="Q160">
        <f>4012.557</f>
        <v>4012.5569999999998</v>
      </c>
      <c r="R160">
        <f>8429.01</f>
        <v>8429.01</v>
      </c>
      <c r="S160">
        <f>3218</f>
        <v>3218</v>
      </c>
      <c r="T160">
        <f>4287.743</f>
        <v>4287.7430000000004</v>
      </c>
      <c r="U160">
        <f>72576.86</f>
        <v>72576.86</v>
      </c>
      <c r="V160">
        <f>726.57</f>
        <v>726.57</v>
      </c>
    </row>
    <row r="161" spans="1:22" x14ac:dyDescent="0.2">
      <c r="A161" s="1">
        <v>44882</v>
      </c>
      <c r="B161">
        <f>2261.66</f>
        <v>2261.66</v>
      </c>
      <c r="C161">
        <f>9210.73</f>
        <v>9210.73</v>
      </c>
      <c r="D161">
        <f>7531.61</f>
        <v>7531.61</v>
      </c>
      <c r="E161">
        <f>2349.661</f>
        <v>2349.6610000000001</v>
      </c>
      <c r="F161">
        <f>2089.42</f>
        <v>2089.42</v>
      </c>
      <c r="G161">
        <f>8999.293</f>
        <v>8999.2929999999997</v>
      </c>
      <c r="H161">
        <f>3542.71</f>
        <v>3542.71</v>
      </c>
      <c r="I161">
        <f>11908.32</f>
        <v>11908.32</v>
      </c>
      <c r="J161">
        <f>5532.53</f>
        <v>5532.53</v>
      </c>
      <c r="K161">
        <f>17340.92</f>
        <v>17340.919999999998</v>
      </c>
      <c r="L161">
        <f>2602.74</f>
        <v>2602.7399999999998</v>
      </c>
      <c r="M161">
        <f>11855.26</f>
        <v>11855.26</v>
      </c>
      <c r="N161">
        <f>411.5</f>
        <v>411.5</v>
      </c>
      <c r="O161">
        <f>3769.14</f>
        <v>3769.14</v>
      </c>
      <c r="P161">
        <f>323.09</f>
        <v>323.08999999999997</v>
      </c>
      <c r="Q161">
        <f>3979.033</f>
        <v>3979.0329999999999</v>
      </c>
      <c r="R161">
        <f>8388.84</f>
        <v>8388.84</v>
      </c>
      <c r="S161">
        <f>3216.78</f>
        <v>3216.78</v>
      </c>
      <c r="T161">
        <f>4285.398</f>
        <v>4285.3980000000001</v>
      </c>
      <c r="U161">
        <f>72155.29</f>
        <v>72155.289999999994</v>
      </c>
      <c r="V161">
        <f>722.81</f>
        <v>722.81</v>
      </c>
    </row>
    <row r="162" spans="1:22" x14ac:dyDescent="0.2">
      <c r="A162" s="1">
        <v>44881</v>
      </c>
      <c r="B162">
        <f>2259.18</f>
        <v>2259.1799999999998</v>
      </c>
      <c r="C162">
        <f>9288.65</f>
        <v>9288.65</v>
      </c>
      <c r="D162">
        <f>7529.68</f>
        <v>7529.68</v>
      </c>
      <c r="E162">
        <f>2379.317</f>
        <v>2379.317</v>
      </c>
      <c r="F162">
        <f>2111.47</f>
        <v>2111.4699999999998</v>
      </c>
      <c r="G162">
        <f>9080.131</f>
        <v>9080.1309999999994</v>
      </c>
      <c r="H162">
        <f>3568.88</f>
        <v>3568.88</v>
      </c>
      <c r="I162">
        <f>12050.4</f>
        <v>12050.4</v>
      </c>
      <c r="J162">
        <f>5524.92</f>
        <v>5524.92</v>
      </c>
      <c r="K162">
        <f>17402.63</f>
        <v>17402.63</v>
      </c>
      <c r="L162">
        <f>2609.26</f>
        <v>2609.2600000000002</v>
      </c>
      <c r="M162">
        <f>11921.01</f>
        <v>11921.01</v>
      </c>
      <c r="N162">
        <f>414.107</f>
        <v>414.10700000000003</v>
      </c>
      <c r="O162">
        <f>3781.08</f>
        <v>3781.08</v>
      </c>
      <c r="P162">
        <f>320.64</f>
        <v>320.64</v>
      </c>
      <c r="Q162">
        <f>3997.654</f>
        <v>3997.654</v>
      </c>
      <c r="R162">
        <f>8413.09</f>
        <v>8413.09</v>
      </c>
      <c r="S162">
        <f>3211.87</f>
        <v>3211.87</v>
      </c>
      <c r="T162">
        <f>4320.237</f>
        <v>4320.2370000000001</v>
      </c>
      <c r="U162">
        <f>72607.46</f>
        <v>72607.460000000006</v>
      </c>
      <c r="V162">
        <f>731.11</f>
        <v>731.11</v>
      </c>
    </row>
    <row r="163" spans="1:22" x14ac:dyDescent="0.2">
      <c r="A163" s="1">
        <v>44880</v>
      </c>
      <c r="B163">
        <f>2272.49</f>
        <v>2272.4899999999998</v>
      </c>
      <c r="C163">
        <f>9386.45</f>
        <v>9386.4500000000007</v>
      </c>
      <c r="D163">
        <f>7548.38</f>
        <v>7548.38</v>
      </c>
      <c r="E163">
        <f>2395.094</f>
        <v>2395.0940000000001</v>
      </c>
      <c r="F163">
        <f>2126.31</f>
        <v>2126.31</v>
      </c>
      <c r="G163">
        <f>9099.867</f>
        <v>9099.8670000000002</v>
      </c>
      <c r="H163">
        <f>3584.08</f>
        <v>3584.08</v>
      </c>
      <c r="I163">
        <f>12129.8</f>
        <v>12129.8</v>
      </c>
      <c r="J163">
        <f>5554.05</f>
        <v>5554.05</v>
      </c>
      <c r="K163">
        <f>17559.73</f>
        <v>17559.73</v>
      </c>
      <c r="L163">
        <f>2618.9</f>
        <v>2618.9</v>
      </c>
      <c r="M163">
        <f>12011.72</f>
        <v>12011.72</v>
      </c>
      <c r="N163">
        <f>417.907</f>
        <v>417.90699999999998</v>
      </c>
      <c r="O163">
        <f>3814.41</f>
        <v>3814.41</v>
      </c>
      <c r="P163">
        <f>321.1</f>
        <v>321.10000000000002</v>
      </c>
      <c r="Q163">
        <f>4022.823</f>
        <v>4022.8229999999999</v>
      </c>
      <c r="R163">
        <f>8481.14</f>
        <v>8481.14</v>
      </c>
      <c r="S163">
        <f>3213.4</f>
        <v>3213.4</v>
      </c>
      <c r="T163">
        <f>4319.295</f>
        <v>4319.2950000000001</v>
      </c>
      <c r="U163">
        <f>72998.69</f>
        <v>72998.69</v>
      </c>
      <c r="V163">
        <f>734.17</f>
        <v>734.17</v>
      </c>
    </row>
    <row r="164" spans="1:22" x14ac:dyDescent="0.2">
      <c r="A164" s="1">
        <v>44879</v>
      </c>
      <c r="B164">
        <f>2289.86</f>
        <v>2289.86</v>
      </c>
      <c r="C164">
        <f>9305.32</f>
        <v>9305.32</v>
      </c>
      <c r="D164">
        <f>7564.49</f>
        <v>7564.49</v>
      </c>
      <c r="E164">
        <f>2342.919</f>
        <v>2342.9189999999999</v>
      </c>
      <c r="F164">
        <f>2104.6</f>
        <v>2104.6</v>
      </c>
      <c r="G164">
        <f>8998.934</f>
        <v>8998.9339999999993</v>
      </c>
      <c r="H164">
        <f>3542.24</f>
        <v>3542.24</v>
      </c>
      <c r="I164">
        <f>12058.39</f>
        <v>12058.39</v>
      </c>
      <c r="J164">
        <f>5535.5</f>
        <v>5535.5</v>
      </c>
      <c r="K164">
        <f>17393.92</f>
        <v>17393.919999999998</v>
      </c>
      <c r="L164">
        <f>2608.53</f>
        <v>2608.5300000000002</v>
      </c>
      <c r="M164">
        <f>11901.68</f>
        <v>11901.68</v>
      </c>
      <c r="N164">
        <f>417.702</f>
        <v>417.702</v>
      </c>
      <c r="O164">
        <f>3801.01</f>
        <v>3801.01</v>
      </c>
      <c r="P164">
        <f>318.84</f>
        <v>318.83999999999997</v>
      </c>
      <c r="Q164">
        <f>3990.337</f>
        <v>3990.337</v>
      </c>
      <c r="R164">
        <f>8407.25</f>
        <v>8407.25</v>
      </c>
      <c r="S164">
        <f>3201.42</f>
        <v>3201.42</v>
      </c>
      <c r="T164">
        <f>4260.492</f>
        <v>4260.4920000000002</v>
      </c>
      <c r="U164">
        <f>72822.47</f>
        <v>72822.47</v>
      </c>
      <c r="V164">
        <f>730.45</f>
        <v>730.45</v>
      </c>
    </row>
    <row r="165" spans="1:22" x14ac:dyDescent="0.2">
      <c r="A165" s="1">
        <v>44876</v>
      </c>
      <c r="B165">
        <f>2281.61</f>
        <v>2281.61</v>
      </c>
      <c r="C165">
        <f>9206.62</f>
        <v>9206.6200000000008</v>
      </c>
      <c r="D165">
        <f>7495.74</f>
        <v>7495.74</v>
      </c>
      <c r="E165">
        <f>2332.743</f>
        <v>2332.7429999999999</v>
      </c>
      <c r="F165">
        <f>2091.39</f>
        <v>2091.39</v>
      </c>
      <c r="G165">
        <f>8941.352</f>
        <v>8941.3520000000008</v>
      </c>
      <c r="H165">
        <f>3628.28</f>
        <v>3628.28</v>
      </c>
      <c r="I165">
        <f>12048.65</f>
        <v>12048.65</v>
      </c>
      <c r="J165">
        <f>5559.81</f>
        <v>5559.81</v>
      </c>
      <c r="K165">
        <f>17555.32</f>
        <v>17555.32</v>
      </c>
      <c r="L165">
        <f>2614.98</f>
        <v>2614.98</v>
      </c>
      <c r="M165">
        <f>11989.7</f>
        <v>11989.7</v>
      </c>
      <c r="N165">
        <f>418.117</f>
        <v>418.11700000000002</v>
      </c>
      <c r="O165">
        <f>3795.34</f>
        <v>3795.34</v>
      </c>
      <c r="P165">
        <f>322.72</f>
        <v>322.72000000000003</v>
      </c>
      <c r="Q165">
        <f>4020.892</f>
        <v>4020.8919999999998</v>
      </c>
      <c r="R165">
        <f>8481.13</f>
        <v>8481.1299999999992</v>
      </c>
      <c r="S165">
        <f>3235.51</f>
        <v>3235.51</v>
      </c>
      <c r="T165">
        <f>4276.125</f>
        <v>4276.125</v>
      </c>
      <c r="U165">
        <f>72982.8</f>
        <v>72982.8</v>
      </c>
      <c r="V165">
        <f>729.39</f>
        <v>729.39</v>
      </c>
    </row>
    <row r="166" spans="1:22" x14ac:dyDescent="0.2">
      <c r="A166" s="1">
        <v>44875</v>
      </c>
      <c r="B166">
        <f>2275.55</f>
        <v>2275.5500000000002</v>
      </c>
      <c r="C166">
        <f>8835.4</f>
        <v>8835.4</v>
      </c>
      <c r="D166">
        <f>7554.43</f>
        <v>7554.43</v>
      </c>
      <c r="E166">
        <f>2217.755</f>
        <v>2217.7550000000001</v>
      </c>
      <c r="F166">
        <f>2071.88</f>
        <v>2071.88</v>
      </c>
      <c r="G166">
        <f>8950.196</f>
        <v>8950.1959999999999</v>
      </c>
      <c r="H166">
        <f>3533.66</f>
        <v>3533.66</v>
      </c>
      <c r="I166">
        <f>11813.7</f>
        <v>11813.7</v>
      </c>
      <c r="J166">
        <f>5558.53</f>
        <v>5558.53</v>
      </c>
      <c r="K166">
        <f>17378.8</f>
        <v>17378.8</v>
      </c>
      <c r="L166">
        <f>2601.08</f>
        <v>2601.08</v>
      </c>
      <c r="M166">
        <f>11821.13</f>
        <v>11821.13</v>
      </c>
      <c r="N166">
        <f>421.243</f>
        <v>421.24299999999999</v>
      </c>
      <c r="O166">
        <f>3793.17</f>
        <v>3793.17</v>
      </c>
      <c r="P166">
        <f>322.21</f>
        <v>322.20999999999998</v>
      </c>
      <c r="Q166">
        <f>3986.763</f>
        <v>3986.7629999999999</v>
      </c>
      <c r="R166">
        <f>8403.48</f>
        <v>8403.48</v>
      </c>
      <c r="S166">
        <f>3168.27</f>
        <v>3168.27</v>
      </c>
      <c r="T166">
        <f>4171.279</f>
        <v>4171.2790000000005</v>
      </c>
      <c r="U166">
        <f>70710.27</f>
        <v>70710.27</v>
      </c>
      <c r="V166">
        <f>724.86</f>
        <v>724.86</v>
      </c>
    </row>
    <row r="167" spans="1:22" x14ac:dyDescent="0.2">
      <c r="A167" s="1">
        <v>44874</v>
      </c>
      <c r="B167">
        <f>2222.9</f>
        <v>2222.9</v>
      </c>
      <c r="C167">
        <f>8914.8</f>
        <v>8914.7999999999993</v>
      </c>
      <c r="D167">
        <f>7462.64</f>
        <v>7462.64</v>
      </c>
      <c r="E167">
        <f>2244.401</f>
        <v>2244.4009999999998</v>
      </c>
      <c r="F167">
        <f>2005.54</f>
        <v>2005.54</v>
      </c>
      <c r="G167">
        <f>8618.455</f>
        <v>8618.4549999999999</v>
      </c>
      <c r="H167">
        <f>3441.32</f>
        <v>3441.32</v>
      </c>
      <c r="I167">
        <f>11317.54</f>
        <v>11317.54</v>
      </c>
      <c r="J167">
        <f>5357.19</f>
        <v>5357.19</v>
      </c>
      <c r="K167">
        <f>16440.84</f>
        <v>16440.84</v>
      </c>
      <c r="L167">
        <f>2520.26</f>
        <v>2520.2600000000002</v>
      </c>
      <c r="M167">
        <f>11251.38</f>
        <v>11251.38</v>
      </c>
      <c r="N167">
        <f>404.578</f>
        <v>404.57799999999997</v>
      </c>
      <c r="O167">
        <f>3693.53</f>
        <v>3693.53</v>
      </c>
      <c r="P167">
        <f>321.8</f>
        <v>321.8</v>
      </c>
      <c r="Q167">
        <f>3801.917</f>
        <v>3801.9169999999999</v>
      </c>
      <c r="R167">
        <f>7961.52</f>
        <v>7961.52</v>
      </c>
      <c r="S167">
        <f>3189.26</f>
        <v>3189.26</v>
      </c>
      <c r="T167">
        <f>4109.932</f>
        <v>4109.9319999999998</v>
      </c>
      <c r="U167">
        <f>69640.23</f>
        <v>69640.23</v>
      </c>
      <c r="V167">
        <f>721.62</f>
        <v>721.62</v>
      </c>
    </row>
    <row r="168" spans="1:22" x14ac:dyDescent="0.2">
      <c r="A168" s="1">
        <v>44873</v>
      </c>
      <c r="B168">
        <f>2219.98</f>
        <v>2219.98</v>
      </c>
      <c r="C168">
        <f>8837.19</f>
        <v>8837.19</v>
      </c>
      <c r="D168">
        <f>7472.75</f>
        <v>7472.75</v>
      </c>
      <c r="E168">
        <f>2243.512</f>
        <v>2243.5120000000002</v>
      </c>
      <c r="F168">
        <f>2022.35</f>
        <v>2022.35</v>
      </c>
      <c r="G168">
        <f>8766.508</f>
        <v>8766.5079999999998</v>
      </c>
      <c r="H168">
        <f>3473.46</f>
        <v>3473.46</v>
      </c>
      <c r="I168">
        <f>11356.78</f>
        <v>11356.78</v>
      </c>
      <c r="J168">
        <f>5431.78</f>
        <v>5431.78</v>
      </c>
      <c r="K168">
        <f>16798.7</f>
        <v>16798.7</v>
      </c>
      <c r="L168">
        <f>2544.23</f>
        <v>2544.23</v>
      </c>
      <c r="M168">
        <f>11451.98</f>
        <v>11451.98</v>
      </c>
      <c r="N168">
        <f>404.493</f>
        <v>404.49299999999999</v>
      </c>
      <c r="O168">
        <f>3704.79</f>
        <v>3704.79</v>
      </c>
      <c r="P168">
        <f>320.98</f>
        <v>320.98</v>
      </c>
      <c r="Q168">
        <f>3859.697</f>
        <v>3859.6970000000001</v>
      </c>
      <c r="R168">
        <f>8128.7</f>
        <v>8128.7</v>
      </c>
      <c r="S168">
        <f>3202.47</f>
        <v>3202.47</v>
      </c>
      <c r="T168">
        <f>4027.184</f>
        <v>4027.1840000000002</v>
      </c>
      <c r="U168">
        <f>69011.45</f>
        <v>69011.45</v>
      </c>
      <c r="V168">
        <f>720.53</f>
        <v>720.53</v>
      </c>
    </row>
    <row r="169" spans="1:22" x14ac:dyDescent="0.2">
      <c r="A169" s="1">
        <v>44872</v>
      </c>
      <c r="B169">
        <f>2214.55</f>
        <v>2214.5500000000002</v>
      </c>
      <c r="C169">
        <f>8814.8</f>
        <v>8814.7999999999993</v>
      </c>
      <c r="D169">
        <f>7466.46</f>
        <v>7466.46</v>
      </c>
      <c r="E169">
        <f>2236.932</f>
        <v>2236.9319999999998</v>
      </c>
      <c r="F169">
        <f>1997.06</f>
        <v>1997.06</v>
      </c>
      <c r="G169">
        <f>8681.403</f>
        <v>8681.4030000000002</v>
      </c>
      <c r="H169">
        <f>3400.31</f>
        <v>3400.31</v>
      </c>
      <c r="I169">
        <f>11183.15</f>
        <v>11183.15</v>
      </c>
      <c r="J169">
        <f>5389.22</f>
        <v>5389.22</v>
      </c>
      <c r="K169">
        <f>16703.57</f>
        <v>16703.57</v>
      </c>
      <c r="L169">
        <f>2520.69</f>
        <v>2520.69</v>
      </c>
      <c r="M169">
        <f>11356.51</f>
        <v>11356.51</v>
      </c>
      <c r="N169">
        <f>399.515</f>
        <v>399.51499999999999</v>
      </c>
      <c r="O169">
        <f>3678.56</f>
        <v>3678.56</v>
      </c>
      <c r="P169">
        <f>317.73</f>
        <v>317.73</v>
      </c>
      <c r="Q169">
        <f>3837.965</f>
        <v>3837.9650000000001</v>
      </c>
      <c r="R169">
        <f>8083.38</f>
        <v>8083.38</v>
      </c>
      <c r="S169">
        <f>3164.07</f>
        <v>3164.07</v>
      </c>
      <c r="T169">
        <f>4063.306</f>
        <v>4063.306</v>
      </c>
      <c r="U169">
        <f>69439.32</f>
        <v>69439.320000000007</v>
      </c>
      <c r="V169">
        <f>727.54</f>
        <v>727.54</v>
      </c>
    </row>
    <row r="170" spans="1:22" x14ac:dyDescent="0.2">
      <c r="A170" s="1">
        <v>44869</v>
      </c>
      <c r="B170">
        <f>2209.02</f>
        <v>2209.02</v>
      </c>
      <c r="C170">
        <f>8700.74</f>
        <v>8700.74</v>
      </c>
      <c r="D170">
        <f>7502.1</f>
        <v>7502.1</v>
      </c>
      <c r="E170">
        <f>2206.023</f>
        <v>2206.0230000000001</v>
      </c>
      <c r="F170">
        <f>1970.8</f>
        <v>1970.8</v>
      </c>
      <c r="G170">
        <f>8587.362</f>
        <v>8587.3619999999992</v>
      </c>
      <c r="H170">
        <f>3347.27</f>
        <v>3347.27</v>
      </c>
      <c r="I170">
        <f>11030.86</f>
        <v>11030.86</v>
      </c>
      <c r="J170">
        <f>5343.94</f>
        <v>5343.94</v>
      </c>
      <c r="K170">
        <f>16547.75</f>
        <v>16547.75</v>
      </c>
      <c r="L170">
        <f>2496.94</f>
        <v>2496.94</v>
      </c>
      <c r="M170">
        <f>11237.3</f>
        <v>11237.3</v>
      </c>
      <c r="N170">
        <f>399.02</f>
        <v>399.02</v>
      </c>
      <c r="O170">
        <f>3667.66</f>
        <v>3667.66</v>
      </c>
      <c r="P170">
        <f>317.44</f>
        <v>317.44</v>
      </c>
      <c r="Q170">
        <f>3799.432</f>
        <v>3799.4319999999998</v>
      </c>
      <c r="R170">
        <f>8006.24</f>
        <v>8006.24</v>
      </c>
      <c r="S170">
        <f>3133.5</f>
        <v>3133.5</v>
      </c>
      <c r="T170">
        <f>4057.33</f>
        <v>4057.33</v>
      </c>
      <c r="U170">
        <f>69305.19</f>
        <v>69305.19</v>
      </c>
      <c r="V170">
        <f>726.83</f>
        <v>726.83</v>
      </c>
    </row>
    <row r="171" spans="1:22" x14ac:dyDescent="0.2">
      <c r="A171" s="1">
        <v>44868</v>
      </c>
      <c r="B171">
        <f>2154.51</f>
        <v>2154.5100000000002</v>
      </c>
      <c r="C171">
        <f>8483.48</f>
        <v>8483.48</v>
      </c>
      <c r="D171">
        <f>7352.56</f>
        <v>7352.56</v>
      </c>
      <c r="E171">
        <f>2145.944</f>
        <v>2145.944</v>
      </c>
      <c r="F171">
        <f>1882.96</f>
        <v>1882.96</v>
      </c>
      <c r="G171">
        <f>8342.507</f>
        <v>8342.5069999999996</v>
      </c>
      <c r="H171">
        <f>3361.2</f>
        <v>3361.2</v>
      </c>
      <c r="I171">
        <f>10669.11</f>
        <v>10669.11</v>
      </c>
      <c r="J171">
        <f>5261.04</f>
        <v>5261.04</v>
      </c>
      <c r="K171">
        <f>16336.15</f>
        <v>16336.15</v>
      </c>
      <c r="L171">
        <f>2453.52</f>
        <v>2453.52</v>
      </c>
      <c r="M171">
        <f>11059.32</f>
        <v>11059.32</v>
      </c>
      <c r="N171">
        <f>394.19</f>
        <v>394.19</v>
      </c>
      <c r="O171">
        <f>3604.37</f>
        <v>3604.37</v>
      </c>
      <c r="P171" t="e">
        <f>NA()</f>
        <v>#N/A</v>
      </c>
      <c r="Q171">
        <f>3736.155</f>
        <v>3736.1550000000002</v>
      </c>
      <c r="R171">
        <f>7897.01</f>
        <v>7897.01</v>
      </c>
      <c r="S171" t="e">
        <f>NA()</f>
        <v>#N/A</v>
      </c>
      <c r="T171">
        <f>3828.149</f>
        <v>3828.1489999999999</v>
      </c>
      <c r="U171">
        <f>66046.65</f>
        <v>66046.649999999994</v>
      </c>
      <c r="V171">
        <f>690.92</f>
        <v>690.92</v>
      </c>
    </row>
    <row r="172" spans="1:22" x14ac:dyDescent="0.2">
      <c r="A172" s="1">
        <v>44867</v>
      </c>
      <c r="B172">
        <f>2153.58</f>
        <v>2153.58</v>
      </c>
      <c r="C172">
        <f>8586.29</f>
        <v>8586.2900000000009</v>
      </c>
      <c r="D172">
        <f>7307.06</f>
        <v>7307.06</v>
      </c>
      <c r="E172">
        <f>2175.935</f>
        <v>2175.9349999999999</v>
      </c>
      <c r="F172">
        <f>1918.92</f>
        <v>1918.92</v>
      </c>
      <c r="G172">
        <f>8495.044</f>
        <v>8495.0439999999999</v>
      </c>
      <c r="H172">
        <f>3385.18</f>
        <v>3385.18</v>
      </c>
      <c r="I172">
        <f>10900.79</f>
        <v>10900.79</v>
      </c>
      <c r="J172">
        <f>5287.19</f>
        <v>5287.19</v>
      </c>
      <c r="K172">
        <f>16507.48</f>
        <v>16507.48</v>
      </c>
      <c r="L172">
        <f>2476.91</f>
        <v>2476.91</v>
      </c>
      <c r="M172">
        <f>11201.16</f>
        <v>11201.16</v>
      </c>
      <c r="N172">
        <f>401.557</f>
        <v>401.55700000000002</v>
      </c>
      <c r="O172">
        <f>3635.35</f>
        <v>3635.35</v>
      </c>
      <c r="P172">
        <f>320.52</f>
        <v>320.52</v>
      </c>
      <c r="Q172">
        <f>3742.529</f>
        <v>3742.529</v>
      </c>
      <c r="R172">
        <f>7980.47</f>
        <v>7980.47</v>
      </c>
      <c r="S172">
        <f>3174.49</f>
        <v>3174.49</v>
      </c>
      <c r="T172">
        <f>3878.975</f>
        <v>3878.9749999999999</v>
      </c>
      <c r="U172">
        <f>67123.1</f>
        <v>67123.100000000006</v>
      </c>
      <c r="V172">
        <f>701.74</f>
        <v>701.74</v>
      </c>
    </row>
    <row r="173" spans="1:22" x14ac:dyDescent="0.2">
      <c r="A173" s="1">
        <v>44866</v>
      </c>
      <c r="B173">
        <f>2172.78</f>
        <v>2172.7800000000002</v>
      </c>
      <c r="C173">
        <f>8550.33</f>
        <v>8550.33</v>
      </c>
      <c r="D173">
        <f>7350.04</f>
        <v>7350.04</v>
      </c>
      <c r="E173">
        <f>2162.373</f>
        <v>2162.373</v>
      </c>
      <c r="F173">
        <f>1969.75</f>
        <v>1969.75</v>
      </c>
      <c r="G173">
        <f>8540.578</f>
        <v>8540.5779999999995</v>
      </c>
      <c r="H173">
        <f>3336.2</f>
        <v>3336.2</v>
      </c>
      <c r="I173">
        <f>10928.02</f>
        <v>10928.02</v>
      </c>
      <c r="J173">
        <f>5373.32</f>
        <v>5373.32</v>
      </c>
      <c r="K173">
        <f>16944.34</f>
        <v>16944.34</v>
      </c>
      <c r="L173">
        <f>2497.99</f>
        <v>2497.9899999999998</v>
      </c>
      <c r="M173">
        <f>11409.92</f>
        <v>11409.92</v>
      </c>
      <c r="N173">
        <f>401.661</f>
        <v>401.661</v>
      </c>
      <c r="O173">
        <f>3646.46</f>
        <v>3646.46</v>
      </c>
      <c r="P173">
        <f>318.88</f>
        <v>318.88</v>
      </c>
      <c r="Q173">
        <f>3825.422</f>
        <v>3825.422</v>
      </c>
      <c r="R173">
        <f>8185.07</f>
        <v>8185.07</v>
      </c>
      <c r="S173">
        <f>3171.29</f>
        <v>3171.29</v>
      </c>
      <c r="T173">
        <f>3888.819</f>
        <v>3888.819</v>
      </c>
      <c r="U173">
        <f>67414.27</f>
        <v>67414.27</v>
      </c>
      <c r="V173">
        <f>698.58</f>
        <v>698.58</v>
      </c>
    </row>
    <row r="174" spans="1:22" x14ac:dyDescent="0.2">
      <c r="A174" s="1">
        <v>44865</v>
      </c>
      <c r="B174">
        <f>2137.62</f>
        <v>2137.62</v>
      </c>
      <c r="C174">
        <f>8430.61</f>
        <v>8430.61</v>
      </c>
      <c r="D174">
        <f>7256.32</f>
        <v>7256.32</v>
      </c>
      <c r="E174">
        <f>2113.859</f>
        <v>2113.8589999999999</v>
      </c>
      <c r="F174">
        <f>1936.52</f>
        <v>1936.52</v>
      </c>
      <c r="G174">
        <f>8471.149</f>
        <v>8471.1489999999994</v>
      </c>
      <c r="H174">
        <f>3292.04</f>
        <v>3292.04</v>
      </c>
      <c r="I174">
        <f>10890.24</f>
        <v>10890.24</v>
      </c>
      <c r="J174">
        <f>5360.27</f>
        <v>5360.27</v>
      </c>
      <c r="K174">
        <f>17008.38</f>
        <v>17008.38</v>
      </c>
      <c r="L174">
        <f>2489.84</f>
        <v>2489.84</v>
      </c>
      <c r="M174">
        <f>11415.73</f>
        <v>11415.73</v>
      </c>
      <c r="N174">
        <f>402.884</f>
        <v>402.88400000000001</v>
      </c>
      <c r="O174">
        <f>3623.73</f>
        <v>3623.73</v>
      </c>
      <c r="P174">
        <f>320.41</f>
        <v>320.41000000000003</v>
      </c>
      <c r="Q174">
        <f>3834.029</f>
        <v>3834.029</v>
      </c>
      <c r="R174">
        <f>8218.7</f>
        <v>8218.7000000000007</v>
      </c>
      <c r="S174">
        <f>3156.44</f>
        <v>3156.44</v>
      </c>
      <c r="T174">
        <f>3813.948</f>
        <v>3813.9479999999999</v>
      </c>
      <c r="U174">
        <f>66671.65</f>
        <v>66671.649999999994</v>
      </c>
      <c r="V174">
        <f>702.38</f>
        <v>702.38</v>
      </c>
    </row>
    <row r="175" spans="1:22" x14ac:dyDescent="0.2">
      <c r="A175" s="1">
        <v>44862</v>
      </c>
      <c r="B175">
        <f>2128.33</f>
        <v>2128.33</v>
      </c>
      <c r="C175">
        <f>8480.66</f>
        <v>8480.66</v>
      </c>
      <c r="D175">
        <f>7208.39</f>
        <v>7208.39</v>
      </c>
      <c r="E175">
        <f>2107.35</f>
        <v>2107.35</v>
      </c>
      <c r="F175">
        <f>1942.32</f>
        <v>1942.32</v>
      </c>
      <c r="G175">
        <f>8475.099</f>
        <v>8475.0990000000002</v>
      </c>
      <c r="H175">
        <f>3281.37</f>
        <v>3281.37</v>
      </c>
      <c r="I175">
        <f>10932.24</f>
        <v>10932.24</v>
      </c>
      <c r="J175">
        <f>5394.55</f>
        <v>5394.55</v>
      </c>
      <c r="K175">
        <f>17134.7</f>
        <v>17134.7</v>
      </c>
      <c r="L175">
        <f>2498.5</f>
        <v>2498.5</v>
      </c>
      <c r="M175">
        <f>11474.56</f>
        <v>11474.56</v>
      </c>
      <c r="N175">
        <f>401.517</f>
        <v>401.517</v>
      </c>
      <c r="O175">
        <f>3611.74</f>
        <v>3611.74</v>
      </c>
      <c r="P175">
        <f>315.73</f>
        <v>315.73</v>
      </c>
      <c r="Q175">
        <f>3850.633</f>
        <v>3850.6329999999998</v>
      </c>
      <c r="R175">
        <f>8280.11</f>
        <v>8280.11</v>
      </c>
      <c r="S175">
        <f>3106.7</f>
        <v>3106.7</v>
      </c>
      <c r="T175">
        <f>3787.832</f>
        <v>3787.8319999999999</v>
      </c>
      <c r="U175">
        <f>66385.58</f>
        <v>66385.58</v>
      </c>
      <c r="V175">
        <f>705.85</f>
        <v>705.85</v>
      </c>
    </row>
    <row r="176" spans="1:22" x14ac:dyDescent="0.2">
      <c r="A176" s="1">
        <v>44861</v>
      </c>
      <c r="B176">
        <f>2145.55</f>
        <v>2145.5500000000002</v>
      </c>
      <c r="C176">
        <f>8582.61</f>
        <v>8582.61</v>
      </c>
      <c r="D176">
        <f>7235</f>
        <v>7235</v>
      </c>
      <c r="E176">
        <f>2141.964</f>
        <v>2141.9639999999999</v>
      </c>
      <c r="F176">
        <f>1960.82</f>
        <v>1960.82</v>
      </c>
      <c r="G176">
        <f>8494.575</f>
        <v>8494.5750000000007</v>
      </c>
      <c r="H176">
        <f>3319.3</f>
        <v>3319.3</v>
      </c>
      <c r="I176">
        <f>10972.9</f>
        <v>10972.9</v>
      </c>
      <c r="J176">
        <f>5273.64</f>
        <v>5273.64</v>
      </c>
      <c r="K176">
        <f>16729.51</f>
        <v>16729.509999999998</v>
      </c>
      <c r="L176">
        <f>2468.68</f>
        <v>2468.6799999999998</v>
      </c>
      <c r="M176">
        <f>11305.8</f>
        <v>11305.8</v>
      </c>
      <c r="N176">
        <f>401.512</f>
        <v>401.512</v>
      </c>
      <c r="O176">
        <f>3607.38</f>
        <v>3607.38</v>
      </c>
      <c r="P176">
        <f>317.25</f>
        <v>317.25</v>
      </c>
      <c r="Q176">
        <f>3765.335</f>
        <v>3765.335</v>
      </c>
      <c r="R176">
        <f>8080.32</f>
        <v>8080.32</v>
      </c>
      <c r="S176">
        <f>3117.28</f>
        <v>3117.28</v>
      </c>
      <c r="T176">
        <f>3869.289</f>
        <v>3869.2890000000002</v>
      </c>
      <c r="U176">
        <f>67123.41</f>
        <v>67123.41</v>
      </c>
      <c r="V176">
        <f>713.39</f>
        <v>713.39</v>
      </c>
    </row>
    <row r="177" spans="1:22" x14ac:dyDescent="0.2">
      <c r="A177" s="1">
        <v>44860</v>
      </c>
      <c r="B177">
        <f>2141.88</f>
        <v>2141.88</v>
      </c>
      <c r="C177">
        <f>8522.28</f>
        <v>8522.2800000000007</v>
      </c>
      <c r="D177">
        <f>7216.83</f>
        <v>7216.83</v>
      </c>
      <c r="E177">
        <f>2122.66</f>
        <v>2122.66</v>
      </c>
      <c r="F177">
        <f>1981.73</f>
        <v>1981.73</v>
      </c>
      <c r="G177">
        <f>8485.116</f>
        <v>8485.116</v>
      </c>
      <c r="H177">
        <f>3350.2</f>
        <v>3350.2</v>
      </c>
      <c r="I177">
        <f>11057.32</f>
        <v>11057.32</v>
      </c>
      <c r="J177">
        <f>5256.61</f>
        <v>5256.61</v>
      </c>
      <c r="K177">
        <f>16827.75</f>
        <v>16827.75</v>
      </c>
      <c r="L177">
        <f>2469.67</f>
        <v>2469.67</v>
      </c>
      <c r="M177">
        <f>11359.73</f>
        <v>11359.73</v>
      </c>
      <c r="N177">
        <f>403.447</f>
        <v>403.447</v>
      </c>
      <c r="O177">
        <f>3605.82</f>
        <v>3605.82</v>
      </c>
      <c r="P177">
        <f>321.76</f>
        <v>321.76</v>
      </c>
      <c r="Q177">
        <f>3757.319</f>
        <v>3757.319</v>
      </c>
      <c r="R177">
        <f>8129.62</f>
        <v>8129.62</v>
      </c>
      <c r="S177">
        <f>3137.97</f>
        <v>3137.97</v>
      </c>
      <c r="T177">
        <f>3876.785</f>
        <v>3876.7849999999999</v>
      </c>
      <c r="U177">
        <f>67103.09</f>
        <v>67103.09</v>
      </c>
      <c r="V177">
        <f>716.61</f>
        <v>716.61</v>
      </c>
    </row>
    <row r="178" spans="1:22" x14ac:dyDescent="0.2">
      <c r="A178" s="1">
        <v>44859</v>
      </c>
      <c r="B178">
        <f>2124.62</f>
        <v>2124.62</v>
      </c>
      <c r="C178">
        <f>8462.93</f>
        <v>8462.93</v>
      </c>
      <c r="D178">
        <f>7173.28</f>
        <v>7173.28</v>
      </c>
      <c r="E178">
        <f>2104.405</f>
        <v>2104.4050000000002</v>
      </c>
      <c r="F178">
        <f>1921.73</f>
        <v>1921.73</v>
      </c>
      <c r="G178">
        <f>8329.415</f>
        <v>8329.4150000000009</v>
      </c>
      <c r="H178">
        <f>3308.88</f>
        <v>3308.88</v>
      </c>
      <c r="I178">
        <f>10904.34</f>
        <v>10904.34</v>
      </c>
      <c r="J178">
        <f>5230.17</f>
        <v>5230.17</v>
      </c>
      <c r="K178">
        <f>16951.7</f>
        <v>16951.7</v>
      </c>
      <c r="L178">
        <f>2448.25</f>
        <v>2448.25</v>
      </c>
      <c r="M178">
        <f>11367.75</f>
        <v>11367.75</v>
      </c>
      <c r="N178">
        <f>399.926</f>
        <v>399.92599999999999</v>
      </c>
      <c r="O178">
        <f>3585.69</f>
        <v>3585.69</v>
      </c>
      <c r="P178">
        <f>319.82</f>
        <v>319.82</v>
      </c>
      <c r="Q178">
        <f>3736.028</f>
        <v>3736.0279999999998</v>
      </c>
      <c r="R178">
        <f>8190.02</f>
        <v>8190.02</v>
      </c>
      <c r="S178">
        <f>3119.87</f>
        <v>3119.87</v>
      </c>
      <c r="T178">
        <f>3787.123</f>
        <v>3787.123</v>
      </c>
      <c r="U178">
        <f>65850.84</f>
        <v>65850.84</v>
      </c>
      <c r="V178">
        <f>704.78</f>
        <v>704.78</v>
      </c>
    </row>
    <row r="179" spans="1:22" x14ac:dyDescent="0.2">
      <c r="A179" s="1">
        <v>44858</v>
      </c>
      <c r="B179">
        <f>2106.08</f>
        <v>2106.08</v>
      </c>
      <c r="C179">
        <f>8478.41</f>
        <v>8478.41</v>
      </c>
      <c r="D179">
        <f>7173.8</f>
        <v>7173.8</v>
      </c>
      <c r="E179">
        <f>2100.041</f>
        <v>2100.0410000000002</v>
      </c>
      <c r="F179">
        <f>1888.12</f>
        <v>1888.12</v>
      </c>
      <c r="G179">
        <f>8235.576</f>
        <v>8235.5759999999991</v>
      </c>
      <c r="H179">
        <f>3244.19</f>
        <v>3244.19</v>
      </c>
      <c r="I179">
        <f>10633.05</f>
        <v>10633.05</v>
      </c>
      <c r="J179">
        <f>5171.52</f>
        <v>5171.5200000000004</v>
      </c>
      <c r="K179">
        <f>16665.53</f>
        <v>16665.53</v>
      </c>
      <c r="L179">
        <f>2419.44</f>
        <v>2419.44</v>
      </c>
      <c r="M179">
        <f>11168.17</f>
        <v>11168.17</v>
      </c>
      <c r="N179">
        <f>390.597</f>
        <v>390.59699999999998</v>
      </c>
      <c r="O179">
        <f>3534.67</f>
        <v>3534.67</v>
      </c>
      <c r="P179">
        <f>316.95</f>
        <v>316.95</v>
      </c>
      <c r="Q179">
        <f>3683.857</f>
        <v>3683.857</v>
      </c>
      <c r="R179">
        <f>8058.88</f>
        <v>8058.88</v>
      </c>
      <c r="S179">
        <f>3087.22</f>
        <v>3087.22</v>
      </c>
      <c r="T179">
        <f>3769.288</f>
        <v>3769.288</v>
      </c>
      <c r="U179">
        <f>64975.95</f>
        <v>64975.95</v>
      </c>
      <c r="V179">
        <f>701.19</f>
        <v>701.19</v>
      </c>
    </row>
    <row r="180" spans="1:22" x14ac:dyDescent="0.2">
      <c r="A180" s="1">
        <v>44855</v>
      </c>
      <c r="B180">
        <f>2083</f>
        <v>2083</v>
      </c>
      <c r="C180">
        <f>8618.48</f>
        <v>8618.48</v>
      </c>
      <c r="D180">
        <f>7128.53</f>
        <v>7128.53</v>
      </c>
      <c r="E180">
        <f>2155.55</f>
        <v>2155.5500000000002</v>
      </c>
      <c r="F180">
        <f>1857.01</f>
        <v>1857.01</v>
      </c>
      <c r="G180">
        <f>8076.576</f>
        <v>8076.576</v>
      </c>
      <c r="H180">
        <f>3214.2</f>
        <v>3214.2</v>
      </c>
      <c r="I180">
        <f>10385.49</f>
        <v>10385.49</v>
      </c>
      <c r="J180">
        <f>5098.65</f>
        <v>5098.6499999999996</v>
      </c>
      <c r="K180">
        <f>16481.56</f>
        <v>16481.560000000001</v>
      </c>
      <c r="L180">
        <f>2383.17</f>
        <v>2383.17</v>
      </c>
      <c r="M180">
        <f>11030.85</f>
        <v>11030.85</v>
      </c>
      <c r="N180">
        <f>384.783</f>
        <v>384.78300000000002</v>
      </c>
      <c r="O180">
        <f>3493.14</f>
        <v>3493.14</v>
      </c>
      <c r="P180">
        <f>317.16</f>
        <v>317.16000000000003</v>
      </c>
      <c r="Q180">
        <f>3639.31</f>
        <v>3639.31</v>
      </c>
      <c r="R180">
        <f>7964.25</f>
        <v>7964.25</v>
      </c>
      <c r="S180">
        <f>3078.7</f>
        <v>3078.7</v>
      </c>
      <c r="T180">
        <f>3825.372</f>
        <v>3825.3719999999998</v>
      </c>
      <c r="U180">
        <f>65539.24</f>
        <v>65539.240000000005</v>
      </c>
      <c r="V180">
        <f>698.81</f>
        <v>698.81</v>
      </c>
    </row>
    <row r="181" spans="1:22" x14ac:dyDescent="0.2">
      <c r="A181" s="1">
        <v>44854</v>
      </c>
      <c r="B181">
        <f>2077.51</f>
        <v>2077.5100000000002</v>
      </c>
      <c r="C181">
        <f>8586.01</f>
        <v>8586.01</v>
      </c>
      <c r="D181">
        <f>7102.13</f>
        <v>7102.13</v>
      </c>
      <c r="E181">
        <f>2154.857</f>
        <v>2154.857</v>
      </c>
      <c r="F181">
        <f>1862.87</f>
        <v>1862.87</v>
      </c>
      <c r="G181">
        <f>8154.179</f>
        <v>8154.1790000000001</v>
      </c>
      <c r="H181">
        <f>3250.32</f>
        <v>3250.32</v>
      </c>
      <c r="I181">
        <f>10499.76</f>
        <v>10499.76</v>
      </c>
      <c r="J181">
        <f>4982.79</f>
        <v>4982.79</v>
      </c>
      <c r="K181">
        <f>16106.37</f>
        <v>16106.37</v>
      </c>
      <c r="L181">
        <f>2357.05</f>
        <v>2357.0500000000002</v>
      </c>
      <c r="M181">
        <f>10882.1</f>
        <v>10882.1</v>
      </c>
      <c r="N181">
        <f>388.101</f>
        <v>388.101</v>
      </c>
      <c r="O181">
        <f>3508.44</f>
        <v>3508.44</v>
      </c>
      <c r="P181">
        <f>319.7</f>
        <v>319.7</v>
      </c>
      <c r="Q181">
        <f>3556.913</f>
        <v>3556.913</v>
      </c>
      <c r="R181">
        <f>7779.53</f>
        <v>7779.53</v>
      </c>
      <c r="S181">
        <f>3100.67</f>
        <v>3100.67</v>
      </c>
      <c r="T181">
        <f>3817.81</f>
        <v>3817.81</v>
      </c>
      <c r="U181">
        <f>65794.28</f>
        <v>65794.28</v>
      </c>
      <c r="V181">
        <f>692.27</f>
        <v>692.27</v>
      </c>
    </row>
    <row r="182" spans="1:22" x14ac:dyDescent="0.2">
      <c r="A182" s="1">
        <v>44853</v>
      </c>
      <c r="B182">
        <f>2065.84</f>
        <v>2065.84</v>
      </c>
      <c r="C182">
        <f>8559.27</f>
        <v>8559.27</v>
      </c>
      <c r="D182">
        <f>7081.09</f>
        <v>7081.09</v>
      </c>
      <c r="E182">
        <f>2157.691</f>
        <v>2157.6909999999998</v>
      </c>
      <c r="F182">
        <f>1845.04</f>
        <v>1845.04</v>
      </c>
      <c r="G182">
        <f>8091.38</f>
        <v>8091.38</v>
      </c>
      <c r="H182">
        <f>3255.52</f>
        <v>3255.52</v>
      </c>
      <c r="I182">
        <f>10418.92</f>
        <v>10418.92</v>
      </c>
      <c r="J182">
        <f>5035.77</f>
        <v>5035.7700000000004</v>
      </c>
      <c r="K182">
        <f>16227.32</f>
        <v>16227.32</v>
      </c>
      <c r="L182">
        <f>2369.09</f>
        <v>2369.09</v>
      </c>
      <c r="M182">
        <f>10926.09</f>
        <v>10926.09</v>
      </c>
      <c r="N182">
        <f>387.316</f>
        <v>387.31599999999997</v>
      </c>
      <c r="O182">
        <f>3499.37</f>
        <v>3499.37</v>
      </c>
      <c r="P182">
        <f>321.72</f>
        <v>321.72000000000003</v>
      </c>
      <c r="Q182">
        <f>3607.401</f>
        <v>3607.4009999999998</v>
      </c>
      <c r="R182">
        <f>7840.99</f>
        <v>7840.99</v>
      </c>
      <c r="S182">
        <f>3116.46</f>
        <v>3116.46</v>
      </c>
      <c r="T182">
        <f>3808.816</f>
        <v>3808.8159999999998</v>
      </c>
      <c r="U182">
        <f>65652.5</f>
        <v>65652.5</v>
      </c>
      <c r="V182">
        <f>687.88</f>
        <v>687.88</v>
      </c>
    </row>
    <row r="183" spans="1:22" x14ac:dyDescent="0.2">
      <c r="A183" s="1">
        <v>44852</v>
      </c>
      <c r="B183">
        <f>2071.26</f>
        <v>2071.2600000000002</v>
      </c>
      <c r="C183">
        <f>8599.72</f>
        <v>8599.7199999999993</v>
      </c>
      <c r="D183">
        <f>7093.11</f>
        <v>7093.11</v>
      </c>
      <c r="E183">
        <f>2190.391</f>
        <v>2190.3910000000001</v>
      </c>
      <c r="F183">
        <f>1860.61</f>
        <v>1860.61</v>
      </c>
      <c r="G183">
        <f>8143.812</f>
        <v>8143.8119999999999</v>
      </c>
      <c r="H183">
        <f>3263.93</f>
        <v>3263.93</v>
      </c>
      <c r="I183">
        <f>10549.27</f>
        <v>10549.27</v>
      </c>
      <c r="J183">
        <f>5080.36</f>
        <v>5080.3599999999997</v>
      </c>
      <c r="K183">
        <f>16346.38</f>
        <v>16346.38</v>
      </c>
      <c r="L183">
        <f>2388.89</f>
        <v>2388.89</v>
      </c>
      <c r="M183">
        <f>11009.2</f>
        <v>11009.2</v>
      </c>
      <c r="N183">
        <f>390.376</f>
        <v>390.37599999999998</v>
      </c>
      <c r="O183">
        <f>3516.12</f>
        <v>3516.12</v>
      </c>
      <c r="P183">
        <f>320.84</f>
        <v>320.83999999999997</v>
      </c>
      <c r="Q183">
        <f>3639.84705</f>
        <v>3639.8470499999999</v>
      </c>
      <c r="R183">
        <f>7893.68</f>
        <v>7893.68</v>
      </c>
      <c r="S183">
        <f>3110.54</f>
        <v>3110.54</v>
      </c>
      <c r="T183">
        <f>3882.18</f>
        <v>3882.18</v>
      </c>
      <c r="U183">
        <f>66350.98</f>
        <v>66350.98</v>
      </c>
      <c r="V183">
        <f>695.54</f>
        <v>695.54</v>
      </c>
    </row>
    <row r="184" spans="1:22" x14ac:dyDescent="0.2">
      <c r="A184" s="1">
        <v>44851</v>
      </c>
      <c r="B184">
        <f>2073.08</f>
        <v>2073.08</v>
      </c>
      <c r="C184">
        <f>8561.84</f>
        <v>8561.84</v>
      </c>
      <c r="D184">
        <f>7076.23</f>
        <v>7076.23</v>
      </c>
      <c r="E184">
        <f>2157.242</f>
        <v>2157.2420000000002</v>
      </c>
      <c r="F184">
        <f>1881.19</f>
        <v>1881.19</v>
      </c>
      <c r="G184">
        <f>8209.849</f>
        <v>8209.8490000000002</v>
      </c>
      <c r="H184">
        <f>3248.79</f>
        <v>3248.79</v>
      </c>
      <c r="I184">
        <f>10426.75</f>
        <v>10426.75</v>
      </c>
      <c r="J184">
        <f>5023.99</f>
        <v>5023.99</v>
      </c>
      <c r="K184">
        <f>16157.6</f>
        <v>16157.6</v>
      </c>
      <c r="L184">
        <f>2368.89</f>
        <v>2368.89</v>
      </c>
      <c r="M184">
        <f>10892.46</f>
        <v>10892.46</v>
      </c>
      <c r="N184">
        <f>386.722</f>
        <v>386.72199999999998</v>
      </c>
      <c r="O184">
        <f>3502.68</f>
        <v>3502.68</v>
      </c>
      <c r="P184">
        <f>318.71</f>
        <v>318.70999999999998</v>
      </c>
      <c r="Q184">
        <f>3587.108</f>
        <v>3587.1080000000002</v>
      </c>
      <c r="R184">
        <f>7804.33</f>
        <v>7804.33</v>
      </c>
      <c r="S184">
        <f>3074.75</f>
        <v>3074.75</v>
      </c>
      <c r="T184">
        <f>3889.922</f>
        <v>3889.922</v>
      </c>
      <c r="U184">
        <f>66190.75</f>
        <v>66190.75</v>
      </c>
      <c r="V184">
        <f>701.74</f>
        <v>701.74</v>
      </c>
    </row>
    <row r="185" spans="1:22" x14ac:dyDescent="0.2">
      <c r="A185" s="1">
        <v>44848</v>
      </c>
      <c r="B185">
        <f>2031.12</f>
        <v>2031.12</v>
      </c>
      <c r="C185">
        <f>8524.06</f>
        <v>8524.06</v>
      </c>
      <c r="D185">
        <f>7013.39</f>
        <v>7013.39</v>
      </c>
      <c r="E185">
        <f>2151.101</f>
        <v>2151.1010000000001</v>
      </c>
      <c r="F185">
        <f>1835.82</f>
        <v>1835.82</v>
      </c>
      <c r="G185">
        <f>8017.011</f>
        <v>8017.0110000000004</v>
      </c>
      <c r="H185">
        <f>3288.01</f>
        <v>3288.01</v>
      </c>
      <c r="I185">
        <f>10174.73</f>
        <v>10174.73</v>
      </c>
      <c r="J185">
        <f>4935.83</f>
        <v>4935.83</v>
      </c>
      <c r="K185">
        <f>15727.65</f>
        <v>15727.65</v>
      </c>
      <c r="L185">
        <f>2333.03</f>
        <v>2333.0300000000002</v>
      </c>
      <c r="M185">
        <f>10645.24</f>
        <v>10645.24</v>
      </c>
      <c r="N185">
        <f>379.677</f>
        <v>379.67700000000002</v>
      </c>
      <c r="O185">
        <f>3441.54</f>
        <v>3441.54</v>
      </c>
      <c r="P185">
        <f>321.77</f>
        <v>321.77</v>
      </c>
      <c r="Q185">
        <f>3513.511</f>
        <v>3513.511</v>
      </c>
      <c r="R185">
        <f>7602.99</f>
        <v>7602.99</v>
      </c>
      <c r="S185">
        <f>3105.22</f>
        <v>3105.22</v>
      </c>
      <c r="T185">
        <f>3775.956</f>
        <v>3775.9560000000001</v>
      </c>
      <c r="U185">
        <f>64271.36</f>
        <v>64271.360000000001</v>
      </c>
      <c r="V185">
        <f>679.9</f>
        <v>679.9</v>
      </c>
    </row>
    <row r="186" spans="1:22" x14ac:dyDescent="0.2">
      <c r="A186" s="1">
        <v>44847</v>
      </c>
      <c r="B186">
        <f>2028.42</f>
        <v>2028.42</v>
      </c>
      <c r="C186">
        <f>8466.42</f>
        <v>8466.42</v>
      </c>
      <c r="D186">
        <f>7004.68</f>
        <v>7004.68</v>
      </c>
      <c r="E186">
        <f>2129.134</f>
        <v>2129.134</v>
      </c>
      <c r="F186">
        <f>1838.22</f>
        <v>1838.22</v>
      </c>
      <c r="G186">
        <f>7996.426</f>
        <v>7996.4260000000004</v>
      </c>
      <c r="H186">
        <f>3239.99</f>
        <v>3239.99</v>
      </c>
      <c r="I186">
        <f>10062.22</f>
        <v>10062.219999999999</v>
      </c>
      <c r="J186">
        <f>5022.56</f>
        <v>5022.5600000000004</v>
      </c>
      <c r="K186">
        <f>16118.43</f>
        <v>16118.43</v>
      </c>
      <c r="L186">
        <f>2345.09</f>
        <v>2345.09</v>
      </c>
      <c r="M186">
        <f>10801.9</f>
        <v>10801.9</v>
      </c>
      <c r="N186">
        <f>376.98</f>
        <v>376.98</v>
      </c>
      <c r="O186">
        <f>3429.31</f>
        <v>3429.31</v>
      </c>
      <c r="P186">
        <f>316.06</f>
        <v>316.06</v>
      </c>
      <c r="Q186">
        <f>3589.716</f>
        <v>3589.7159999999999</v>
      </c>
      <c r="R186">
        <f>7786.96</f>
        <v>7786.96</v>
      </c>
      <c r="S186">
        <f>3033.94</f>
        <v>3033.94</v>
      </c>
      <c r="T186">
        <f>3802.241</f>
        <v>3802.241</v>
      </c>
      <c r="U186">
        <f>64392.43</f>
        <v>64392.43</v>
      </c>
      <c r="V186">
        <f>687.3</f>
        <v>687.3</v>
      </c>
    </row>
    <row r="187" spans="1:22" x14ac:dyDescent="0.2">
      <c r="A187" s="1">
        <v>44846</v>
      </c>
      <c r="B187">
        <f>1997.89</f>
        <v>1997.89</v>
      </c>
      <c r="C187">
        <f>8553.59</f>
        <v>8553.59</v>
      </c>
      <c r="D187">
        <f>6977.5</f>
        <v>6977.5</v>
      </c>
      <c r="E187">
        <f>2156.056</f>
        <v>2156.056</v>
      </c>
      <c r="F187">
        <f>1816.81</f>
        <v>1816.81</v>
      </c>
      <c r="G187">
        <f>7854.974</f>
        <v>7854.9740000000002</v>
      </c>
      <c r="H187">
        <f>3270.42</f>
        <v>3270.42</v>
      </c>
      <c r="I187">
        <f>9995.559</f>
        <v>9995.5589999999993</v>
      </c>
      <c r="J187">
        <f>4892.37</f>
        <v>4892.37</v>
      </c>
      <c r="K187">
        <f>15723.9</f>
        <v>15723.9</v>
      </c>
      <c r="L187">
        <f>2305.47</f>
        <v>2305.4699999999998</v>
      </c>
      <c r="M187">
        <f>10603.69</f>
        <v>10603.69</v>
      </c>
      <c r="N187">
        <f>377.402</f>
        <v>377.40199999999999</v>
      </c>
      <c r="O187">
        <f>3403.17</f>
        <v>3403.17</v>
      </c>
      <c r="P187">
        <f>317.34</f>
        <v>317.33999999999997</v>
      </c>
      <c r="Q187">
        <f>3503.015</f>
        <v>3503.0149999999999</v>
      </c>
      <c r="R187">
        <f>7588.9</f>
        <v>7588.9</v>
      </c>
      <c r="S187">
        <f>3057.47</f>
        <v>3057.47</v>
      </c>
      <c r="T187">
        <f>3841.243</f>
        <v>3841.2429999999999</v>
      </c>
      <c r="U187">
        <f>64528.23</f>
        <v>64528.23</v>
      </c>
      <c r="V187">
        <f>680.28</f>
        <v>680.28</v>
      </c>
    </row>
    <row r="188" spans="1:22" x14ac:dyDescent="0.2">
      <c r="A188" s="1">
        <v>44845</v>
      </c>
      <c r="B188">
        <f>2039.14</f>
        <v>2039.14</v>
      </c>
      <c r="C188">
        <f>8558.01</f>
        <v>8558.01</v>
      </c>
      <c r="D188">
        <f>7037.89</f>
        <v>7037.89</v>
      </c>
      <c r="E188">
        <f>2153.914</f>
        <v>2153.9140000000002</v>
      </c>
      <c r="F188">
        <f>1836.88</f>
        <v>1836.88</v>
      </c>
      <c r="G188">
        <f>7932.52</f>
        <v>7932.52</v>
      </c>
      <c r="H188">
        <f>3302.09</f>
        <v>3302.09</v>
      </c>
      <c r="I188">
        <f>10040.6</f>
        <v>10040.6</v>
      </c>
      <c r="J188">
        <f>4913.7</f>
        <v>4913.7</v>
      </c>
      <c r="K188">
        <f>15771.23</f>
        <v>15771.23</v>
      </c>
      <c r="L188">
        <f>2315.94</f>
        <v>2315.94</v>
      </c>
      <c r="M188">
        <f>10642.01</f>
        <v>10642.01</v>
      </c>
      <c r="N188">
        <f>379.188</f>
        <v>379.18799999999999</v>
      </c>
      <c r="O188">
        <f>3418.29</f>
        <v>3418.29</v>
      </c>
      <c r="P188">
        <f>319.48</f>
        <v>319.48</v>
      </c>
      <c r="Q188">
        <f>3537.11</f>
        <v>3537.11</v>
      </c>
      <c r="R188">
        <f>7613.75</f>
        <v>7613.75</v>
      </c>
      <c r="S188">
        <f>3061.15</f>
        <v>3061.15</v>
      </c>
      <c r="T188">
        <f>3848.239</f>
        <v>3848.239</v>
      </c>
      <c r="U188">
        <f>64588.09</f>
        <v>64588.09</v>
      </c>
      <c r="V188">
        <f>675.17</f>
        <v>675.17</v>
      </c>
    </row>
    <row r="189" spans="1:22" x14ac:dyDescent="0.2">
      <c r="A189" s="1">
        <v>44844</v>
      </c>
      <c r="B189">
        <f>2067.29</f>
        <v>2067.29</v>
      </c>
      <c r="C189">
        <f>8711.54</f>
        <v>8711.5400000000009</v>
      </c>
      <c r="D189">
        <f>7113.61</f>
        <v>7113.61</v>
      </c>
      <c r="E189">
        <f>2204.094</f>
        <v>2204.0940000000001</v>
      </c>
      <c r="F189">
        <f>1843.13</f>
        <v>1843.13</v>
      </c>
      <c r="G189">
        <f>7988.804</f>
        <v>7988.8040000000001</v>
      </c>
      <c r="H189">
        <f>3329.66</f>
        <v>3329.66</v>
      </c>
      <c r="I189">
        <f>10083.52</f>
        <v>10083.52</v>
      </c>
      <c r="J189">
        <f>4911.39</f>
        <v>4911.3900000000003</v>
      </c>
      <c r="K189">
        <f>15882.48</f>
        <v>15882.48</v>
      </c>
      <c r="L189">
        <f>2317.49</f>
        <v>2317.4899999999998</v>
      </c>
      <c r="M189">
        <f>10728.43</f>
        <v>10728.43</v>
      </c>
      <c r="N189">
        <f>382.75</f>
        <v>382.75</v>
      </c>
      <c r="O189">
        <f>3435.35</f>
        <v>3435.35</v>
      </c>
      <c r="P189" t="e">
        <f>NA()</f>
        <v>#N/A</v>
      </c>
      <c r="Q189">
        <f>3525.796</f>
        <v>3525.7959999999998</v>
      </c>
      <c r="R189">
        <f>7663.58</f>
        <v>7663.58</v>
      </c>
      <c r="S189" t="e">
        <f>NA()</f>
        <v>#N/A</v>
      </c>
      <c r="T189">
        <f>3849.401</f>
        <v>3849.4009999999998</v>
      </c>
      <c r="U189">
        <f>64769.2</f>
        <v>64769.2</v>
      </c>
      <c r="V189">
        <f>680.85</f>
        <v>680.85</v>
      </c>
    </row>
    <row r="190" spans="1:22" x14ac:dyDescent="0.2">
      <c r="A190" s="1">
        <v>44841</v>
      </c>
      <c r="B190">
        <f>2064.91</f>
        <v>2064.91</v>
      </c>
      <c r="C190">
        <f>8784.75</f>
        <v>8784.75</v>
      </c>
      <c r="D190">
        <f>7146.1</f>
        <v>7146.1</v>
      </c>
      <c r="E190">
        <f>2236.318</f>
        <v>2236.3180000000002</v>
      </c>
      <c r="F190">
        <f>1849.87</f>
        <v>1849.87</v>
      </c>
      <c r="G190">
        <f>8089.767</f>
        <v>8089.7669999999998</v>
      </c>
      <c r="H190">
        <f>3343.54</f>
        <v>3343.54</v>
      </c>
      <c r="I190">
        <f>10211.95</f>
        <v>10211.950000000001</v>
      </c>
      <c r="J190">
        <f>4923.55</f>
        <v>4923.55</v>
      </c>
      <c r="K190">
        <f>16010.81</f>
        <v>16010.81</v>
      </c>
      <c r="L190">
        <f>2327.64</f>
        <v>2327.64</v>
      </c>
      <c r="M190">
        <f>10827.39</f>
        <v>10827.39</v>
      </c>
      <c r="N190">
        <f>382.259</f>
        <v>382.25900000000001</v>
      </c>
      <c r="O190">
        <f>3448.77</f>
        <v>3448.77</v>
      </c>
      <c r="P190">
        <f>321.84</f>
        <v>321.83999999999997</v>
      </c>
      <c r="Q190">
        <f>3522.421</f>
        <v>3522.4209999999998</v>
      </c>
      <c r="R190">
        <f>7721.44</f>
        <v>7721.44</v>
      </c>
      <c r="S190">
        <f>3119.31</f>
        <v>3119.31</v>
      </c>
      <c r="T190">
        <f>3932.062</f>
        <v>3932.0619999999999</v>
      </c>
      <c r="U190">
        <f>65675.48</f>
        <v>65675.48</v>
      </c>
      <c r="V190">
        <f>689.74</f>
        <v>689.74</v>
      </c>
    </row>
    <row r="191" spans="1:22" x14ac:dyDescent="0.2">
      <c r="A191" s="1">
        <v>44840</v>
      </c>
      <c r="B191">
        <f>2075.43</f>
        <v>2075.4299999999998</v>
      </c>
      <c r="C191">
        <f>8902.75</f>
        <v>8902.75</v>
      </c>
      <c r="D191">
        <f>7152.41</f>
        <v>7152.41</v>
      </c>
      <c r="E191">
        <f>2268.227</f>
        <v>2268.2269999999999</v>
      </c>
      <c r="F191">
        <f>1857.74</f>
        <v>1857.74</v>
      </c>
      <c r="G191">
        <f>8133.942</f>
        <v>8133.942</v>
      </c>
      <c r="H191">
        <f>3382.8</f>
        <v>3382.8</v>
      </c>
      <c r="I191">
        <f>10424.13</f>
        <v>10424.129999999999</v>
      </c>
      <c r="J191">
        <f>5029.8</f>
        <v>5029.8</v>
      </c>
      <c r="K191">
        <f>16482.75</f>
        <v>16482.75</v>
      </c>
      <c r="L191">
        <f>2369.35</f>
        <v>2369.35</v>
      </c>
      <c r="M191">
        <f>11098.79</f>
        <v>11098.79</v>
      </c>
      <c r="N191">
        <f>387.978</f>
        <v>387.97800000000001</v>
      </c>
      <c r="O191">
        <f>3488.56</f>
        <v>3488.56</v>
      </c>
      <c r="P191">
        <f>324.55</f>
        <v>324.55</v>
      </c>
      <c r="Q191">
        <f>3599.569</f>
        <v>3599.569</v>
      </c>
      <c r="R191">
        <f>7943.63</f>
        <v>7943.63</v>
      </c>
      <c r="S191">
        <f>3144.95</f>
        <v>3144.95</v>
      </c>
      <c r="T191">
        <f>3955.039</f>
        <v>3955.0390000000002</v>
      </c>
      <c r="U191">
        <f>65832.67</f>
        <v>65832.67</v>
      </c>
      <c r="V191">
        <f>693.65</f>
        <v>693.65</v>
      </c>
    </row>
    <row r="192" spans="1:22" x14ac:dyDescent="0.2">
      <c r="A192" s="1">
        <v>44839</v>
      </c>
      <c r="B192">
        <f>2089.94</f>
        <v>2089.94</v>
      </c>
      <c r="C192">
        <f>8908.5</f>
        <v>8908.5</v>
      </c>
      <c r="D192">
        <f>7207.88</f>
        <v>7207.88</v>
      </c>
      <c r="E192">
        <f>2265.536</f>
        <v>2265.5360000000001</v>
      </c>
      <c r="F192">
        <f>1875.44</f>
        <v>1875.44</v>
      </c>
      <c r="G192">
        <f>8234.194</f>
        <v>8234.1939999999995</v>
      </c>
      <c r="H192">
        <f>3372.74</f>
        <v>3372.74</v>
      </c>
      <c r="I192">
        <f>10496.09</f>
        <v>10496.09</v>
      </c>
      <c r="J192">
        <f>5108.64</f>
        <v>5108.6400000000003</v>
      </c>
      <c r="K192">
        <f>16643</f>
        <v>16643</v>
      </c>
      <c r="L192">
        <f>2401.55</f>
        <v>2401.5500000000002</v>
      </c>
      <c r="M192">
        <f>11193.48</f>
        <v>11193.48</v>
      </c>
      <c r="N192">
        <f>390.746</f>
        <v>390.74599999999998</v>
      </c>
      <c r="O192">
        <f>3513.89</f>
        <v>3513.89</v>
      </c>
      <c r="P192">
        <f>323.37</f>
        <v>323.37</v>
      </c>
      <c r="Q192">
        <f>3645.112</f>
        <v>3645.1120000000001</v>
      </c>
      <c r="R192">
        <f>8023.81</f>
        <v>8023.81</v>
      </c>
      <c r="S192">
        <f>3129.33</f>
        <v>3129.33</v>
      </c>
      <c r="T192">
        <f>3940.103</f>
        <v>3940.1030000000001</v>
      </c>
      <c r="U192">
        <f>65612.76</f>
        <v>65612.759999999995</v>
      </c>
      <c r="V192">
        <f>697.98</f>
        <v>697.98</v>
      </c>
    </row>
    <row r="193" spans="1:22" x14ac:dyDescent="0.2">
      <c r="A193" s="1">
        <v>44838</v>
      </c>
      <c r="B193">
        <f>2123.09</f>
        <v>2123.09</v>
      </c>
      <c r="C193">
        <f>8790.69</f>
        <v>8790.69</v>
      </c>
      <c r="D193">
        <f>7242.47</f>
        <v>7242.47</v>
      </c>
      <c r="E193">
        <f>2225.94</f>
        <v>2225.94</v>
      </c>
      <c r="F193">
        <f>1907.55</f>
        <v>1907.55</v>
      </c>
      <c r="G193">
        <f>8385.826</f>
        <v>8385.8259999999991</v>
      </c>
      <c r="H193">
        <f>3377.15</f>
        <v>3377.15</v>
      </c>
      <c r="I193">
        <f>10711.15</f>
        <v>10711.15</v>
      </c>
      <c r="J193">
        <f>5125.65</f>
        <v>5125.6499999999996</v>
      </c>
      <c r="K193">
        <f>16675.82</f>
        <v>16675.82</v>
      </c>
      <c r="L193">
        <f>2418.16</f>
        <v>2418.16</v>
      </c>
      <c r="M193">
        <f>11244.86</f>
        <v>11244.86</v>
      </c>
      <c r="N193">
        <f>394.952</f>
        <v>394.952</v>
      </c>
      <c r="O193">
        <f>3546.63</f>
        <v>3546.63</v>
      </c>
      <c r="P193">
        <f>324</f>
        <v>324</v>
      </c>
      <c r="Q193">
        <f>3662.959</f>
        <v>3662.9589999999998</v>
      </c>
      <c r="R193">
        <f>8039.25</f>
        <v>8039.25</v>
      </c>
      <c r="S193">
        <f>3119.45</f>
        <v>3119.45</v>
      </c>
      <c r="T193">
        <f>3971.305</f>
        <v>3971.3049999999998</v>
      </c>
      <c r="U193">
        <f>66312.83</f>
        <v>66312.83</v>
      </c>
      <c r="V193">
        <f>707.19</f>
        <v>707.19</v>
      </c>
    </row>
    <row r="194" spans="1:22" x14ac:dyDescent="0.2">
      <c r="A194" s="1">
        <v>44837</v>
      </c>
      <c r="B194">
        <f>2072.66</f>
        <v>2072.66</v>
      </c>
      <c r="C194">
        <f>8628.28</f>
        <v>8628.2800000000007</v>
      </c>
      <c r="D194">
        <f>7060.85</f>
        <v>7060.85</v>
      </c>
      <c r="E194">
        <f>2182.319</f>
        <v>2182.319</v>
      </c>
      <c r="F194">
        <f>1848.45</f>
        <v>1848.45</v>
      </c>
      <c r="G194">
        <f>8095.829</f>
        <v>8095.8289999999997</v>
      </c>
      <c r="H194">
        <f>3268.52</f>
        <v>3268.52</v>
      </c>
      <c r="I194">
        <f>10210.15</f>
        <v>10210.15</v>
      </c>
      <c r="J194">
        <f>5001.33</f>
        <v>5001.33</v>
      </c>
      <c r="K194">
        <f>16167.09</f>
        <v>16167.09</v>
      </c>
      <c r="L194">
        <f>2352.67</f>
        <v>2352.67</v>
      </c>
      <c r="M194">
        <f>10877.94</f>
        <v>10877.94</v>
      </c>
      <c r="N194">
        <f>384.365</f>
        <v>384.36500000000001</v>
      </c>
      <c r="O194">
        <f>3436.85</f>
        <v>3436.85</v>
      </c>
      <c r="P194">
        <f>313.95</f>
        <v>313.95</v>
      </c>
      <c r="Q194">
        <f>3570.724</f>
        <v>3570.7240000000002</v>
      </c>
      <c r="R194">
        <f>7800</f>
        <v>7800</v>
      </c>
      <c r="S194">
        <f>3022.44</f>
        <v>3022.44</v>
      </c>
      <c r="T194">
        <f>3809.432</f>
        <v>3809.4319999999998</v>
      </c>
      <c r="U194">
        <f>64227.23</f>
        <v>64227.23</v>
      </c>
      <c r="V194">
        <f>685.94</f>
        <v>685.94</v>
      </c>
    </row>
    <row r="195" spans="1:22" x14ac:dyDescent="0.2">
      <c r="A195" s="1">
        <v>44834</v>
      </c>
      <c r="B195">
        <f>2046.34</f>
        <v>2046.34</v>
      </c>
      <c r="C195">
        <f>8573.01</f>
        <v>8573.01</v>
      </c>
      <c r="D195">
        <f>7045.57</f>
        <v>7045.57</v>
      </c>
      <c r="E195">
        <f>2181.297</f>
        <v>2181.297</v>
      </c>
      <c r="F195">
        <f>1811.47</f>
        <v>1811.47</v>
      </c>
      <c r="G195">
        <f>7989.42</f>
        <v>7989.42</v>
      </c>
      <c r="H195">
        <f>3247.95</f>
        <v>3247.95</v>
      </c>
      <c r="I195">
        <f>10125.63</f>
        <v>10125.629999999999</v>
      </c>
      <c r="J195">
        <f>4878.45</f>
        <v>4878.45</v>
      </c>
      <c r="K195">
        <f>15757.49</f>
        <v>15757.49</v>
      </c>
      <c r="L195">
        <f>2315.24</f>
        <v>2315.2399999999998</v>
      </c>
      <c r="M195">
        <f>10648.16</f>
        <v>10648.16</v>
      </c>
      <c r="N195">
        <f>382.031</f>
        <v>382.03100000000001</v>
      </c>
      <c r="O195">
        <f>3411.92</f>
        <v>3411.92</v>
      </c>
      <c r="P195">
        <f>313.68</f>
        <v>313.68</v>
      </c>
      <c r="Q195">
        <f>3470.247</f>
        <v>3470.2469999999998</v>
      </c>
      <c r="R195">
        <f>7603.14</f>
        <v>7603.14</v>
      </c>
      <c r="S195">
        <f>3003.39</f>
        <v>3003.39</v>
      </c>
      <c r="T195">
        <f>3774.096</f>
        <v>3774.096</v>
      </c>
      <c r="U195">
        <f>63726.37</f>
        <v>63726.37</v>
      </c>
      <c r="V195">
        <f>680.47</f>
        <v>680.47</v>
      </c>
    </row>
    <row r="196" spans="1:22" x14ac:dyDescent="0.2">
      <c r="A196" s="1">
        <v>44833</v>
      </c>
      <c r="B196">
        <f>2018.28</f>
        <v>2018.28</v>
      </c>
      <c r="C196">
        <f>8486.76</f>
        <v>8486.76</v>
      </c>
      <c r="D196">
        <f>7033.08</f>
        <v>7033.08</v>
      </c>
      <c r="E196">
        <f>2175.07</f>
        <v>2175.0700000000002</v>
      </c>
      <c r="F196">
        <f>1794.01</f>
        <v>1794.01</v>
      </c>
      <c r="G196">
        <f>7889.716</f>
        <v>7889.7160000000003</v>
      </c>
      <c r="H196">
        <f>3303.95</f>
        <v>3303.95</v>
      </c>
      <c r="I196">
        <f>9967.671</f>
        <v>9967.6710000000003</v>
      </c>
      <c r="J196">
        <f>4955</f>
        <v>4955</v>
      </c>
      <c r="K196">
        <f>15992.15</f>
        <v>15992.15</v>
      </c>
      <c r="L196">
        <f>2336.75</f>
        <v>2336.75</v>
      </c>
      <c r="M196">
        <f>10749.33</f>
        <v>10749.33</v>
      </c>
      <c r="N196">
        <f>376.871</f>
        <v>376.87099999999998</v>
      </c>
      <c r="O196">
        <f>3373.53</f>
        <v>3373.53</v>
      </c>
      <c r="P196">
        <f>317.26</f>
        <v>317.26</v>
      </c>
      <c r="Q196">
        <f>3515.214</f>
        <v>3515.2139999999999</v>
      </c>
      <c r="R196">
        <f>7719.09</f>
        <v>7719.09</v>
      </c>
      <c r="S196">
        <f>3057.13</f>
        <v>3057.13</v>
      </c>
      <c r="T196">
        <f>3728.673</f>
        <v>3728.6729999999998</v>
      </c>
      <c r="U196">
        <f>63263.94</f>
        <v>63263.94</v>
      </c>
      <c r="V196">
        <f>673.79</f>
        <v>673.79</v>
      </c>
    </row>
    <row r="197" spans="1:22" x14ac:dyDescent="0.2">
      <c r="A197" s="1">
        <v>44832</v>
      </c>
      <c r="B197">
        <f>2080.13</f>
        <v>2080.13</v>
      </c>
      <c r="C197">
        <f>8516.53</f>
        <v>8516.5300000000007</v>
      </c>
      <c r="D197">
        <f>7152.9</f>
        <v>7152.9</v>
      </c>
      <c r="E197">
        <f>2180.554</f>
        <v>2180.5540000000001</v>
      </c>
      <c r="F197">
        <f>1762.88</f>
        <v>1762.88</v>
      </c>
      <c r="G197">
        <f>7806.156</f>
        <v>7806.1559999999999</v>
      </c>
      <c r="H197">
        <f>3240.49</f>
        <v>3240.49</v>
      </c>
      <c r="I197">
        <f>10029.63</f>
        <v>10029.629999999999</v>
      </c>
      <c r="J197">
        <f>5040.23</f>
        <v>5040.2299999999996</v>
      </c>
      <c r="K197">
        <f>16339.48</f>
        <v>16339.48</v>
      </c>
      <c r="L197">
        <f>2356.72</f>
        <v>2356.7199999999998</v>
      </c>
      <c r="M197">
        <f>10908.18</f>
        <v>10908.18</v>
      </c>
      <c r="N197">
        <f>382.364</f>
        <v>382.36399999999998</v>
      </c>
      <c r="O197">
        <f>3429.86</f>
        <v>3429.86</v>
      </c>
      <c r="P197">
        <f>311.22</f>
        <v>311.22000000000003</v>
      </c>
      <c r="Q197">
        <f>3577.65</f>
        <v>3577.65</v>
      </c>
      <c r="R197">
        <f>7884.55</f>
        <v>7884.55</v>
      </c>
      <c r="S197">
        <f>3003.25</f>
        <v>3003.25</v>
      </c>
      <c r="T197">
        <f>3699.32</f>
        <v>3699.32</v>
      </c>
      <c r="U197">
        <f>63808.32</f>
        <v>63808.32</v>
      </c>
      <c r="V197">
        <f>668.54</f>
        <v>668.54</v>
      </c>
    </row>
    <row r="198" spans="1:22" x14ac:dyDescent="0.2">
      <c r="A198" s="1">
        <v>44831</v>
      </c>
      <c r="B198">
        <f>2078.8</f>
        <v>2078.8000000000002</v>
      </c>
      <c r="C198">
        <f>8671.76</f>
        <v>8671.76</v>
      </c>
      <c r="D198">
        <f>7131.65</f>
        <v>7131.65</v>
      </c>
      <c r="E198">
        <f>2219.931</f>
        <v>2219.931</v>
      </c>
      <c r="F198">
        <f>1746.11</f>
        <v>1746.11</v>
      </c>
      <c r="G198">
        <f>7804.783</f>
        <v>7804.7830000000004</v>
      </c>
      <c r="H198">
        <f>3278.94</f>
        <v>3278.94</v>
      </c>
      <c r="I198">
        <f>9972.472</f>
        <v>9972.4719999999998</v>
      </c>
      <c r="J198">
        <f>4958.11</f>
        <v>4958.1099999999997</v>
      </c>
      <c r="K198">
        <f>16016.81</f>
        <v>16016.81</v>
      </c>
      <c r="L198">
        <f>2334.7</f>
        <v>2334.6999999999998</v>
      </c>
      <c r="M198">
        <f>10751.3</f>
        <v>10751.3</v>
      </c>
      <c r="N198">
        <f>379.362</f>
        <v>379.36200000000002</v>
      </c>
      <c r="O198">
        <f>3414.39</f>
        <v>3414.39</v>
      </c>
      <c r="P198">
        <f>312.53</f>
        <v>312.52999999999997</v>
      </c>
      <c r="Q198">
        <f>3516.014</f>
        <v>3516.0140000000001</v>
      </c>
      <c r="R198">
        <f>7731.99</f>
        <v>7731.99</v>
      </c>
      <c r="S198">
        <f>3032.15</f>
        <v>3032.15</v>
      </c>
      <c r="T198">
        <f>3715.6</f>
        <v>3715.6</v>
      </c>
      <c r="U198">
        <f>64025.95</f>
        <v>64025.95</v>
      </c>
      <c r="V198">
        <f>666.49</f>
        <v>666.49</v>
      </c>
    </row>
    <row r="199" spans="1:22" x14ac:dyDescent="0.2">
      <c r="A199" s="1">
        <v>44830</v>
      </c>
      <c r="B199">
        <f>2119.05</f>
        <v>2119.0500000000002</v>
      </c>
      <c r="C199">
        <f>8657.69</f>
        <v>8657.69</v>
      </c>
      <c r="D199">
        <f>7168.77</f>
        <v>7168.77</v>
      </c>
      <c r="E199">
        <f>2211.651</f>
        <v>2211.6509999999998</v>
      </c>
      <c r="F199">
        <f>1756.02</f>
        <v>1756.02</v>
      </c>
      <c r="G199">
        <f>7860.466</f>
        <v>7860.4660000000003</v>
      </c>
      <c r="H199">
        <f>3267.35</f>
        <v>3267.35</v>
      </c>
      <c r="I199">
        <f>9996.738</f>
        <v>9996.7379999999994</v>
      </c>
      <c r="J199">
        <f>4989.42</f>
        <v>4989.42</v>
      </c>
      <c r="K199">
        <f>16042.56</f>
        <v>16042.56</v>
      </c>
      <c r="L199">
        <f>2345.58</f>
        <v>2345.58</v>
      </c>
      <c r="M199">
        <f>10771.12</f>
        <v>10771.12</v>
      </c>
      <c r="N199">
        <f>379.827</f>
        <v>379.827</v>
      </c>
      <c r="O199">
        <f>3413.96</f>
        <v>3413.96</v>
      </c>
      <c r="P199">
        <f>311.8</f>
        <v>311.8</v>
      </c>
      <c r="Q199">
        <f>3539.876</f>
        <v>3539.8760000000002</v>
      </c>
      <c r="R199">
        <f>7747.93</f>
        <v>7747.93</v>
      </c>
      <c r="S199">
        <f>3018.01</f>
        <v>3018.01</v>
      </c>
      <c r="T199">
        <f>3683.287</f>
        <v>3683.2869999999998</v>
      </c>
      <c r="U199">
        <f>63625.66</f>
        <v>63625.66</v>
      </c>
      <c r="V199">
        <f>657.26</f>
        <v>657.26</v>
      </c>
    </row>
    <row r="200" spans="1:22" x14ac:dyDescent="0.2">
      <c r="A200" s="1">
        <v>44827</v>
      </c>
      <c r="B200">
        <f>2155.2</f>
        <v>2155.1999999999998</v>
      </c>
      <c r="C200">
        <f>8855.36</f>
        <v>8855.36</v>
      </c>
      <c r="D200">
        <f>7166.37</f>
        <v>7166.37</v>
      </c>
      <c r="E200">
        <f>2254.547</f>
        <v>2254.547</v>
      </c>
      <c r="F200">
        <f>1781.67</f>
        <v>1781.67</v>
      </c>
      <c r="G200">
        <f>7938.517</f>
        <v>7938.5169999999998</v>
      </c>
      <c r="H200">
        <f>3390.06</f>
        <v>3390.06</v>
      </c>
      <c r="I200">
        <f>10093.59</f>
        <v>10093.59</v>
      </c>
      <c r="J200">
        <f>5049.28</f>
        <v>5049.28</v>
      </c>
      <c r="K200">
        <f>16213.79</f>
        <v>16213.79</v>
      </c>
      <c r="L200">
        <f>2379.4</f>
        <v>2379.4</v>
      </c>
      <c r="M200">
        <f>10905.51</f>
        <v>10905.51</v>
      </c>
      <c r="N200">
        <f>380.397</f>
        <v>380.39699999999999</v>
      </c>
      <c r="O200">
        <f>3430.83</f>
        <v>3430.83</v>
      </c>
      <c r="P200" t="e">
        <f>NA()</f>
        <v>#N/A</v>
      </c>
      <c r="Q200">
        <f>3580.917</f>
        <v>3580.9169999999999</v>
      </c>
      <c r="R200">
        <f>7828.87</f>
        <v>7828.87</v>
      </c>
      <c r="S200" t="e">
        <f>NA()</f>
        <v>#N/A</v>
      </c>
      <c r="T200">
        <f>3660.857</f>
        <v>3660.857</v>
      </c>
      <c r="U200">
        <f>63416.66</f>
        <v>63416.66</v>
      </c>
      <c r="V200">
        <f>656.75</f>
        <v>656.75</v>
      </c>
    </row>
    <row r="201" spans="1:22" x14ac:dyDescent="0.2">
      <c r="A201" s="1">
        <v>44826</v>
      </c>
      <c r="B201">
        <f>2208.22</f>
        <v>2208.2199999999998</v>
      </c>
      <c r="C201">
        <f>8991.24</f>
        <v>8991.24</v>
      </c>
      <c r="D201">
        <f>7310.27</f>
        <v>7310.27</v>
      </c>
      <c r="E201">
        <f>2296.25</f>
        <v>2296.25</v>
      </c>
      <c r="F201">
        <f>1885.41</f>
        <v>1885.41</v>
      </c>
      <c r="G201">
        <f>8360.885</f>
        <v>8360.8850000000002</v>
      </c>
      <c r="H201">
        <f>3418.45</f>
        <v>3418.45</v>
      </c>
      <c r="I201">
        <f>10391.37</f>
        <v>10391.370000000001</v>
      </c>
      <c r="J201">
        <f>5113.76</f>
        <v>5113.76</v>
      </c>
      <c r="K201">
        <f>16501.02</f>
        <v>16501.02</v>
      </c>
      <c r="L201">
        <f>2417.58</f>
        <v>2417.58</v>
      </c>
      <c r="M201">
        <f>11132.73</f>
        <v>11132.73</v>
      </c>
      <c r="N201">
        <f>386.429</f>
        <v>386.42899999999997</v>
      </c>
      <c r="O201">
        <f>3511.18</f>
        <v>3511.18</v>
      </c>
      <c r="P201">
        <f>321.2</f>
        <v>321.2</v>
      </c>
      <c r="Q201">
        <f>3623.623</f>
        <v>3623.623</v>
      </c>
      <c r="R201">
        <f>7965.96</f>
        <v>7965.96</v>
      </c>
      <c r="S201">
        <f>3101.94</f>
        <v>3101.94</v>
      </c>
      <c r="T201">
        <f>3816.338</f>
        <v>3816.3380000000002</v>
      </c>
      <c r="U201">
        <f>65276.97</f>
        <v>65276.97</v>
      </c>
      <c r="V201">
        <f>685.08</f>
        <v>685.08</v>
      </c>
    </row>
    <row r="202" spans="1:22" x14ac:dyDescent="0.2">
      <c r="A202" s="1">
        <v>44825</v>
      </c>
      <c r="B202">
        <f>2232.79</f>
        <v>2232.79</v>
      </c>
      <c r="C202">
        <f>9051.07</f>
        <v>9051.07</v>
      </c>
      <c r="D202">
        <f>7389.62</f>
        <v>7389.62</v>
      </c>
      <c r="E202">
        <f>2319.753</f>
        <v>2319.7530000000002</v>
      </c>
      <c r="F202">
        <f>1889.81</f>
        <v>1889.81</v>
      </c>
      <c r="G202">
        <f>8497.29</f>
        <v>8497.2900000000009</v>
      </c>
      <c r="H202">
        <f>3370.46</f>
        <v>3370.46</v>
      </c>
      <c r="I202">
        <f>10670.79</f>
        <v>10670.79</v>
      </c>
      <c r="J202">
        <f>5133.75</f>
        <v>5133.75</v>
      </c>
      <c r="K202">
        <f>16658.61</f>
        <v>16658.61</v>
      </c>
      <c r="L202">
        <f>2429.13</f>
        <v>2429.13</v>
      </c>
      <c r="M202">
        <f>11254.12</f>
        <v>11254.12</v>
      </c>
      <c r="N202">
        <f>396.758</f>
        <v>396.75799999999998</v>
      </c>
      <c r="O202">
        <f>3574.94</f>
        <v>3574.94</v>
      </c>
      <c r="P202">
        <f>321.98</f>
        <v>321.98</v>
      </c>
      <c r="Q202">
        <f>3657.566</f>
        <v>3657.5659999999998</v>
      </c>
      <c r="R202">
        <f>8033.29</f>
        <v>8033.29</v>
      </c>
      <c r="S202">
        <f>3109.51</f>
        <v>3109.51</v>
      </c>
      <c r="T202">
        <f>3843.022</f>
        <v>3843.0219999999999</v>
      </c>
      <c r="U202">
        <f>66208.71</f>
        <v>66208.710000000006</v>
      </c>
      <c r="V202">
        <f>684.89</f>
        <v>684.89</v>
      </c>
    </row>
    <row r="203" spans="1:22" x14ac:dyDescent="0.2">
      <c r="A203" s="1">
        <v>44824</v>
      </c>
      <c r="B203">
        <f>2205.01</f>
        <v>2205.0100000000002</v>
      </c>
      <c r="C203">
        <f>9142.96</f>
        <v>9142.9599999999991</v>
      </c>
      <c r="D203">
        <f>7343.69</f>
        <v>7343.69</v>
      </c>
      <c r="E203">
        <f>2354.459</f>
        <v>2354.4589999999998</v>
      </c>
      <c r="F203">
        <f>1900.88</f>
        <v>1900.88</v>
      </c>
      <c r="G203">
        <f>8505.981</f>
        <v>8505.9809999999998</v>
      </c>
      <c r="H203">
        <f>3423.81</f>
        <v>3423.81</v>
      </c>
      <c r="I203">
        <f>10706.3</f>
        <v>10706.3</v>
      </c>
      <c r="J203">
        <f>5205.41</f>
        <v>5205.41</v>
      </c>
      <c r="K203">
        <f>16948.25</f>
        <v>16948.25</v>
      </c>
      <c r="L203">
        <f>2458.04</f>
        <v>2458.04</v>
      </c>
      <c r="M203">
        <f>11420.12</f>
        <v>11420.12</v>
      </c>
      <c r="N203">
        <f>391.704</f>
        <v>391.70400000000001</v>
      </c>
      <c r="O203">
        <f>3544.73</f>
        <v>3544.73</v>
      </c>
      <c r="P203">
        <f>325.1</f>
        <v>325.10000000000002</v>
      </c>
      <c r="Q203">
        <f>3706.494</f>
        <v>3706.4940000000001</v>
      </c>
      <c r="R203">
        <f>8172.64</f>
        <v>8172.64</v>
      </c>
      <c r="S203">
        <f>3152.37</f>
        <v>3152.37</v>
      </c>
      <c r="T203">
        <f>3853.768</f>
        <v>3853.768</v>
      </c>
      <c r="U203">
        <f>66602.84</f>
        <v>66602.84</v>
      </c>
      <c r="V203">
        <f>684.3</f>
        <v>684.3</v>
      </c>
    </row>
    <row r="204" spans="1:22" x14ac:dyDescent="0.2">
      <c r="A204" s="1">
        <v>44823</v>
      </c>
      <c r="B204" t="e">
        <f>NA()</f>
        <v>#N/A</v>
      </c>
      <c r="C204">
        <f>9109.57</f>
        <v>9109.57</v>
      </c>
      <c r="D204" t="e">
        <f>NA()</f>
        <v>#N/A</v>
      </c>
      <c r="E204">
        <f>2335.133</f>
        <v>2335.1329999999998</v>
      </c>
      <c r="F204">
        <f>1924.22</f>
        <v>1924.22</v>
      </c>
      <c r="G204">
        <f>8546.587</f>
        <v>8546.5869999999995</v>
      </c>
      <c r="H204">
        <f>3400.4</f>
        <v>3400.4</v>
      </c>
      <c r="I204">
        <f>10865.69</f>
        <v>10865.69</v>
      </c>
      <c r="J204">
        <f>5268.04</f>
        <v>5268.04</v>
      </c>
      <c r="K204">
        <f>17145.97</f>
        <v>17145.97</v>
      </c>
      <c r="L204">
        <f>2480.43</f>
        <v>2480.4299999999998</v>
      </c>
      <c r="M204">
        <f>11538.61</f>
        <v>11538.61</v>
      </c>
      <c r="N204">
        <f>395.887</f>
        <v>395.887</v>
      </c>
      <c r="O204">
        <f>3580.75</f>
        <v>3580.75</v>
      </c>
      <c r="P204" t="e">
        <f>NA()</f>
        <v>#N/A</v>
      </c>
      <c r="Q204">
        <f>3763.303</f>
        <v>3763.3029999999999</v>
      </c>
      <c r="R204">
        <f>8265.73</f>
        <v>8265.73</v>
      </c>
      <c r="S204" t="e">
        <f>NA()</f>
        <v>#N/A</v>
      </c>
      <c r="T204">
        <f>3848.632</f>
        <v>3848.6320000000001</v>
      </c>
      <c r="U204">
        <f>66474.86</f>
        <v>66474.86</v>
      </c>
      <c r="V204">
        <f>681.92</f>
        <v>681.92</v>
      </c>
    </row>
    <row r="205" spans="1:22" x14ac:dyDescent="0.2">
      <c r="A205" s="1">
        <v>44820</v>
      </c>
      <c r="B205">
        <f>2245.45</f>
        <v>2245.4499999999998</v>
      </c>
      <c r="C205">
        <f>9104.66</f>
        <v>9104.66</v>
      </c>
      <c r="D205">
        <f>7388.64</f>
        <v>7388.64</v>
      </c>
      <c r="E205">
        <f>2348.862</f>
        <v>2348.8620000000001</v>
      </c>
      <c r="F205">
        <f>1928.6</f>
        <v>1928.6</v>
      </c>
      <c r="G205">
        <f>8566.067</f>
        <v>8566.0669999999991</v>
      </c>
      <c r="H205">
        <f>3408.6</f>
        <v>3408.6</v>
      </c>
      <c r="I205">
        <f>10896.38</f>
        <v>10896.38</v>
      </c>
      <c r="J205">
        <f>5238.57</f>
        <v>5238.57</v>
      </c>
      <c r="K205">
        <f>17029.51</f>
        <v>17029.509999999998</v>
      </c>
      <c r="L205">
        <f>2477.04</f>
        <v>2477.04</v>
      </c>
      <c r="M205">
        <f>11488.04</f>
        <v>11488.04</v>
      </c>
      <c r="N205">
        <f>396.355</f>
        <v>396.35500000000002</v>
      </c>
      <c r="O205">
        <f>3583.66</f>
        <v>3583.66</v>
      </c>
      <c r="P205">
        <f>322.88</f>
        <v>322.88</v>
      </c>
      <c r="Q205">
        <f>3727.582</f>
        <v>3727.5819999999999</v>
      </c>
      <c r="R205">
        <f>8209.35</f>
        <v>8209.35</v>
      </c>
      <c r="S205">
        <f>3138.27</f>
        <v>3138.27</v>
      </c>
      <c r="T205">
        <f>3854.771</f>
        <v>3854.7710000000002</v>
      </c>
      <c r="U205">
        <f>66584.34</f>
        <v>66584.34</v>
      </c>
      <c r="V205">
        <f>685.55</f>
        <v>685.55</v>
      </c>
    </row>
    <row r="206" spans="1:22" x14ac:dyDescent="0.2">
      <c r="A206" s="1">
        <v>44819</v>
      </c>
      <c r="B206">
        <f>2249.32</f>
        <v>2249.3200000000002</v>
      </c>
      <c r="C206">
        <f>9223.26</f>
        <v>9223.26</v>
      </c>
      <c r="D206">
        <f>7434.98</f>
        <v>7434.98</v>
      </c>
      <c r="E206">
        <f>2384.764</f>
        <v>2384.7640000000001</v>
      </c>
      <c r="F206">
        <f>1943.35</f>
        <v>1943.35</v>
      </c>
      <c r="G206">
        <f>8660.288</f>
        <v>8660.2880000000005</v>
      </c>
      <c r="H206">
        <f>3410.24</f>
        <v>3410.24</v>
      </c>
      <c r="I206">
        <f>11033.36</f>
        <v>11033.36</v>
      </c>
      <c r="J206">
        <f>5242.76</f>
        <v>5242.76</v>
      </c>
      <c r="K206">
        <f>17168.61</f>
        <v>17168.61</v>
      </c>
      <c r="L206">
        <f>2485.39</f>
        <v>2485.39</v>
      </c>
      <c r="M206">
        <f>11589.36</f>
        <v>11589.36</v>
      </c>
      <c r="N206">
        <f>403.881</f>
        <v>403.88099999999997</v>
      </c>
      <c r="O206">
        <f>3639.56</f>
        <v>3639.56</v>
      </c>
      <c r="P206">
        <f>321.74</f>
        <v>321.74</v>
      </c>
      <c r="Q206">
        <f>3746.788</f>
        <v>3746.788</v>
      </c>
      <c r="R206">
        <f>8268.6</f>
        <v>8268.6</v>
      </c>
      <c r="S206">
        <f>3157.37</f>
        <v>3157.37</v>
      </c>
      <c r="T206">
        <f>3906.559</f>
        <v>3906.5590000000002</v>
      </c>
      <c r="U206">
        <f>67568.26</f>
        <v>67568.259999999995</v>
      </c>
      <c r="V206">
        <f>696.78</f>
        <v>696.78</v>
      </c>
    </row>
    <row r="207" spans="1:22" x14ac:dyDescent="0.2">
      <c r="A207" s="1">
        <v>44818</v>
      </c>
      <c r="B207">
        <f>2241.02</f>
        <v>2241.02</v>
      </c>
      <c r="C207">
        <f>9218.08</f>
        <v>9218.08</v>
      </c>
      <c r="D207">
        <f>7429.62</f>
        <v>7429.62</v>
      </c>
      <c r="E207">
        <f>2393.766</f>
        <v>2393.7660000000001</v>
      </c>
      <c r="F207">
        <f>1952.32</f>
        <v>1952.32</v>
      </c>
      <c r="G207">
        <f>8724.395</f>
        <v>8724.3950000000004</v>
      </c>
      <c r="H207">
        <f>3423.55</f>
        <v>3423.55</v>
      </c>
      <c r="I207">
        <f>11110.52</f>
        <v>11110.52</v>
      </c>
      <c r="J207">
        <f>5279.75</f>
        <v>5279.75</v>
      </c>
      <c r="K207">
        <f>17362.58</f>
        <v>17362.580000000002</v>
      </c>
      <c r="L207">
        <f>2497.69</f>
        <v>2497.69</v>
      </c>
      <c r="M207">
        <f>11703.56</f>
        <v>11703.56</v>
      </c>
      <c r="N207">
        <f>407.683</f>
        <v>407.68299999999999</v>
      </c>
      <c r="O207">
        <f>3663.35</f>
        <v>3663.35</v>
      </c>
      <c r="P207">
        <f>321.52</f>
        <v>321.52</v>
      </c>
      <c r="Q207">
        <f>3800.987</f>
        <v>3800.9870000000001</v>
      </c>
      <c r="R207">
        <f>8362.4</f>
        <v>8362.4</v>
      </c>
      <c r="S207">
        <f>3152.56</f>
        <v>3152.56</v>
      </c>
      <c r="T207">
        <f>3921.779</f>
        <v>3921.779</v>
      </c>
      <c r="U207">
        <f>67964.02</f>
        <v>67964.02</v>
      </c>
      <c r="V207">
        <f>698.73</f>
        <v>698.73</v>
      </c>
    </row>
    <row r="208" spans="1:22" x14ac:dyDescent="0.2">
      <c r="A208" s="1">
        <v>44817</v>
      </c>
      <c r="B208">
        <f>2286.6</f>
        <v>2286.6</v>
      </c>
      <c r="C208">
        <f>9367.97</f>
        <v>9367.9699999999993</v>
      </c>
      <c r="D208">
        <f>7540.45</f>
        <v>7540.45</v>
      </c>
      <c r="E208">
        <f>2436.395</f>
        <v>2436.395</v>
      </c>
      <c r="F208">
        <f>1990.71</f>
        <v>1990.71</v>
      </c>
      <c r="G208">
        <f>8826.91</f>
        <v>8826.91</v>
      </c>
      <c r="H208">
        <f>3436.89</f>
        <v>3436.89</v>
      </c>
      <c r="I208">
        <f>11218.21</f>
        <v>11218.21</v>
      </c>
      <c r="J208">
        <f>5269.16</f>
        <v>5269.16</v>
      </c>
      <c r="K208">
        <f>17295.7</f>
        <v>17295.7</v>
      </c>
      <c r="L208">
        <f>2505.43</f>
        <v>2505.4299999999998</v>
      </c>
      <c r="M208">
        <f>11708.65</f>
        <v>11708.65</v>
      </c>
      <c r="N208">
        <f>413.825</f>
        <v>413.82499999999999</v>
      </c>
      <c r="O208">
        <f>3696.33</f>
        <v>3696.33</v>
      </c>
      <c r="P208">
        <f>326.01</f>
        <v>326.01</v>
      </c>
      <c r="Q208">
        <f>3817.845</f>
        <v>3817.8449999999998</v>
      </c>
      <c r="R208">
        <f>8331.9</f>
        <v>8331.9</v>
      </c>
      <c r="S208">
        <f>3215.87</f>
        <v>3215.87</v>
      </c>
      <c r="T208">
        <f>3910.228</f>
        <v>3910.2280000000001</v>
      </c>
      <c r="U208">
        <f>68273.71</f>
        <v>68273.710000000006</v>
      </c>
      <c r="V208">
        <f>697.88</f>
        <v>697.88</v>
      </c>
    </row>
    <row r="209" spans="1:22" x14ac:dyDescent="0.2">
      <c r="A209" s="1">
        <v>44816</v>
      </c>
      <c r="B209">
        <f>2317.48</f>
        <v>2317.48</v>
      </c>
      <c r="C209">
        <f>9399.72</f>
        <v>9399.7199999999993</v>
      </c>
      <c r="D209">
        <f>7629.44</f>
        <v>7629.44</v>
      </c>
      <c r="E209">
        <f>2434.099</f>
        <v>2434.0990000000002</v>
      </c>
      <c r="F209">
        <f>2044.62</f>
        <v>2044.62</v>
      </c>
      <c r="G209">
        <f>9048.284</f>
        <v>9048.2839999999997</v>
      </c>
      <c r="H209">
        <f>3478.47</f>
        <v>3478.47</v>
      </c>
      <c r="I209">
        <f>11524.96</f>
        <v>11524.96</v>
      </c>
      <c r="J209">
        <f>5464.86</f>
        <v>5464.86</v>
      </c>
      <c r="K209">
        <f>18077.13</f>
        <v>18077.13</v>
      </c>
      <c r="L209">
        <f>2575.11</f>
        <v>2575.11</v>
      </c>
      <c r="M209">
        <f>12153.2</f>
        <v>12153.2</v>
      </c>
      <c r="N209">
        <f>420.808</f>
        <v>420.80799999999999</v>
      </c>
      <c r="O209">
        <f>3749.95</f>
        <v>3749.95</v>
      </c>
      <c r="P209">
        <f>324.97</f>
        <v>324.97000000000003</v>
      </c>
      <c r="Q209">
        <f>3953.742</f>
        <v>3953.7420000000002</v>
      </c>
      <c r="R209">
        <f>8708.17</f>
        <v>8708.17</v>
      </c>
      <c r="S209">
        <f>3205.59</f>
        <v>3205.59</v>
      </c>
      <c r="T209">
        <f>3984.883</f>
        <v>3984.8829999999998</v>
      </c>
      <c r="U209">
        <f>69772.41</f>
        <v>69772.41</v>
      </c>
      <c r="V209">
        <f>709.68</f>
        <v>709.68</v>
      </c>
    </row>
    <row r="210" spans="1:22" x14ac:dyDescent="0.2">
      <c r="A210" s="1">
        <v>44813</v>
      </c>
      <c r="B210">
        <f>2286.24</f>
        <v>2286.2399999999998</v>
      </c>
      <c r="C210">
        <f>9330.57</f>
        <v>9330.57</v>
      </c>
      <c r="D210">
        <f>7504.94</f>
        <v>7504.94</v>
      </c>
      <c r="E210">
        <f>2411.907</f>
        <v>2411.9070000000002</v>
      </c>
      <c r="F210">
        <f>1990.51</f>
        <v>1990.51</v>
      </c>
      <c r="G210">
        <f>8811.048</f>
        <v>8811.0480000000007</v>
      </c>
      <c r="H210">
        <f>3465.45</f>
        <v>3465.45</v>
      </c>
      <c r="I210">
        <f>11230.78</f>
        <v>11230.78</v>
      </c>
      <c r="J210">
        <f>5431.44</f>
        <v>5431.44</v>
      </c>
      <c r="K210">
        <f>17885.02</f>
        <v>17885.02</v>
      </c>
      <c r="L210">
        <f>2544.69</f>
        <v>2544.69</v>
      </c>
      <c r="M210">
        <f>11991.77</f>
        <v>11991.77</v>
      </c>
      <c r="N210">
        <f>414.035</f>
        <v>414.03500000000003</v>
      </c>
      <c r="O210">
        <f>3687.57</f>
        <v>3687.57</v>
      </c>
      <c r="P210">
        <f>325.11</f>
        <v>325.11</v>
      </c>
      <c r="Q210">
        <f>3929.734</f>
        <v>3929.7339999999999</v>
      </c>
      <c r="R210">
        <f>8616.98</f>
        <v>8616.98</v>
      </c>
      <c r="S210">
        <f>3181.81</f>
        <v>3181.81</v>
      </c>
      <c r="T210">
        <f>3926.311</f>
        <v>3926.3110000000001</v>
      </c>
      <c r="U210">
        <f>68708.48</f>
        <v>68708.479999999996</v>
      </c>
      <c r="V210">
        <f>702.19</f>
        <v>702.19</v>
      </c>
    </row>
    <row r="211" spans="1:22" x14ac:dyDescent="0.2">
      <c r="A211" s="1">
        <v>44812</v>
      </c>
      <c r="B211">
        <f>2251.43</f>
        <v>2251.4299999999998</v>
      </c>
      <c r="C211">
        <f>9179.88</f>
        <v>9179.8799999999992</v>
      </c>
      <c r="D211">
        <f>7414.06</f>
        <v>7414.06</v>
      </c>
      <c r="E211">
        <f>2379.118</f>
        <v>2379.1179999999999</v>
      </c>
      <c r="F211">
        <f>1937.47</f>
        <v>1937.47</v>
      </c>
      <c r="G211">
        <f>8637.692</f>
        <v>8637.6919999999991</v>
      </c>
      <c r="H211">
        <f>3417.04</f>
        <v>3417.04</v>
      </c>
      <c r="I211">
        <f>10958.66</f>
        <v>10958.66</v>
      </c>
      <c r="J211">
        <f>5374.64</f>
        <v>5374.64</v>
      </c>
      <c r="K211">
        <f>17601.94</f>
        <v>17601.939999999999</v>
      </c>
      <c r="L211">
        <f>2509.57</f>
        <v>2509.5700000000002</v>
      </c>
      <c r="M211">
        <f>11782.08</f>
        <v>11782.08</v>
      </c>
      <c r="N211">
        <f>407.376</f>
        <v>407.37599999999998</v>
      </c>
      <c r="O211">
        <f>3632.37</f>
        <v>3632.37</v>
      </c>
      <c r="P211">
        <f>322.92</f>
        <v>322.92</v>
      </c>
      <c r="Q211">
        <f>3890.715</f>
        <v>3890.7150000000001</v>
      </c>
      <c r="R211">
        <f>8486.63</f>
        <v>8486.6299999999992</v>
      </c>
      <c r="S211">
        <f>3169.01</f>
        <v>3169.01</v>
      </c>
      <c r="T211">
        <f>3830.824</f>
        <v>3830.8240000000001</v>
      </c>
      <c r="U211">
        <f>67260.23</f>
        <v>67260.23</v>
      </c>
      <c r="V211">
        <f>689.67</f>
        <v>689.67</v>
      </c>
    </row>
    <row r="212" spans="1:22" x14ac:dyDescent="0.2">
      <c r="A212" s="1">
        <v>44811</v>
      </c>
      <c r="B212">
        <f>2254.17</f>
        <v>2254.17</v>
      </c>
      <c r="C212">
        <f>9144.17</f>
        <v>9144.17</v>
      </c>
      <c r="D212">
        <f>7388.45</f>
        <v>7388.45</v>
      </c>
      <c r="E212">
        <f>2377.054</f>
        <v>2377.0540000000001</v>
      </c>
      <c r="F212">
        <f>1918.56</f>
        <v>1918.56</v>
      </c>
      <c r="G212">
        <f>8587.852</f>
        <v>8587.8520000000008</v>
      </c>
      <c r="H212">
        <f>3348.68</f>
        <v>3348.68</v>
      </c>
      <c r="I212">
        <f>10895.49</f>
        <v>10895.49</v>
      </c>
      <c r="J212">
        <f>5341.68</f>
        <v>5341.68</v>
      </c>
      <c r="K212">
        <f>17473.64</f>
        <v>17473.64</v>
      </c>
      <c r="L212">
        <f>2490.7</f>
        <v>2490.6999999999998</v>
      </c>
      <c r="M212">
        <f>11681.84</f>
        <v>11681.84</v>
      </c>
      <c r="N212">
        <f>406.143</f>
        <v>406.14299999999997</v>
      </c>
      <c r="O212">
        <f>3616.55</f>
        <v>3616.55</v>
      </c>
      <c r="P212">
        <f>316.7</f>
        <v>316.7</v>
      </c>
      <c r="Q212">
        <f>3878.33</f>
        <v>3878.33</v>
      </c>
      <c r="R212">
        <f>8429.87</f>
        <v>8429.8700000000008</v>
      </c>
      <c r="S212">
        <f>3101.06</f>
        <v>3101.06</v>
      </c>
      <c r="T212">
        <f>3779.998</f>
        <v>3779.998</v>
      </c>
      <c r="U212">
        <f>66715.83</f>
        <v>66715.83</v>
      </c>
      <c r="V212">
        <f>679.07</f>
        <v>679.07</v>
      </c>
    </row>
    <row r="213" spans="1:22" x14ac:dyDescent="0.2">
      <c r="A213" s="1">
        <v>44810</v>
      </c>
      <c r="B213">
        <f>2274.62</f>
        <v>2274.62</v>
      </c>
      <c r="C213">
        <f>9224.75</f>
        <v>9224.75</v>
      </c>
      <c r="D213">
        <f>7452.36</f>
        <v>7452.36</v>
      </c>
      <c r="E213">
        <f>2398.362</f>
        <v>2398.3620000000001</v>
      </c>
      <c r="F213">
        <f>1948.47</f>
        <v>1948.47</v>
      </c>
      <c r="G213">
        <f>8715.534</f>
        <v>8715.5339999999997</v>
      </c>
      <c r="H213">
        <f>3382.69</f>
        <v>3382.69</v>
      </c>
      <c r="I213">
        <f>10866.57</f>
        <v>10866.57</v>
      </c>
      <c r="J213">
        <f>5256.3</f>
        <v>5256.3</v>
      </c>
      <c r="K213">
        <f>17154.04</f>
        <v>17154.04</v>
      </c>
      <c r="L213">
        <f>2471.93</f>
        <v>2471.9299999999998</v>
      </c>
      <c r="M213">
        <f>11551.22</f>
        <v>11551.22</v>
      </c>
      <c r="N213">
        <f>408.044</f>
        <v>408.04399999999998</v>
      </c>
      <c r="O213">
        <f>3636.43</f>
        <v>3636.43</v>
      </c>
      <c r="P213">
        <f>317.7</f>
        <v>317.7</v>
      </c>
      <c r="Q213">
        <f>3795.349</f>
        <v>3795.3490000000002</v>
      </c>
      <c r="R213">
        <f>8277.81</f>
        <v>8277.81</v>
      </c>
      <c r="S213">
        <f>3118.76</f>
        <v>3118.76</v>
      </c>
      <c r="T213">
        <f>3804.828</f>
        <v>3804.828</v>
      </c>
      <c r="U213">
        <f>67538.77</f>
        <v>67538.77</v>
      </c>
      <c r="V213">
        <f>688.88</f>
        <v>688.88</v>
      </c>
    </row>
    <row r="214" spans="1:22" x14ac:dyDescent="0.2">
      <c r="A214" s="1">
        <v>44809</v>
      </c>
      <c r="B214">
        <f>2258.43</f>
        <v>2258.4299999999998</v>
      </c>
      <c r="C214">
        <f>9234.06</f>
        <v>9234.06</v>
      </c>
      <c r="D214">
        <f>7439.09</f>
        <v>7439.09</v>
      </c>
      <c r="E214">
        <f>2404.675</f>
        <v>2404.6750000000002</v>
      </c>
      <c r="F214">
        <f>1929.24</f>
        <v>1929.24</v>
      </c>
      <c r="G214">
        <f>8687.62</f>
        <v>8687.6200000000008</v>
      </c>
      <c r="H214">
        <f>3434.14</f>
        <v>3434.14</v>
      </c>
      <c r="I214">
        <f>10873</f>
        <v>10873</v>
      </c>
      <c r="J214">
        <f>5273.79</f>
        <v>5273.79</v>
      </c>
      <c r="K214">
        <f>17225.32</f>
        <v>17225.32</v>
      </c>
      <c r="L214">
        <f>2481.14</f>
        <v>2481.14</v>
      </c>
      <c r="M214">
        <f>11602.98</f>
        <v>11602.98</v>
      </c>
      <c r="N214">
        <f>405.87</f>
        <v>405.87</v>
      </c>
      <c r="O214">
        <f>3629.14</f>
        <v>3629.14</v>
      </c>
      <c r="P214">
        <f>317</f>
        <v>317</v>
      </c>
      <c r="Q214" t="e">
        <f>NA()</f>
        <v>#N/A</v>
      </c>
      <c r="R214" t="e">
        <f>NA()</f>
        <v>#N/A</v>
      </c>
      <c r="S214">
        <f>3122.34</f>
        <v>3122.34</v>
      </c>
      <c r="T214">
        <f>3808.408</f>
        <v>3808.4079999999999</v>
      </c>
      <c r="U214">
        <f>67399.39</f>
        <v>67399.39</v>
      </c>
      <c r="V214">
        <f>688.92</f>
        <v>688.92</v>
      </c>
    </row>
    <row r="215" spans="1:22" x14ac:dyDescent="0.2">
      <c r="A215" s="1">
        <v>44806</v>
      </c>
      <c r="B215">
        <f>2253.96</f>
        <v>2253.96</v>
      </c>
      <c r="C215">
        <f>9189.48</f>
        <v>9189.48</v>
      </c>
      <c r="D215">
        <f>7432.71</f>
        <v>7432.71</v>
      </c>
      <c r="E215">
        <f>2414.958</f>
        <v>2414.9580000000001</v>
      </c>
      <c r="F215">
        <f>1925.62</f>
        <v>1925.62</v>
      </c>
      <c r="G215">
        <f>8728.693</f>
        <v>8728.6929999999993</v>
      </c>
      <c r="H215">
        <f>3454.53</f>
        <v>3454.53</v>
      </c>
      <c r="I215">
        <f>11093.05</f>
        <v>11093.05</v>
      </c>
      <c r="J215">
        <f>5273.79</f>
        <v>5273.79</v>
      </c>
      <c r="K215">
        <f>17225.32</f>
        <v>17225.32</v>
      </c>
      <c r="L215">
        <f>2490.44</f>
        <v>2490.44</v>
      </c>
      <c r="M215">
        <f>11640.54</f>
        <v>11640.54</v>
      </c>
      <c r="N215">
        <f>407.714</f>
        <v>407.714</v>
      </c>
      <c r="O215">
        <f>3647.37</f>
        <v>3647.37</v>
      </c>
      <c r="P215">
        <f>317.28</f>
        <v>317.27999999999997</v>
      </c>
      <c r="Q215">
        <f>3800.951</f>
        <v>3800.951</v>
      </c>
      <c r="R215">
        <f>8311.42</f>
        <v>8311.42</v>
      </c>
      <c r="S215">
        <f>3124.58</f>
        <v>3124.58</v>
      </c>
      <c r="T215">
        <f>3792.653</f>
        <v>3792.6529999999998</v>
      </c>
      <c r="U215">
        <f>67378.31</f>
        <v>67378.31</v>
      </c>
      <c r="V215">
        <f>685.45</f>
        <v>685.45</v>
      </c>
    </row>
    <row r="216" spans="1:22" x14ac:dyDescent="0.2">
      <c r="A216" s="1">
        <v>44805</v>
      </c>
      <c r="B216">
        <f>2215.49</f>
        <v>2215.4899999999998</v>
      </c>
      <c r="C216">
        <f>9223.59</f>
        <v>9223.59</v>
      </c>
      <c r="D216">
        <f>7297.26</f>
        <v>7297.26</v>
      </c>
      <c r="E216">
        <f>2425.123</f>
        <v>2425.123</v>
      </c>
      <c r="F216">
        <f>1894.16</f>
        <v>1894.16</v>
      </c>
      <c r="G216">
        <f>8532.514</f>
        <v>8532.5139999999992</v>
      </c>
      <c r="H216">
        <f>3456.87</f>
        <v>3456.87</v>
      </c>
      <c r="I216">
        <f>10753.14</f>
        <v>10753.14</v>
      </c>
      <c r="J216">
        <f>5334.15</f>
        <v>5334.15</v>
      </c>
      <c r="K216">
        <f>17404.68</f>
        <v>17404.68</v>
      </c>
      <c r="L216">
        <f>2493.91</f>
        <v>2493.91</v>
      </c>
      <c r="M216">
        <f>11662.26</f>
        <v>11662.26</v>
      </c>
      <c r="N216">
        <f>399.906</f>
        <v>399.90600000000001</v>
      </c>
      <c r="O216">
        <f>3575.55</f>
        <v>3575.55</v>
      </c>
      <c r="P216">
        <f>317.44</f>
        <v>317.44</v>
      </c>
      <c r="Q216">
        <f>3832.895</f>
        <v>3832.895</v>
      </c>
      <c r="R216">
        <f>8400.96</f>
        <v>8400.9599999999991</v>
      </c>
      <c r="S216">
        <f>3133.18</f>
        <v>3133.18</v>
      </c>
      <c r="T216">
        <f>3693.588</f>
        <v>3693.5880000000002</v>
      </c>
      <c r="U216">
        <f>66021.71</f>
        <v>66021.710000000006</v>
      </c>
      <c r="V216">
        <f>674.39</f>
        <v>674.39</v>
      </c>
    </row>
    <row r="217" spans="1:22" x14ac:dyDescent="0.2">
      <c r="A217" s="1">
        <v>44804</v>
      </c>
      <c r="B217">
        <f>2258.66</f>
        <v>2258.66</v>
      </c>
      <c r="C217">
        <f>9343.53</f>
        <v>9343.5300000000007</v>
      </c>
      <c r="D217">
        <f>7429</f>
        <v>7429</v>
      </c>
      <c r="E217">
        <f>2469.584</f>
        <v>2469.5839999999998</v>
      </c>
      <c r="F217">
        <f>1944.51</f>
        <v>1944.51</v>
      </c>
      <c r="G217">
        <f>8764.022</f>
        <v>8764.0220000000008</v>
      </c>
      <c r="H217">
        <f>3535.77</f>
        <v>3535.77</v>
      </c>
      <c r="I217">
        <f>11081.44</f>
        <v>11081.44</v>
      </c>
      <c r="J217">
        <f>5290.33</f>
        <v>5290.33</v>
      </c>
      <c r="K217">
        <f>17368.29</f>
        <v>17368.29</v>
      </c>
      <c r="L217">
        <f>2503.13</f>
        <v>2503.13</v>
      </c>
      <c r="M217">
        <f>11734.16</f>
        <v>11734.16</v>
      </c>
      <c r="N217">
        <f>408.064</f>
        <v>408.06400000000002</v>
      </c>
      <c r="O217">
        <f>3638.6</f>
        <v>3638.6</v>
      </c>
      <c r="P217">
        <f>320.35</f>
        <v>320.35000000000002</v>
      </c>
      <c r="Q217">
        <f>3822.978</f>
        <v>3822.9780000000001</v>
      </c>
      <c r="R217">
        <f>8374.42</f>
        <v>8374.42</v>
      </c>
      <c r="S217">
        <f>3177.98</f>
        <v>3177.98</v>
      </c>
      <c r="T217">
        <f>3786.14</f>
        <v>3786.14</v>
      </c>
      <c r="U217">
        <f>67257.14</f>
        <v>67257.14</v>
      </c>
      <c r="V217">
        <f>682.59</f>
        <v>682.59</v>
      </c>
    </row>
    <row r="218" spans="1:22" x14ac:dyDescent="0.2">
      <c r="A218" s="1">
        <v>44803</v>
      </c>
      <c r="B218">
        <f>2277.61</f>
        <v>2277.61</v>
      </c>
      <c r="C218">
        <f>9346.23</f>
        <v>9346.23</v>
      </c>
      <c r="D218">
        <f>7508.02</f>
        <v>7508.02</v>
      </c>
      <c r="E218">
        <f>2466.088</f>
        <v>2466.0880000000002</v>
      </c>
      <c r="F218">
        <f>1951.94</f>
        <v>1951.94</v>
      </c>
      <c r="G218">
        <f>8857.694</f>
        <v>8857.6939999999995</v>
      </c>
      <c r="H218">
        <f>3537.04</f>
        <v>3537.04</v>
      </c>
      <c r="I218">
        <f>11118.39</f>
        <v>11118.39</v>
      </c>
      <c r="J218">
        <f>5330.73</f>
        <v>5330.73</v>
      </c>
      <c r="K218">
        <f>17500.02</f>
        <v>17500.02</v>
      </c>
      <c r="L218">
        <f>2521.1</f>
        <v>2521.1</v>
      </c>
      <c r="M218">
        <f>11812.74</f>
        <v>11812.74</v>
      </c>
      <c r="N218">
        <f>412.546</f>
        <v>412.54599999999999</v>
      </c>
      <c r="O218">
        <f>3679.66</f>
        <v>3679.66</v>
      </c>
      <c r="P218">
        <f>321.65</f>
        <v>321.64999999999998</v>
      </c>
      <c r="Q218">
        <f>3851.77116</f>
        <v>3851.7711599999998</v>
      </c>
      <c r="R218">
        <f>8438.69</f>
        <v>8438.69</v>
      </c>
      <c r="S218">
        <f>3186.32</f>
        <v>3186.32</v>
      </c>
      <c r="T218">
        <f>3817.345</f>
        <v>3817.3449999999998</v>
      </c>
      <c r="U218">
        <f>67900.48</f>
        <v>67900.479999999996</v>
      </c>
      <c r="V218">
        <f>688.58</f>
        <v>688.58</v>
      </c>
    </row>
    <row r="219" spans="1:22" x14ac:dyDescent="0.2">
      <c r="A219" s="1">
        <v>44802</v>
      </c>
      <c r="B219" t="e">
        <f>NA()</f>
        <v>#N/A</v>
      </c>
      <c r="C219">
        <f>9371.47</f>
        <v>9371.4699999999993</v>
      </c>
      <c r="D219" t="e">
        <f>NA()</f>
        <v>#N/A</v>
      </c>
      <c r="E219">
        <f>2463.278</f>
        <v>2463.2779999999998</v>
      </c>
      <c r="F219">
        <f>1992.96</f>
        <v>1992.96</v>
      </c>
      <c r="G219">
        <f>8983.856</f>
        <v>8983.8559999999998</v>
      </c>
      <c r="H219">
        <f>3498.53</f>
        <v>3498.53</v>
      </c>
      <c r="I219">
        <f>11151.58</f>
        <v>11151.58</v>
      </c>
      <c r="J219">
        <f>5385.48</f>
        <v>5385.48</v>
      </c>
      <c r="K219">
        <f>17692.98</f>
        <v>17692.98</v>
      </c>
      <c r="L219">
        <f>2537.83</f>
        <v>2537.83</v>
      </c>
      <c r="M219">
        <f>11916.03</f>
        <v>11916.03</v>
      </c>
      <c r="N219">
        <f>416.641</f>
        <v>416.64100000000002</v>
      </c>
      <c r="O219">
        <f>3705.01</f>
        <v>3705.01</v>
      </c>
      <c r="P219">
        <f>318.75</f>
        <v>318.75</v>
      </c>
      <c r="Q219">
        <f>3892.676</f>
        <v>3892.6759999999999</v>
      </c>
      <c r="R219">
        <f>8532.1</f>
        <v>8532.1</v>
      </c>
      <c r="S219">
        <f>3146.25</f>
        <v>3146.25</v>
      </c>
      <c r="T219">
        <f>3904.643</f>
        <v>3904.643</v>
      </c>
      <c r="U219">
        <f>69207.02</f>
        <v>69207.02</v>
      </c>
      <c r="V219">
        <f>702.44</f>
        <v>702.44</v>
      </c>
    </row>
    <row r="220" spans="1:22" x14ac:dyDescent="0.2">
      <c r="A220" s="1">
        <v>44799</v>
      </c>
      <c r="B220">
        <f>2296.7</f>
        <v>2296.6999999999998</v>
      </c>
      <c r="C220">
        <f>9507.9</f>
        <v>9507.9</v>
      </c>
      <c r="D220">
        <f>7575</f>
        <v>7575</v>
      </c>
      <c r="E220">
        <f>2500.111</f>
        <v>2500.1109999999999</v>
      </c>
      <c r="F220">
        <f>2009.84</f>
        <v>2009.84</v>
      </c>
      <c r="G220">
        <f>9059.922</f>
        <v>9059.9220000000005</v>
      </c>
      <c r="H220">
        <f>3574.61</f>
        <v>3574.61</v>
      </c>
      <c r="I220">
        <f>11297.01</f>
        <v>11297.01</v>
      </c>
      <c r="J220">
        <f>5419.86</f>
        <v>5419.86</v>
      </c>
      <c r="K220">
        <f>17815.56</f>
        <v>17815.560000000001</v>
      </c>
      <c r="L220">
        <f>2561.1</f>
        <v>2561.1</v>
      </c>
      <c r="M220">
        <f>12030.84</f>
        <v>12030.84</v>
      </c>
      <c r="N220">
        <f>420.579</f>
        <v>420.57900000000001</v>
      </c>
      <c r="O220">
        <f>3737.91</f>
        <v>3737.91</v>
      </c>
      <c r="P220">
        <f>322.6</f>
        <v>322.60000000000002</v>
      </c>
      <c r="Q220">
        <f>3903.492</f>
        <v>3903.4920000000002</v>
      </c>
      <c r="R220">
        <f>8588.95</f>
        <v>8588.9500000000007</v>
      </c>
      <c r="S220">
        <f>3203.69</f>
        <v>3203.69</v>
      </c>
      <c r="T220">
        <f>3970.651</f>
        <v>3970.6509999999998</v>
      </c>
      <c r="U220">
        <f>70173.09</f>
        <v>70173.09</v>
      </c>
      <c r="V220">
        <f>709.51</f>
        <v>709.51</v>
      </c>
    </row>
    <row r="221" spans="1:22" x14ac:dyDescent="0.2">
      <c r="A221" s="1">
        <v>44798</v>
      </c>
      <c r="B221">
        <f>2296.32</f>
        <v>2296.3200000000002</v>
      </c>
      <c r="C221">
        <f>9488.05</f>
        <v>9488.0499999999993</v>
      </c>
      <c r="D221">
        <f>7628.48</f>
        <v>7628.48</v>
      </c>
      <c r="E221">
        <f>2492.454</f>
        <v>2492.4540000000002</v>
      </c>
      <c r="F221">
        <f>2011.83</f>
        <v>2011.83</v>
      </c>
      <c r="G221">
        <f>9146.82</f>
        <v>9146.82</v>
      </c>
      <c r="H221">
        <f>3581.54</f>
        <v>3581.54</v>
      </c>
      <c r="I221">
        <f>11461.22</f>
        <v>11461.22</v>
      </c>
      <c r="J221">
        <f>5576.32</f>
        <v>5576.32</v>
      </c>
      <c r="K221">
        <f>18439.18</f>
        <v>18439.18</v>
      </c>
      <c r="L221">
        <f>2610.33</f>
        <v>2610.33</v>
      </c>
      <c r="M221">
        <f>12360.22</f>
        <v>12360.22</v>
      </c>
      <c r="N221">
        <f>427.977</f>
        <v>427.97699999999998</v>
      </c>
      <c r="O221">
        <f>3800.64</f>
        <v>3800.64</v>
      </c>
      <c r="P221">
        <f>322.56</f>
        <v>322.56</v>
      </c>
      <c r="Q221">
        <f>4022.093</f>
        <v>4022.0929999999998</v>
      </c>
      <c r="R221">
        <f>8888.13</f>
        <v>8888.1299999999992</v>
      </c>
      <c r="S221">
        <f>3198.85</f>
        <v>3198.85</v>
      </c>
      <c r="T221">
        <f>3971.21</f>
        <v>3971.21</v>
      </c>
      <c r="U221">
        <f>70340.7</f>
        <v>70340.7</v>
      </c>
      <c r="V221">
        <f>705.93</f>
        <v>705.93</v>
      </c>
    </row>
    <row r="222" spans="1:22" x14ac:dyDescent="0.2">
      <c r="A222" s="1">
        <v>44797</v>
      </c>
      <c r="B222">
        <f>2305.95</f>
        <v>2305.9499999999998</v>
      </c>
      <c r="C222">
        <f>9376.33</f>
        <v>9376.33</v>
      </c>
      <c r="D222">
        <f>7613.39</f>
        <v>7613.39</v>
      </c>
      <c r="E222">
        <f>2446.521</f>
        <v>2446.5210000000002</v>
      </c>
      <c r="F222">
        <f>2014.07</f>
        <v>2014.07</v>
      </c>
      <c r="G222">
        <f>9128.555</f>
        <v>9128.5550000000003</v>
      </c>
      <c r="H222">
        <f>3562.78</f>
        <v>3562.78</v>
      </c>
      <c r="I222">
        <f>11432.12</f>
        <v>11432.12</v>
      </c>
      <c r="J222">
        <f>5513.85</f>
        <v>5513.85</v>
      </c>
      <c r="K222">
        <f>18173.61</f>
        <v>18173.61</v>
      </c>
      <c r="L222">
        <f>2591.2</f>
        <v>2591.1999999999998</v>
      </c>
      <c r="M222">
        <f>12214.52</f>
        <v>12214.52</v>
      </c>
      <c r="N222">
        <f>426.915</f>
        <v>426.91500000000002</v>
      </c>
      <c r="O222">
        <f>3788.36</f>
        <v>3788.36</v>
      </c>
      <c r="P222">
        <f>320.99</f>
        <v>320.99</v>
      </c>
      <c r="Q222">
        <f>3977.273</f>
        <v>3977.2730000000001</v>
      </c>
      <c r="R222">
        <f>8764.42</f>
        <v>8764.42</v>
      </c>
      <c r="S222">
        <f>3183.62</f>
        <v>3183.62</v>
      </c>
      <c r="T222">
        <f>3913.891</f>
        <v>3913.8910000000001</v>
      </c>
      <c r="U222">
        <f>69808.71</f>
        <v>69808.710000000006</v>
      </c>
      <c r="V222">
        <f>701.22</f>
        <v>701.22</v>
      </c>
    </row>
    <row r="223" spans="1:22" x14ac:dyDescent="0.2">
      <c r="A223" s="1">
        <v>44796</v>
      </c>
      <c r="B223">
        <f>2326.66</f>
        <v>2326.66</v>
      </c>
      <c r="C223">
        <f>9424.29</f>
        <v>9424.2900000000009</v>
      </c>
      <c r="D223">
        <f>7630.31</f>
        <v>7630.31</v>
      </c>
      <c r="E223">
        <f>2457.241</f>
        <v>2457.241</v>
      </c>
      <c r="F223">
        <f>2037.2</f>
        <v>2037.2</v>
      </c>
      <c r="G223">
        <f>9173.128</f>
        <v>9173.1280000000006</v>
      </c>
      <c r="H223">
        <f>3576.77</f>
        <v>3576.77</v>
      </c>
      <c r="I223">
        <f>11381.5</f>
        <v>11381.5</v>
      </c>
      <c r="J223">
        <f>5514.99</f>
        <v>5514.99</v>
      </c>
      <c r="K223">
        <f>18113.48</f>
        <v>18113.48</v>
      </c>
      <c r="L223">
        <f>2593.82</f>
        <v>2593.8200000000002</v>
      </c>
      <c r="M223">
        <f>12188.99</f>
        <v>12188.99</v>
      </c>
      <c r="N223">
        <f>425.944</f>
        <v>425.94400000000002</v>
      </c>
      <c r="O223">
        <f>3782.05</f>
        <v>3782.05</v>
      </c>
      <c r="P223">
        <f>318.62</f>
        <v>318.62</v>
      </c>
      <c r="Q223">
        <f>3968.883</f>
        <v>3968.8829999999998</v>
      </c>
      <c r="R223">
        <f>8738.76</f>
        <v>8738.76</v>
      </c>
      <c r="S223">
        <f>3190.5</f>
        <v>3190.5</v>
      </c>
      <c r="T223">
        <f>3919.857</f>
        <v>3919.857</v>
      </c>
      <c r="U223">
        <f>69772.27</f>
        <v>69772.27</v>
      </c>
      <c r="V223">
        <f>704.31</f>
        <v>704.31</v>
      </c>
    </row>
    <row r="224" spans="1:22" x14ac:dyDescent="0.2">
      <c r="A224" s="1">
        <v>44795</v>
      </c>
      <c r="B224">
        <f>2342.42</f>
        <v>2342.42</v>
      </c>
      <c r="C224">
        <f>9411.72</f>
        <v>9411.7199999999993</v>
      </c>
      <c r="D224">
        <f>7676.86</f>
        <v>7676.86</v>
      </c>
      <c r="E224">
        <f>2462.903</f>
        <v>2462.9029999999998</v>
      </c>
      <c r="F224">
        <f>2030.33</f>
        <v>2030.33</v>
      </c>
      <c r="G224">
        <f>9184.823</f>
        <v>9184.8230000000003</v>
      </c>
      <c r="H224">
        <f>3582.75</f>
        <v>3582.75</v>
      </c>
      <c r="I224">
        <f>11409.91</f>
        <v>11409.91</v>
      </c>
      <c r="J224">
        <f>5540.8</f>
        <v>5540.8</v>
      </c>
      <c r="K224">
        <f>18151.58</f>
        <v>18151.580000000002</v>
      </c>
      <c r="L224">
        <f>2606.86</f>
        <v>2606.86</v>
      </c>
      <c r="M224">
        <f>12214.35</f>
        <v>12214.35</v>
      </c>
      <c r="N224">
        <f>431.871</f>
        <v>431.87099999999998</v>
      </c>
      <c r="O224">
        <f>3797.81</f>
        <v>3797.81</v>
      </c>
      <c r="P224">
        <f>321.12</f>
        <v>321.12</v>
      </c>
      <c r="Q224">
        <f>3978.42</f>
        <v>3978.42</v>
      </c>
      <c r="R224">
        <f>8758.24</f>
        <v>8758.24</v>
      </c>
      <c r="S224">
        <f>3224.73</f>
        <v>3224.73</v>
      </c>
      <c r="T224">
        <f>3854.1</f>
        <v>3854.1</v>
      </c>
      <c r="U224">
        <f>69195.6</f>
        <v>69195.600000000006</v>
      </c>
      <c r="V224">
        <f>697.18</f>
        <v>697.18</v>
      </c>
    </row>
    <row r="225" spans="1:22" x14ac:dyDescent="0.2">
      <c r="A225" s="1">
        <v>44792</v>
      </c>
      <c r="B225">
        <f>2360.34</f>
        <v>2360.34</v>
      </c>
      <c r="C225">
        <f>9471.94</f>
        <v>9471.94</v>
      </c>
      <c r="D225">
        <f>7693.75</f>
        <v>7693.75</v>
      </c>
      <c r="E225">
        <f>2486.515</f>
        <v>2486.5149999999999</v>
      </c>
      <c r="F225">
        <f>2030.2</f>
        <v>2030.2</v>
      </c>
      <c r="G225">
        <f>9205.358</f>
        <v>9205.3580000000002</v>
      </c>
      <c r="H225">
        <f>3570.25</f>
        <v>3570.25</v>
      </c>
      <c r="I225">
        <f>11653.94</f>
        <v>11653.94</v>
      </c>
      <c r="J225">
        <f>5639.01</f>
        <v>5639.01</v>
      </c>
      <c r="K225">
        <f>18548.04</f>
        <v>18548.04</v>
      </c>
      <c r="L225">
        <f>2641.62</f>
        <v>2641.62</v>
      </c>
      <c r="M225">
        <f>12443.27</f>
        <v>12443.27</v>
      </c>
      <c r="N225">
        <f>434.4</f>
        <v>434.4</v>
      </c>
      <c r="O225">
        <f>3832.11</f>
        <v>3832.11</v>
      </c>
      <c r="P225">
        <f>320.34</f>
        <v>320.33999999999997</v>
      </c>
      <c r="Q225">
        <f>4046.69</f>
        <v>4046.69</v>
      </c>
      <c r="R225">
        <f>8948.82</f>
        <v>8948.82</v>
      </c>
      <c r="S225">
        <f>3227.86</f>
        <v>3227.86</v>
      </c>
      <c r="T225">
        <f>3853.123</f>
        <v>3853.123</v>
      </c>
      <c r="U225">
        <f>69719.43</f>
        <v>69719.429999999993</v>
      </c>
      <c r="V225">
        <f>695.38</f>
        <v>695.38</v>
      </c>
    </row>
    <row r="226" spans="1:22" x14ac:dyDescent="0.2">
      <c r="A226" s="1">
        <v>44791</v>
      </c>
      <c r="B226">
        <f>2373.2</f>
        <v>2373.1999999999998</v>
      </c>
      <c r="C226">
        <f>9508.49</f>
        <v>9508.49</v>
      </c>
      <c r="D226">
        <f>7685.07</f>
        <v>7685.07</v>
      </c>
      <c r="E226">
        <f>2506.377</f>
        <v>2506.377</v>
      </c>
      <c r="F226">
        <f>2080.51</f>
        <v>2080.5100000000002</v>
      </c>
      <c r="G226">
        <f>9344.73</f>
        <v>9344.73</v>
      </c>
      <c r="H226">
        <f>3613.59</f>
        <v>3613.59</v>
      </c>
      <c r="I226">
        <f>11837.45</f>
        <v>11837.45</v>
      </c>
      <c r="J226">
        <f>5673.03</f>
        <v>5673.03</v>
      </c>
      <c r="K226">
        <f>18803.98</f>
        <v>18803.98</v>
      </c>
      <c r="L226">
        <f>2658.25</f>
        <v>2658.25</v>
      </c>
      <c r="M226">
        <f>12615.76</f>
        <v>12615.76</v>
      </c>
      <c r="N226">
        <f>436.187</f>
        <v>436.18700000000001</v>
      </c>
      <c r="O226">
        <f>3856.94</f>
        <v>3856.94</v>
      </c>
      <c r="P226">
        <f>319.18</f>
        <v>319.18</v>
      </c>
      <c r="Q226">
        <f>4085.943</f>
        <v>4085.9430000000002</v>
      </c>
      <c r="R226">
        <f>9065.49</f>
        <v>9065.49</v>
      </c>
      <c r="S226">
        <f>3221.35</f>
        <v>3221.35</v>
      </c>
      <c r="T226">
        <f>3934.988</f>
        <v>3934.9879999999998</v>
      </c>
      <c r="U226">
        <f>71011.38</f>
        <v>71011.38</v>
      </c>
      <c r="V226">
        <f>710.7</f>
        <v>710.7</v>
      </c>
    </row>
    <row r="227" spans="1:22" x14ac:dyDescent="0.2">
      <c r="A227" s="1">
        <v>44790</v>
      </c>
      <c r="B227">
        <f>2370.59</f>
        <v>2370.59</v>
      </c>
      <c r="C227">
        <f>9558.42</f>
        <v>9558.42</v>
      </c>
      <c r="D227">
        <f>7639.4</f>
        <v>7639.4</v>
      </c>
      <c r="E227">
        <f>2520.997</f>
        <v>2520.9969999999998</v>
      </c>
      <c r="F227">
        <f>2072.35</f>
        <v>2072.35</v>
      </c>
      <c r="G227">
        <f>9319.722</f>
        <v>9319.7219999999998</v>
      </c>
      <c r="H227">
        <f>3626.55</f>
        <v>3626.55</v>
      </c>
      <c r="I227">
        <f>11829.89</f>
        <v>11829.89</v>
      </c>
      <c r="J227">
        <f>5653.57</f>
        <v>5653.57</v>
      </c>
      <c r="K227">
        <f>18762.36</f>
        <v>18762.36</v>
      </c>
      <c r="L227">
        <f>2651.55</f>
        <v>2651.55</v>
      </c>
      <c r="M227">
        <f>12596.87</f>
        <v>12596.87</v>
      </c>
      <c r="N227">
        <f>434.558</f>
        <v>434.55799999999999</v>
      </c>
      <c r="O227">
        <f>3838.75</f>
        <v>3838.75</v>
      </c>
      <c r="P227">
        <f>321.11</f>
        <v>321.11</v>
      </c>
      <c r="Q227">
        <f>4083.562</f>
        <v>4083.5619999999999</v>
      </c>
      <c r="R227">
        <f>9043.59</f>
        <v>9043.59</v>
      </c>
      <c r="S227">
        <f>3247.97</f>
        <v>3247.97</v>
      </c>
      <c r="T227">
        <f>3953.077</f>
        <v>3953.0770000000002</v>
      </c>
      <c r="U227">
        <f>70967.35</f>
        <v>70967.350000000006</v>
      </c>
      <c r="V227">
        <f>710.06</f>
        <v>710.06</v>
      </c>
    </row>
    <row r="228" spans="1:22" x14ac:dyDescent="0.2">
      <c r="A228" s="1">
        <v>44789</v>
      </c>
      <c r="B228">
        <f>2395.64</f>
        <v>2395.64</v>
      </c>
      <c r="C228">
        <f>9561.67</f>
        <v>9561.67</v>
      </c>
      <c r="D228">
        <f>7660.04</f>
        <v>7660.04</v>
      </c>
      <c r="E228">
        <f>2517.437</f>
        <v>2517.4369999999999</v>
      </c>
      <c r="F228">
        <f>2100.79</f>
        <v>2100.79</v>
      </c>
      <c r="G228">
        <f>9379.866</f>
        <v>9379.866</v>
      </c>
      <c r="H228">
        <f>3593.15</f>
        <v>3593.15</v>
      </c>
      <c r="I228">
        <f>11965.74</f>
        <v>11965.74</v>
      </c>
      <c r="J228">
        <f>5691.44</f>
        <v>5691.44</v>
      </c>
      <c r="K228">
        <f>18910.27</f>
        <v>18910.27</v>
      </c>
      <c r="L228">
        <f>2666.3</f>
        <v>2666.3</v>
      </c>
      <c r="M228">
        <f>12690.87</f>
        <v>12690.87</v>
      </c>
      <c r="N228">
        <f>436.966</f>
        <v>436.96600000000001</v>
      </c>
      <c r="O228">
        <f>3873.74</f>
        <v>3873.74</v>
      </c>
      <c r="P228">
        <f>316.52</f>
        <v>316.52</v>
      </c>
      <c r="Q228">
        <f>4107.07</f>
        <v>4107.07</v>
      </c>
      <c r="R228">
        <f>9107.87</f>
        <v>9107.8700000000008</v>
      </c>
      <c r="S228">
        <f>3207.47</f>
        <v>3207.47</v>
      </c>
      <c r="T228">
        <f>3964.739</f>
        <v>3964.739</v>
      </c>
      <c r="U228">
        <f>71504.69</f>
        <v>71504.69</v>
      </c>
      <c r="V228">
        <f>709.63</f>
        <v>709.63</v>
      </c>
    </row>
    <row r="229" spans="1:22" x14ac:dyDescent="0.2">
      <c r="A229" s="1">
        <v>44788</v>
      </c>
      <c r="B229">
        <f>2385.28</f>
        <v>2385.2800000000002</v>
      </c>
      <c r="C229">
        <f>9549.18</f>
        <v>9549.18</v>
      </c>
      <c r="D229">
        <f>7632.69</f>
        <v>7632.69</v>
      </c>
      <c r="E229">
        <f>2519.189</f>
        <v>2519.1889999999999</v>
      </c>
      <c r="F229">
        <f>2061.15</f>
        <v>2061.15</v>
      </c>
      <c r="G229">
        <f>9335.344</f>
        <v>9335.3439999999991</v>
      </c>
      <c r="H229">
        <f>3646.7</f>
        <v>3646.7</v>
      </c>
      <c r="I229">
        <f>11981.15</f>
        <v>11981.15</v>
      </c>
      <c r="J229">
        <f>5659.4</f>
        <v>5659.4</v>
      </c>
      <c r="K229">
        <f>18879.6</f>
        <v>18879.599999999999</v>
      </c>
      <c r="L229">
        <f>2658.74</f>
        <v>2658.74</v>
      </c>
      <c r="M229">
        <f>12681.64</f>
        <v>12681.64</v>
      </c>
      <c r="N229">
        <f>438.694</f>
        <v>438.69400000000002</v>
      </c>
      <c r="O229">
        <f>3868.47</f>
        <v>3868.47</v>
      </c>
      <c r="P229">
        <f>317.61</f>
        <v>317.61</v>
      </c>
      <c r="Q229">
        <f>4085.061</f>
        <v>4085.0610000000001</v>
      </c>
      <c r="R229">
        <f>9090.36</f>
        <v>9090.36</v>
      </c>
      <c r="S229">
        <f>3212.32</f>
        <v>3212.32</v>
      </c>
      <c r="T229">
        <f>3859.848</f>
        <v>3859.848</v>
      </c>
      <c r="U229">
        <f>70740.63</f>
        <v>70740.63</v>
      </c>
      <c r="V229">
        <f>697.82</f>
        <v>697.82</v>
      </c>
    </row>
    <row r="230" spans="1:22" x14ac:dyDescent="0.2">
      <c r="A230" s="1">
        <v>44785</v>
      </c>
      <c r="B230">
        <f>2388.09</f>
        <v>2388.09</v>
      </c>
      <c r="C230">
        <f>9598.54</f>
        <v>9598.5400000000009</v>
      </c>
      <c r="D230">
        <f>7624.29</f>
        <v>7624.29</v>
      </c>
      <c r="E230">
        <f>2523.582</f>
        <v>2523.5819999999999</v>
      </c>
      <c r="F230">
        <f>2081.09</f>
        <v>2081.09</v>
      </c>
      <c r="G230">
        <f>9355.514</f>
        <v>9355.5139999999992</v>
      </c>
      <c r="H230">
        <f>3605.9</f>
        <v>3605.9</v>
      </c>
      <c r="I230">
        <f>11992.35</f>
        <v>11992.35</v>
      </c>
      <c r="J230">
        <f>5641.64</f>
        <v>5641.64</v>
      </c>
      <c r="K230">
        <f>18806.08</f>
        <v>18806.080000000002</v>
      </c>
      <c r="L230">
        <f>2651.92</f>
        <v>2651.92</v>
      </c>
      <c r="M230">
        <f>12645.58</f>
        <v>12645.58</v>
      </c>
      <c r="N230">
        <f>434.647</f>
        <v>434.64699999999999</v>
      </c>
      <c r="O230">
        <f>3852.77</f>
        <v>3852.77</v>
      </c>
      <c r="P230">
        <f>317.47</f>
        <v>317.47000000000003</v>
      </c>
      <c r="Q230">
        <f>4067.057</f>
        <v>4067.0569999999998</v>
      </c>
      <c r="R230">
        <f>9054.14</f>
        <v>9054.14</v>
      </c>
      <c r="S230">
        <f>3193.27</f>
        <v>3193.27</v>
      </c>
      <c r="T230">
        <f>3891.08</f>
        <v>3891.08</v>
      </c>
      <c r="U230">
        <f>70731.32</f>
        <v>70731.320000000007</v>
      </c>
      <c r="V230">
        <f>698.08</f>
        <v>698.08</v>
      </c>
    </row>
    <row r="231" spans="1:22" x14ac:dyDescent="0.2">
      <c r="A231" s="1">
        <v>44784</v>
      </c>
      <c r="B231">
        <f>2380.84</f>
        <v>2380.84</v>
      </c>
      <c r="C231">
        <f>9548.29</f>
        <v>9548.2900000000009</v>
      </c>
      <c r="D231">
        <f>7588.74</f>
        <v>7588.74</v>
      </c>
      <c r="E231">
        <f>2511.906</f>
        <v>2511.9059999999999</v>
      </c>
      <c r="F231">
        <f>2098.32</f>
        <v>2098.3200000000002</v>
      </c>
      <c r="G231">
        <f>9404.377</f>
        <v>9404.3770000000004</v>
      </c>
      <c r="H231">
        <f>3574.31</f>
        <v>3574.31</v>
      </c>
      <c r="I231">
        <f>12105.1</f>
        <v>12105.1</v>
      </c>
      <c r="J231">
        <f>5567.83</f>
        <v>5567.83</v>
      </c>
      <c r="K231">
        <f>18480.27</f>
        <v>18480.27</v>
      </c>
      <c r="L231">
        <f>2634.82</f>
        <v>2634.82</v>
      </c>
      <c r="M231">
        <f>12499.57</f>
        <v>12499.57</v>
      </c>
      <c r="N231">
        <f>435.801</f>
        <v>435.80099999999999</v>
      </c>
      <c r="O231">
        <f>3847.28</f>
        <v>3847.28</v>
      </c>
      <c r="P231" t="e">
        <f>NA()</f>
        <v>#N/A</v>
      </c>
      <c r="Q231">
        <f>4004.84461</f>
        <v>4004.8446100000001</v>
      </c>
      <c r="R231">
        <f>8898.84</f>
        <v>8898.84</v>
      </c>
      <c r="S231" t="e">
        <f>NA()</f>
        <v>#N/A</v>
      </c>
      <c r="T231">
        <f>3938.611</f>
        <v>3938.6109999999999</v>
      </c>
      <c r="U231">
        <f>71264.77</f>
        <v>71264.77</v>
      </c>
      <c r="V231">
        <f>698.75</f>
        <v>698.75</v>
      </c>
    </row>
    <row r="232" spans="1:22" x14ac:dyDescent="0.2">
      <c r="A232" s="1">
        <v>44783</v>
      </c>
      <c r="B232">
        <f>2395.82</f>
        <v>2395.8200000000002</v>
      </c>
      <c r="C232">
        <f>9424.82</f>
        <v>9424.82</v>
      </c>
      <c r="D232">
        <f>7603.54</f>
        <v>7603.54</v>
      </c>
      <c r="E232">
        <f>2469.147</f>
        <v>2469.1469999999999</v>
      </c>
      <c r="F232">
        <f>2124.57</f>
        <v>2124.5700000000002</v>
      </c>
      <c r="G232">
        <f>9455.035</f>
        <v>9455.0349999999999</v>
      </c>
      <c r="H232">
        <f>3586.75</f>
        <v>3586.75</v>
      </c>
      <c r="I232">
        <f>12072.37</f>
        <v>12072.37</v>
      </c>
      <c r="J232">
        <f>5566.08</f>
        <v>5566.08</v>
      </c>
      <c r="K232">
        <f>18497.79</f>
        <v>18497.79</v>
      </c>
      <c r="L232">
        <f>2639.05</f>
        <v>2639.05</v>
      </c>
      <c r="M232">
        <f>12500.06</f>
        <v>12500.06</v>
      </c>
      <c r="N232">
        <f>435.55</f>
        <v>435.55</v>
      </c>
      <c r="O232">
        <f>3841.43</f>
        <v>3841.43</v>
      </c>
      <c r="P232">
        <f>311.66</f>
        <v>311.66000000000003</v>
      </c>
      <c r="Q232">
        <f>3992.034</f>
        <v>3992.0340000000001</v>
      </c>
      <c r="R232">
        <f>8902.72</f>
        <v>8902.7199999999993</v>
      </c>
      <c r="S232">
        <f>3129.28</f>
        <v>3129.28</v>
      </c>
      <c r="T232">
        <f>3868.344</f>
        <v>3868.3440000000001</v>
      </c>
      <c r="U232">
        <f>69744.9</f>
        <v>69744.899999999994</v>
      </c>
      <c r="V232">
        <f>686.3</f>
        <v>686.3</v>
      </c>
    </row>
    <row r="233" spans="1:22" x14ac:dyDescent="0.2">
      <c r="A233" s="1">
        <v>44782</v>
      </c>
      <c r="B233">
        <f>2369.17</f>
        <v>2369.17</v>
      </c>
      <c r="C233">
        <f>9436.16</f>
        <v>9436.16</v>
      </c>
      <c r="D233">
        <f>7584.34</f>
        <v>7584.34</v>
      </c>
      <c r="E233">
        <f>2479.643</f>
        <v>2479.643</v>
      </c>
      <c r="F233">
        <f>2087.8</f>
        <v>2087.8000000000002</v>
      </c>
      <c r="G233">
        <f>9310.925</f>
        <v>9310.9249999999993</v>
      </c>
      <c r="H233">
        <f>3503.11</f>
        <v>3503.11</v>
      </c>
      <c r="I233">
        <f>11804.53</f>
        <v>11804.53</v>
      </c>
      <c r="J233">
        <f>5482.09</f>
        <v>5482.09</v>
      </c>
      <c r="K233">
        <f>18086.57</f>
        <v>18086.57</v>
      </c>
      <c r="L233">
        <f>2602.83</f>
        <v>2602.83</v>
      </c>
      <c r="M233">
        <f>12233.25</f>
        <v>12233.25</v>
      </c>
      <c r="N233">
        <f>429.365</f>
        <v>429.36500000000001</v>
      </c>
      <c r="O233">
        <f>3810.21</f>
        <v>3810.21</v>
      </c>
      <c r="P233">
        <f>309.64</f>
        <v>309.64</v>
      </c>
      <c r="Q233">
        <f>3922.438</f>
        <v>3922.4380000000001</v>
      </c>
      <c r="R233">
        <f>8716.75</f>
        <v>8716.75</v>
      </c>
      <c r="S233">
        <f>3134.74</f>
        <v>3134.74</v>
      </c>
      <c r="T233" t="e">
        <f>NA()</f>
        <v>#N/A</v>
      </c>
      <c r="U233" t="e">
        <f>NA()</f>
        <v>#N/A</v>
      </c>
      <c r="V233" t="e">
        <f>NA()</f>
        <v>#N/A</v>
      </c>
    </row>
    <row r="234" spans="1:22" x14ac:dyDescent="0.2">
      <c r="A234" s="1">
        <v>44781</v>
      </c>
      <c r="B234">
        <f>2369.7</f>
        <v>2369.6999999999998</v>
      </c>
      <c r="C234">
        <f>9429.9</f>
        <v>9429.9</v>
      </c>
      <c r="D234">
        <f>7578.48</f>
        <v>7578.48</v>
      </c>
      <c r="E234">
        <f>2479.879</f>
        <v>2479.8789999999999</v>
      </c>
      <c r="F234">
        <f>2093.44</f>
        <v>2093.44</v>
      </c>
      <c r="G234">
        <f>9319.089</f>
        <v>9319.0889999999999</v>
      </c>
      <c r="H234">
        <f>3531.45</f>
        <v>3531.45</v>
      </c>
      <c r="I234">
        <f>11890.18</f>
        <v>11890.18</v>
      </c>
      <c r="J234">
        <f>5491.44</f>
        <v>5491.44</v>
      </c>
      <c r="K234">
        <f>18177.96</f>
        <v>18177.96</v>
      </c>
      <c r="L234">
        <f>2607.25</f>
        <v>2607.25</v>
      </c>
      <c r="M234">
        <f>12300.06</f>
        <v>12300.06</v>
      </c>
      <c r="N234">
        <f>432.493</f>
        <v>432.49299999999999</v>
      </c>
      <c r="O234">
        <f>3833.07</f>
        <v>3833.07</v>
      </c>
      <c r="P234">
        <f>312.15</f>
        <v>312.14999999999998</v>
      </c>
      <c r="Q234">
        <f>3936.53</f>
        <v>3936.53</v>
      </c>
      <c r="R234">
        <f>8753.39</f>
        <v>8753.39</v>
      </c>
      <c r="S234">
        <f>3158.04</f>
        <v>3158.04</v>
      </c>
      <c r="T234">
        <f>3883.78</f>
        <v>3883.78</v>
      </c>
      <c r="U234">
        <f>70266.13</f>
        <v>70266.13</v>
      </c>
      <c r="V234">
        <f>683.89</f>
        <v>683.89</v>
      </c>
    </row>
    <row r="235" spans="1:22" x14ac:dyDescent="0.2">
      <c r="A235" s="1">
        <v>44778</v>
      </c>
      <c r="B235">
        <f>2353.01</f>
        <v>2353.0100000000002</v>
      </c>
      <c r="C235">
        <f>9377.59</f>
        <v>9377.59</v>
      </c>
      <c r="D235">
        <f>7535.31</f>
        <v>7535.31</v>
      </c>
      <c r="E235">
        <f>2482.302</f>
        <v>2482.3020000000001</v>
      </c>
      <c r="F235">
        <f>2071.39</f>
        <v>2071.39</v>
      </c>
      <c r="G235">
        <f>9223.051</f>
        <v>9223.0509999999995</v>
      </c>
      <c r="H235">
        <f>3515.07</f>
        <v>3515.07</v>
      </c>
      <c r="I235">
        <f>11737.85</f>
        <v>11737.85</v>
      </c>
      <c r="J235">
        <f>5487.6</f>
        <v>5487.6</v>
      </c>
      <c r="K235">
        <f>18193.79</f>
        <v>18193.79</v>
      </c>
      <c r="L235">
        <f>2596.4</f>
        <v>2596.4</v>
      </c>
      <c r="M235">
        <f>12269.81</f>
        <v>12269.81</v>
      </c>
      <c r="N235">
        <f>429.167</f>
        <v>429.16699999999997</v>
      </c>
      <c r="O235">
        <f>3805.9</f>
        <v>3805.9</v>
      </c>
      <c r="P235">
        <f>310.5</f>
        <v>310.5</v>
      </c>
      <c r="Q235">
        <f>3918.856</f>
        <v>3918.8560000000002</v>
      </c>
      <c r="R235">
        <f>8764.08</f>
        <v>8764.08</v>
      </c>
      <c r="S235">
        <f>3151.16</f>
        <v>3151.16</v>
      </c>
      <c r="T235">
        <f>3820.622</f>
        <v>3820.6219999999998</v>
      </c>
      <c r="U235">
        <f>69519.27</f>
        <v>69519.27</v>
      </c>
      <c r="V235">
        <f>675.41</f>
        <v>675.41</v>
      </c>
    </row>
    <row r="236" spans="1:22" x14ac:dyDescent="0.2">
      <c r="A236" s="1">
        <v>44777</v>
      </c>
      <c r="B236">
        <f>2354.87</f>
        <v>2354.87</v>
      </c>
      <c r="C236">
        <f>9265.53</f>
        <v>9265.5300000000007</v>
      </c>
      <c r="D236">
        <f>7543.74</f>
        <v>7543.74</v>
      </c>
      <c r="E236">
        <f>2461.682</f>
        <v>2461.6819999999998</v>
      </c>
      <c r="F236">
        <f>2064.5</f>
        <v>2064.5</v>
      </c>
      <c r="G236">
        <f>9269.271</f>
        <v>9269.2710000000006</v>
      </c>
      <c r="H236">
        <f>3544.15</f>
        <v>3544.15</v>
      </c>
      <c r="I236">
        <f>11904.03</f>
        <v>11904.03</v>
      </c>
      <c r="J236">
        <f>5487.08</f>
        <v>5487.08</v>
      </c>
      <c r="K236">
        <f>18215.08</f>
        <v>18215.080000000002</v>
      </c>
      <c r="L236">
        <f>2603</f>
        <v>2603</v>
      </c>
      <c r="M236">
        <f>12311.44</f>
        <v>12311.44</v>
      </c>
      <c r="N236">
        <f>435.156</f>
        <v>435.15600000000001</v>
      </c>
      <c r="O236">
        <f>3834.76</f>
        <v>3834.76</v>
      </c>
      <c r="P236">
        <f>310.73</f>
        <v>310.73</v>
      </c>
      <c r="Q236">
        <f>3908.439</f>
        <v>3908.4389999999999</v>
      </c>
      <c r="R236">
        <f>8777.23</f>
        <v>8777.23</v>
      </c>
      <c r="S236">
        <f>3124.56</f>
        <v>3124.56</v>
      </c>
      <c r="T236">
        <f>3773.281</f>
        <v>3773.2809999999999</v>
      </c>
      <c r="U236">
        <f>68717.02</f>
        <v>68717.02</v>
      </c>
      <c r="V236">
        <f>666.17</f>
        <v>666.17</v>
      </c>
    </row>
    <row r="237" spans="1:22" x14ac:dyDescent="0.2">
      <c r="A237" s="1">
        <v>44776</v>
      </c>
      <c r="B237">
        <f>2351.08</f>
        <v>2351.08</v>
      </c>
      <c r="C237">
        <f>9247.41</f>
        <v>9247.41</v>
      </c>
      <c r="D237">
        <f>7530.88</f>
        <v>7530.88</v>
      </c>
      <c r="E237">
        <f>2439.566</f>
        <v>2439.5659999999998</v>
      </c>
      <c r="F237">
        <f>2057.88</f>
        <v>2057.88</v>
      </c>
      <c r="G237">
        <f>9266.486</f>
        <v>9266.4860000000008</v>
      </c>
      <c r="H237">
        <f>3539.9</f>
        <v>3539.9</v>
      </c>
      <c r="I237">
        <f>11751.35</f>
        <v>11751.35</v>
      </c>
      <c r="J237">
        <f>5500.22</f>
        <v>5500.22</v>
      </c>
      <c r="K237">
        <f>18219.78</f>
        <v>18219.78</v>
      </c>
      <c r="L237">
        <f>2605.47</f>
        <v>2605.4699999999998</v>
      </c>
      <c r="M237">
        <f>12281.08</f>
        <v>12281.08</v>
      </c>
      <c r="N237">
        <f>433.471</f>
        <v>433.471</v>
      </c>
      <c r="O237">
        <f>3826.24</f>
        <v>3826.24</v>
      </c>
      <c r="P237">
        <f>311.69</f>
        <v>311.69</v>
      </c>
      <c r="Q237">
        <f>3915.564</f>
        <v>3915.5639999999999</v>
      </c>
      <c r="R237">
        <f>8783.28</f>
        <v>8783.2800000000007</v>
      </c>
      <c r="S237">
        <f>3124.63</f>
        <v>3124.63</v>
      </c>
      <c r="T237">
        <f>3770.412</f>
        <v>3770.4119999999998</v>
      </c>
      <c r="U237">
        <f>68610.57</f>
        <v>68610.570000000007</v>
      </c>
      <c r="V237">
        <f>666.75</f>
        <v>666.75</v>
      </c>
    </row>
    <row r="238" spans="1:22" x14ac:dyDescent="0.2">
      <c r="A238" s="1">
        <v>44775</v>
      </c>
      <c r="B238">
        <f>2339.04</f>
        <v>2339.04</v>
      </c>
      <c r="C238">
        <f>9303.45</f>
        <v>9303.4500000000007</v>
      </c>
      <c r="D238">
        <f>7493.9</f>
        <v>7493.9</v>
      </c>
      <c r="E238">
        <f>2435.634</f>
        <v>2435.634</v>
      </c>
      <c r="F238">
        <f>2074.39</f>
        <v>2074.39</v>
      </c>
      <c r="G238">
        <f>9312.254</f>
        <v>9312.2540000000008</v>
      </c>
      <c r="H238">
        <f>3607.83</f>
        <v>3607.83</v>
      </c>
      <c r="I238">
        <f>11767.76</f>
        <v>11767.76</v>
      </c>
      <c r="J238">
        <f>5439.57</f>
        <v>5439.57</v>
      </c>
      <c r="K238">
        <f>17926.8</f>
        <v>17926.8</v>
      </c>
      <c r="L238">
        <f>2595.46</f>
        <v>2595.46</v>
      </c>
      <c r="M238">
        <f>12160.75</f>
        <v>12160.75</v>
      </c>
      <c r="N238">
        <f>434.248</f>
        <v>434.24799999999999</v>
      </c>
      <c r="O238">
        <f>3809.51</f>
        <v>3809.51</v>
      </c>
      <c r="P238">
        <f>313.66</f>
        <v>313.66000000000003</v>
      </c>
      <c r="Q238">
        <f>3892.557</f>
        <v>3892.5569999999998</v>
      </c>
      <c r="R238">
        <f>8647.91</f>
        <v>8647.91</v>
      </c>
      <c r="S238">
        <f>3116.08</f>
        <v>3116.08</v>
      </c>
      <c r="T238">
        <f>3766.595</f>
        <v>3766.5949999999998</v>
      </c>
      <c r="U238">
        <f>68002.23</f>
        <v>68002.23</v>
      </c>
      <c r="V238">
        <f>663.7</f>
        <v>663.7</v>
      </c>
    </row>
    <row r="239" spans="1:22" x14ac:dyDescent="0.2">
      <c r="A239" s="1">
        <v>44774</v>
      </c>
      <c r="B239">
        <f>2349.93</f>
        <v>2349.9299999999998</v>
      </c>
      <c r="C239">
        <f>9398.51</f>
        <v>9398.51</v>
      </c>
      <c r="D239">
        <f>7498.25</f>
        <v>7498.25</v>
      </c>
      <c r="E239">
        <f>2462.028</f>
        <v>2462.0279999999998</v>
      </c>
      <c r="F239">
        <f>2098.13</f>
        <v>2098.13</v>
      </c>
      <c r="G239">
        <f>9357.68</f>
        <v>9357.68</v>
      </c>
      <c r="H239">
        <f>3674.49</f>
        <v>3674.49</v>
      </c>
      <c r="I239">
        <f>11901.11</f>
        <v>11901.11</v>
      </c>
      <c r="J239">
        <f>5488.39</f>
        <v>5488.39</v>
      </c>
      <c r="K239">
        <f>18030.37</f>
        <v>18030.37</v>
      </c>
      <c r="L239">
        <f>2618.35</f>
        <v>2618.35</v>
      </c>
      <c r="M239">
        <f>12254.11</f>
        <v>12254.11</v>
      </c>
      <c r="N239">
        <f>434.845</f>
        <v>434.84500000000003</v>
      </c>
      <c r="O239">
        <f>3818.76</f>
        <v>3818.76</v>
      </c>
      <c r="P239">
        <f>318.6</f>
        <v>318.60000000000002</v>
      </c>
      <c r="Q239">
        <f>3931.367</f>
        <v>3931.3670000000002</v>
      </c>
      <c r="R239">
        <f>8705.87</f>
        <v>8705.8700000000008</v>
      </c>
      <c r="S239">
        <f>3172.11</f>
        <v>3172.11</v>
      </c>
      <c r="T239">
        <f>3796.208</f>
        <v>3796.2080000000001</v>
      </c>
      <c r="U239">
        <f>68642.59</f>
        <v>68642.59</v>
      </c>
      <c r="V239">
        <f>671.93</f>
        <v>671.93</v>
      </c>
    </row>
    <row r="240" spans="1:22" x14ac:dyDescent="0.2">
      <c r="A240" s="1">
        <v>44771</v>
      </c>
      <c r="B240">
        <f>2349.18</f>
        <v>2349.1799999999998</v>
      </c>
      <c r="C240">
        <f>9408.88</f>
        <v>9408.8799999999992</v>
      </c>
      <c r="D240">
        <f>7508.38</f>
        <v>7508.38</v>
      </c>
      <c r="E240">
        <f>2458.399</f>
        <v>2458.3989999999999</v>
      </c>
      <c r="F240">
        <f>2095.43</f>
        <v>2095.4299999999998</v>
      </c>
      <c r="G240">
        <f>9287.539</f>
        <v>9287.5390000000007</v>
      </c>
      <c r="H240">
        <f>3594.36</f>
        <v>3594.36</v>
      </c>
      <c r="I240">
        <f>11840.21</f>
        <v>11840.21</v>
      </c>
      <c r="J240">
        <f>5477.16</f>
        <v>5477.16</v>
      </c>
      <c r="K240">
        <f>18076.36</f>
        <v>18076.36</v>
      </c>
      <c r="L240">
        <f>2606.55</f>
        <v>2606.5500000000002</v>
      </c>
      <c r="M240">
        <f>12241.14</f>
        <v>12241.14</v>
      </c>
      <c r="N240">
        <f>436.077</f>
        <v>436.077</v>
      </c>
      <c r="O240">
        <f>3825.6</f>
        <v>3825.6</v>
      </c>
      <c r="P240">
        <f>316.5</f>
        <v>316.5</v>
      </c>
      <c r="Q240">
        <f>3931.534</f>
        <v>3931.5340000000001</v>
      </c>
      <c r="R240">
        <f>8730.46</f>
        <v>8730.4599999999991</v>
      </c>
      <c r="S240">
        <f>3140.07</f>
        <v>3140.07</v>
      </c>
      <c r="T240">
        <f>3837.363</f>
        <v>3837.3629999999998</v>
      </c>
      <c r="U240">
        <f>68934.01</f>
        <v>68934.009999999995</v>
      </c>
      <c r="V240">
        <f>678.25</f>
        <v>678.25</v>
      </c>
    </row>
    <row r="241" spans="1:22" x14ac:dyDescent="0.2">
      <c r="A241" s="1">
        <v>44770</v>
      </c>
      <c r="B241">
        <f>2328.16</f>
        <v>2328.16</v>
      </c>
      <c r="C241">
        <f>9396.74</f>
        <v>9396.74</v>
      </c>
      <c r="D241">
        <f>7429.3</f>
        <v>7429.3</v>
      </c>
      <c r="E241">
        <f>2467.452</f>
        <v>2467.4520000000002</v>
      </c>
      <c r="F241">
        <f>2088.55</f>
        <v>2088.5500000000002</v>
      </c>
      <c r="G241">
        <f>9156.994</f>
        <v>9156.9940000000006</v>
      </c>
      <c r="H241">
        <f>3598.07</f>
        <v>3598.07</v>
      </c>
      <c r="I241">
        <f>11640.85</f>
        <v>11640.85</v>
      </c>
      <c r="J241">
        <f>5470.02</f>
        <v>5470.02</v>
      </c>
      <c r="K241">
        <f>17820.04</f>
        <v>17820.04</v>
      </c>
      <c r="L241">
        <f>2602.65</f>
        <v>2602.65</v>
      </c>
      <c r="M241">
        <f>12076.48</f>
        <v>12076.48</v>
      </c>
      <c r="N241">
        <f>430.499</f>
        <v>430.49900000000002</v>
      </c>
      <c r="O241">
        <f>3777</f>
        <v>3777</v>
      </c>
      <c r="P241">
        <f>319.69</f>
        <v>319.69</v>
      </c>
      <c r="Q241">
        <f>3901.021</f>
        <v>3901.0210000000002</v>
      </c>
      <c r="R241">
        <f>8607.24</f>
        <v>8607.24</v>
      </c>
      <c r="S241">
        <f>3153.81</f>
        <v>3153.81</v>
      </c>
      <c r="T241">
        <f>3852.359</f>
        <v>3852.3589999999999</v>
      </c>
      <c r="U241">
        <f>68610.75</f>
        <v>68610.75</v>
      </c>
      <c r="V241">
        <f>672.95</f>
        <v>672.95</v>
      </c>
    </row>
    <row r="242" spans="1:22" x14ac:dyDescent="0.2">
      <c r="A242" s="1">
        <v>44769</v>
      </c>
      <c r="B242">
        <f>2326.61</f>
        <v>2326.61</v>
      </c>
      <c r="C242">
        <f>9319.43</f>
        <v>9319.43</v>
      </c>
      <c r="D242">
        <f>7429.83</f>
        <v>7429.83</v>
      </c>
      <c r="E242">
        <f>2448.028</f>
        <v>2448.0279999999998</v>
      </c>
      <c r="F242">
        <f>2066.03</f>
        <v>2066.0300000000002</v>
      </c>
      <c r="G242">
        <f>9089.197</f>
        <v>9089.1970000000001</v>
      </c>
      <c r="H242">
        <f>3547.53</f>
        <v>3547.53</v>
      </c>
      <c r="I242">
        <f>11459.41</f>
        <v>11459.41</v>
      </c>
      <c r="J242">
        <f>5432.02</f>
        <v>5432.02</v>
      </c>
      <c r="K242">
        <f>17603.04</f>
        <v>17603.04</v>
      </c>
      <c r="L242">
        <f>2576.5</f>
        <v>2576.5</v>
      </c>
      <c r="M242">
        <f>11920.43</f>
        <v>11920.43</v>
      </c>
      <c r="N242">
        <f>427.015</f>
        <v>427.01499999999999</v>
      </c>
      <c r="O242">
        <f>3742.48</f>
        <v>3742.48</v>
      </c>
      <c r="P242">
        <f>319.27</f>
        <v>319.27</v>
      </c>
      <c r="Q242">
        <f>3848.633</f>
        <v>3848.6329999999998</v>
      </c>
      <c r="R242">
        <f>8503.02</f>
        <v>8503.02</v>
      </c>
      <c r="S242">
        <f>3148.6</f>
        <v>3148.6</v>
      </c>
      <c r="T242">
        <f>3861.447</f>
        <v>3861.4470000000001</v>
      </c>
      <c r="U242">
        <f>68424.97</f>
        <v>68424.97</v>
      </c>
      <c r="V242">
        <f>673.73</f>
        <v>673.73</v>
      </c>
    </row>
    <row r="243" spans="1:22" x14ac:dyDescent="0.2">
      <c r="A243" s="1">
        <v>44768</v>
      </c>
      <c r="B243">
        <f>2321.84</f>
        <v>2321.84</v>
      </c>
      <c r="C243">
        <f>9323.65</f>
        <v>9323.65</v>
      </c>
      <c r="D243">
        <f>7387.41</f>
        <v>7387.41</v>
      </c>
      <c r="E243">
        <f>2447.76</f>
        <v>2447.7600000000002</v>
      </c>
      <c r="F243">
        <f>2065.96</f>
        <v>2065.96</v>
      </c>
      <c r="G243">
        <f>9058.48</f>
        <v>9058.48</v>
      </c>
      <c r="H243">
        <f>3570.29</f>
        <v>3570.29</v>
      </c>
      <c r="I243">
        <f>11424.27</f>
        <v>11424.27</v>
      </c>
      <c r="J243">
        <f>5370.8</f>
        <v>5370.8</v>
      </c>
      <c r="K243">
        <f>17145.96</f>
        <v>17145.96</v>
      </c>
      <c r="L243">
        <f>2563.73</f>
        <v>2563.73</v>
      </c>
      <c r="M243">
        <f>11694.89</f>
        <v>11694.89</v>
      </c>
      <c r="N243">
        <f>427.768</f>
        <v>427.76799999999997</v>
      </c>
      <c r="O243">
        <f>3725.39</f>
        <v>3725.39</v>
      </c>
      <c r="P243">
        <f>320.21</f>
        <v>320.20999999999998</v>
      </c>
      <c r="Q243">
        <f>3807.885</f>
        <v>3807.8850000000002</v>
      </c>
      <c r="R243">
        <f>8286.19</f>
        <v>8286.19</v>
      </c>
      <c r="S243">
        <f>3144.41</f>
        <v>3144.41</v>
      </c>
      <c r="T243">
        <f>3890.827</f>
        <v>3890.8270000000002</v>
      </c>
      <c r="U243">
        <f>68421.8</f>
        <v>68421.8</v>
      </c>
      <c r="V243">
        <f>672.49</f>
        <v>672.49</v>
      </c>
    </row>
    <row r="244" spans="1:22" x14ac:dyDescent="0.2">
      <c r="A244" s="1">
        <v>44767</v>
      </c>
      <c r="B244">
        <f>2338.72</f>
        <v>2338.7199999999998</v>
      </c>
      <c r="C244">
        <f>9279.12</f>
        <v>9279.1200000000008</v>
      </c>
      <c r="D244">
        <f>7387.43</f>
        <v>7387.43</v>
      </c>
      <c r="E244">
        <f>2440.045</f>
        <v>2440.0450000000001</v>
      </c>
      <c r="F244">
        <f>2076.33</f>
        <v>2076.33</v>
      </c>
      <c r="G244">
        <f>9052.105</f>
        <v>9052.1049999999996</v>
      </c>
      <c r="H244">
        <f>3560.39</f>
        <v>3560.39</v>
      </c>
      <c r="I244">
        <f>11545.11</f>
        <v>11545.11</v>
      </c>
      <c r="J244">
        <f>5380.2</f>
        <v>5380.2</v>
      </c>
      <c r="K244">
        <f>17361.17</f>
        <v>17361.169999999998</v>
      </c>
      <c r="L244">
        <f>2562.48</f>
        <v>2562.48</v>
      </c>
      <c r="M244">
        <f>11813.93</f>
        <v>11813.93</v>
      </c>
      <c r="N244">
        <f>424.349</f>
        <v>424.34899999999999</v>
      </c>
      <c r="O244">
        <f>3722.67</f>
        <v>3722.67</v>
      </c>
      <c r="P244">
        <f>319.08</f>
        <v>319.08</v>
      </c>
      <c r="Q244">
        <f>3811.798</f>
        <v>3811.7979999999998</v>
      </c>
      <c r="R244">
        <f>8382.88</f>
        <v>8382.8799999999992</v>
      </c>
      <c r="S244">
        <f>3144.48</f>
        <v>3144.48</v>
      </c>
      <c r="T244">
        <f>3838.039</f>
        <v>3838.0390000000002</v>
      </c>
      <c r="U244">
        <f>67749.79</f>
        <v>67749.789999999994</v>
      </c>
      <c r="V244">
        <f>662.08</f>
        <v>662.08</v>
      </c>
    </row>
    <row r="245" spans="1:22" x14ac:dyDescent="0.2">
      <c r="A245" s="1">
        <v>44764</v>
      </c>
      <c r="B245">
        <f>2327.6</f>
        <v>2327.6</v>
      </c>
      <c r="C245">
        <f>9245.07</f>
        <v>9245.07</v>
      </c>
      <c r="D245">
        <f>7357.17</f>
        <v>7357.17</v>
      </c>
      <c r="E245">
        <f>2448.054</f>
        <v>2448.0540000000001</v>
      </c>
      <c r="F245">
        <f>2057.66</f>
        <v>2057.66</v>
      </c>
      <c r="G245">
        <f>9006.58</f>
        <v>9006.58</v>
      </c>
      <c r="H245">
        <f>3585.13</f>
        <v>3585.13</v>
      </c>
      <c r="I245">
        <f>11556.94</f>
        <v>11556.94</v>
      </c>
      <c r="J245">
        <f>5354.89</f>
        <v>5354.89</v>
      </c>
      <c r="K245">
        <f>17343.85</f>
        <v>17343.849999999999</v>
      </c>
      <c r="L245">
        <f>2555.32</f>
        <v>2555.3200000000002</v>
      </c>
      <c r="M245">
        <f>11811.78</f>
        <v>11811.78</v>
      </c>
      <c r="N245">
        <f>426.07</f>
        <v>426.07</v>
      </c>
      <c r="O245">
        <f>3713.58</f>
        <v>3713.58</v>
      </c>
      <c r="P245">
        <f>318.94</f>
        <v>318.94</v>
      </c>
      <c r="Q245">
        <f>3795.667</f>
        <v>3795.6669999999999</v>
      </c>
      <c r="R245">
        <f>8371.87</f>
        <v>8371.8700000000008</v>
      </c>
      <c r="S245">
        <f>3165.13</f>
        <v>3165.13</v>
      </c>
      <c r="T245">
        <f>3898.859</f>
        <v>3898.8589999999999</v>
      </c>
      <c r="U245">
        <f>68069.58</f>
        <v>68069.58</v>
      </c>
      <c r="V245">
        <f>662.99</f>
        <v>662.99</v>
      </c>
    </row>
    <row r="246" spans="1:22" x14ac:dyDescent="0.2">
      <c r="A246" s="1">
        <v>44763</v>
      </c>
      <c r="B246">
        <f>2321.02</f>
        <v>2321.02</v>
      </c>
      <c r="C246">
        <f>9224.46</f>
        <v>9224.4599999999991</v>
      </c>
      <c r="D246">
        <f>7351.24</f>
        <v>7351.24</v>
      </c>
      <c r="E246">
        <f>2448.753</f>
        <v>2448.7530000000002</v>
      </c>
      <c r="F246">
        <f>2034.92</f>
        <v>2034.92</v>
      </c>
      <c r="G246">
        <f>8927.52</f>
        <v>8927.52</v>
      </c>
      <c r="H246">
        <f>3542.38</f>
        <v>3542.38</v>
      </c>
      <c r="I246">
        <f>11491.23</f>
        <v>11491.23</v>
      </c>
      <c r="J246">
        <f>5362.4</f>
        <v>5362.4</v>
      </c>
      <c r="K246">
        <f>17525.03</f>
        <v>17525.03</v>
      </c>
      <c r="L246">
        <f>2548.54</f>
        <v>2548.54</v>
      </c>
      <c r="M246">
        <f>11869.68</f>
        <v>11869.68</v>
      </c>
      <c r="N246">
        <f>424.066</f>
        <v>424.06599999999997</v>
      </c>
      <c r="O246">
        <f>3706.35</f>
        <v>3706.35</v>
      </c>
      <c r="P246">
        <f>318.73</f>
        <v>318.73</v>
      </c>
      <c r="Q246">
        <f>3789.271</f>
        <v>3789.2710000000002</v>
      </c>
      <c r="R246">
        <f>8450.64</f>
        <v>8450.64</v>
      </c>
      <c r="S246">
        <f>3156.42</f>
        <v>3156.42</v>
      </c>
      <c r="T246">
        <f>3855.231</f>
        <v>3855.2310000000002</v>
      </c>
      <c r="U246">
        <f>67907.24</f>
        <v>67907.240000000005</v>
      </c>
      <c r="V246">
        <f>658.97</f>
        <v>658.97</v>
      </c>
    </row>
    <row r="247" spans="1:22" x14ac:dyDescent="0.2">
      <c r="A247" s="1">
        <v>44762</v>
      </c>
      <c r="B247">
        <f>2308.6</f>
        <v>2308.6</v>
      </c>
      <c r="C247">
        <f>9193.76</f>
        <v>9193.76</v>
      </c>
      <c r="D247">
        <f>7344.89</f>
        <v>7344.89</v>
      </c>
      <c r="E247">
        <f>2438.206</f>
        <v>2438.2060000000001</v>
      </c>
      <c r="F247">
        <f>2039.21</f>
        <v>2039.21</v>
      </c>
      <c r="G247">
        <f>8955.69</f>
        <v>8955.69</v>
      </c>
      <c r="H247">
        <f>3542.93</f>
        <v>3542.93</v>
      </c>
      <c r="I247">
        <f>11448.46</f>
        <v>11448.46</v>
      </c>
      <c r="J247">
        <f>5351.04</f>
        <v>5351.04</v>
      </c>
      <c r="K247">
        <f>17347.11</f>
        <v>17347.11</v>
      </c>
      <c r="L247">
        <f>2548.22</f>
        <v>2548.2199999999998</v>
      </c>
      <c r="M247">
        <f>11780.3</f>
        <v>11780.3</v>
      </c>
      <c r="N247">
        <f>420.153</f>
        <v>420.15300000000002</v>
      </c>
      <c r="O247">
        <f>3688.8</f>
        <v>3688.8</v>
      </c>
      <c r="P247">
        <f>318.21</f>
        <v>318.20999999999998</v>
      </c>
      <c r="Q247">
        <f>3761.687</f>
        <v>3761.6869999999999</v>
      </c>
      <c r="R247">
        <f>8367.37</f>
        <v>8367.3700000000008</v>
      </c>
      <c r="S247">
        <f>3149.71</f>
        <v>3149.71</v>
      </c>
      <c r="T247">
        <f>3872.823</f>
        <v>3872.8229999999999</v>
      </c>
      <c r="U247">
        <f>67652.46</f>
        <v>67652.460000000006</v>
      </c>
      <c r="V247">
        <f>657.85</f>
        <v>657.85</v>
      </c>
    </row>
    <row r="248" spans="1:22" x14ac:dyDescent="0.2">
      <c r="A248" s="1">
        <v>44761</v>
      </c>
      <c r="B248">
        <f>2319.49</f>
        <v>2319.4899999999998</v>
      </c>
      <c r="C248">
        <f>9164.77</f>
        <v>9164.77</v>
      </c>
      <c r="D248">
        <f>7377.21</f>
        <v>7377.21</v>
      </c>
      <c r="E248">
        <f>2421.624</f>
        <v>2421.6239999999998</v>
      </c>
      <c r="F248">
        <f>2060.8</f>
        <v>2060.8000000000002</v>
      </c>
      <c r="G248">
        <f>9026.494</f>
        <v>9026.4940000000006</v>
      </c>
      <c r="H248">
        <f>3482.96</f>
        <v>3482.96</v>
      </c>
      <c r="I248">
        <f>11510.39</f>
        <v>11510.39</v>
      </c>
      <c r="J248">
        <f>5367.45</f>
        <v>5367.45</v>
      </c>
      <c r="K248">
        <f>17223.87</f>
        <v>17223.87</v>
      </c>
      <c r="L248">
        <f>2558.25</f>
        <v>2558.25</v>
      </c>
      <c r="M248">
        <f>11710.67</f>
        <v>11710.67</v>
      </c>
      <c r="N248">
        <f>421.335</f>
        <v>421.33499999999998</v>
      </c>
      <c r="O248">
        <f>3700.28</f>
        <v>3700.28</v>
      </c>
      <c r="P248">
        <f>313.29</f>
        <v>313.29000000000002</v>
      </c>
      <c r="Q248">
        <f>3757.9</f>
        <v>3757.9</v>
      </c>
      <c r="R248">
        <f>8318.2</f>
        <v>8318.2000000000007</v>
      </c>
      <c r="S248">
        <f>3079.07</f>
        <v>3079.07</v>
      </c>
      <c r="T248">
        <f>3869.42</f>
        <v>3869.42</v>
      </c>
      <c r="U248">
        <f>67785.04</f>
        <v>67785.039999999994</v>
      </c>
      <c r="V248">
        <f>660.2</f>
        <v>660.2</v>
      </c>
    </row>
    <row r="249" spans="1:22" x14ac:dyDescent="0.2">
      <c r="A249" s="1">
        <v>44760</v>
      </c>
      <c r="B249">
        <f>2291.15</f>
        <v>2291.15</v>
      </c>
      <c r="C249">
        <f>9175.18</f>
        <v>9175.18</v>
      </c>
      <c r="D249">
        <f>7303.36</f>
        <v>7303.36</v>
      </c>
      <c r="E249">
        <f>2422.821</f>
        <v>2422.8209999999999</v>
      </c>
      <c r="F249">
        <f>2036.73</f>
        <v>2036.73</v>
      </c>
      <c r="G249">
        <f>8932.093</f>
        <v>8932.0930000000008</v>
      </c>
      <c r="H249">
        <f>3460.84</f>
        <v>3460.84</v>
      </c>
      <c r="I249">
        <f>11266.32</f>
        <v>11266.32</v>
      </c>
      <c r="J249">
        <f>5269.27</f>
        <v>5269.27</v>
      </c>
      <c r="K249">
        <f>16758.99</f>
        <v>16758.990000000002</v>
      </c>
      <c r="L249">
        <f>2521.91</f>
        <v>2521.91</v>
      </c>
      <c r="M249">
        <f>11440.08</f>
        <v>11440.08</v>
      </c>
      <c r="N249">
        <f>418.37</f>
        <v>418.37</v>
      </c>
      <c r="O249">
        <f>3650.43</f>
        <v>3650.43</v>
      </c>
      <c r="P249" t="e">
        <f>NA()</f>
        <v>#N/A</v>
      </c>
      <c r="Q249">
        <f>3676.662</f>
        <v>3676.6619999999998</v>
      </c>
      <c r="R249">
        <f>8094.23</f>
        <v>8094.23</v>
      </c>
      <c r="S249" t="e">
        <f>NA()</f>
        <v>#N/A</v>
      </c>
      <c r="T249">
        <f>3837.914</f>
        <v>3837.9140000000002</v>
      </c>
      <c r="U249">
        <f>67016.14</f>
        <v>67016.14</v>
      </c>
      <c r="V249">
        <f>658.16</f>
        <v>658.16</v>
      </c>
    </row>
    <row r="250" spans="1:22" x14ac:dyDescent="0.2">
      <c r="A250" s="1">
        <v>44757</v>
      </c>
      <c r="B250">
        <f>2268.41</f>
        <v>2268.41</v>
      </c>
      <c r="C250">
        <f>9023.53</f>
        <v>9023.5300000000007</v>
      </c>
      <c r="D250">
        <f>7238.42</f>
        <v>7238.42</v>
      </c>
      <c r="E250">
        <f>2376.671</f>
        <v>2376.6709999999998</v>
      </c>
      <c r="F250">
        <f>1990.74</f>
        <v>1990.74</v>
      </c>
      <c r="G250">
        <f>8727.986</f>
        <v>8727.9860000000008</v>
      </c>
      <c r="H250">
        <f>3446.85</f>
        <v>3446.85</v>
      </c>
      <c r="I250">
        <f>11045.1</f>
        <v>11045.1</v>
      </c>
      <c r="J250">
        <f>5322.87</f>
        <v>5322.87</v>
      </c>
      <c r="K250">
        <f>16893.9</f>
        <v>16893.900000000001</v>
      </c>
      <c r="L250">
        <f>2528.01</f>
        <v>2528.0100000000002</v>
      </c>
      <c r="M250">
        <f>11443.97</f>
        <v>11443.97</v>
      </c>
      <c r="N250">
        <f>415.611</f>
        <v>415.61099999999999</v>
      </c>
      <c r="O250">
        <f>3615.89</f>
        <v>3615.89</v>
      </c>
      <c r="P250">
        <f>311.38</f>
        <v>311.38</v>
      </c>
      <c r="Q250">
        <f>3708.501</f>
        <v>3708.5010000000002</v>
      </c>
      <c r="R250">
        <f>8162.5</f>
        <v>8162.5</v>
      </c>
      <c r="S250">
        <f>3062.42</f>
        <v>3062.42</v>
      </c>
      <c r="T250">
        <f>3706.542</f>
        <v>3706.5419999999999</v>
      </c>
      <c r="U250">
        <f>65088.9</f>
        <v>65088.9</v>
      </c>
      <c r="V250">
        <f>639.62</f>
        <v>639.62</v>
      </c>
    </row>
    <row r="251" spans="1:22" x14ac:dyDescent="0.2">
      <c r="A251" s="1">
        <v>44756</v>
      </c>
      <c r="B251">
        <f>2231.03</f>
        <v>2231.0300000000002</v>
      </c>
      <c r="C251">
        <f>9074.93</f>
        <v>9074.93</v>
      </c>
      <c r="D251">
        <f>7117.9</f>
        <v>7117.9</v>
      </c>
      <c r="E251">
        <f>2385.155</f>
        <v>2385.1550000000002</v>
      </c>
      <c r="F251">
        <f>1948.43</f>
        <v>1948.43</v>
      </c>
      <c r="G251">
        <f>8533.385</f>
        <v>8533.3850000000002</v>
      </c>
      <c r="H251">
        <f>3435.64</f>
        <v>3435.64</v>
      </c>
      <c r="I251">
        <f>10754.5</f>
        <v>10754.5</v>
      </c>
      <c r="J251">
        <f>5243.4</f>
        <v>5243.4</v>
      </c>
      <c r="K251">
        <f>16570.67</f>
        <v>16570.669999999998</v>
      </c>
      <c r="L251">
        <f>2489.57</f>
        <v>2489.5700000000002</v>
      </c>
      <c r="M251">
        <f>11231.36</f>
        <v>11231.36</v>
      </c>
      <c r="N251">
        <f>410.142</f>
        <v>410.142</v>
      </c>
      <c r="O251">
        <f>3554.22</f>
        <v>3554.22</v>
      </c>
      <c r="P251">
        <f>313.89</f>
        <v>313.89</v>
      </c>
      <c r="Q251">
        <f>3662.88</f>
        <v>3662.88</v>
      </c>
      <c r="R251">
        <f>8008.71</f>
        <v>8008.71</v>
      </c>
      <c r="S251">
        <f>3063.43</f>
        <v>3063.43</v>
      </c>
      <c r="T251">
        <f>3694.201</f>
        <v>3694.201</v>
      </c>
      <c r="U251">
        <f>64712.88</f>
        <v>64712.88</v>
      </c>
      <c r="V251">
        <f>631.78</f>
        <v>631.78</v>
      </c>
    </row>
    <row r="252" spans="1:22" x14ac:dyDescent="0.2">
      <c r="A252" s="1">
        <v>44755</v>
      </c>
      <c r="B252">
        <f>2275.77</f>
        <v>2275.77</v>
      </c>
      <c r="C252">
        <f>9162</f>
        <v>9162</v>
      </c>
      <c r="D252">
        <f>7235.58</f>
        <v>7235.58</v>
      </c>
      <c r="E252">
        <f>2396.588</f>
        <v>2396.5880000000002</v>
      </c>
      <c r="F252">
        <f>2045.33</f>
        <v>2045.33</v>
      </c>
      <c r="G252">
        <f>8799.796</f>
        <v>8799.7960000000003</v>
      </c>
      <c r="H252">
        <f>3486.38</f>
        <v>3486.38</v>
      </c>
      <c r="I252">
        <f>11026.26</f>
        <v>11026.26</v>
      </c>
      <c r="J252">
        <f>5266.57</f>
        <v>5266.57</v>
      </c>
      <c r="K252">
        <f>16628.11</f>
        <v>16628.11</v>
      </c>
      <c r="L252">
        <f>2515.79</f>
        <v>2515.79</v>
      </c>
      <c r="M252">
        <f>11336.17</f>
        <v>11336.17</v>
      </c>
      <c r="N252">
        <f>415.212</f>
        <v>415.21199999999999</v>
      </c>
      <c r="O252">
        <f>3609.12</f>
        <v>3609.12</v>
      </c>
      <c r="P252">
        <f>314.47</f>
        <v>314.47000000000003</v>
      </c>
      <c r="Q252">
        <f>3680.633</f>
        <v>3680.6329999999998</v>
      </c>
      <c r="R252">
        <f>8031.76</f>
        <v>8031.76</v>
      </c>
      <c r="S252">
        <f>3056.5</f>
        <v>3056.5</v>
      </c>
      <c r="T252">
        <f>3808.459</f>
        <v>3808.4589999999998</v>
      </c>
      <c r="U252">
        <f>66142.69</f>
        <v>66142.69</v>
      </c>
      <c r="V252">
        <f>648.75</f>
        <v>648.75</v>
      </c>
    </row>
    <row r="253" spans="1:22" x14ac:dyDescent="0.2">
      <c r="A253" s="1">
        <v>44754</v>
      </c>
      <c r="B253">
        <f>2295.27</f>
        <v>2295.27</v>
      </c>
      <c r="C253">
        <f>9139.93</f>
        <v>9139.93</v>
      </c>
      <c r="D253">
        <f>7289.67</f>
        <v>7289.67</v>
      </c>
      <c r="E253">
        <f>2388.628</f>
        <v>2388.6280000000002</v>
      </c>
      <c r="F253">
        <f>2056.9</f>
        <v>2056.9</v>
      </c>
      <c r="G253">
        <f>8819.672</f>
        <v>8819.6720000000005</v>
      </c>
      <c r="H253">
        <f>3501.28</f>
        <v>3501.28</v>
      </c>
      <c r="I253">
        <f>11079.07</f>
        <v>11079.07</v>
      </c>
      <c r="J253">
        <f>5289.67</f>
        <v>5289.67</v>
      </c>
      <c r="K253">
        <f>16700.83</f>
        <v>16700.830000000002</v>
      </c>
      <c r="L253">
        <f>2529.73</f>
        <v>2529.73</v>
      </c>
      <c r="M253">
        <f>11378.37</f>
        <v>11378.37</v>
      </c>
      <c r="N253">
        <f>418.975</f>
        <v>418.97500000000002</v>
      </c>
      <c r="O253">
        <f>3643.02</f>
        <v>3643.02</v>
      </c>
      <c r="P253">
        <f>314.43</f>
        <v>314.43</v>
      </c>
      <c r="Q253">
        <f>3697.11</f>
        <v>3697.11</v>
      </c>
      <c r="R253">
        <f>8067.56</f>
        <v>8067.56</v>
      </c>
      <c r="S253">
        <f>3047.53</f>
        <v>3047.53</v>
      </c>
      <c r="T253">
        <f>3875.903</f>
        <v>3875.9029999999998</v>
      </c>
      <c r="U253">
        <f>67163.71</f>
        <v>67163.710000000006</v>
      </c>
      <c r="V253">
        <f>660.08</f>
        <v>660.08</v>
      </c>
    </row>
    <row r="254" spans="1:22" x14ac:dyDescent="0.2">
      <c r="A254" s="1">
        <v>44753</v>
      </c>
      <c r="B254">
        <f>2280.33</f>
        <v>2280.33</v>
      </c>
      <c r="C254">
        <f>9251.61</f>
        <v>9251.61</v>
      </c>
      <c r="D254">
        <f>7276.25</f>
        <v>7276.25</v>
      </c>
      <c r="E254">
        <f>2422.187</f>
        <v>2422.1869999999999</v>
      </c>
      <c r="F254">
        <f>2048.51</f>
        <v>2048.5100000000002</v>
      </c>
      <c r="G254">
        <f>8801.977</f>
        <v>8801.9770000000008</v>
      </c>
      <c r="H254">
        <f>3522.8</f>
        <v>3522.8</v>
      </c>
      <c r="I254">
        <f>11064.28</f>
        <v>11064.28</v>
      </c>
      <c r="J254">
        <f>5315.18</f>
        <v>5315.18</v>
      </c>
      <c r="K254">
        <f>16858.91</f>
        <v>16858.91</v>
      </c>
      <c r="L254">
        <f>2535.62</f>
        <v>2535.62</v>
      </c>
      <c r="M254">
        <f>11459.07</f>
        <v>11459.07</v>
      </c>
      <c r="N254">
        <f>418.07</f>
        <v>418.07</v>
      </c>
      <c r="O254">
        <f>3628.53</f>
        <v>3628.53</v>
      </c>
      <c r="P254">
        <f>319.19</f>
        <v>319.19</v>
      </c>
      <c r="Q254">
        <f>3714.066</f>
        <v>3714.0659999999998</v>
      </c>
      <c r="R254">
        <f>8142.68</f>
        <v>8142.68</v>
      </c>
      <c r="S254">
        <f>3098.28</f>
        <v>3098.28</v>
      </c>
      <c r="T254">
        <f>3907.057</f>
        <v>3907.0569999999998</v>
      </c>
      <c r="U254">
        <f>67226.75</f>
        <v>67226.75</v>
      </c>
      <c r="V254">
        <f>664.05</f>
        <v>664.05</v>
      </c>
    </row>
    <row r="255" spans="1:22" x14ac:dyDescent="0.2">
      <c r="A255" s="1">
        <v>44750</v>
      </c>
      <c r="B255">
        <f>2283.57</f>
        <v>2283.5700000000002</v>
      </c>
      <c r="C255">
        <f>9394.83</f>
        <v>9394.83</v>
      </c>
      <c r="D255">
        <f>7275.89</f>
        <v>7275.89</v>
      </c>
      <c r="E255">
        <f>2467.366</f>
        <v>2467.366</v>
      </c>
      <c r="F255">
        <f>2089.32</f>
        <v>2089.3200000000002</v>
      </c>
      <c r="G255">
        <f>8896.916</f>
        <v>8896.9159999999993</v>
      </c>
      <c r="H255">
        <f>3495.17</f>
        <v>3495.17</v>
      </c>
      <c r="I255">
        <f>11227.42</f>
        <v>11227.42</v>
      </c>
      <c r="J255">
        <f>5337.95</f>
        <v>5337.95</v>
      </c>
      <c r="K255">
        <f>17068.33</f>
        <v>17068.330000000002</v>
      </c>
      <c r="L255">
        <f>2548.92</f>
        <v>2548.92</v>
      </c>
      <c r="M255">
        <f>11598.32</f>
        <v>11598.32</v>
      </c>
      <c r="N255">
        <f>417.893</f>
        <v>417.89299999999997</v>
      </c>
      <c r="O255">
        <f>3643.91</f>
        <v>3643.91</v>
      </c>
      <c r="P255">
        <f>313.74</f>
        <v>313.74</v>
      </c>
      <c r="Q255">
        <f>3723.552</f>
        <v>3723.5520000000001</v>
      </c>
      <c r="R255">
        <f>8237.5</f>
        <v>8237.5</v>
      </c>
      <c r="S255">
        <f>3054.21</f>
        <v>3054.21</v>
      </c>
      <c r="T255">
        <f>4004.839</f>
        <v>4004.8389999999999</v>
      </c>
      <c r="U255">
        <f>68327.4</f>
        <v>68327.399999999994</v>
      </c>
      <c r="V255">
        <f>673.9</f>
        <v>673.9</v>
      </c>
    </row>
    <row r="256" spans="1:22" x14ac:dyDescent="0.2">
      <c r="A256" s="1">
        <v>44749</v>
      </c>
      <c r="B256">
        <f>2280.27</f>
        <v>2280.27</v>
      </c>
      <c r="C256">
        <f>9335.19</f>
        <v>9335.19</v>
      </c>
      <c r="D256">
        <f>7268.65</f>
        <v>7268.65</v>
      </c>
      <c r="E256">
        <f>2454.089</f>
        <v>2454.0889999999999</v>
      </c>
      <c r="F256">
        <f>2089.31</f>
        <v>2089.31</v>
      </c>
      <c r="G256">
        <f>8873.052</f>
        <v>8873.0519999999997</v>
      </c>
      <c r="H256">
        <f>3495.36</f>
        <v>3495.36</v>
      </c>
      <c r="I256">
        <f>11154.48</f>
        <v>11154.48</v>
      </c>
      <c r="J256">
        <f>5350.13</f>
        <v>5350.13</v>
      </c>
      <c r="K256">
        <f>17084.36</f>
        <v>17084.36</v>
      </c>
      <c r="L256">
        <f>2549.22</f>
        <v>2549.2199999999998</v>
      </c>
      <c r="M256">
        <f>11590.63</f>
        <v>11590.63</v>
      </c>
      <c r="N256">
        <f>416.204</f>
        <v>416.20400000000001</v>
      </c>
      <c r="O256">
        <f>3626.92</f>
        <v>3626.92</v>
      </c>
      <c r="P256">
        <f>312.68</f>
        <v>312.68</v>
      </c>
      <c r="Q256">
        <f>3747.18</f>
        <v>3747.18</v>
      </c>
      <c r="R256">
        <f>8243.69</f>
        <v>8243.69</v>
      </c>
      <c r="S256">
        <f>3045.95</f>
        <v>3045.95</v>
      </c>
      <c r="T256">
        <f>4019.12</f>
        <v>4019.12</v>
      </c>
      <c r="U256">
        <f>67909.29</f>
        <v>67909.289999999994</v>
      </c>
      <c r="V256">
        <f>666.4</f>
        <v>666.4</v>
      </c>
    </row>
    <row r="257" spans="1:22" x14ac:dyDescent="0.2">
      <c r="A257" s="1">
        <v>44748</v>
      </c>
      <c r="B257">
        <f>2254.32</f>
        <v>2254.3200000000002</v>
      </c>
      <c r="C257">
        <f>9195.02</f>
        <v>9195.02</v>
      </c>
      <c r="D257">
        <f>7180.45</f>
        <v>7180.45</v>
      </c>
      <c r="E257">
        <f>2419.068</f>
        <v>2419.0680000000002</v>
      </c>
      <c r="F257">
        <f>2045.33</f>
        <v>2045.33</v>
      </c>
      <c r="G257">
        <f>8701.374</f>
        <v>8701.3739999999998</v>
      </c>
      <c r="H257">
        <f>3454.55</f>
        <v>3454.55</v>
      </c>
      <c r="I257">
        <f>10988.83</f>
        <v>10988.83</v>
      </c>
      <c r="J257">
        <f>5302.96</f>
        <v>5302.96</v>
      </c>
      <c r="K257">
        <f>16817.58</f>
        <v>16817.580000000002</v>
      </c>
      <c r="L257">
        <f>2527.16</f>
        <v>2527.16</v>
      </c>
      <c r="M257">
        <f>11407.16</f>
        <v>11407.16</v>
      </c>
      <c r="N257">
        <f>411.898</f>
        <v>411.89800000000002</v>
      </c>
      <c r="O257">
        <f>3562.2</f>
        <v>3562.2</v>
      </c>
      <c r="P257">
        <f>308.99</f>
        <v>308.99</v>
      </c>
      <c r="Q257">
        <f>3722.952</f>
        <v>3722.9520000000002</v>
      </c>
      <c r="R257">
        <f>8121.21</f>
        <v>8121.21</v>
      </c>
      <c r="S257">
        <f>3003.3</f>
        <v>3003.3</v>
      </c>
      <c r="T257">
        <f>3862.389</f>
        <v>3862.3890000000001</v>
      </c>
      <c r="U257">
        <f>65756.36</f>
        <v>65756.36</v>
      </c>
      <c r="V257">
        <f>651.84</f>
        <v>651.84</v>
      </c>
    </row>
    <row r="258" spans="1:22" x14ac:dyDescent="0.2">
      <c r="A258" s="1">
        <v>44747</v>
      </c>
      <c r="B258">
        <f>2229.72</f>
        <v>2229.7199999999998</v>
      </c>
      <c r="C258">
        <f>9342.45</f>
        <v>9342.4500000000007</v>
      </c>
      <c r="D258">
        <f>7097.31</f>
        <v>7097.31</v>
      </c>
      <c r="E258">
        <f>2443.799</f>
        <v>2443.799</v>
      </c>
      <c r="F258">
        <f>2019.98</f>
        <v>2019.98</v>
      </c>
      <c r="G258">
        <f>8610.908</f>
        <v>8610.9079999999994</v>
      </c>
      <c r="H258">
        <f>3512.1</f>
        <v>3512.1</v>
      </c>
      <c r="I258">
        <f>10858.8</f>
        <v>10858.8</v>
      </c>
      <c r="J258">
        <f>5286.15</f>
        <v>5286.15</v>
      </c>
      <c r="K258">
        <f>16768.56</f>
        <v>16768.560000000001</v>
      </c>
      <c r="L258">
        <f>2521.71</f>
        <v>2521.71</v>
      </c>
      <c r="M258">
        <f>11374.68</f>
        <v>11374.68</v>
      </c>
      <c r="N258">
        <f>404.17</f>
        <v>404.17</v>
      </c>
      <c r="O258">
        <f>3502.51</f>
        <v>3502.51</v>
      </c>
      <c r="P258">
        <f>315.24</f>
        <v>315.24</v>
      </c>
      <c r="Q258">
        <f>3709.99</f>
        <v>3709.99</v>
      </c>
      <c r="R258">
        <f>8092.15</f>
        <v>8092.15</v>
      </c>
      <c r="S258">
        <f>3040.76</f>
        <v>3040.76</v>
      </c>
      <c r="T258">
        <f>3809.344</f>
        <v>3809.3440000000001</v>
      </c>
      <c r="U258">
        <f>65005.81</f>
        <v>65005.81</v>
      </c>
      <c r="V258">
        <f>644.24</f>
        <v>644.24</v>
      </c>
    </row>
    <row r="259" spans="1:22" x14ac:dyDescent="0.2">
      <c r="A259" s="1">
        <v>44746</v>
      </c>
      <c r="B259">
        <f>2303.23</f>
        <v>2303.23</v>
      </c>
      <c r="C259">
        <f>9361.86</f>
        <v>9361.86</v>
      </c>
      <c r="D259">
        <f>7306.62</f>
        <v>7306.62</v>
      </c>
      <c r="E259">
        <f>2446.203</f>
        <v>2446.203</v>
      </c>
      <c r="F259">
        <f>2133.46</f>
        <v>2133.46</v>
      </c>
      <c r="G259">
        <f>9013.412</f>
        <v>9013.4120000000003</v>
      </c>
      <c r="H259">
        <f>3496.01</f>
        <v>3496.01</v>
      </c>
      <c r="I259">
        <f>11261.34</f>
        <v>11261.34</v>
      </c>
      <c r="J259">
        <f>5327.02</f>
        <v>5327.02</v>
      </c>
      <c r="K259">
        <f>16716.56</f>
        <v>16716.560000000001</v>
      </c>
      <c r="L259">
        <f>2557.23</f>
        <v>2557.23</v>
      </c>
      <c r="M259">
        <f>11434.85</f>
        <v>11434.85</v>
      </c>
      <c r="N259">
        <f>407.487</f>
        <v>407.48700000000002</v>
      </c>
      <c r="O259">
        <f>3575.91</f>
        <v>3575.91</v>
      </c>
      <c r="P259">
        <f>313.25</f>
        <v>313.25</v>
      </c>
      <c r="Q259" t="e">
        <f>NA()</f>
        <v>#N/A</v>
      </c>
      <c r="R259" t="e">
        <f>NA()</f>
        <v>#N/A</v>
      </c>
      <c r="S259">
        <f>3025.53</f>
        <v>3025.53</v>
      </c>
      <c r="T259">
        <f>3888.444</f>
        <v>3888.444</v>
      </c>
      <c r="U259">
        <f>67024.82</f>
        <v>67024.820000000007</v>
      </c>
      <c r="V259">
        <f>664.73</f>
        <v>664.73</v>
      </c>
    </row>
    <row r="260" spans="1:22" x14ac:dyDescent="0.2">
      <c r="A260" s="1">
        <v>44743</v>
      </c>
      <c r="B260">
        <f>2289.24</f>
        <v>2289.2399999999998</v>
      </c>
      <c r="C260">
        <f>9363.77</f>
        <v>9363.77</v>
      </c>
      <c r="D260">
        <f>7241.96</f>
        <v>7241.96</v>
      </c>
      <c r="E260">
        <f>2443.305</f>
        <v>2443.3049999999998</v>
      </c>
      <c r="F260">
        <f>2106.8</f>
        <v>2106.8000000000002</v>
      </c>
      <c r="G260">
        <f>8849.465</f>
        <v>8849.4650000000001</v>
      </c>
      <c r="H260">
        <f>3479.38</f>
        <v>3479.38</v>
      </c>
      <c r="I260">
        <f>11189.97</f>
        <v>11189.97</v>
      </c>
      <c r="J260">
        <f>5327.02</f>
        <v>5327.02</v>
      </c>
      <c r="K260">
        <f>16716.56</f>
        <v>16716.560000000001</v>
      </c>
      <c r="L260">
        <f>2547.21</f>
        <v>2547.21</v>
      </c>
      <c r="M260">
        <f>11399.15</f>
        <v>11399.15</v>
      </c>
      <c r="N260">
        <f>404.506</f>
        <v>404.50599999999997</v>
      </c>
      <c r="O260">
        <f>3555.66</f>
        <v>3555.66</v>
      </c>
      <c r="P260">
        <f>310.01</f>
        <v>310.01</v>
      </c>
      <c r="Q260">
        <f>3736.673</f>
        <v>3736.6729999999998</v>
      </c>
      <c r="R260">
        <f>8077.89</f>
        <v>8077.89</v>
      </c>
      <c r="S260">
        <f>2985.62</f>
        <v>2985.62</v>
      </c>
      <c r="T260">
        <f>3814.111</f>
        <v>3814.1109999999999</v>
      </c>
      <c r="U260">
        <f>65661.73</f>
        <v>65661.73</v>
      </c>
      <c r="V260">
        <f>649.04</f>
        <v>649.04</v>
      </c>
    </row>
    <row r="261" spans="1:22" x14ac:dyDescent="0.2">
      <c r="A261" s="1">
        <v>44742</v>
      </c>
      <c r="B261">
        <f>2292.34</f>
        <v>2292.34</v>
      </c>
      <c r="C261">
        <f>9461.62</f>
        <v>9461.6200000000008</v>
      </c>
      <c r="D261">
        <f>7242.59</f>
        <v>7242.59</v>
      </c>
      <c r="E261">
        <f>2462.385</f>
        <v>2462.3850000000002</v>
      </c>
      <c r="F261">
        <f>2143.86</f>
        <v>2143.86</v>
      </c>
      <c r="G261">
        <f>8953.159</f>
        <v>8953.1589999999997</v>
      </c>
      <c r="H261">
        <f>3495.77</f>
        <v>3495.77</v>
      </c>
      <c r="I261">
        <f>11236.73</f>
        <v>11236.73</v>
      </c>
      <c r="J261">
        <f>5276.14</f>
        <v>5276.14</v>
      </c>
      <c r="K261">
        <f>16534.17</f>
        <v>16534.169999999998</v>
      </c>
      <c r="L261">
        <f>2539.31</f>
        <v>2539.31</v>
      </c>
      <c r="M261">
        <f>11337.72</f>
        <v>11337.72</v>
      </c>
      <c r="N261">
        <f>403.032</f>
        <v>403.03199999999998</v>
      </c>
      <c r="O261">
        <f>3555.57</f>
        <v>3555.57</v>
      </c>
      <c r="P261">
        <f>312.51</f>
        <v>312.51</v>
      </c>
      <c r="Q261">
        <f>3686.139</f>
        <v>3686.1390000000001</v>
      </c>
      <c r="R261">
        <f>7993.43</f>
        <v>7993.43</v>
      </c>
      <c r="S261">
        <f>3027.34</f>
        <v>3027.34</v>
      </c>
      <c r="T261">
        <f>3830.465</f>
        <v>3830.4650000000001</v>
      </c>
      <c r="U261">
        <f>66223.31</f>
        <v>66223.31</v>
      </c>
      <c r="V261">
        <f>664.14</f>
        <v>664.14</v>
      </c>
    </row>
    <row r="262" spans="1:22" x14ac:dyDescent="0.2">
      <c r="A262" s="1">
        <v>44741</v>
      </c>
      <c r="B262">
        <f>2345.76</f>
        <v>2345.7600000000002</v>
      </c>
      <c r="C262">
        <f>9577.81</f>
        <v>9577.81</v>
      </c>
      <c r="D262">
        <f>7386.15</f>
        <v>7386.15</v>
      </c>
      <c r="E262">
        <f>2492.478</f>
        <v>2492.4780000000001</v>
      </c>
      <c r="F262">
        <f>2198.72</f>
        <v>2198.7199999999998</v>
      </c>
      <c r="G262">
        <f>9112.157</f>
        <v>9112.1569999999992</v>
      </c>
      <c r="H262">
        <f>3510.51</f>
        <v>3510.51</v>
      </c>
      <c r="I262">
        <f>11433.69</f>
        <v>11433.69</v>
      </c>
      <c r="J262">
        <f>5285.57</f>
        <v>5285.57</v>
      </c>
      <c r="K262">
        <f>16688.65</f>
        <v>16688.650000000001</v>
      </c>
      <c r="L262">
        <f>2555.72</f>
        <v>2555.7199999999998</v>
      </c>
      <c r="M262">
        <f>11462.24</f>
        <v>11462.24</v>
      </c>
      <c r="N262">
        <f>406.623</f>
        <v>406.62299999999999</v>
      </c>
      <c r="O262">
        <f>3611.93</f>
        <v>3611.93</v>
      </c>
      <c r="P262">
        <f>314.15</f>
        <v>314.14999999999998</v>
      </c>
      <c r="Q262">
        <f>3702.942</f>
        <v>3702.942</v>
      </c>
      <c r="R262">
        <f>8062.72</f>
        <v>8062.72</v>
      </c>
      <c r="S262">
        <f>3064.14</f>
        <v>3064.14</v>
      </c>
      <c r="T262">
        <f>3889.397</f>
        <v>3889.3969999999999</v>
      </c>
      <c r="U262">
        <f>67747.41</f>
        <v>67747.41</v>
      </c>
      <c r="V262">
        <f>679.75</f>
        <v>679.75</v>
      </c>
    </row>
    <row r="263" spans="1:22" x14ac:dyDescent="0.2">
      <c r="A263" s="1">
        <v>44740</v>
      </c>
      <c r="B263">
        <f>2363.6</f>
        <v>2363.6</v>
      </c>
      <c r="C263">
        <f>9657.13</f>
        <v>9657.1299999999992</v>
      </c>
      <c r="D263">
        <f>7397.35</f>
        <v>7397.35</v>
      </c>
      <c r="E263">
        <f>2529.066</f>
        <v>2529.0659999999998</v>
      </c>
      <c r="F263">
        <f>2219.12</f>
        <v>2219.12</v>
      </c>
      <c r="G263">
        <f>9181.75</f>
        <v>9181.75</v>
      </c>
      <c r="H263">
        <f>3549.35</f>
        <v>3549.35</v>
      </c>
      <c r="I263">
        <f>11541.33</f>
        <v>11541.33</v>
      </c>
      <c r="J263">
        <f>5291.18</f>
        <v>5291.18</v>
      </c>
      <c r="K263">
        <f>16705.04</f>
        <v>16705.04</v>
      </c>
      <c r="L263">
        <f>2561.54</f>
        <v>2561.54</v>
      </c>
      <c r="M263">
        <f>11503</f>
        <v>11503</v>
      </c>
      <c r="N263">
        <f>405.929</f>
        <v>405.92899999999997</v>
      </c>
      <c r="O263">
        <f>3627.34</f>
        <v>3627.34</v>
      </c>
      <c r="P263">
        <f>314.99</f>
        <v>314.99</v>
      </c>
      <c r="Q263">
        <f>3708.763</f>
        <v>3708.7629999999999</v>
      </c>
      <c r="R263">
        <f>8067.56</f>
        <v>8067.56</v>
      </c>
      <c r="S263">
        <f>3082.19</f>
        <v>3082.19</v>
      </c>
      <c r="T263">
        <f>3879.523</f>
        <v>3879.5230000000001</v>
      </c>
      <c r="U263">
        <f>68058.12</f>
        <v>68058.12</v>
      </c>
      <c r="V263">
        <f>684.31</f>
        <v>684.31</v>
      </c>
    </row>
    <row r="264" spans="1:22" x14ac:dyDescent="0.2">
      <c r="A264" s="1">
        <v>44739</v>
      </c>
      <c r="B264">
        <f>2343.74</f>
        <v>2343.7399999999998</v>
      </c>
      <c r="C264">
        <f>9622.65</f>
        <v>9622.65</v>
      </c>
      <c r="D264">
        <f>7331.6</f>
        <v>7331.6</v>
      </c>
      <c r="E264">
        <f>2522.338</f>
        <v>2522.3380000000002</v>
      </c>
      <c r="F264">
        <f>2218.49</f>
        <v>2218.4899999999998</v>
      </c>
      <c r="G264">
        <f>9172.689</f>
        <v>9172.6890000000003</v>
      </c>
      <c r="H264">
        <f>3528.24</f>
        <v>3528.24</v>
      </c>
      <c r="I264">
        <f>11624.67</f>
        <v>11624.67</v>
      </c>
      <c r="J264">
        <f>5361.89</f>
        <v>5361.89</v>
      </c>
      <c r="K264">
        <f>17058.25</f>
        <v>17058.25</v>
      </c>
      <c r="L264">
        <f>2581.68</f>
        <v>2581.6799999999998</v>
      </c>
      <c r="M264">
        <f>11676.34</f>
        <v>11676.34</v>
      </c>
      <c r="N264">
        <f>406.611</f>
        <v>406.61099999999999</v>
      </c>
      <c r="O264">
        <f>3619.91</f>
        <v>3619.91</v>
      </c>
      <c r="P264">
        <f>310.43</f>
        <v>310.43</v>
      </c>
      <c r="Q264">
        <f>3760.89</f>
        <v>3760.89</v>
      </c>
      <c r="R264">
        <f>8233.42</f>
        <v>8233.42</v>
      </c>
      <c r="S264">
        <f>3049.93</f>
        <v>3049.93</v>
      </c>
      <c r="T264">
        <f>3858.117</f>
        <v>3858.1170000000002</v>
      </c>
      <c r="U264">
        <f>67826.78</f>
        <v>67826.78</v>
      </c>
      <c r="V264">
        <f>681.38</f>
        <v>681.38</v>
      </c>
    </row>
    <row r="265" spans="1:22" x14ac:dyDescent="0.2">
      <c r="A265" s="1">
        <v>44736</v>
      </c>
      <c r="B265">
        <f>2324.96</f>
        <v>2324.96</v>
      </c>
      <c r="C265">
        <f>9485.98</f>
        <v>9485.98</v>
      </c>
      <c r="D265">
        <f>7281.59</f>
        <v>7281.59</v>
      </c>
      <c r="E265">
        <f>2481.376</f>
        <v>2481.3760000000002</v>
      </c>
      <c r="F265">
        <f>2188.03</f>
        <v>2188.0300000000002</v>
      </c>
      <c r="G265">
        <f>9099.397</f>
        <v>9099.3970000000008</v>
      </c>
      <c r="H265">
        <f>3506.76</f>
        <v>3506.76</v>
      </c>
      <c r="I265">
        <f>11498.36</f>
        <v>11498.36</v>
      </c>
      <c r="J265">
        <f>5363.49</f>
        <v>5363.49</v>
      </c>
      <c r="K265">
        <f>17113.71</f>
        <v>17113.71</v>
      </c>
      <c r="L265">
        <f>2573.41</f>
        <v>2573.41</v>
      </c>
      <c r="M265">
        <f>11659.41</f>
        <v>11659.41</v>
      </c>
      <c r="N265">
        <f>403.49</f>
        <v>403.49</v>
      </c>
      <c r="O265">
        <f>3599.83</f>
        <v>3599.83</v>
      </c>
      <c r="P265">
        <f>308.99</f>
        <v>308.99</v>
      </c>
      <c r="Q265">
        <f>3761.389</f>
        <v>3761.3890000000001</v>
      </c>
      <c r="R265">
        <f>8257.72</f>
        <v>8257.7199999999993</v>
      </c>
      <c r="S265">
        <f>3016.48</f>
        <v>3016.48</v>
      </c>
      <c r="T265">
        <f>3638.19</f>
        <v>3638.19</v>
      </c>
      <c r="U265">
        <f>66348.75</f>
        <v>66348.75</v>
      </c>
      <c r="V265">
        <f>676.98</f>
        <v>676.98</v>
      </c>
    </row>
    <row r="266" spans="1:22" x14ac:dyDescent="0.2">
      <c r="A266" s="1">
        <v>44735</v>
      </c>
      <c r="B266">
        <f>2271.93</f>
        <v>2271.9299999999998</v>
      </c>
      <c r="C266">
        <f>9440.15</f>
        <v>9440.15</v>
      </c>
      <c r="D266">
        <f>7091.33</f>
        <v>7091.33</v>
      </c>
      <c r="E266">
        <f>2442.366</f>
        <v>2442.366</v>
      </c>
      <c r="F266">
        <f>2150.11</f>
        <v>2150.11</v>
      </c>
      <c r="G266">
        <f>8848.561</f>
        <v>8848.5609999999997</v>
      </c>
      <c r="H266">
        <f>3532.31</f>
        <v>3532.31</v>
      </c>
      <c r="I266">
        <f>11182.53</f>
        <v>11182.53</v>
      </c>
      <c r="J266">
        <f>5230.71</f>
        <v>5230.71</v>
      </c>
      <c r="K266">
        <f>16599.22</f>
        <v>16599.22</v>
      </c>
      <c r="L266">
        <f>2519.18</f>
        <v>2519.1799999999998</v>
      </c>
      <c r="M266">
        <f>11345.72</f>
        <v>11345.72</v>
      </c>
      <c r="N266">
        <f>391.271</f>
        <v>391.27100000000002</v>
      </c>
      <c r="O266">
        <f>3506.4</f>
        <v>3506.4</v>
      </c>
      <c r="P266">
        <f>308.79</f>
        <v>308.79000000000002</v>
      </c>
      <c r="Q266">
        <f>3656.42</f>
        <v>3656.42</v>
      </c>
      <c r="R266">
        <f>8012.68</f>
        <v>8012.68</v>
      </c>
      <c r="S266">
        <f>2992.28</f>
        <v>2992.28</v>
      </c>
      <c r="T266">
        <f>3595.118</f>
        <v>3595.1179999999999</v>
      </c>
      <c r="U266">
        <f>65295.42</f>
        <v>65295.42</v>
      </c>
      <c r="V266">
        <f>668.99</f>
        <v>668.99</v>
      </c>
    </row>
    <row r="267" spans="1:22" x14ac:dyDescent="0.2">
      <c r="A267" s="1">
        <v>44734</v>
      </c>
      <c r="B267">
        <f>2299.91</f>
        <v>2299.91</v>
      </c>
      <c r="C267">
        <f>9494.75</f>
        <v>9494.75</v>
      </c>
      <c r="D267">
        <f>7158.48</f>
        <v>7158.48</v>
      </c>
      <c r="E267">
        <f>2436.154</f>
        <v>2436.154</v>
      </c>
      <c r="F267">
        <f>2188.53</f>
        <v>2188.5300000000002</v>
      </c>
      <c r="G267">
        <f>8957.997</f>
        <v>8957.9969999999994</v>
      </c>
      <c r="H267">
        <f>3492.13</f>
        <v>3492.13</v>
      </c>
      <c r="I267">
        <f>11355.96</f>
        <v>11355.96</v>
      </c>
      <c r="J267">
        <f>5191.22</f>
        <v>5191.22</v>
      </c>
      <c r="K267">
        <f>16423.42</f>
        <v>16423.419999999998</v>
      </c>
      <c r="L267">
        <f>2510.44</f>
        <v>2510.44</v>
      </c>
      <c r="M267">
        <f>11292.65</f>
        <v>11292.65</v>
      </c>
      <c r="N267">
        <f>391.973</f>
        <v>391.97300000000001</v>
      </c>
      <c r="O267">
        <f>3533.77</f>
        <v>3533.77</v>
      </c>
      <c r="P267">
        <f>307.86</f>
        <v>307.86</v>
      </c>
      <c r="Q267">
        <f>3618.367</f>
        <v>3618.3670000000002</v>
      </c>
      <c r="R267">
        <f>7936.67</f>
        <v>7936.67</v>
      </c>
      <c r="S267">
        <f>2993.74</f>
        <v>2993.74</v>
      </c>
      <c r="T267">
        <f>3604.021</f>
        <v>3604.0210000000002</v>
      </c>
      <c r="U267">
        <f>65712.68</f>
        <v>65712.679999999993</v>
      </c>
      <c r="V267">
        <f>673.09</f>
        <v>673.09</v>
      </c>
    </row>
    <row r="268" spans="1:22" x14ac:dyDescent="0.2">
      <c r="A268" s="1">
        <v>44733</v>
      </c>
      <c r="B268">
        <f>2325.17</f>
        <v>2325.17</v>
      </c>
      <c r="C268">
        <f>9697.97</f>
        <v>9697.9699999999993</v>
      </c>
      <c r="D268">
        <f>7221.92</f>
        <v>7221.92</v>
      </c>
      <c r="E268">
        <f>2492.744</f>
        <v>2492.7440000000001</v>
      </c>
      <c r="F268">
        <f>2225.79</f>
        <v>2225.79</v>
      </c>
      <c r="G268">
        <f>9019.019</f>
        <v>9019.0190000000002</v>
      </c>
      <c r="H268">
        <f>3483.88</f>
        <v>3483.88</v>
      </c>
      <c r="I268">
        <f>11389.82</f>
        <v>11389.82</v>
      </c>
      <c r="J268">
        <f>5181.47</f>
        <v>5181.47</v>
      </c>
      <c r="K268">
        <f>16441.88</f>
        <v>16441.88</v>
      </c>
      <c r="L268">
        <f>2505.4</f>
        <v>2505.4</v>
      </c>
      <c r="M268">
        <f>11319.67</f>
        <v>11319.67</v>
      </c>
      <c r="N268">
        <f>392.651</f>
        <v>392.65100000000001</v>
      </c>
      <c r="O268">
        <f>3560.23</f>
        <v>3560.23</v>
      </c>
      <c r="P268">
        <f>307.49</f>
        <v>307.49</v>
      </c>
      <c r="Q268">
        <f>3612.117</f>
        <v>3612.1170000000002</v>
      </c>
      <c r="R268">
        <f>7946.89</f>
        <v>7946.89</v>
      </c>
      <c r="S268">
        <f>2999.49</f>
        <v>2999.49</v>
      </c>
      <c r="T268">
        <f>3674.015</f>
        <v>3674.0149999999999</v>
      </c>
      <c r="U268">
        <f>66747.23</f>
        <v>66747.23</v>
      </c>
      <c r="V268">
        <f>684.21</f>
        <v>684.21</v>
      </c>
    </row>
    <row r="269" spans="1:22" x14ac:dyDescent="0.2">
      <c r="A269" s="1">
        <v>44732</v>
      </c>
      <c r="B269">
        <f>2322.08</f>
        <v>2322.08</v>
      </c>
      <c r="C269">
        <f>9518.73</f>
        <v>9518.73</v>
      </c>
      <c r="D269">
        <f>7191.38</f>
        <v>7191.38</v>
      </c>
      <c r="E269">
        <f>2451.6</f>
        <v>2451.6</v>
      </c>
      <c r="F269">
        <f>2207.57</f>
        <v>2207.5700000000002</v>
      </c>
      <c r="G269">
        <f>8962.25</f>
        <v>8962.25</v>
      </c>
      <c r="H269">
        <f>3452.18</f>
        <v>3452.18</v>
      </c>
      <c r="I269">
        <f>11319.4</f>
        <v>11319.4</v>
      </c>
      <c r="J269">
        <f>5071.58</f>
        <v>5071.58</v>
      </c>
      <c r="K269">
        <f>16048.86</f>
        <v>16048.86</v>
      </c>
      <c r="L269">
        <f>2465.99</f>
        <v>2465.9899999999998</v>
      </c>
      <c r="M269">
        <f>11103.57</f>
        <v>11103.57</v>
      </c>
      <c r="N269">
        <f>394.072</f>
        <v>394.072</v>
      </c>
      <c r="O269">
        <f>3547.26</f>
        <v>3547.26</v>
      </c>
      <c r="P269">
        <f>302.27</f>
        <v>302.27</v>
      </c>
      <c r="Q269" t="e">
        <f>NA()</f>
        <v>#N/A</v>
      </c>
      <c r="R269" t="e">
        <f>NA()</f>
        <v>#N/A</v>
      </c>
      <c r="S269">
        <f>2939.28</f>
        <v>2939.28</v>
      </c>
      <c r="T269">
        <f>3635.574</f>
        <v>3635.5740000000001</v>
      </c>
      <c r="U269">
        <f>66350.31</f>
        <v>66350.31</v>
      </c>
      <c r="V269">
        <f>674.52</f>
        <v>674.52</v>
      </c>
    </row>
    <row r="270" spans="1:22" x14ac:dyDescent="0.2">
      <c r="A270" s="1">
        <v>44729</v>
      </c>
      <c r="B270">
        <f>2309.21</f>
        <v>2309.21</v>
      </c>
      <c r="C270">
        <f>9580.55</f>
        <v>9580.5499999999993</v>
      </c>
      <c r="D270">
        <f>7084.79</f>
        <v>7084.79</v>
      </c>
      <c r="E270">
        <f>2461.394</f>
        <v>2461.3939999999998</v>
      </c>
      <c r="F270">
        <f>2182.94</f>
        <v>2182.94</v>
      </c>
      <c r="G270">
        <f>8770.981</f>
        <v>8770.9809999999998</v>
      </c>
      <c r="H270">
        <f>3473.23</f>
        <v>3473.23</v>
      </c>
      <c r="I270">
        <f>11137.4</f>
        <v>11137.4</v>
      </c>
      <c r="J270">
        <f>5071.58</f>
        <v>5071.58</v>
      </c>
      <c r="K270">
        <f>16048.86</f>
        <v>16048.86</v>
      </c>
      <c r="L270">
        <f>2458.46</f>
        <v>2458.46</v>
      </c>
      <c r="M270">
        <f>11062.29</f>
        <v>11062.29</v>
      </c>
      <c r="N270">
        <f>392.708</f>
        <v>392.70800000000003</v>
      </c>
      <c r="O270">
        <f>3510.92</f>
        <v>3510.92</v>
      </c>
      <c r="P270">
        <f>306.02</f>
        <v>306.02</v>
      </c>
      <c r="Q270">
        <f>3543.947</f>
        <v>3543.9470000000001</v>
      </c>
      <c r="R270">
        <f>7756.59</f>
        <v>7756.59</v>
      </c>
      <c r="S270">
        <f>2966.68</f>
        <v>2966.68</v>
      </c>
      <c r="T270">
        <f>3619.846</f>
        <v>3619.846</v>
      </c>
      <c r="U270">
        <f>65390.88</f>
        <v>65390.879999999997</v>
      </c>
      <c r="V270">
        <f>668.28</f>
        <v>668.28</v>
      </c>
    </row>
    <row r="271" spans="1:22" x14ac:dyDescent="0.2">
      <c r="A271" s="1">
        <v>44728</v>
      </c>
      <c r="B271">
        <f>2320.65</f>
        <v>2320.65</v>
      </c>
      <c r="C271">
        <f>9700.43</f>
        <v>9700.43</v>
      </c>
      <c r="D271">
        <f>7113.8</f>
        <v>7113.8</v>
      </c>
      <c r="E271">
        <f>2469.732</f>
        <v>2469.732</v>
      </c>
      <c r="F271">
        <f>2228.23</f>
        <v>2228.23</v>
      </c>
      <c r="G271">
        <f>8880.51</f>
        <v>8880.51</v>
      </c>
      <c r="H271">
        <f>3597.6</f>
        <v>3597.6</v>
      </c>
      <c r="I271">
        <f>11146.08</f>
        <v>11146.08</v>
      </c>
      <c r="J271">
        <f>5079.44</f>
        <v>5079.4399999999996</v>
      </c>
      <c r="K271">
        <f>15995.57</f>
        <v>15995.57</v>
      </c>
      <c r="L271">
        <f>2474.21</f>
        <v>2474.21</v>
      </c>
      <c r="M271">
        <f>11083.19</f>
        <v>11083.19</v>
      </c>
      <c r="N271">
        <f>392.306</f>
        <v>392.30599999999998</v>
      </c>
      <c r="O271">
        <f>3514.12</f>
        <v>3514.12</v>
      </c>
      <c r="P271">
        <f>309.62</f>
        <v>309.62</v>
      </c>
      <c r="Q271">
        <f>3550.644</f>
        <v>3550.6439999999998</v>
      </c>
      <c r="R271">
        <f>7739.39</f>
        <v>7739.39</v>
      </c>
      <c r="S271">
        <f>3018.24</f>
        <v>3018.24</v>
      </c>
      <c r="T271" t="e">
        <f>NA()</f>
        <v>#N/A</v>
      </c>
      <c r="U271" t="e">
        <f>NA()</f>
        <v>#N/A</v>
      </c>
      <c r="V271" t="e">
        <f>NA()</f>
        <v>#N/A</v>
      </c>
    </row>
    <row r="272" spans="1:22" x14ac:dyDescent="0.2">
      <c r="A272" s="1">
        <v>44727</v>
      </c>
      <c r="B272">
        <f>2398.01</f>
        <v>2398.0100000000002</v>
      </c>
      <c r="C272">
        <f>9769</f>
        <v>9769</v>
      </c>
      <c r="D272">
        <f>7340.94</f>
        <v>7340.94</v>
      </c>
      <c r="E272">
        <f>2497.841</f>
        <v>2497.8409999999999</v>
      </c>
      <c r="F272">
        <f>2268.21</f>
        <v>2268.21</v>
      </c>
      <c r="G272">
        <f>9004.804</f>
        <v>9004.8040000000001</v>
      </c>
      <c r="H272">
        <f>3510.91</f>
        <v>3510.91</v>
      </c>
      <c r="I272">
        <f>11335.05</f>
        <v>11335.05</v>
      </c>
      <c r="J272">
        <f>5196.88</f>
        <v>5196.88</v>
      </c>
      <c r="K272">
        <f>16549.3</f>
        <v>16549.3</v>
      </c>
      <c r="L272">
        <f>2502.51</f>
        <v>2502.5100000000002</v>
      </c>
      <c r="M272">
        <f>11376.25</f>
        <v>11376.25</v>
      </c>
      <c r="N272">
        <f>399.409</f>
        <v>399.40899999999999</v>
      </c>
      <c r="O272">
        <f>3599.54</f>
        <v>3599.54</v>
      </c>
      <c r="P272">
        <f>307.65</f>
        <v>307.64999999999998</v>
      </c>
      <c r="Q272">
        <f>3642.919</f>
        <v>3642.9189999999999</v>
      </c>
      <c r="R272">
        <f>7998.62</f>
        <v>7998.62</v>
      </c>
      <c r="S272">
        <f>2999.04</f>
        <v>2999.04</v>
      </c>
      <c r="T272">
        <f>3714.013</f>
        <v>3714.0129999999999</v>
      </c>
      <c r="U272">
        <f>67502.09</f>
        <v>67502.09</v>
      </c>
      <c r="V272">
        <f>689.02</f>
        <v>689.02</v>
      </c>
    </row>
    <row r="273" spans="1:22" x14ac:dyDescent="0.2">
      <c r="A273" s="1">
        <v>44726</v>
      </c>
      <c r="B273">
        <f>2365.07</f>
        <v>2365.0700000000002</v>
      </c>
      <c r="C273">
        <f>9744.29</f>
        <v>9744.2900000000009</v>
      </c>
      <c r="D273">
        <f>7254.19</f>
        <v>7254.19</v>
      </c>
      <c r="E273">
        <f>2491.754</f>
        <v>2491.7539999999999</v>
      </c>
      <c r="F273">
        <f>2219.37</f>
        <v>2219.37</v>
      </c>
      <c r="G273">
        <f>8862.781</f>
        <v>8862.7810000000009</v>
      </c>
      <c r="H273">
        <f>3539.7</f>
        <v>3539.7</v>
      </c>
      <c r="I273">
        <f>11190.03</f>
        <v>11190.03</v>
      </c>
      <c r="J273">
        <f>5162.9</f>
        <v>5162.8999999999996</v>
      </c>
      <c r="K273">
        <f>16298.38</f>
        <v>16298.38</v>
      </c>
      <c r="L273">
        <f>2489.33</f>
        <v>2489.33</v>
      </c>
      <c r="M273">
        <f>11238.87</f>
        <v>11238.87</v>
      </c>
      <c r="N273">
        <f>392.703</f>
        <v>392.70299999999997</v>
      </c>
      <c r="O273">
        <f>3546.65</f>
        <v>3546.65</v>
      </c>
      <c r="P273">
        <f>309.27</f>
        <v>309.27</v>
      </c>
      <c r="Q273">
        <f>3622.412</f>
        <v>3622.4119999999998</v>
      </c>
      <c r="R273">
        <f>7883.34</f>
        <v>7883.34</v>
      </c>
      <c r="S273">
        <f>3035.42</f>
        <v>3035.42</v>
      </c>
      <c r="T273">
        <f>3600.018</f>
        <v>3600.018</v>
      </c>
      <c r="U273">
        <f>65683.52</f>
        <v>65683.520000000004</v>
      </c>
      <c r="V273">
        <f>670.88</f>
        <v>670.88</v>
      </c>
    </row>
    <row r="274" spans="1:22" x14ac:dyDescent="0.2">
      <c r="A274" s="1">
        <v>44725</v>
      </c>
      <c r="B274">
        <f>2367.39</f>
        <v>2367.39</v>
      </c>
      <c r="C274">
        <f>9752.82</f>
        <v>9752.82</v>
      </c>
      <c r="D274">
        <f>7272.71</f>
        <v>7272.71</v>
      </c>
      <c r="E274">
        <f>2488.214</f>
        <v>2488.2139999999999</v>
      </c>
      <c r="F274">
        <f>2253.01</f>
        <v>2253.0100000000002</v>
      </c>
      <c r="G274">
        <f>8978.224</f>
        <v>8978.2240000000002</v>
      </c>
      <c r="H274">
        <f>3591.96</f>
        <v>3591.96</v>
      </c>
      <c r="I274">
        <f>11343.51</f>
        <v>11343.51</v>
      </c>
      <c r="J274">
        <f>5207.97</f>
        <v>5207.97</v>
      </c>
      <c r="K274">
        <f>16353.89</f>
        <v>16353.89</v>
      </c>
      <c r="L274">
        <f>2522.38</f>
        <v>2522.38</v>
      </c>
      <c r="M274">
        <f>11321.37</f>
        <v>11321.37</v>
      </c>
      <c r="N274">
        <f>402.972</f>
        <v>402.97199999999998</v>
      </c>
      <c r="O274">
        <f>3593.06</f>
        <v>3593.06</v>
      </c>
      <c r="P274">
        <f>311.06</f>
        <v>311.06</v>
      </c>
      <c r="Q274">
        <f>3659.332</f>
        <v>3659.3319999999999</v>
      </c>
      <c r="R274">
        <f>7910.43</f>
        <v>7910.43</v>
      </c>
      <c r="S274">
        <f>3071.96</f>
        <v>3071.96</v>
      </c>
      <c r="T274">
        <f>3637.972</f>
        <v>3637.9720000000002</v>
      </c>
      <c r="U274">
        <f>66381.03</f>
        <v>66381.03</v>
      </c>
      <c r="V274">
        <f>675.09</f>
        <v>675.09</v>
      </c>
    </row>
    <row r="275" spans="1:22" x14ac:dyDescent="0.2">
      <c r="A275" s="1">
        <v>44722</v>
      </c>
      <c r="B275">
        <f>2403.36</f>
        <v>2403.36</v>
      </c>
      <c r="C275">
        <f>10035.54</f>
        <v>10035.540000000001</v>
      </c>
      <c r="D275">
        <f>7385.45</f>
        <v>7385.45</v>
      </c>
      <c r="E275">
        <f>2581.524</f>
        <v>2581.5239999999999</v>
      </c>
      <c r="F275">
        <f>2321.84</f>
        <v>2321.84</v>
      </c>
      <c r="G275">
        <f>9264.441</f>
        <v>9264.4410000000007</v>
      </c>
      <c r="H275">
        <f>3634.69</f>
        <v>3634.69</v>
      </c>
      <c r="I275">
        <f>11744.91</f>
        <v>11744.91</v>
      </c>
      <c r="J275">
        <f>5355.06</f>
        <v>5355.06</v>
      </c>
      <c r="K275">
        <f>17034.65</f>
        <v>17034.650000000001</v>
      </c>
      <c r="L275">
        <f>2586.14</f>
        <v>2586.14</v>
      </c>
      <c r="M275">
        <f>11751.25</f>
        <v>11751.25</v>
      </c>
      <c r="N275">
        <f>409.345</f>
        <v>409.34500000000003</v>
      </c>
      <c r="O275">
        <f>3677.74</f>
        <v>3677.74</v>
      </c>
      <c r="P275">
        <f>313.3</f>
        <v>313.3</v>
      </c>
      <c r="Q275">
        <f>3773.698</f>
        <v>3773.6979999999999</v>
      </c>
      <c r="R275">
        <f>8229.43</f>
        <v>8229.43</v>
      </c>
      <c r="S275">
        <f>3139.89</f>
        <v>3139.89</v>
      </c>
      <c r="T275">
        <f>3715</f>
        <v>3715</v>
      </c>
      <c r="U275">
        <f>67803.51</f>
        <v>67803.509999999995</v>
      </c>
      <c r="V275">
        <f>686.99</f>
        <v>686.99</v>
      </c>
    </row>
    <row r="276" spans="1:22" x14ac:dyDescent="0.2">
      <c r="A276" s="1">
        <v>44721</v>
      </c>
      <c r="B276">
        <f>2447.44</f>
        <v>2447.44</v>
      </c>
      <c r="C276">
        <f>10178.21</f>
        <v>10178.209999999999</v>
      </c>
      <c r="D276">
        <f>7545.62</f>
        <v>7545.62</v>
      </c>
      <c r="E276">
        <f>2611.866</f>
        <v>2611.866</v>
      </c>
      <c r="F276">
        <f>2407.02</f>
        <v>2407.02</v>
      </c>
      <c r="G276">
        <f>9605.113</f>
        <v>9605.1129999999994</v>
      </c>
      <c r="H276">
        <f>3657.87</f>
        <v>3657.87</v>
      </c>
      <c r="I276">
        <f>12203.68</f>
        <v>12203.68</v>
      </c>
      <c r="J276">
        <f>5460.71</f>
        <v>5460.71</v>
      </c>
      <c r="K276">
        <f>17554.78</f>
        <v>17554.78</v>
      </c>
      <c r="L276">
        <f>2638.5</f>
        <v>2638.5</v>
      </c>
      <c r="M276">
        <f>12107.42</f>
        <v>12107.42</v>
      </c>
      <c r="N276">
        <f>415.944</f>
        <v>415.94400000000002</v>
      </c>
      <c r="O276">
        <f>3775.1</f>
        <v>3775.1</v>
      </c>
      <c r="P276">
        <f>314.1</f>
        <v>314.10000000000002</v>
      </c>
      <c r="Q276">
        <f>3852.251</f>
        <v>3852.2510000000002</v>
      </c>
      <c r="R276">
        <f>8475.91</f>
        <v>8475.91</v>
      </c>
      <c r="S276">
        <f>3181.83</f>
        <v>3181.83</v>
      </c>
      <c r="T276">
        <f>3759.913</f>
        <v>3759.913</v>
      </c>
      <c r="U276">
        <f>68910.8</f>
        <v>68910.8</v>
      </c>
      <c r="V276">
        <f>698.94</f>
        <v>698.94</v>
      </c>
    </row>
    <row r="277" spans="1:22" x14ac:dyDescent="0.2">
      <c r="A277" s="1">
        <v>44720</v>
      </c>
      <c r="B277">
        <f>2481.91</f>
        <v>2481.91</v>
      </c>
      <c r="C277">
        <f>10249.89</f>
        <v>10249.89</v>
      </c>
      <c r="D277">
        <f>7661.21</f>
        <v>7661.21</v>
      </c>
      <c r="E277">
        <f>2627.785</f>
        <v>2627.7849999999999</v>
      </c>
      <c r="F277">
        <f>2460.77</f>
        <v>2460.77</v>
      </c>
      <c r="G277">
        <f>9761.093</f>
        <v>9761.0930000000008</v>
      </c>
      <c r="H277">
        <f>3668.06</f>
        <v>3668.06</v>
      </c>
      <c r="I277">
        <f>12483.2</f>
        <v>12483.2</v>
      </c>
      <c r="J277">
        <f>5562.22</f>
        <v>5562.22</v>
      </c>
      <c r="K277">
        <f>17991.75</f>
        <v>17991.75</v>
      </c>
      <c r="L277">
        <f>2685.45</f>
        <v>2685.45</v>
      </c>
      <c r="M277">
        <f>12379.57</f>
        <v>12379.57</v>
      </c>
      <c r="N277">
        <f>420.544</f>
        <v>420.54399999999998</v>
      </c>
      <c r="O277">
        <f>3826.07</f>
        <v>3826.07</v>
      </c>
      <c r="P277">
        <f>314.63</f>
        <v>314.63</v>
      </c>
      <c r="Q277">
        <f>3923.16</f>
        <v>3923.16</v>
      </c>
      <c r="R277">
        <f>8681.68</f>
        <v>8681.68</v>
      </c>
      <c r="S277">
        <f>3183.33</f>
        <v>3183.33</v>
      </c>
      <c r="T277">
        <f>3821.062</f>
        <v>3821.0619999999999</v>
      </c>
      <c r="U277">
        <f>69950.21</f>
        <v>69950.210000000006</v>
      </c>
      <c r="V277">
        <f>708.45</f>
        <v>708.45</v>
      </c>
    </row>
    <row r="278" spans="1:22" x14ac:dyDescent="0.2">
      <c r="A278" s="1">
        <v>44719</v>
      </c>
      <c r="B278">
        <f>2492.52</f>
        <v>2492.52</v>
      </c>
      <c r="C278">
        <f>10245.09</f>
        <v>10245.09</v>
      </c>
      <c r="D278">
        <f>7667.19</f>
        <v>7667.19</v>
      </c>
      <c r="E278">
        <f>2596.335</f>
        <v>2596.335</v>
      </c>
      <c r="F278">
        <f>2468.01</f>
        <v>2468.0100000000002</v>
      </c>
      <c r="G278">
        <f>9790.164</f>
        <v>9790.1640000000007</v>
      </c>
      <c r="H278">
        <f>3669.46</f>
        <v>3669.46</v>
      </c>
      <c r="I278">
        <f>12523.14</f>
        <v>12523.14</v>
      </c>
      <c r="J278">
        <f>5637.58</f>
        <v>5637.58</v>
      </c>
      <c r="K278">
        <f>18182.64</f>
        <v>18182.64</v>
      </c>
      <c r="L278">
        <f>2712.15</f>
        <v>2712.15</v>
      </c>
      <c r="M278">
        <f>12477.11</f>
        <v>12477.11</v>
      </c>
      <c r="N278">
        <f>425.481</f>
        <v>425.48099999999999</v>
      </c>
      <c r="O278">
        <f>3850.67</f>
        <v>3850.67</v>
      </c>
      <c r="P278">
        <f>313</f>
        <v>313</v>
      </c>
      <c r="Q278">
        <f>3972.416</f>
        <v>3972.4160000000002</v>
      </c>
      <c r="R278">
        <f>8776.09</f>
        <v>8776.09</v>
      </c>
      <c r="S278">
        <f>3146.24</f>
        <v>3146.24</v>
      </c>
      <c r="T278">
        <f>3813.739</f>
        <v>3813.739</v>
      </c>
      <c r="U278">
        <f>70318.23</f>
        <v>70318.23</v>
      </c>
      <c r="V278">
        <f>715.77</f>
        <v>715.77</v>
      </c>
    </row>
    <row r="279" spans="1:22" x14ac:dyDescent="0.2">
      <c r="A279" s="1">
        <v>44718</v>
      </c>
      <c r="B279">
        <f>2495.89</f>
        <v>2495.89</v>
      </c>
      <c r="C279">
        <f>10324.96</f>
        <v>10324.959999999999</v>
      </c>
      <c r="D279">
        <f>7676.57</f>
        <v>7676.57</v>
      </c>
      <c r="E279">
        <f>2621.269</f>
        <v>2621.2689999999998</v>
      </c>
      <c r="F279">
        <f>2448.24</f>
        <v>2448.2399999999998</v>
      </c>
      <c r="G279">
        <f>9776.309</f>
        <v>9776.3089999999993</v>
      </c>
      <c r="H279">
        <f>3682.31</f>
        <v>3682.31</v>
      </c>
      <c r="I279">
        <f>12590.31</f>
        <v>12590.31</v>
      </c>
      <c r="J279">
        <f>5588.61</f>
        <v>5588.61</v>
      </c>
      <c r="K279">
        <f>18003.23</f>
        <v>18003.23</v>
      </c>
      <c r="L279">
        <f>2701.93</f>
        <v>2701.93</v>
      </c>
      <c r="M279">
        <f>12407.51</f>
        <v>12407.51</v>
      </c>
      <c r="N279">
        <f>425.915</f>
        <v>425.91500000000002</v>
      </c>
      <c r="O279">
        <f>3859.29</f>
        <v>3859.29</v>
      </c>
      <c r="P279">
        <f>309.33</f>
        <v>309.33</v>
      </c>
      <c r="Q279">
        <f>3944.891</f>
        <v>3944.8910000000001</v>
      </c>
      <c r="R279">
        <f>8693.06</f>
        <v>8693.06</v>
      </c>
      <c r="S279">
        <f>3133.45</f>
        <v>3133.45</v>
      </c>
      <c r="T279">
        <f>3834.792</f>
        <v>3834.7919999999999</v>
      </c>
      <c r="U279">
        <f>71120.09</f>
        <v>71120.09</v>
      </c>
      <c r="V279">
        <f>720.39</f>
        <v>720.39</v>
      </c>
    </row>
    <row r="280" spans="1:22" x14ac:dyDescent="0.2">
      <c r="A280" s="1">
        <v>44715</v>
      </c>
      <c r="B280" t="e">
        <f>NA()</f>
        <v>#N/A</v>
      </c>
      <c r="C280">
        <f>10303.75</f>
        <v>10303.75</v>
      </c>
      <c r="D280" t="e">
        <f>NA()</f>
        <v>#N/A</v>
      </c>
      <c r="E280">
        <f>2595.108</f>
        <v>2595.1080000000002</v>
      </c>
      <c r="F280">
        <f>2399.67</f>
        <v>2399.67</v>
      </c>
      <c r="G280">
        <f>9653.139</f>
        <v>9653.1389999999992</v>
      </c>
      <c r="H280">
        <f>3686.37</f>
        <v>3686.37</v>
      </c>
      <c r="I280">
        <f>12496.07</f>
        <v>12496.07</v>
      </c>
      <c r="J280">
        <f>5581.4</f>
        <v>5581.4</v>
      </c>
      <c r="K280">
        <f>17945.71</f>
        <v>17945.71</v>
      </c>
      <c r="L280">
        <f>2696.21</f>
        <v>2696.21</v>
      </c>
      <c r="M280">
        <f>12359.28</f>
        <v>12359.28</v>
      </c>
      <c r="N280">
        <f>422.94</f>
        <v>422.94</v>
      </c>
      <c r="O280">
        <f>3822.02</f>
        <v>3822.02</v>
      </c>
      <c r="P280">
        <f>308.3</f>
        <v>308.3</v>
      </c>
      <c r="Q280">
        <f>3927.632</f>
        <v>3927.6320000000001</v>
      </c>
      <c r="R280">
        <f>8665.8</f>
        <v>8665.7999999999993</v>
      </c>
      <c r="S280">
        <f>3123.8</f>
        <v>3123.8</v>
      </c>
      <c r="T280">
        <f>3835.932</f>
        <v>3835.9319999999998</v>
      </c>
      <c r="U280">
        <f>70920.45</f>
        <v>70920.45</v>
      </c>
      <c r="V280">
        <f>723.38</f>
        <v>723.38</v>
      </c>
    </row>
    <row r="281" spans="1:22" x14ac:dyDescent="0.2">
      <c r="A281" s="1">
        <v>44714</v>
      </c>
      <c r="B281" t="e">
        <f>NA()</f>
        <v>#N/A</v>
      </c>
      <c r="C281">
        <f>10322.54</f>
        <v>10322.540000000001</v>
      </c>
      <c r="D281" t="e">
        <f>NA()</f>
        <v>#N/A</v>
      </c>
      <c r="E281">
        <f>2596.77</f>
        <v>2596.77</v>
      </c>
      <c r="F281">
        <f>2403.89</f>
        <v>2403.89</v>
      </c>
      <c r="G281">
        <f>9670.099</f>
        <v>9670.0990000000002</v>
      </c>
      <c r="H281">
        <f>3720.79</f>
        <v>3720.79</v>
      </c>
      <c r="I281">
        <f>12526.78</f>
        <v>12526.78</v>
      </c>
      <c r="J281">
        <f>5631.28</f>
        <v>5631.28</v>
      </c>
      <c r="K281">
        <f>18251.17</f>
        <v>18251.169999999998</v>
      </c>
      <c r="L281">
        <f>2712.16</f>
        <v>2712.16</v>
      </c>
      <c r="M281">
        <f>12513.83</f>
        <v>12513.83</v>
      </c>
      <c r="N281">
        <f>423.906</f>
        <v>423.90600000000001</v>
      </c>
      <c r="O281">
        <f>3834.35</f>
        <v>3834.35</v>
      </c>
      <c r="P281">
        <f>308.04</f>
        <v>308.04000000000002</v>
      </c>
      <c r="Q281">
        <f>3958.853</f>
        <v>3958.8530000000001</v>
      </c>
      <c r="R281">
        <f>8809.18</f>
        <v>8809.18</v>
      </c>
      <c r="S281">
        <f>3112.9</f>
        <v>3112.9</v>
      </c>
      <c r="T281">
        <f>3866.278</f>
        <v>3866.2779999999998</v>
      </c>
      <c r="U281">
        <f>71035</f>
        <v>71035</v>
      </c>
      <c r="V281">
        <f>722.91</f>
        <v>722.91</v>
      </c>
    </row>
    <row r="282" spans="1:22" x14ac:dyDescent="0.2">
      <c r="A282" s="1">
        <v>44713</v>
      </c>
      <c r="B282">
        <f>2463.85</f>
        <v>2463.85</v>
      </c>
      <c r="C282">
        <f>10372.2</f>
        <v>10372.200000000001</v>
      </c>
      <c r="D282">
        <f>7600.62</f>
        <v>7600.62</v>
      </c>
      <c r="E282">
        <f>2612.158</f>
        <v>2612.1579999999999</v>
      </c>
      <c r="F282">
        <f>2394.78</f>
        <v>2394.7800000000002</v>
      </c>
      <c r="G282">
        <f>9633.481</f>
        <v>9633.4809999999998</v>
      </c>
      <c r="H282">
        <f>3722.64</f>
        <v>3722.64</v>
      </c>
      <c r="I282">
        <f>12373.57</f>
        <v>12373.57</v>
      </c>
      <c r="J282">
        <f>5573.98</f>
        <v>5573.98</v>
      </c>
      <c r="K282">
        <f>17891.81</f>
        <v>17891.810000000001</v>
      </c>
      <c r="L282">
        <f>2694.71</f>
        <v>2694.71</v>
      </c>
      <c r="M282">
        <f>12318.41</f>
        <v>12318.41</v>
      </c>
      <c r="N282">
        <f>422.901</f>
        <v>422.90100000000001</v>
      </c>
      <c r="O282">
        <f>3814.15</f>
        <v>3814.15</v>
      </c>
      <c r="P282">
        <f>309.08</f>
        <v>309.08</v>
      </c>
      <c r="Q282">
        <f>3903.56</f>
        <v>3903.56</v>
      </c>
      <c r="R282">
        <f>8648.28</f>
        <v>8648.2800000000007</v>
      </c>
      <c r="S282">
        <f>3132.7</f>
        <v>3132.7</v>
      </c>
      <c r="T282">
        <f>3830.637</f>
        <v>3830.6370000000002</v>
      </c>
      <c r="U282">
        <f>70849.38</f>
        <v>70849.38</v>
      </c>
      <c r="V282">
        <f>722.48</f>
        <v>722.48</v>
      </c>
    </row>
    <row r="283" spans="1:22" x14ac:dyDescent="0.2">
      <c r="A283" s="1">
        <v>44712</v>
      </c>
      <c r="B283">
        <f>2483.26</f>
        <v>2483.2600000000002</v>
      </c>
      <c r="C283">
        <f>10420.89</f>
        <v>10420.89</v>
      </c>
      <c r="D283">
        <f>7666.61</f>
        <v>7666.61</v>
      </c>
      <c r="E283">
        <f>2635.333</f>
        <v>2635.3330000000001</v>
      </c>
      <c r="F283">
        <f>2420.26</f>
        <v>2420.2600000000002</v>
      </c>
      <c r="G283">
        <f>9797.012</f>
        <v>9797.0120000000006</v>
      </c>
      <c r="H283">
        <f>3692.9</f>
        <v>3692.9</v>
      </c>
      <c r="I283">
        <f>12534.31</f>
        <v>12534.31</v>
      </c>
      <c r="J283">
        <f>5624.81</f>
        <v>5624.81</v>
      </c>
      <c r="K283">
        <f>18026.3</f>
        <v>18026.3</v>
      </c>
      <c r="L283">
        <f>2715.16</f>
        <v>2715.16</v>
      </c>
      <c r="M283">
        <f>12408.09</f>
        <v>12408.09</v>
      </c>
      <c r="N283">
        <f>428.224</f>
        <v>428.22399999999999</v>
      </c>
      <c r="O283">
        <f>3850.92</f>
        <v>3850.92</v>
      </c>
      <c r="P283">
        <f>303.81</f>
        <v>303.81</v>
      </c>
      <c r="Q283">
        <f>3953.56</f>
        <v>3953.56</v>
      </c>
      <c r="R283">
        <f>8712.6</f>
        <v>8712.6</v>
      </c>
      <c r="S283">
        <f>3090.73</f>
        <v>3090.73</v>
      </c>
      <c r="T283">
        <f>3896.426</f>
        <v>3896.4259999999999</v>
      </c>
      <c r="U283">
        <f>72094.87</f>
        <v>72094.87</v>
      </c>
      <c r="V283">
        <f>733.87</f>
        <v>733.87</v>
      </c>
    </row>
    <row r="284" spans="1:22" x14ac:dyDescent="0.2">
      <c r="A284" s="1">
        <v>44711</v>
      </c>
      <c r="B284">
        <f>2488.84</f>
        <v>2488.84</v>
      </c>
      <c r="C284">
        <f>10338.79</f>
        <v>10338.790000000001</v>
      </c>
      <c r="D284">
        <f>7658.95</f>
        <v>7658.95</v>
      </c>
      <c r="E284">
        <f>2603.374</f>
        <v>2603.3739999999998</v>
      </c>
      <c r="F284">
        <f>2418.29</f>
        <v>2418.29</v>
      </c>
      <c r="G284">
        <f>9809.594</f>
        <v>9809.5939999999991</v>
      </c>
      <c r="H284">
        <f>3734.29</f>
        <v>3734.29</v>
      </c>
      <c r="I284">
        <f>12749.98</f>
        <v>12749.98</v>
      </c>
      <c r="J284">
        <f>5666.89</f>
        <v>5666.89</v>
      </c>
      <c r="K284">
        <f>18149.77</f>
        <v>18149.77</v>
      </c>
      <c r="L284">
        <f>2733.95</f>
        <v>2733.95</v>
      </c>
      <c r="M284">
        <f>12512.65</f>
        <v>12512.65</v>
      </c>
      <c r="N284">
        <f>432.236</f>
        <v>432.23599999999999</v>
      </c>
      <c r="O284">
        <f>3879.17</f>
        <v>3879.17</v>
      </c>
      <c r="P284">
        <f>306.63</f>
        <v>306.63</v>
      </c>
      <c r="Q284" t="e">
        <f>NA()</f>
        <v>#N/A</v>
      </c>
      <c r="R284" t="e">
        <f>NA()</f>
        <v>#N/A</v>
      </c>
      <c r="S284">
        <f>3103.72</f>
        <v>3103.72</v>
      </c>
      <c r="T284">
        <f>3912.37</f>
        <v>3912.37</v>
      </c>
      <c r="U284">
        <f>71958.15</f>
        <v>71958.149999999994</v>
      </c>
      <c r="V284">
        <f>726.3</f>
        <v>726.3</v>
      </c>
    </row>
    <row r="285" spans="1:22" x14ac:dyDescent="0.2">
      <c r="A285" s="1">
        <v>44708</v>
      </c>
      <c r="B285">
        <f>2481.69</f>
        <v>2481.69</v>
      </c>
      <c r="C285">
        <f>10221.62</f>
        <v>10221.620000000001</v>
      </c>
      <c r="D285">
        <f>7644.23</f>
        <v>7644.23</v>
      </c>
      <c r="E285">
        <f>2549.612</f>
        <v>2549.6120000000001</v>
      </c>
      <c r="F285">
        <f>2422.59</f>
        <v>2422.59</v>
      </c>
      <c r="G285">
        <f>9771.76</f>
        <v>9771.76</v>
      </c>
      <c r="H285">
        <f>3715.94</f>
        <v>3715.94</v>
      </c>
      <c r="I285">
        <f>12550.48</f>
        <v>12550.48</v>
      </c>
      <c r="J285">
        <f>5666.89</f>
        <v>5666.89</v>
      </c>
      <c r="K285">
        <f>18149.77</f>
        <v>18149.77</v>
      </c>
      <c r="L285">
        <f>2726.53</f>
        <v>2726.53</v>
      </c>
      <c r="M285">
        <f>12457.68</f>
        <v>12457.68</v>
      </c>
      <c r="N285">
        <f>429.436</f>
        <v>429.43599999999998</v>
      </c>
      <c r="O285">
        <f>3854.47</f>
        <v>3854.47</v>
      </c>
      <c r="P285">
        <f>304.29</f>
        <v>304.29000000000002</v>
      </c>
      <c r="Q285">
        <f>3995.702</f>
        <v>3995.7020000000002</v>
      </c>
      <c r="R285">
        <f>8766.83</f>
        <v>8766.83</v>
      </c>
      <c r="S285">
        <f>3046.82</f>
        <v>3046.82</v>
      </c>
      <c r="T285">
        <f>3831.055</f>
        <v>3831.0549999999998</v>
      </c>
      <c r="U285">
        <f>70485.46</f>
        <v>70485.460000000006</v>
      </c>
      <c r="V285">
        <f>715.51</f>
        <v>715.51</v>
      </c>
    </row>
    <row r="286" spans="1:22" x14ac:dyDescent="0.2">
      <c r="A286" s="1">
        <v>44707</v>
      </c>
      <c r="B286">
        <f>2482.13</f>
        <v>2482.13</v>
      </c>
      <c r="C286">
        <f>10050.06</f>
        <v>10050.06</v>
      </c>
      <c r="D286">
        <f>7623.54</f>
        <v>7623.54</v>
      </c>
      <c r="E286">
        <f>2499.765</f>
        <v>2499.7649999999999</v>
      </c>
      <c r="F286">
        <f>2410.43</f>
        <v>2410.4299999999998</v>
      </c>
      <c r="G286">
        <f>9721.463</f>
        <v>9721.4629999999997</v>
      </c>
      <c r="H286">
        <f>3695</f>
        <v>3695</v>
      </c>
      <c r="I286">
        <f>12351.18</f>
        <v>12351.18</v>
      </c>
      <c r="J286">
        <f>5590.94</f>
        <v>5590.94</v>
      </c>
      <c r="K286">
        <f>17698.05</f>
        <v>17698.05</v>
      </c>
      <c r="L286">
        <f>2701.26</f>
        <v>2701.26</v>
      </c>
      <c r="M286">
        <f>12195.57</f>
        <v>12195.57</v>
      </c>
      <c r="N286">
        <f>422.88</f>
        <v>422.88</v>
      </c>
      <c r="O286">
        <f>3800.66</f>
        <v>3800.66</v>
      </c>
      <c r="P286">
        <f>303.57</f>
        <v>303.57</v>
      </c>
      <c r="Q286">
        <f>3924.885</f>
        <v>3924.8850000000002</v>
      </c>
      <c r="R286">
        <f>8553.68</f>
        <v>8553.68</v>
      </c>
      <c r="S286">
        <f>3031.14</f>
        <v>3031.14</v>
      </c>
      <c r="T286">
        <f>3811.313</f>
        <v>3811.3130000000001</v>
      </c>
      <c r="U286">
        <f>69483.76</f>
        <v>69483.759999999995</v>
      </c>
      <c r="V286">
        <f>705.06</f>
        <v>705.06</v>
      </c>
    </row>
    <row r="287" spans="1:22" x14ac:dyDescent="0.2">
      <c r="A287" s="1">
        <v>44706</v>
      </c>
      <c r="B287">
        <f>2472.56</f>
        <v>2472.56</v>
      </c>
      <c r="C287">
        <f>10011.44</f>
        <v>10011.44</v>
      </c>
      <c r="D287">
        <f>7578.85</f>
        <v>7578.85</v>
      </c>
      <c r="E287">
        <f>2491.405</f>
        <v>2491.4050000000002</v>
      </c>
      <c r="F287">
        <f>2404.41</f>
        <v>2404.41</v>
      </c>
      <c r="G287">
        <f>9653.634</f>
        <v>9653.634</v>
      </c>
      <c r="H287">
        <f>3683.07</f>
        <v>3683.07</v>
      </c>
      <c r="I287">
        <f>12194.41</f>
        <v>12194.41</v>
      </c>
      <c r="J287">
        <f>5534.85</f>
        <v>5534.85</v>
      </c>
      <c r="K287">
        <f>17343.48</f>
        <v>17343.48</v>
      </c>
      <c r="L287">
        <f>2686.52</f>
        <v>2686.52</v>
      </c>
      <c r="M287">
        <f>11999.86</f>
        <v>11999.86</v>
      </c>
      <c r="N287">
        <f>422.988</f>
        <v>422.988</v>
      </c>
      <c r="O287">
        <f>3773.32</f>
        <v>3773.32</v>
      </c>
      <c r="P287">
        <f>302.79</f>
        <v>302.79000000000002</v>
      </c>
      <c r="Q287">
        <f>3867.968</f>
        <v>3867.9679999999998</v>
      </c>
      <c r="R287">
        <f>8386.62</f>
        <v>8386.6200000000008</v>
      </c>
      <c r="S287">
        <f>3029.53</f>
        <v>3029.53</v>
      </c>
      <c r="T287">
        <f>3724.852</f>
        <v>3724.8519999999999</v>
      </c>
      <c r="U287">
        <f>67585.25</f>
        <v>67585.25</v>
      </c>
      <c r="V287">
        <f>689.5</f>
        <v>689.5</v>
      </c>
    </row>
    <row r="288" spans="1:22" x14ac:dyDescent="0.2">
      <c r="A288" s="1">
        <v>44705</v>
      </c>
      <c r="B288">
        <f>2451.96</f>
        <v>2451.96</v>
      </c>
      <c r="C288">
        <f>9957.76</f>
        <v>9957.76</v>
      </c>
      <c r="D288">
        <f>7540.17</f>
        <v>7540.17</v>
      </c>
      <c r="E288">
        <f>2484.863</f>
        <v>2484.8629999999998</v>
      </c>
      <c r="F288">
        <f>2366.35</f>
        <v>2366.35</v>
      </c>
      <c r="G288">
        <f>9590.857</f>
        <v>9590.857</v>
      </c>
      <c r="H288">
        <f>3710.78</f>
        <v>3710.78</v>
      </c>
      <c r="I288">
        <f>12187.89</f>
        <v>12187.89</v>
      </c>
      <c r="J288">
        <f>5501.28</f>
        <v>5501.28</v>
      </c>
      <c r="K288">
        <f>17166.16</f>
        <v>17166.16</v>
      </c>
      <c r="L288">
        <f>2677.48</f>
        <v>2677.48</v>
      </c>
      <c r="M288">
        <f>11912.13</f>
        <v>11912.13</v>
      </c>
      <c r="N288">
        <f>421.979</f>
        <v>421.97899999999998</v>
      </c>
      <c r="O288">
        <f>3745.12</f>
        <v>3745.12</v>
      </c>
      <c r="P288">
        <f>302.61</f>
        <v>302.61</v>
      </c>
      <c r="Q288">
        <f>3851.633</f>
        <v>3851.6329999999998</v>
      </c>
      <c r="R288">
        <f>8307.97</f>
        <v>8307.9699999999993</v>
      </c>
      <c r="S288">
        <f>3032.23</f>
        <v>3032.23</v>
      </c>
      <c r="T288">
        <f>3725.453</f>
        <v>3725.453</v>
      </c>
      <c r="U288">
        <f>67690.72</f>
        <v>67690.720000000001</v>
      </c>
      <c r="V288">
        <f>694.13</f>
        <v>694.13</v>
      </c>
    </row>
    <row r="289" spans="1:22" x14ac:dyDescent="0.2">
      <c r="A289" s="1">
        <v>44704</v>
      </c>
      <c r="B289">
        <f>2467.22</f>
        <v>2467.2199999999998</v>
      </c>
      <c r="C289">
        <f>10036.85</f>
        <v>10036.85</v>
      </c>
      <c r="D289">
        <f>7569.47</f>
        <v>7569.47</v>
      </c>
      <c r="E289">
        <f>2524.766</f>
        <v>2524.7660000000001</v>
      </c>
      <c r="F289">
        <f>2381.35</f>
        <v>2381.35</v>
      </c>
      <c r="G289">
        <f>9659.214</f>
        <v>9659.2139999999999</v>
      </c>
      <c r="H289">
        <f>3692.95</f>
        <v>3692.95</v>
      </c>
      <c r="I289">
        <f>12243.98</f>
        <v>12243.98</v>
      </c>
      <c r="J289">
        <f>5459.69</f>
        <v>5459.69</v>
      </c>
      <c r="K289">
        <f>17337.71</f>
        <v>17337.71</v>
      </c>
      <c r="L289">
        <f>2662.94</f>
        <v>2662.94</v>
      </c>
      <c r="M289">
        <f>12008.04</f>
        <v>12008.04</v>
      </c>
      <c r="N289">
        <f>426.077</f>
        <v>426.077</v>
      </c>
      <c r="O289">
        <f>3785.47</f>
        <v>3785.47</v>
      </c>
      <c r="P289">
        <f>305.34</f>
        <v>305.33999999999997</v>
      </c>
      <c r="Q289">
        <f>3834.697</f>
        <v>3834.6970000000001</v>
      </c>
      <c r="R289">
        <f>8375.87</f>
        <v>8375.8700000000008</v>
      </c>
      <c r="S289">
        <f>3058.56</f>
        <v>3058.56</v>
      </c>
      <c r="T289">
        <f>3772.892</f>
        <v>3772.8919999999998</v>
      </c>
      <c r="U289">
        <f>68367.37</f>
        <v>68367.37</v>
      </c>
      <c r="V289">
        <f>699.11</f>
        <v>699.11</v>
      </c>
    </row>
    <row r="290" spans="1:22" x14ac:dyDescent="0.2">
      <c r="A290" s="1">
        <v>44701</v>
      </c>
      <c r="B290">
        <f>2418.99</f>
        <v>2418.9899999999998</v>
      </c>
      <c r="C290">
        <f>10035.35</f>
        <v>10035.35</v>
      </c>
      <c r="D290">
        <f>7445.09</f>
        <v>7445.09</v>
      </c>
      <c r="E290">
        <f>2526.483</f>
        <v>2526.4830000000002</v>
      </c>
      <c r="F290">
        <f>2315.97</f>
        <v>2315.9699999999998</v>
      </c>
      <c r="G290">
        <f>9421.479</f>
        <v>9421.4789999999994</v>
      </c>
      <c r="H290">
        <f>3636.95</f>
        <v>3636.95</v>
      </c>
      <c r="I290">
        <f>11956.81</f>
        <v>11956.81</v>
      </c>
      <c r="J290">
        <f>5388.58</f>
        <v>5388.58</v>
      </c>
      <c r="K290">
        <f>17029.72</f>
        <v>17029.72</v>
      </c>
      <c r="L290">
        <f>2622.24</f>
        <v>2622.24</v>
      </c>
      <c r="M290">
        <f>11798.6</f>
        <v>11798.6</v>
      </c>
      <c r="N290">
        <f>423.373</f>
        <v>423.37299999999999</v>
      </c>
      <c r="O290">
        <f>3736.93</f>
        <v>3736.93</v>
      </c>
      <c r="P290">
        <f>302.68</f>
        <v>302.68</v>
      </c>
      <c r="Q290">
        <f>3782.067</f>
        <v>3782.067</v>
      </c>
      <c r="R290">
        <f>8222.31</f>
        <v>8222.31</v>
      </c>
      <c r="S290">
        <f>3030.79</f>
        <v>3030.79</v>
      </c>
      <c r="T290">
        <f>3720.663</f>
        <v>3720.663</v>
      </c>
      <c r="U290">
        <f>67575.28</f>
        <v>67575.28</v>
      </c>
      <c r="V290">
        <f>688.78</f>
        <v>688.78</v>
      </c>
    </row>
    <row r="291" spans="1:22" x14ac:dyDescent="0.2">
      <c r="A291" s="1">
        <v>44700</v>
      </c>
      <c r="B291">
        <f>2392.92</f>
        <v>2392.92</v>
      </c>
      <c r="C291">
        <f>9910.33</f>
        <v>9910.33</v>
      </c>
      <c r="D291">
        <f>7357.2</f>
        <v>7357.2</v>
      </c>
      <c r="E291">
        <f>2476.048</f>
        <v>2476.0479999999998</v>
      </c>
      <c r="F291">
        <f>2299.46</f>
        <v>2299.46</v>
      </c>
      <c r="G291">
        <f>9329.217</f>
        <v>9329.2170000000006</v>
      </c>
      <c r="H291">
        <f>3628.31</f>
        <v>3628.31</v>
      </c>
      <c r="I291">
        <f>11925.63</f>
        <v>11925.63</v>
      </c>
      <c r="J291">
        <f>5357.76</f>
        <v>5357.76</v>
      </c>
      <c r="K291">
        <f>17026.52</f>
        <v>17026.52</v>
      </c>
      <c r="L291">
        <f>2606.02</f>
        <v>2606.02</v>
      </c>
      <c r="M291">
        <f>11778.82</f>
        <v>11778.82</v>
      </c>
      <c r="N291">
        <f>417.712</f>
        <v>417.71199999999999</v>
      </c>
      <c r="O291">
        <f>3708.77</f>
        <v>3708.77</v>
      </c>
      <c r="P291">
        <f>301.46</f>
        <v>301.45999999999998</v>
      </c>
      <c r="Q291">
        <f>3772.174</f>
        <v>3772.174</v>
      </c>
      <c r="R291">
        <f>8220.97</f>
        <v>8220.9699999999993</v>
      </c>
      <c r="S291">
        <f>3002.88</f>
        <v>3002.88</v>
      </c>
      <c r="T291">
        <f>3672.86</f>
        <v>3672.86</v>
      </c>
      <c r="U291">
        <f>68245.84</f>
        <v>68245.84</v>
      </c>
      <c r="V291">
        <f>683.36</f>
        <v>683.36</v>
      </c>
    </row>
    <row r="292" spans="1:22" x14ac:dyDescent="0.2">
      <c r="A292" s="1">
        <v>44699</v>
      </c>
      <c r="B292">
        <f>2436.88</f>
        <v>2436.88</v>
      </c>
      <c r="C292">
        <f>9935.89</f>
        <v>9935.89</v>
      </c>
      <c r="D292">
        <f>7477.93</f>
        <v>7477.93</v>
      </c>
      <c r="E292">
        <f>2520.003</f>
        <v>2520.0030000000002</v>
      </c>
      <c r="F292">
        <f>2302.17</f>
        <v>2302.17</v>
      </c>
      <c r="G292">
        <f>9422.233</f>
        <v>9422.2330000000002</v>
      </c>
      <c r="H292">
        <f>3639.18</f>
        <v>3639.18</v>
      </c>
      <c r="I292">
        <f>11982.16</f>
        <v>11982.16</v>
      </c>
      <c r="J292">
        <f>5425.04</f>
        <v>5425.04</v>
      </c>
      <c r="K292">
        <f>17103.29</f>
        <v>17103.29</v>
      </c>
      <c r="L292">
        <f>2636.9</f>
        <v>2636.9</v>
      </c>
      <c r="M292">
        <f>11835.33</f>
        <v>11835.33</v>
      </c>
      <c r="N292">
        <f>425.093</f>
        <v>425.09300000000002</v>
      </c>
      <c r="O292">
        <f>3757.62</f>
        <v>3757.62</v>
      </c>
      <c r="P292">
        <f>302.8</f>
        <v>302.8</v>
      </c>
      <c r="Q292">
        <f>3797.572</f>
        <v>3797.5720000000001</v>
      </c>
      <c r="R292">
        <f>8268.32</f>
        <v>8268.32</v>
      </c>
      <c r="S292">
        <f>3042.6</f>
        <v>3042.6</v>
      </c>
      <c r="T292">
        <f>3702.422</f>
        <v>3702.422</v>
      </c>
      <c r="U292">
        <f>69083.44</f>
        <v>69083.44</v>
      </c>
      <c r="V292">
        <f>694.83</f>
        <v>694.83</v>
      </c>
    </row>
    <row r="293" spans="1:22" x14ac:dyDescent="0.2">
      <c r="A293" s="1">
        <v>44698</v>
      </c>
      <c r="B293">
        <f>2451.83</f>
        <v>2451.83</v>
      </c>
      <c r="C293">
        <f>9930.18</f>
        <v>9930.18</v>
      </c>
      <c r="D293">
        <f>7558.63</f>
        <v>7558.63</v>
      </c>
      <c r="E293">
        <f>2514.173</f>
        <v>2514.1729999999998</v>
      </c>
      <c r="F293">
        <f>2339.41</f>
        <v>2339.41</v>
      </c>
      <c r="G293">
        <f>9568.703</f>
        <v>9568.7029999999995</v>
      </c>
      <c r="H293">
        <f>3580.15</f>
        <v>3580.15</v>
      </c>
      <c r="I293">
        <f>12140.1</f>
        <v>12140.1</v>
      </c>
      <c r="J293">
        <f>5605.71</f>
        <v>5605.71</v>
      </c>
      <c r="K293">
        <f>17825.61</f>
        <v>17825.61</v>
      </c>
      <c r="L293">
        <f>2690.36</f>
        <v>2690.36</v>
      </c>
      <c r="M293">
        <f>12196.44</f>
        <v>12196.44</v>
      </c>
      <c r="N293">
        <f>431.392</f>
        <v>431.392</v>
      </c>
      <c r="O293">
        <f>3800.47</f>
        <v>3800.47</v>
      </c>
      <c r="P293">
        <f>300.99</f>
        <v>300.99</v>
      </c>
      <c r="Q293">
        <f>3968.764</f>
        <v>3968.7640000000001</v>
      </c>
      <c r="R293">
        <f>8614.31</f>
        <v>8614.31</v>
      </c>
      <c r="S293">
        <f>3013.58</f>
        <v>3013.58</v>
      </c>
      <c r="T293">
        <f>3782.681</f>
        <v>3782.681</v>
      </c>
      <c r="U293">
        <f>69696.39</f>
        <v>69696.39</v>
      </c>
      <c r="V293">
        <f>703.78</f>
        <v>703.78</v>
      </c>
    </row>
    <row r="294" spans="1:22" x14ac:dyDescent="0.2">
      <c r="A294" s="1">
        <v>44697</v>
      </c>
      <c r="B294">
        <f>2419.83</f>
        <v>2419.83</v>
      </c>
      <c r="C294">
        <f>9812.44</f>
        <v>9812.44</v>
      </c>
      <c r="D294">
        <f>7504.78</f>
        <v>7504.78</v>
      </c>
      <c r="E294">
        <f>2457.105</f>
        <v>2457.105</v>
      </c>
      <c r="F294">
        <f>2250.28</f>
        <v>2250.2800000000002</v>
      </c>
      <c r="G294">
        <f>9339.777</f>
        <v>9339.777</v>
      </c>
      <c r="H294">
        <f>3584.43</f>
        <v>3584.43</v>
      </c>
      <c r="I294">
        <f>11841.11</f>
        <v>11841.11</v>
      </c>
      <c r="J294">
        <f>5522.76</f>
        <v>5522.76</v>
      </c>
      <c r="K294">
        <f>17470.34</f>
        <v>17470.34</v>
      </c>
      <c r="L294">
        <f>2654.61</f>
        <v>2654.61</v>
      </c>
      <c r="M294">
        <f>11960.51</f>
        <v>11960.51</v>
      </c>
      <c r="N294">
        <f>428.446</f>
        <v>428.44600000000003</v>
      </c>
      <c r="O294">
        <f>3754.06</f>
        <v>3754.06</v>
      </c>
      <c r="P294">
        <f>300.51</f>
        <v>300.51</v>
      </c>
      <c r="Q294">
        <f>3918.154</f>
        <v>3918.154</v>
      </c>
      <c r="R294">
        <f>8443.55</f>
        <v>8443.5499999999993</v>
      </c>
      <c r="S294">
        <f>3008.01</f>
        <v>3008.01</v>
      </c>
      <c r="T294">
        <f>3719.562</f>
        <v>3719.5619999999999</v>
      </c>
      <c r="U294">
        <f>69211.76</f>
        <v>69211.759999999995</v>
      </c>
      <c r="V294">
        <f>699.41</f>
        <v>699.41</v>
      </c>
    </row>
    <row r="295" spans="1:22" x14ac:dyDescent="0.2">
      <c r="A295" s="1">
        <v>44694</v>
      </c>
      <c r="B295">
        <f>2400.49</f>
        <v>2400.4899999999998</v>
      </c>
      <c r="C295">
        <f>9772.6</f>
        <v>9772.6</v>
      </c>
      <c r="D295">
        <f>7457.89</f>
        <v>7457.89</v>
      </c>
      <c r="E295">
        <f>2449.691</f>
        <v>2449.6909999999998</v>
      </c>
      <c r="F295">
        <f>2218.74</f>
        <v>2218.7399999999998</v>
      </c>
      <c r="G295">
        <f>9252.519</f>
        <v>9252.5190000000002</v>
      </c>
      <c r="H295">
        <f>3582.46</f>
        <v>3582.46</v>
      </c>
      <c r="I295">
        <f>11850.95</f>
        <v>11850.95</v>
      </c>
      <c r="J295">
        <f>5500.95</f>
        <v>5500.95</v>
      </c>
      <c r="K295">
        <f>17560.62</f>
        <v>17560.62</v>
      </c>
      <c r="L295">
        <f>2643.91</f>
        <v>2643.91</v>
      </c>
      <c r="M295">
        <f>11991.77</f>
        <v>11991.77</v>
      </c>
      <c r="N295">
        <f>428.513</f>
        <v>428.51299999999998</v>
      </c>
      <c r="O295">
        <f>3751.35</f>
        <v>3751.35</v>
      </c>
      <c r="P295">
        <f>302.9</f>
        <v>302.89999999999998</v>
      </c>
      <c r="Q295">
        <f>3913.082</f>
        <v>3913.0819999999999</v>
      </c>
      <c r="R295">
        <f>8476.57</f>
        <v>8476.57</v>
      </c>
      <c r="S295">
        <f>3009.53</f>
        <v>3009.53</v>
      </c>
      <c r="T295">
        <f>3708.73</f>
        <v>3708.73</v>
      </c>
      <c r="U295">
        <f>68650.66</f>
        <v>68650.66</v>
      </c>
      <c r="V295">
        <f>695.07</f>
        <v>695.07</v>
      </c>
    </row>
    <row r="296" spans="1:22" x14ac:dyDescent="0.2">
      <c r="A296" s="1">
        <v>44693</v>
      </c>
      <c r="B296">
        <f>2346.51</f>
        <v>2346.5100000000002</v>
      </c>
      <c r="C296">
        <f>9621.37</f>
        <v>9621.3700000000008</v>
      </c>
      <c r="D296">
        <f>7272.08</f>
        <v>7272.08</v>
      </c>
      <c r="E296">
        <f>2408.873</f>
        <v>2408.873</v>
      </c>
      <c r="F296">
        <f>2173.95</f>
        <v>2173.9499999999998</v>
      </c>
      <c r="G296">
        <f>9029.528</f>
        <v>9029.5280000000002</v>
      </c>
      <c r="H296">
        <f>3576.03</f>
        <v>3576.03</v>
      </c>
      <c r="I296">
        <f>11644.68</f>
        <v>11644.68</v>
      </c>
      <c r="J296">
        <f>5451.49</f>
        <v>5451.49</v>
      </c>
      <c r="K296">
        <f>17118.46</f>
        <v>17118.46</v>
      </c>
      <c r="L296">
        <f>2618.36</f>
        <v>2618.36</v>
      </c>
      <c r="M296">
        <f>11716.37</f>
        <v>11716.37</v>
      </c>
      <c r="N296">
        <f>422.676</f>
        <v>422.67599999999999</v>
      </c>
      <c r="O296">
        <f>3675.49</f>
        <v>3675.49</v>
      </c>
      <c r="P296">
        <f>298.89</f>
        <v>298.89</v>
      </c>
      <c r="Q296">
        <f>3862.94</f>
        <v>3862.94</v>
      </c>
      <c r="R296">
        <f>8278.04</f>
        <v>8278.0400000000009</v>
      </c>
      <c r="S296">
        <f>2952.99</f>
        <v>2952.99</v>
      </c>
      <c r="T296">
        <f>3604.534</f>
        <v>3604.5340000000001</v>
      </c>
      <c r="U296">
        <f>67251.89</f>
        <v>67251.89</v>
      </c>
      <c r="V296">
        <f>681.51</f>
        <v>681.51</v>
      </c>
    </row>
    <row r="297" spans="1:22" x14ac:dyDescent="0.2">
      <c r="A297" s="1">
        <v>44692</v>
      </c>
      <c r="B297">
        <f>2379.83</f>
        <v>2379.83</v>
      </c>
      <c r="C297">
        <f>9838.64</f>
        <v>9838.64</v>
      </c>
      <c r="D297">
        <f>7383.76</f>
        <v>7383.76</v>
      </c>
      <c r="E297">
        <f>2465.797</f>
        <v>2465.797</v>
      </c>
      <c r="F297">
        <f>2241.16</f>
        <v>2241.16</v>
      </c>
      <c r="G297">
        <f>9246.338</f>
        <v>9246.3379999999997</v>
      </c>
      <c r="H297">
        <f>3543.32</f>
        <v>3543.32</v>
      </c>
      <c r="I297">
        <f>11863.73</f>
        <v>11863.73</v>
      </c>
      <c r="J297">
        <f>5422.32</f>
        <v>5422.32</v>
      </c>
      <c r="K297">
        <f>17117.13</f>
        <v>17117.13</v>
      </c>
      <c r="L297">
        <f>2627.63</f>
        <v>2627.63</v>
      </c>
      <c r="M297">
        <f>11768.76</f>
        <v>11768.76</v>
      </c>
      <c r="N297">
        <f>423.387</f>
        <v>423.387</v>
      </c>
      <c r="O297">
        <f>3699.06</f>
        <v>3699.06</v>
      </c>
      <c r="P297">
        <f>299.79</f>
        <v>299.79000000000002</v>
      </c>
      <c r="Q297">
        <f>3836.165</f>
        <v>3836.165</v>
      </c>
      <c r="R297">
        <f>8285.82</f>
        <v>8285.82</v>
      </c>
      <c r="S297">
        <f>2988.43</f>
        <v>2988.43</v>
      </c>
      <c r="T297">
        <f>3703.408</f>
        <v>3703.4079999999999</v>
      </c>
      <c r="U297">
        <f>68416.41</f>
        <v>68416.41</v>
      </c>
      <c r="V297">
        <f>690.01</f>
        <v>690.01</v>
      </c>
    </row>
    <row r="298" spans="1:22" x14ac:dyDescent="0.2">
      <c r="A298" s="1">
        <v>44691</v>
      </c>
      <c r="B298">
        <f>2346.66</f>
        <v>2346.66</v>
      </c>
      <c r="C298">
        <f>9850.88</f>
        <v>9850.8799999999992</v>
      </c>
      <c r="D298">
        <f>7278.81</f>
        <v>7278.81</v>
      </c>
      <c r="E298">
        <f>2456.038</f>
        <v>2456.038</v>
      </c>
      <c r="F298">
        <f>2200.66</f>
        <v>2200.66</v>
      </c>
      <c r="G298">
        <f>9095.279</f>
        <v>9095.2790000000005</v>
      </c>
      <c r="H298">
        <f>3594.75</f>
        <v>3594.75</v>
      </c>
      <c r="I298">
        <f>11652.95</f>
        <v>11652.95</v>
      </c>
      <c r="J298">
        <f>5457.24</f>
        <v>5457.24</v>
      </c>
      <c r="K298">
        <f>17423.21</f>
        <v>17423.21</v>
      </c>
      <c r="L298">
        <f>2631.88</f>
        <v>2631.88</v>
      </c>
      <c r="M298">
        <f>11876.64</f>
        <v>11876.64</v>
      </c>
      <c r="N298">
        <f>421.212</f>
        <v>421.21199999999999</v>
      </c>
      <c r="O298">
        <f>3637.73</f>
        <v>3637.73</v>
      </c>
      <c r="P298">
        <f>305.47</f>
        <v>305.47000000000003</v>
      </c>
      <c r="Q298">
        <f>3864.431</f>
        <v>3864.431</v>
      </c>
      <c r="R298">
        <f>8424.2</f>
        <v>8424.2000000000007</v>
      </c>
      <c r="S298">
        <f>3006.57</f>
        <v>3006.57</v>
      </c>
      <c r="T298">
        <f>3596.172</f>
        <v>3596.172</v>
      </c>
      <c r="U298">
        <f>66966.73</f>
        <v>66966.73</v>
      </c>
      <c r="V298">
        <f>680.73</f>
        <v>680.73</v>
      </c>
    </row>
    <row r="299" spans="1:22" x14ac:dyDescent="0.2">
      <c r="A299" s="1">
        <v>44690</v>
      </c>
      <c r="B299">
        <f>2326.82</f>
        <v>2326.8200000000002</v>
      </c>
      <c r="C299">
        <f>9912.8</f>
        <v>9912.7999999999993</v>
      </c>
      <c r="D299">
        <f>7252.04</f>
        <v>7252.04</v>
      </c>
      <c r="E299">
        <f>2474.183</f>
        <v>2474.183</v>
      </c>
      <c r="F299">
        <f>2196.21</f>
        <v>2196.21</v>
      </c>
      <c r="G299">
        <f>9055.179</f>
        <v>9055.1790000000001</v>
      </c>
      <c r="H299">
        <f>3621.15</f>
        <v>3621.15</v>
      </c>
      <c r="I299">
        <f>11536.57</f>
        <v>11536.57</v>
      </c>
      <c r="J299">
        <f>5478.79</f>
        <v>5478.79</v>
      </c>
      <c r="K299">
        <f>17378.7</f>
        <v>17378.7</v>
      </c>
      <c r="L299">
        <f>2635.49</f>
        <v>2635.49</v>
      </c>
      <c r="M299">
        <f>11851.87</f>
        <v>11851.87</v>
      </c>
      <c r="N299">
        <f>418.419</f>
        <v>418.41899999999998</v>
      </c>
      <c r="O299">
        <f>3611.22</f>
        <v>3611.22</v>
      </c>
      <c r="P299">
        <f>306.86</f>
        <v>306.86</v>
      </c>
      <c r="Q299">
        <f>3896.512</f>
        <v>3896.5120000000002</v>
      </c>
      <c r="R299">
        <f>8403.5</f>
        <v>8403.5</v>
      </c>
      <c r="S299">
        <f>3032.41</f>
        <v>3032.41</v>
      </c>
      <c r="T299">
        <f>3626.296</f>
        <v>3626.2959999999998</v>
      </c>
      <c r="U299">
        <f>66769.12</f>
        <v>66769.119999999995</v>
      </c>
      <c r="V299">
        <f>679.08</f>
        <v>679.08</v>
      </c>
    </row>
    <row r="300" spans="1:22" x14ac:dyDescent="0.2">
      <c r="A300" s="1">
        <v>44687</v>
      </c>
      <c r="B300">
        <f>2371.86</f>
        <v>2371.86</v>
      </c>
      <c r="C300">
        <f>10101.7</f>
        <v>10101.700000000001</v>
      </c>
      <c r="D300">
        <f>7424.24</f>
        <v>7424.24</v>
      </c>
      <c r="E300">
        <f>2515.118</f>
        <v>2515.1179999999999</v>
      </c>
      <c r="F300">
        <f>2259.49</f>
        <v>2259.4899999999998</v>
      </c>
      <c r="G300">
        <f>9295.322</f>
        <v>9295.3220000000001</v>
      </c>
      <c r="H300">
        <f>3668.67</f>
        <v>3668.67</v>
      </c>
      <c r="I300">
        <f>11964.57</f>
        <v>11964.57</v>
      </c>
      <c r="J300">
        <f>5535.63</f>
        <v>5535.63</v>
      </c>
      <c r="K300">
        <f>17986.32</f>
        <v>17986.32</v>
      </c>
      <c r="L300">
        <f>2672.33</f>
        <v>2672.33</v>
      </c>
      <c r="M300">
        <f>12250.9</f>
        <v>12250.9</v>
      </c>
      <c r="N300">
        <f>430.403</f>
        <v>430.40300000000002</v>
      </c>
      <c r="O300">
        <f>3716.28</f>
        <v>3716.28</v>
      </c>
      <c r="P300">
        <f>308.14</f>
        <v>308.14</v>
      </c>
      <c r="Q300">
        <f>3950.948</f>
        <v>3950.9479999999999</v>
      </c>
      <c r="R300">
        <f>8680.97</f>
        <v>8680.9699999999993</v>
      </c>
      <c r="S300">
        <f>3092.98</f>
        <v>3092.98</v>
      </c>
      <c r="T300">
        <f>3701.328</f>
        <v>3701.328</v>
      </c>
      <c r="U300">
        <f>67978.14</f>
        <v>67978.14</v>
      </c>
      <c r="V300">
        <f>687.3</f>
        <v>687.3</v>
      </c>
    </row>
    <row r="301" spans="1:22" x14ac:dyDescent="0.2">
      <c r="A301" s="1">
        <v>44686</v>
      </c>
      <c r="B301">
        <f>2408.65</f>
        <v>2408.65</v>
      </c>
      <c r="C301">
        <f>10286.04</f>
        <v>10286.040000000001</v>
      </c>
      <c r="D301">
        <f>7540.14</f>
        <v>7540.14</v>
      </c>
      <c r="E301">
        <f>2581.203</f>
        <v>2581.203</v>
      </c>
      <c r="F301">
        <f>2284.05</f>
        <v>2284.0500000000002</v>
      </c>
      <c r="G301">
        <f>9452.806</f>
        <v>9452.8060000000005</v>
      </c>
      <c r="H301">
        <f>3619.96</f>
        <v>3619.96</v>
      </c>
      <c r="I301">
        <f>12105.79</f>
        <v>12105.79</v>
      </c>
      <c r="J301">
        <f>5535.52</f>
        <v>5535.52</v>
      </c>
      <c r="K301">
        <f>18109.29</f>
        <v>18109.29</v>
      </c>
      <c r="L301">
        <f>2676.1</f>
        <v>2676.1</v>
      </c>
      <c r="M301">
        <f>12344.85</f>
        <v>12344.85</v>
      </c>
      <c r="N301">
        <f>443.026</f>
        <v>443.02600000000001</v>
      </c>
      <c r="O301">
        <f>3781.08</f>
        <v>3781.08</v>
      </c>
      <c r="P301" t="e">
        <f>NA()</f>
        <v>#N/A</v>
      </c>
      <c r="Q301">
        <f>3960.471</f>
        <v>3960.471</v>
      </c>
      <c r="R301">
        <f>8729.21</f>
        <v>8729.2099999999991</v>
      </c>
      <c r="S301" t="e">
        <f>NA()</f>
        <v>#N/A</v>
      </c>
      <c r="T301">
        <f>3796.852</f>
        <v>3796.8519999999999</v>
      </c>
      <c r="U301">
        <f>69682.65</f>
        <v>69682.649999999994</v>
      </c>
      <c r="V301">
        <f>705.01</f>
        <v>705.01</v>
      </c>
    </row>
    <row r="302" spans="1:22" x14ac:dyDescent="0.2">
      <c r="A302" s="1">
        <v>44685</v>
      </c>
      <c r="B302">
        <f>2409.42</f>
        <v>2409.42</v>
      </c>
      <c r="C302">
        <f>10343.35</f>
        <v>10343.35</v>
      </c>
      <c r="D302">
        <f>7529.63</f>
        <v>7529.63</v>
      </c>
      <c r="E302">
        <f>2593.543</f>
        <v>2593.5430000000001</v>
      </c>
      <c r="F302">
        <f>2303.93</f>
        <v>2303.9299999999998</v>
      </c>
      <c r="G302">
        <f>9532.171</f>
        <v>9532.1710000000003</v>
      </c>
      <c r="H302">
        <f>3627.34</f>
        <v>3627.34</v>
      </c>
      <c r="I302">
        <f>12196.86</f>
        <v>12196.86</v>
      </c>
      <c r="J302">
        <f>5661.51</f>
        <v>5661.51</v>
      </c>
      <c r="K302">
        <f>18802.31</f>
        <v>18802.310000000001</v>
      </c>
      <c r="L302">
        <f>2710.91</f>
        <v>2710.91</v>
      </c>
      <c r="M302">
        <f>12698.47</f>
        <v>12698.47</v>
      </c>
      <c r="N302">
        <f>444.74</f>
        <v>444.74</v>
      </c>
      <c r="O302">
        <f>3806.09</f>
        <v>3806.09</v>
      </c>
      <c r="P302" t="e">
        <f>NA()</f>
        <v>#N/A</v>
      </c>
      <c r="Q302">
        <f>4062.847</f>
        <v>4062.8470000000002</v>
      </c>
      <c r="R302">
        <f>9050.9</f>
        <v>9050.9</v>
      </c>
      <c r="S302" t="e">
        <f>NA()</f>
        <v>#N/A</v>
      </c>
      <c r="T302">
        <f>3844.526</f>
        <v>3844.5259999999998</v>
      </c>
      <c r="U302">
        <f>70357.58</f>
        <v>70357.58</v>
      </c>
      <c r="V302">
        <f>709.77</f>
        <v>709.77</v>
      </c>
    </row>
    <row r="303" spans="1:22" x14ac:dyDescent="0.2">
      <c r="A303" s="1">
        <v>44684</v>
      </c>
      <c r="B303">
        <f>2446.39</f>
        <v>2446.39</v>
      </c>
      <c r="C303">
        <f>10322.4</f>
        <v>10322.4</v>
      </c>
      <c r="D303">
        <f>7597.83</f>
        <v>7597.83</v>
      </c>
      <c r="E303">
        <f>2606.485</f>
        <v>2606.4850000000001</v>
      </c>
      <c r="F303">
        <f>2338.87</f>
        <v>2338.87</v>
      </c>
      <c r="G303">
        <f>9625.073</f>
        <v>9625.0730000000003</v>
      </c>
      <c r="H303">
        <f>3629.16</f>
        <v>3629.16</v>
      </c>
      <c r="I303">
        <f>12309.95</f>
        <v>12309.95</v>
      </c>
      <c r="J303">
        <f>5520.85</f>
        <v>5520.85</v>
      </c>
      <c r="K303">
        <f>18258.77</f>
        <v>18258.77</v>
      </c>
      <c r="L303">
        <f>2679.63</f>
        <v>2679.63</v>
      </c>
      <c r="M303">
        <f>12456.03</f>
        <v>12456.03</v>
      </c>
      <c r="N303">
        <f>448.344</f>
        <v>448.34399999999999</v>
      </c>
      <c r="O303">
        <f>3846.59</f>
        <v>3846.59</v>
      </c>
      <c r="P303" t="e">
        <f>NA()</f>
        <v>#N/A</v>
      </c>
      <c r="Q303">
        <f>3944.894</f>
        <v>3944.8939999999998</v>
      </c>
      <c r="R303">
        <f>8788.36</f>
        <v>8788.36</v>
      </c>
      <c r="S303" t="e">
        <f>NA()</f>
        <v>#N/A</v>
      </c>
      <c r="T303">
        <f>3918.242</f>
        <v>3918.2420000000002</v>
      </c>
      <c r="U303">
        <f>71338.99</f>
        <v>71338.990000000005</v>
      </c>
      <c r="V303">
        <f>721.11</f>
        <v>721.11</v>
      </c>
    </row>
    <row r="304" spans="1:22" x14ac:dyDescent="0.2">
      <c r="A304" s="1">
        <v>44683</v>
      </c>
      <c r="B304" t="e">
        <f>NA()</f>
        <v>#N/A</v>
      </c>
      <c r="C304">
        <f>10320.1</f>
        <v>10320.1</v>
      </c>
      <c r="D304" t="e">
        <f>NA()</f>
        <v>#N/A</v>
      </c>
      <c r="E304">
        <f>2614.507</f>
        <v>2614.5070000000001</v>
      </c>
      <c r="F304">
        <f>2334.68</f>
        <v>2334.6799999999998</v>
      </c>
      <c r="G304">
        <f>9604.641</f>
        <v>9604.6409999999996</v>
      </c>
      <c r="H304">
        <f>3620.24</f>
        <v>3620.24</v>
      </c>
      <c r="I304">
        <f>12207.4</f>
        <v>12207.4</v>
      </c>
      <c r="J304">
        <f>5496.99</f>
        <v>5496.99</v>
      </c>
      <c r="K304">
        <f>18181.08</f>
        <v>18181.080000000002</v>
      </c>
      <c r="L304">
        <f>2669.83</f>
        <v>2669.83</v>
      </c>
      <c r="M304">
        <f>12395.33</f>
        <v>12395.33</v>
      </c>
      <c r="N304">
        <f>450.906</f>
        <v>450.90600000000001</v>
      </c>
      <c r="O304">
        <f>3826.44</f>
        <v>3826.44</v>
      </c>
      <c r="P304">
        <f>304.31</f>
        <v>304.31</v>
      </c>
      <c r="Q304">
        <f>3919.768</f>
        <v>3919.768</v>
      </c>
      <c r="R304">
        <f>8746.05</f>
        <v>8746.0499999999993</v>
      </c>
      <c r="S304">
        <f>3064.63</f>
        <v>3064.63</v>
      </c>
      <c r="T304" t="e">
        <f>NA()</f>
        <v>#N/A</v>
      </c>
      <c r="U304" t="e">
        <f>NA()</f>
        <v>#N/A</v>
      </c>
      <c r="V304" t="e">
        <f>NA()</f>
        <v>#N/A</v>
      </c>
    </row>
    <row r="305" spans="1:22" x14ac:dyDescent="0.2">
      <c r="A305" s="1">
        <v>44680</v>
      </c>
      <c r="B305">
        <f>2432.75</f>
        <v>2432.75</v>
      </c>
      <c r="C305">
        <f>10352.24</f>
        <v>10352.24</v>
      </c>
      <c r="D305">
        <f>7580.97</f>
        <v>7580.97</v>
      </c>
      <c r="E305">
        <f>2623.127</f>
        <v>2623.127</v>
      </c>
      <c r="F305">
        <f>2341.11</f>
        <v>2341.11</v>
      </c>
      <c r="G305">
        <f>9631.106</f>
        <v>9631.1059999999998</v>
      </c>
      <c r="H305">
        <f>3645.4</f>
        <v>3645.4</v>
      </c>
      <c r="I305">
        <f>12444.38</f>
        <v>12444.38</v>
      </c>
      <c r="J305">
        <f>5492.24</f>
        <v>5492.24</v>
      </c>
      <c r="K305">
        <f>18065.87</f>
        <v>18065.87</v>
      </c>
      <c r="L305">
        <f>2683.39</f>
        <v>2683.39</v>
      </c>
      <c r="M305">
        <f>12389.19</f>
        <v>12389.19</v>
      </c>
      <c r="N305">
        <f>455.606</f>
        <v>455.60599999999999</v>
      </c>
      <c r="O305">
        <f>3874.69</f>
        <v>3874.69</v>
      </c>
      <c r="P305" t="e">
        <f>NA()</f>
        <v>#N/A</v>
      </c>
      <c r="Q305">
        <f>3940.184</f>
        <v>3940.1840000000002</v>
      </c>
      <c r="R305">
        <f>8696.65</f>
        <v>8696.65</v>
      </c>
      <c r="S305" t="e">
        <f>NA()</f>
        <v>#N/A</v>
      </c>
      <c r="T305">
        <f>3951.42</f>
        <v>3951.42</v>
      </c>
      <c r="U305">
        <f>72438.25</f>
        <v>72438.25</v>
      </c>
      <c r="V305">
        <f>726.9</f>
        <v>726.9</v>
      </c>
    </row>
    <row r="306" spans="1:22" x14ac:dyDescent="0.2">
      <c r="A306" s="1">
        <v>44679</v>
      </c>
      <c r="B306">
        <f>2425.03</f>
        <v>2425.0300000000002</v>
      </c>
      <c r="C306">
        <f>10297.37</f>
        <v>10297.370000000001</v>
      </c>
      <c r="D306">
        <f>7545.44</f>
        <v>7545.44</v>
      </c>
      <c r="E306">
        <f>2568.371</f>
        <v>2568.3710000000001</v>
      </c>
      <c r="F306">
        <f>2291.67</f>
        <v>2291.67</v>
      </c>
      <c r="G306">
        <f>9501.205</f>
        <v>9501.2049999999999</v>
      </c>
      <c r="H306">
        <f>3604.91</f>
        <v>3604.91</v>
      </c>
      <c r="I306">
        <f>12322.07</f>
        <v>12322.07</v>
      </c>
      <c r="J306">
        <f>5655.92</f>
        <v>5655.92</v>
      </c>
      <c r="K306">
        <f>18750.78</f>
        <v>18750.78</v>
      </c>
      <c r="L306">
        <f>2721.11</f>
        <v>2721.11</v>
      </c>
      <c r="M306">
        <f>12679.58</f>
        <v>12679.58</v>
      </c>
      <c r="N306">
        <f>452.507</f>
        <v>452.50700000000001</v>
      </c>
      <c r="O306">
        <f>3845.41</f>
        <v>3845.41</v>
      </c>
      <c r="P306">
        <f>304.72</f>
        <v>304.72000000000003</v>
      </c>
      <c r="Q306">
        <f>4069.212</f>
        <v>4069.212</v>
      </c>
      <c r="R306">
        <f>9023.42</f>
        <v>9023.42</v>
      </c>
      <c r="S306">
        <f>3066.68</f>
        <v>3066.68</v>
      </c>
      <c r="T306">
        <f>3844.811</f>
        <v>3844.8110000000001</v>
      </c>
      <c r="U306">
        <f>71534.57</f>
        <v>71534.570000000007</v>
      </c>
      <c r="V306">
        <f>719.74</f>
        <v>719.74</v>
      </c>
    </row>
    <row r="307" spans="1:22" x14ac:dyDescent="0.2">
      <c r="A307" s="1">
        <v>44678</v>
      </c>
      <c r="B307">
        <f>2412.2</f>
        <v>2412.1999999999998</v>
      </c>
      <c r="C307">
        <f>10163.77</f>
        <v>10163.77</v>
      </c>
      <c r="D307">
        <f>7454.44</f>
        <v>7454.44</v>
      </c>
      <c r="E307">
        <f>2543.54</f>
        <v>2543.54</v>
      </c>
      <c r="F307">
        <f>2307.11</f>
        <v>2307.11</v>
      </c>
      <c r="G307">
        <f>9432.968</f>
        <v>9432.9680000000008</v>
      </c>
      <c r="H307">
        <f>3588.28</f>
        <v>3588.28</v>
      </c>
      <c r="I307">
        <f>12244.33</f>
        <v>12244.33</v>
      </c>
      <c r="J307">
        <f>5580.16</f>
        <v>5580.16</v>
      </c>
      <c r="K307">
        <f>18293.47</f>
        <v>18293.47</v>
      </c>
      <c r="L307">
        <f>2695.79</f>
        <v>2695.79</v>
      </c>
      <c r="M307">
        <f>12438.42</f>
        <v>12438.42</v>
      </c>
      <c r="N307">
        <f>449.562</f>
        <v>449.56200000000001</v>
      </c>
      <c r="O307">
        <f>3817.4</f>
        <v>3817.4</v>
      </c>
      <c r="P307">
        <f>297.4</f>
        <v>297.39999999999998</v>
      </c>
      <c r="Q307">
        <f>4035.359</f>
        <v>4035.3589999999999</v>
      </c>
      <c r="R307">
        <f>8805</f>
        <v>8805</v>
      </c>
      <c r="S307">
        <f>3003.86</f>
        <v>3003.86</v>
      </c>
      <c r="T307" t="e">
        <f>NA()</f>
        <v>#N/A</v>
      </c>
      <c r="U307" t="e">
        <f>NA()</f>
        <v>#N/A</v>
      </c>
      <c r="V307" t="e">
        <f>NA()</f>
        <v>#N/A</v>
      </c>
    </row>
    <row r="308" spans="1:22" x14ac:dyDescent="0.2">
      <c r="A308" s="1">
        <v>44677</v>
      </c>
      <c r="B308">
        <f>2408.36</f>
        <v>2408.36</v>
      </c>
      <c r="C308">
        <f>10222.75</f>
        <v>10222.75</v>
      </c>
      <c r="D308">
        <f>7414.88</f>
        <v>7414.88</v>
      </c>
      <c r="E308">
        <f>2557.16</f>
        <v>2557.16</v>
      </c>
      <c r="F308">
        <f>2275.95</f>
        <v>2275.9499999999998</v>
      </c>
      <c r="G308">
        <f>9466.456</f>
        <v>9466.4560000000001</v>
      </c>
      <c r="H308">
        <f>3649.23</f>
        <v>3649.23</v>
      </c>
      <c r="I308">
        <f>12300.44</f>
        <v>12300.44</v>
      </c>
      <c r="J308">
        <f>5576.11</f>
        <v>5576.11</v>
      </c>
      <c r="K308">
        <f>18263.94</f>
        <v>18263.939999999999</v>
      </c>
      <c r="L308">
        <f>2702.78</f>
        <v>2702.78</v>
      </c>
      <c r="M308">
        <f>12452.6</f>
        <v>12452.6</v>
      </c>
      <c r="N308">
        <f>444.992</f>
        <v>444.99200000000002</v>
      </c>
      <c r="O308">
        <f>3784.05</f>
        <v>3784.05</v>
      </c>
      <c r="P308">
        <f>300.11</f>
        <v>300.11</v>
      </c>
      <c r="Q308">
        <f>4013.748</f>
        <v>4013.748</v>
      </c>
      <c r="R308">
        <f>8786.47</f>
        <v>8786.4699999999993</v>
      </c>
      <c r="S308">
        <f>3032.46</f>
        <v>3032.46</v>
      </c>
      <c r="T308">
        <f>3754.394</f>
        <v>3754.3939999999998</v>
      </c>
      <c r="U308">
        <f>70264.11</f>
        <v>70264.11</v>
      </c>
      <c r="V308">
        <f>708.55</f>
        <v>708.55</v>
      </c>
    </row>
    <row r="309" spans="1:22" x14ac:dyDescent="0.2">
      <c r="A309" s="1">
        <v>44676</v>
      </c>
      <c r="B309">
        <f>2404.47</f>
        <v>2404.4699999999998</v>
      </c>
      <c r="C309">
        <f>10248.64</f>
        <v>10248.64</v>
      </c>
      <c r="D309">
        <f>7409.2</f>
        <v>7409.2</v>
      </c>
      <c r="E309">
        <f>2548.962</f>
        <v>2548.962</v>
      </c>
      <c r="F309">
        <f>2271.66</f>
        <v>2271.66</v>
      </c>
      <c r="G309">
        <f>9522.773</f>
        <v>9522.7729999999992</v>
      </c>
      <c r="H309">
        <f>3638.26</f>
        <v>3638.26</v>
      </c>
      <c r="I309">
        <f>12497.63</f>
        <v>12497.63</v>
      </c>
      <c r="J309">
        <f>5665.79</f>
        <v>5665.79</v>
      </c>
      <c r="K309">
        <f>18803.21</f>
        <v>18803.21</v>
      </c>
      <c r="L309">
        <f>2736.13</f>
        <v>2736.13</v>
      </c>
      <c r="M309">
        <f>12746.6</f>
        <v>12746.6</v>
      </c>
      <c r="N309">
        <f>449.839</f>
        <v>449.839</v>
      </c>
      <c r="O309">
        <f>3816.4</f>
        <v>3816.4</v>
      </c>
      <c r="P309">
        <f>300.71</f>
        <v>300.70999999999998</v>
      </c>
      <c r="Q309">
        <f>4078.782</f>
        <v>4078.7820000000002</v>
      </c>
      <c r="R309">
        <f>9040.86</f>
        <v>9040.86</v>
      </c>
      <c r="S309">
        <f>3029.26</f>
        <v>3029.26</v>
      </c>
      <c r="T309">
        <f>3737.826</f>
        <v>3737.826</v>
      </c>
      <c r="U309">
        <f>69750.67</f>
        <v>69750.67</v>
      </c>
      <c r="V309">
        <f>702.9</f>
        <v>702.9</v>
      </c>
    </row>
    <row r="310" spans="1:22" x14ac:dyDescent="0.2">
      <c r="A310" s="1">
        <v>44673</v>
      </c>
      <c r="B310">
        <f>2451.67</f>
        <v>2451.67</v>
      </c>
      <c r="C310">
        <f>10515.64</f>
        <v>10515.64</v>
      </c>
      <c r="D310">
        <f>7550.89</f>
        <v>7550.89</v>
      </c>
      <c r="E310">
        <f>2620.8</f>
        <v>2620.8000000000002</v>
      </c>
      <c r="F310">
        <f>2370.6</f>
        <v>2370.6</v>
      </c>
      <c r="G310">
        <f>9804.526</f>
        <v>9804.5259999999998</v>
      </c>
      <c r="H310">
        <f>3662.15</f>
        <v>3662.15</v>
      </c>
      <c r="I310">
        <f>12782.42</f>
        <v>12782.42</v>
      </c>
      <c r="J310">
        <f>5634.1</f>
        <v>5634.1</v>
      </c>
      <c r="K310">
        <f>18683.26</f>
        <v>18683.259999999998</v>
      </c>
      <c r="L310">
        <f>2744.67</f>
        <v>2744.67</v>
      </c>
      <c r="M310">
        <f>12766.81</f>
        <v>12766.81</v>
      </c>
      <c r="N310">
        <f>454.589</f>
        <v>454.589</v>
      </c>
      <c r="O310">
        <f>3882.95</f>
        <v>3882.95</v>
      </c>
      <c r="P310">
        <f>305.64</f>
        <v>305.64</v>
      </c>
      <c r="Q310">
        <f>4074.407</f>
        <v>4074.4070000000002</v>
      </c>
      <c r="R310">
        <f>8989.51</f>
        <v>8989.51</v>
      </c>
      <c r="S310">
        <f>3075.47</f>
        <v>3075.47</v>
      </c>
      <c r="T310">
        <f>3870.063</f>
        <v>3870.0630000000001</v>
      </c>
      <c r="U310">
        <f>72264.9</f>
        <v>72264.899999999994</v>
      </c>
      <c r="V310">
        <f>724.96</f>
        <v>724.96</v>
      </c>
    </row>
    <row r="311" spans="1:22" x14ac:dyDescent="0.2">
      <c r="A311" s="1">
        <v>44672</v>
      </c>
      <c r="B311">
        <f>2480.06</f>
        <v>2480.06</v>
      </c>
      <c r="C311">
        <f>10634.14</f>
        <v>10634.14</v>
      </c>
      <c r="D311">
        <f>7657.57</f>
        <v>7657.57</v>
      </c>
      <c r="E311">
        <f>2648.265</f>
        <v>2648.2649999999999</v>
      </c>
      <c r="F311">
        <f>2440.16</f>
        <v>2440.16</v>
      </c>
      <c r="G311">
        <f>10088.08</f>
        <v>10088.08</v>
      </c>
      <c r="H311">
        <f>3685.89</f>
        <v>3685.89</v>
      </c>
      <c r="I311">
        <f>13067.01</f>
        <v>13067.01</v>
      </c>
      <c r="J311">
        <f>5769.55</f>
        <v>5769.55</v>
      </c>
      <c r="K311">
        <f>19212.97</f>
        <v>19212.97</v>
      </c>
      <c r="L311">
        <f>2799.92</f>
        <v>2799.92</v>
      </c>
      <c r="M311">
        <f>13109.14</f>
        <v>13109.14</v>
      </c>
      <c r="N311">
        <f>460.965</f>
        <v>460.96499999999997</v>
      </c>
      <c r="O311">
        <f>3953.13</f>
        <v>3953.13</v>
      </c>
      <c r="P311">
        <f>308.4</f>
        <v>308.39999999999998</v>
      </c>
      <c r="Q311">
        <f>4176.236</f>
        <v>4176.2359999999999</v>
      </c>
      <c r="R311">
        <f>9245.86</f>
        <v>9245.86</v>
      </c>
      <c r="S311">
        <f>3112.36</f>
        <v>3112.36</v>
      </c>
      <c r="T311">
        <f>3999.517</f>
        <v>3999.5169999999998</v>
      </c>
      <c r="U311">
        <f>73350.94</f>
        <v>73350.94</v>
      </c>
      <c r="V311">
        <f>740.05</f>
        <v>740.05</v>
      </c>
    </row>
    <row r="312" spans="1:22" x14ac:dyDescent="0.2">
      <c r="A312" s="1">
        <v>44671</v>
      </c>
      <c r="B312">
        <f>2491.65</f>
        <v>2491.65</v>
      </c>
      <c r="C312">
        <f>10668.33</f>
        <v>10668.33</v>
      </c>
      <c r="D312">
        <f>7647.62</f>
        <v>7647.62</v>
      </c>
      <c r="E312">
        <f>2669.447</f>
        <v>2669.4470000000001</v>
      </c>
      <c r="F312">
        <f>2491.42</f>
        <v>2491.42</v>
      </c>
      <c r="G312">
        <f>10089.15</f>
        <v>10089.15</v>
      </c>
      <c r="H312">
        <f>3704.34</f>
        <v>3704.34</v>
      </c>
      <c r="I312">
        <f>13050.7</f>
        <v>13050.7</v>
      </c>
      <c r="J312">
        <f>5807.16</f>
        <v>5807.16</v>
      </c>
      <c r="K312">
        <f>19521.49</f>
        <v>19521.490000000002</v>
      </c>
      <c r="L312">
        <f>2811.12</f>
        <v>2811.12</v>
      </c>
      <c r="M312">
        <f>13261.36</f>
        <v>13261.36</v>
      </c>
      <c r="N312">
        <f>459.7</f>
        <v>459.7</v>
      </c>
      <c r="O312">
        <f>3942.84</f>
        <v>3942.84</v>
      </c>
      <c r="P312">
        <f>307.55</f>
        <v>307.55</v>
      </c>
      <c r="Q312">
        <f>4201.324</f>
        <v>4201.3239999999996</v>
      </c>
      <c r="R312">
        <f>9383.54</f>
        <v>9383.5400000000009</v>
      </c>
      <c r="S312">
        <f>3091.61</f>
        <v>3091.61</v>
      </c>
      <c r="T312">
        <f>4095.87</f>
        <v>4095.87</v>
      </c>
      <c r="U312">
        <f>73783.43</f>
        <v>73783.429999999993</v>
      </c>
      <c r="V312">
        <f>748.98</f>
        <v>748.98</v>
      </c>
    </row>
    <row r="313" spans="1:22" x14ac:dyDescent="0.2">
      <c r="A313" s="1">
        <v>44670</v>
      </c>
      <c r="B313">
        <f>2486.36</f>
        <v>2486.36</v>
      </c>
      <c r="C313">
        <f>10691.11</f>
        <v>10691.11</v>
      </c>
      <c r="D313">
        <f>7619.6</f>
        <v>7619.6</v>
      </c>
      <c r="E313">
        <f>2670.062</f>
        <v>2670.0619999999999</v>
      </c>
      <c r="F313">
        <f>2514.13</f>
        <v>2514.13</v>
      </c>
      <c r="G313">
        <f>10013.8</f>
        <v>10013.799999999999</v>
      </c>
      <c r="H313">
        <f>3623.59</f>
        <v>3623.59</v>
      </c>
      <c r="I313">
        <f>12819.84</f>
        <v>12819.84</v>
      </c>
      <c r="J313">
        <f>5758.04</f>
        <v>5758.04</v>
      </c>
      <c r="K313">
        <f>19553.24</f>
        <v>19553.240000000002</v>
      </c>
      <c r="L313">
        <f>2780.85</f>
        <v>2780.85</v>
      </c>
      <c r="M313">
        <f>13217.21</f>
        <v>13217.21</v>
      </c>
      <c r="N313">
        <f>457.926</f>
        <v>457.92599999999999</v>
      </c>
      <c r="O313">
        <f>3910.96</f>
        <v>3910.96</v>
      </c>
      <c r="P313">
        <f>303.47</f>
        <v>303.47000000000003</v>
      </c>
      <c r="Q313">
        <f>4151.369</f>
        <v>4151.3689999999997</v>
      </c>
      <c r="R313">
        <f>9389.21</f>
        <v>9389.2099999999991</v>
      </c>
      <c r="S313">
        <f>3060.21</f>
        <v>3060.21</v>
      </c>
      <c r="T313">
        <f>4109.038</f>
        <v>4109.0379999999996</v>
      </c>
      <c r="U313">
        <f>73830.27</f>
        <v>73830.27</v>
      </c>
      <c r="V313">
        <f>747.95</f>
        <v>747.95</v>
      </c>
    </row>
    <row r="314" spans="1:22" x14ac:dyDescent="0.2">
      <c r="A314" s="1">
        <v>44669</v>
      </c>
      <c r="B314" t="e">
        <f>NA()</f>
        <v>#N/A</v>
      </c>
      <c r="C314">
        <f>10771.97</f>
        <v>10771.97</v>
      </c>
      <c r="D314" t="e">
        <f>NA()</f>
        <v>#N/A</v>
      </c>
      <c r="E314">
        <f>2696.026</f>
        <v>2696.0259999999998</v>
      </c>
      <c r="F314">
        <f>2528.83</f>
        <v>2528.83</v>
      </c>
      <c r="G314">
        <f>10055.66</f>
        <v>10055.66</v>
      </c>
      <c r="H314">
        <f>3653.63</f>
        <v>3653.63</v>
      </c>
      <c r="I314">
        <f>12902.23</f>
        <v>12902.23</v>
      </c>
      <c r="J314">
        <f>5693.87</f>
        <v>5693.87</v>
      </c>
      <c r="K314">
        <f>19227.14</f>
        <v>19227.14</v>
      </c>
      <c r="L314">
        <f>2773.53</f>
        <v>2773.53</v>
      </c>
      <c r="M314">
        <f>13079.76</f>
        <v>13079.76</v>
      </c>
      <c r="N314" t="e">
        <f>NA()</f>
        <v>#N/A</v>
      </c>
      <c r="O314" t="e">
        <f>NA()</f>
        <v>#N/A</v>
      </c>
      <c r="P314">
        <f>300.07</f>
        <v>300.07</v>
      </c>
      <c r="Q314">
        <f>4091.6</f>
        <v>4091.6</v>
      </c>
      <c r="R314">
        <f>9240.69</f>
        <v>9240.69</v>
      </c>
      <c r="S314">
        <f>3034.99</f>
        <v>3034.99</v>
      </c>
      <c r="T314" t="e">
        <f>NA()</f>
        <v>#N/A</v>
      </c>
      <c r="U314" t="e">
        <f>NA()</f>
        <v>#N/A</v>
      </c>
      <c r="V314" t="e">
        <f>NA()</f>
        <v>#N/A</v>
      </c>
    </row>
    <row r="315" spans="1:22" x14ac:dyDescent="0.2">
      <c r="A315" s="1">
        <v>44666</v>
      </c>
      <c r="B315" t="e">
        <f>NA()</f>
        <v>#N/A</v>
      </c>
      <c r="C315">
        <f>10809.8</f>
        <v>10809.8</v>
      </c>
      <c r="D315" t="e">
        <f>NA()</f>
        <v>#N/A</v>
      </c>
      <c r="E315">
        <f>2710.893</f>
        <v>2710.893</v>
      </c>
      <c r="F315">
        <f>2534.07</f>
        <v>2534.0700000000002</v>
      </c>
      <c r="G315">
        <f>10076.52</f>
        <v>10076.52</v>
      </c>
      <c r="H315">
        <f>3703.16</f>
        <v>3703.16</v>
      </c>
      <c r="I315">
        <f>12893.98</f>
        <v>12893.98</v>
      </c>
      <c r="J315">
        <f>5720.68</f>
        <v>5720.68</v>
      </c>
      <c r="K315">
        <f>19247.86</f>
        <v>19247.86</v>
      </c>
      <c r="L315">
        <f>2785.33</f>
        <v>2785.33</v>
      </c>
      <c r="M315">
        <f>13104.2</f>
        <v>13104.2</v>
      </c>
      <c r="N315" t="e">
        <f>NA()</f>
        <v>#N/A</v>
      </c>
      <c r="O315" t="e">
        <f>NA()</f>
        <v>#N/A</v>
      </c>
      <c r="P315">
        <f>300.32</f>
        <v>300.32</v>
      </c>
      <c r="Q315" t="e">
        <f>NA()</f>
        <v>#N/A</v>
      </c>
      <c r="R315" t="e">
        <f>NA()</f>
        <v>#N/A</v>
      </c>
      <c r="S315">
        <f>3061.21</f>
        <v>3061.21</v>
      </c>
      <c r="T315" t="e">
        <f>NA()</f>
        <v>#N/A</v>
      </c>
      <c r="U315" t="e">
        <f>NA()</f>
        <v>#N/A</v>
      </c>
      <c r="V315" t="e">
        <f>NA()</f>
        <v>#N/A</v>
      </c>
    </row>
    <row r="316" spans="1:22" x14ac:dyDescent="0.2">
      <c r="A316" s="1">
        <v>44665</v>
      </c>
      <c r="B316">
        <f>2494.21</f>
        <v>2494.21</v>
      </c>
      <c r="C316">
        <f>10855.47</f>
        <v>10855.47</v>
      </c>
      <c r="D316">
        <f>7634.75</f>
        <v>7634.75</v>
      </c>
      <c r="E316">
        <f>2721.768</f>
        <v>2721.768</v>
      </c>
      <c r="F316">
        <f>2534.07</f>
        <v>2534.0700000000002</v>
      </c>
      <c r="G316">
        <f>10076.52</f>
        <v>10076.52</v>
      </c>
      <c r="H316">
        <f>3708.89</f>
        <v>3708.89</v>
      </c>
      <c r="I316">
        <f>12893.98</f>
        <v>12893.98</v>
      </c>
      <c r="J316">
        <f>5720.68</f>
        <v>5720.68</v>
      </c>
      <c r="K316">
        <f>19247.86</f>
        <v>19247.86</v>
      </c>
      <c r="L316">
        <f>2785.17</f>
        <v>2785.17</v>
      </c>
      <c r="M316">
        <f>13108.48</f>
        <v>13108.48</v>
      </c>
      <c r="N316">
        <f>462.916</f>
        <v>462.916</v>
      </c>
      <c r="O316">
        <f>3934.13</f>
        <v>3934.13</v>
      </c>
      <c r="P316">
        <f>300.72</f>
        <v>300.72000000000003</v>
      </c>
      <c r="Q316">
        <f>4110.758</f>
        <v>4110.7579999999998</v>
      </c>
      <c r="R316">
        <f>9242.58</f>
        <v>9242.58</v>
      </c>
      <c r="S316">
        <f>3080.15</f>
        <v>3080.15</v>
      </c>
      <c r="T316">
        <f>4092.403</f>
        <v>4092.4029999999998</v>
      </c>
      <c r="U316">
        <f>73382.83</f>
        <v>73382.83</v>
      </c>
      <c r="V316">
        <f>743.14</f>
        <v>743.14</v>
      </c>
    </row>
    <row r="317" spans="1:22" x14ac:dyDescent="0.2">
      <c r="A317" s="1">
        <v>44664</v>
      </c>
      <c r="B317">
        <f>2483.36</f>
        <v>2483.36</v>
      </c>
      <c r="C317">
        <f>10893.02</f>
        <v>10893.02</v>
      </c>
      <c r="D317">
        <f>7598.61</f>
        <v>7598.61</v>
      </c>
      <c r="E317">
        <f>2724.261</f>
        <v>2724.261</v>
      </c>
      <c r="F317">
        <f>2527.55</f>
        <v>2527.5500000000002</v>
      </c>
      <c r="G317">
        <f>10020.8</f>
        <v>10020.799999999999</v>
      </c>
      <c r="H317">
        <f>3676.95</f>
        <v>3676.95</v>
      </c>
      <c r="I317">
        <f>12916.98</f>
        <v>12916.98</v>
      </c>
      <c r="J317">
        <f>5746.02</f>
        <v>5746.02</v>
      </c>
      <c r="K317">
        <f>19497.27</f>
        <v>19497.27</v>
      </c>
      <c r="L317">
        <f>2787.36</f>
        <v>2787.36</v>
      </c>
      <c r="M317">
        <f>13216.23</f>
        <v>13216.23</v>
      </c>
      <c r="N317">
        <f>459.168</f>
        <v>459.16800000000001</v>
      </c>
      <c r="O317">
        <f>3910.51</f>
        <v>3910.51</v>
      </c>
      <c r="P317">
        <f>298.23</f>
        <v>298.23</v>
      </c>
      <c r="Q317">
        <f>4129.894</f>
        <v>4129.8940000000002</v>
      </c>
      <c r="R317">
        <f>9356.21</f>
        <v>9356.2099999999991</v>
      </c>
      <c r="S317">
        <f>3051.12</f>
        <v>3051.12</v>
      </c>
      <c r="T317">
        <f>4103.42</f>
        <v>4103.42</v>
      </c>
      <c r="U317">
        <f>73128.65</f>
        <v>73128.649999999994</v>
      </c>
      <c r="V317">
        <f>742.17</f>
        <v>742.17</v>
      </c>
    </row>
    <row r="318" spans="1:22" x14ac:dyDescent="0.2">
      <c r="A318" s="1">
        <v>44663</v>
      </c>
      <c r="B318">
        <f>2496.3</f>
        <v>2496.3000000000002</v>
      </c>
      <c r="C318">
        <f>10815.72</f>
        <v>10815.72</v>
      </c>
      <c r="D318">
        <f>7594.46</f>
        <v>7594.46</v>
      </c>
      <c r="E318">
        <f>2702.184</f>
        <v>2702.1840000000002</v>
      </c>
      <c r="F318">
        <f>2528.36</f>
        <v>2528.36</v>
      </c>
      <c r="G318">
        <f>10017.4</f>
        <v>10017.4</v>
      </c>
      <c r="H318">
        <f>3657.32</f>
        <v>3657.32</v>
      </c>
      <c r="I318">
        <f>12952.23</f>
        <v>12952.23</v>
      </c>
      <c r="J318">
        <f>5723.45</f>
        <v>5723.45</v>
      </c>
      <c r="K318">
        <f>19260.62</f>
        <v>19260.62</v>
      </c>
      <c r="L318">
        <f>2783.89</f>
        <v>2783.89</v>
      </c>
      <c r="M318">
        <f>13102.62</f>
        <v>13102.62</v>
      </c>
      <c r="N318">
        <f>459.531</f>
        <v>459.53100000000001</v>
      </c>
      <c r="O318">
        <f>3911.15</f>
        <v>3911.15</v>
      </c>
      <c r="P318">
        <f>296.23</f>
        <v>296.23</v>
      </c>
      <c r="Q318">
        <f>4107.508</f>
        <v>4107.5079999999998</v>
      </c>
      <c r="R318">
        <f>9251.07</f>
        <v>9251.07</v>
      </c>
      <c r="S318">
        <f>3008.44</f>
        <v>3008.44</v>
      </c>
      <c r="T318">
        <f>4133.107</f>
        <v>4133.107</v>
      </c>
      <c r="U318">
        <f>73801.88</f>
        <v>73801.88</v>
      </c>
      <c r="V318">
        <f>748.25</f>
        <v>748.25</v>
      </c>
    </row>
    <row r="319" spans="1:22" x14ac:dyDescent="0.2">
      <c r="A319" s="1">
        <v>44662</v>
      </c>
      <c r="B319">
        <f>2504.05</f>
        <v>2504.0500000000002</v>
      </c>
      <c r="C319">
        <f>10880.19</f>
        <v>10880.19</v>
      </c>
      <c r="D319">
        <f>7636.2</f>
        <v>7636.2</v>
      </c>
      <c r="E319">
        <f>2705.496</f>
        <v>2705.4960000000001</v>
      </c>
      <c r="F319">
        <f>2518.59</f>
        <v>2518.59</v>
      </c>
      <c r="G319">
        <f>10079.74</f>
        <v>10079.74</v>
      </c>
      <c r="H319">
        <f>3665.27</f>
        <v>3665.27</v>
      </c>
      <c r="I319">
        <f>13026.35</f>
        <v>13026.35</v>
      </c>
      <c r="J319">
        <f>5740.6</f>
        <v>5740.6</v>
      </c>
      <c r="K319">
        <f>19326.49</f>
        <v>19326.490000000002</v>
      </c>
      <c r="L319">
        <f>2797.35</f>
        <v>2797.35</v>
      </c>
      <c r="M319">
        <f>13157.8</f>
        <v>13157.8</v>
      </c>
      <c r="N319">
        <f>461.072</f>
        <v>461.072</v>
      </c>
      <c r="O319">
        <f>3925.91</f>
        <v>3925.91</v>
      </c>
      <c r="P319">
        <f>298.16</f>
        <v>298.16000000000003</v>
      </c>
      <c r="Q319">
        <f>4111.528</f>
        <v>4111.5280000000002</v>
      </c>
      <c r="R319">
        <f>9282.48</f>
        <v>9282.48</v>
      </c>
      <c r="S319">
        <f>3050.43</f>
        <v>3050.43</v>
      </c>
      <c r="T319">
        <f>4154.481</f>
        <v>4154.4809999999998</v>
      </c>
      <c r="U319">
        <f>74426.4</f>
        <v>74426.399999999994</v>
      </c>
      <c r="V319">
        <f>753.87</f>
        <v>753.87</v>
      </c>
    </row>
    <row r="320" spans="1:22" x14ac:dyDescent="0.2">
      <c r="A320" s="1">
        <v>44659</v>
      </c>
      <c r="B320">
        <f>2513.74</f>
        <v>2513.7399999999998</v>
      </c>
      <c r="C320">
        <f>10964.98</f>
        <v>10964.98</v>
      </c>
      <c r="D320">
        <f>7687.58</f>
        <v>7687.58</v>
      </c>
      <c r="E320">
        <f>2744.609</f>
        <v>2744.6089999999999</v>
      </c>
      <c r="F320">
        <f>2522.71</f>
        <v>2522.71</v>
      </c>
      <c r="G320">
        <f>10124.96</f>
        <v>10124.959999999999</v>
      </c>
      <c r="H320">
        <f>3691.47</f>
        <v>3691.47</v>
      </c>
      <c r="I320">
        <f>13056.4</f>
        <v>13056.4</v>
      </c>
      <c r="J320">
        <f>5778.87</f>
        <v>5778.87</v>
      </c>
      <c r="K320">
        <f>19651.65</f>
        <v>19651.650000000001</v>
      </c>
      <c r="L320">
        <f>2807.61</f>
        <v>2807.61</v>
      </c>
      <c r="M320">
        <f>13331.84</f>
        <v>13331.84</v>
      </c>
      <c r="N320">
        <f>464.742</f>
        <v>464.74200000000002</v>
      </c>
      <c r="O320">
        <f>3945.44</f>
        <v>3945.44</v>
      </c>
      <c r="P320">
        <f>296.85</f>
        <v>296.85000000000002</v>
      </c>
      <c r="Q320">
        <f>4151.694</f>
        <v>4151.6940000000004</v>
      </c>
      <c r="R320">
        <f>9441.84</f>
        <v>9441.84</v>
      </c>
      <c r="S320">
        <f>3061.98</f>
        <v>3061.98</v>
      </c>
      <c r="T320">
        <f>4160.875</f>
        <v>4160.875</v>
      </c>
      <c r="U320">
        <f>74776.11</f>
        <v>74776.11</v>
      </c>
      <c r="V320">
        <f>756.3</f>
        <v>756.3</v>
      </c>
    </row>
    <row r="321" spans="1:22" x14ac:dyDescent="0.2">
      <c r="A321" s="1">
        <v>44658</v>
      </c>
      <c r="B321">
        <f>2476.62</f>
        <v>2476.62</v>
      </c>
      <c r="C321">
        <f>10909.7</f>
        <v>10909.7</v>
      </c>
      <c r="D321">
        <f>7569.56</f>
        <v>7569.56</v>
      </c>
      <c r="E321">
        <f>2740.056</f>
        <v>2740.056</v>
      </c>
      <c r="F321">
        <f>2482.14</f>
        <v>2482.14</v>
      </c>
      <c r="G321">
        <f>10011.47</f>
        <v>10011.469999999999</v>
      </c>
      <c r="H321">
        <f>3700.88</f>
        <v>3700.88</v>
      </c>
      <c r="I321">
        <f>12925.76</f>
        <v>12925.76</v>
      </c>
      <c r="J321">
        <f>5763.31</f>
        <v>5763.31</v>
      </c>
      <c r="K321">
        <f>19715.78</f>
        <v>19715.78</v>
      </c>
      <c r="L321">
        <f>2792.34</f>
        <v>2792.34</v>
      </c>
      <c r="M321">
        <f>13338.55</f>
        <v>13338.55</v>
      </c>
      <c r="N321">
        <f>460.601</f>
        <v>460.601</v>
      </c>
      <c r="O321">
        <f>3889.58</f>
        <v>3889.58</v>
      </c>
      <c r="P321">
        <f>295.71</f>
        <v>295.70999999999998</v>
      </c>
      <c r="Q321">
        <f>4140.499</f>
        <v>4140.4989999999998</v>
      </c>
      <c r="R321">
        <f>9466.76</f>
        <v>9466.76</v>
      </c>
      <c r="S321">
        <f>3055.69</f>
        <v>3055.69</v>
      </c>
      <c r="T321">
        <f>4093.69</f>
        <v>4093.69</v>
      </c>
      <c r="U321">
        <f>74008.07</f>
        <v>74008.070000000007</v>
      </c>
      <c r="V321">
        <f>747.03</f>
        <v>747.03</v>
      </c>
    </row>
    <row r="322" spans="1:22" x14ac:dyDescent="0.2">
      <c r="A322" s="1">
        <v>44657</v>
      </c>
      <c r="B322">
        <f>2508.05</f>
        <v>2508.0500000000002</v>
      </c>
      <c r="C322">
        <f>11043.41</f>
        <v>11043.41</v>
      </c>
      <c r="D322">
        <f>7596.18</f>
        <v>7596.18</v>
      </c>
      <c r="E322">
        <f>2779.818</f>
        <v>2779.8180000000002</v>
      </c>
      <c r="F322">
        <f>2507.01</f>
        <v>2507.0100000000002</v>
      </c>
      <c r="G322">
        <f>10062.45</f>
        <v>10062.450000000001</v>
      </c>
      <c r="H322">
        <f>3745.37</f>
        <v>3745.37</v>
      </c>
      <c r="I322">
        <f>12942.03</f>
        <v>12942.03</v>
      </c>
      <c r="J322">
        <f>5730.69</f>
        <v>5730.69</v>
      </c>
      <c r="K322">
        <f>19636.25</f>
        <v>19636.25</v>
      </c>
      <c r="L322">
        <f>2784.71</f>
        <v>2784.71</v>
      </c>
      <c r="M322">
        <f>13327.59</f>
        <v>13327.59</v>
      </c>
      <c r="N322">
        <f>458.401</f>
        <v>458.40100000000001</v>
      </c>
      <c r="O322">
        <f>3894.91</f>
        <v>3894.91</v>
      </c>
      <c r="P322">
        <f>299.15</f>
        <v>299.14999999999998</v>
      </c>
      <c r="Q322">
        <f>4112.65</f>
        <v>4112.6499999999996</v>
      </c>
      <c r="R322">
        <f>9425.49</f>
        <v>9425.49</v>
      </c>
      <c r="S322">
        <f>3104.13</f>
        <v>3104.13</v>
      </c>
      <c r="T322">
        <f>4124.468</f>
        <v>4124.4679999999998</v>
      </c>
      <c r="U322">
        <f>74359.03</f>
        <v>74359.03</v>
      </c>
      <c r="V322">
        <f>751.17</f>
        <v>751.17</v>
      </c>
    </row>
    <row r="323" spans="1:22" x14ac:dyDescent="0.2">
      <c r="A323" s="1">
        <v>44656</v>
      </c>
      <c r="B323">
        <f>2506.36</f>
        <v>2506.36</v>
      </c>
      <c r="C323">
        <f>11074.28</f>
        <v>11074.28</v>
      </c>
      <c r="D323">
        <f>7622.23</f>
        <v>7622.23</v>
      </c>
      <c r="E323">
        <f>2813.956</f>
        <v>2813.9560000000001</v>
      </c>
      <c r="F323">
        <f>2505.93</f>
        <v>2505.9299999999998</v>
      </c>
      <c r="G323">
        <f>10111.84</f>
        <v>10111.84</v>
      </c>
      <c r="H323">
        <f>3812.6</f>
        <v>3812.6</v>
      </c>
      <c r="I323">
        <f>13200.99</f>
        <v>13200.99</v>
      </c>
      <c r="J323">
        <f>5696.84</f>
        <v>5696.84</v>
      </c>
      <c r="K323">
        <f>19847.47</f>
        <v>19847.47</v>
      </c>
      <c r="L323">
        <f>2777.45</f>
        <v>2777.45</v>
      </c>
      <c r="M323">
        <f>13491.54</f>
        <v>13491.54</v>
      </c>
      <c r="N323">
        <f>461.944</f>
        <v>461.94400000000002</v>
      </c>
      <c r="O323">
        <f>3949.86</f>
        <v>3949.86</v>
      </c>
      <c r="P323">
        <f>303.07</f>
        <v>303.07</v>
      </c>
      <c r="Q323">
        <f>4091.506</f>
        <v>4091.5059999999999</v>
      </c>
      <c r="R323">
        <f>9517.94</f>
        <v>9517.94</v>
      </c>
      <c r="S323">
        <f>3146.44</f>
        <v>3146.44</v>
      </c>
      <c r="T323">
        <f>4188.439</f>
        <v>4188.4390000000003</v>
      </c>
      <c r="U323">
        <f>75286.61</f>
        <v>75286.61</v>
      </c>
      <c r="V323">
        <f>746.05</f>
        <v>746.05</v>
      </c>
    </row>
    <row r="324" spans="1:22" x14ac:dyDescent="0.2">
      <c r="A324" s="1">
        <v>44655</v>
      </c>
      <c r="B324">
        <f>2489.76</f>
        <v>2489.7600000000002</v>
      </c>
      <c r="C324">
        <f>11127.82</f>
        <v>11127.82</v>
      </c>
      <c r="D324">
        <f>7567.37</f>
        <v>7567.37</v>
      </c>
      <c r="E324">
        <f>2825.677</f>
        <v>2825.6770000000001</v>
      </c>
      <c r="F324">
        <f>2479.68</f>
        <v>2479.6799999999998</v>
      </c>
      <c r="G324">
        <f>10016.38</f>
        <v>10016.379999999999</v>
      </c>
      <c r="H324">
        <f>3872.98</f>
        <v>3872.98</v>
      </c>
      <c r="I324">
        <f>13299.78</f>
        <v>13299.78</v>
      </c>
      <c r="J324">
        <f>5719.96</f>
        <v>5719.96</v>
      </c>
      <c r="K324">
        <f>20119.2</f>
        <v>20119.2</v>
      </c>
      <c r="L324">
        <f>2781.44</f>
        <v>2781.44</v>
      </c>
      <c r="M324">
        <f>13631.52</f>
        <v>13631.52</v>
      </c>
      <c r="N324">
        <f>457.292</f>
        <v>457.29199999999997</v>
      </c>
      <c r="O324">
        <f>3943.11</f>
        <v>3943.11</v>
      </c>
      <c r="P324">
        <f>305.84</f>
        <v>305.83999999999997</v>
      </c>
      <c r="Q324">
        <f>4101.67</f>
        <v>4101.67</v>
      </c>
      <c r="R324">
        <f>9637.37</f>
        <v>9637.3700000000008</v>
      </c>
      <c r="S324">
        <f>3153.74</f>
        <v>3153.74</v>
      </c>
      <c r="T324">
        <f>4216.497</f>
        <v>4216.4970000000003</v>
      </c>
      <c r="U324">
        <f>75835.07</f>
        <v>75835.070000000007</v>
      </c>
      <c r="V324">
        <f>753.82</f>
        <v>753.82</v>
      </c>
    </row>
    <row r="325" spans="1:22" x14ac:dyDescent="0.2">
      <c r="A325" s="1">
        <v>44652</v>
      </c>
      <c r="B325">
        <f>2485.28</f>
        <v>2485.2800000000002</v>
      </c>
      <c r="C325">
        <f>11032.54</f>
        <v>11032.54</v>
      </c>
      <c r="D325">
        <f>7546.32</f>
        <v>7546.32</v>
      </c>
      <c r="E325">
        <f>2787.112</f>
        <v>2787.1120000000001</v>
      </c>
      <c r="F325">
        <f>2477.98</f>
        <v>2477.98</v>
      </c>
      <c r="G325">
        <f>9989.918</f>
        <v>9989.9179999999997</v>
      </c>
      <c r="H325">
        <f>3866.19</f>
        <v>3866.19</v>
      </c>
      <c r="I325">
        <f>13230.51</f>
        <v>13230.51</v>
      </c>
      <c r="J325">
        <f>5725.64</f>
        <v>5725.64</v>
      </c>
      <c r="K325">
        <f>19941.87</f>
        <v>19941.87</v>
      </c>
      <c r="L325">
        <f>2780.23</f>
        <v>2780.23</v>
      </c>
      <c r="M325">
        <f>13523.65</f>
        <v>13523.65</v>
      </c>
      <c r="N325">
        <f>451.923</f>
        <v>451.923</v>
      </c>
      <c r="O325">
        <f>3910.2</f>
        <v>3910.2</v>
      </c>
      <c r="P325">
        <f>305.47</f>
        <v>305.47000000000003</v>
      </c>
      <c r="Q325">
        <f>4108.904</f>
        <v>4108.9040000000005</v>
      </c>
      <c r="R325">
        <f>9559.95</f>
        <v>9559.9500000000007</v>
      </c>
      <c r="S325">
        <f>3138.62</f>
        <v>3138.62</v>
      </c>
      <c r="T325">
        <f>4256.02</f>
        <v>4256.0200000000004</v>
      </c>
      <c r="U325">
        <f>75907.9</f>
        <v>75907.899999999994</v>
      </c>
      <c r="V325">
        <f>760.8</f>
        <v>760.8</v>
      </c>
    </row>
    <row r="326" spans="1:22" x14ac:dyDescent="0.2">
      <c r="A326" s="1">
        <v>44651</v>
      </c>
      <c r="B326">
        <f>2475.19</f>
        <v>2475.19</v>
      </c>
      <c r="C326">
        <f>10963.91</f>
        <v>10963.91</v>
      </c>
      <c r="D326">
        <f>7524.08</f>
        <v>7524.08</v>
      </c>
      <c r="E326">
        <f>2777.192</f>
        <v>2777.192</v>
      </c>
      <c r="F326">
        <f>2458.85</f>
        <v>2458.85</v>
      </c>
      <c r="G326">
        <f>10000.42</f>
        <v>10000.42</v>
      </c>
      <c r="H326">
        <f>3908.84</f>
        <v>3908.84</v>
      </c>
      <c r="I326">
        <f>13269.66</f>
        <v>13269.66</v>
      </c>
      <c r="J326">
        <f>5700.82</f>
        <v>5700.82</v>
      </c>
      <c r="K326">
        <f>19866.93</f>
        <v>19866.93</v>
      </c>
      <c r="L326">
        <f>2774.63</f>
        <v>2774.63</v>
      </c>
      <c r="M326">
        <f>13505.74</f>
        <v>13505.74</v>
      </c>
      <c r="N326">
        <f>450.497</f>
        <v>450.49700000000001</v>
      </c>
      <c r="O326">
        <f>3892.24</f>
        <v>3892.24</v>
      </c>
      <c r="P326">
        <f>303.52</f>
        <v>303.52</v>
      </c>
      <c r="Q326">
        <f>4073.638</f>
        <v>4073.6379999999999</v>
      </c>
      <c r="R326">
        <f>9527.46</f>
        <v>9527.4599999999991</v>
      </c>
      <c r="S326">
        <f>3142.06</f>
        <v>3142.06</v>
      </c>
      <c r="T326">
        <f>4183.482</f>
        <v>4183.482</v>
      </c>
      <c r="U326">
        <f>75497.15</f>
        <v>75497.149999999994</v>
      </c>
      <c r="V326">
        <f>754.3</f>
        <v>754.3</v>
      </c>
    </row>
    <row r="327" spans="1:22" x14ac:dyDescent="0.2">
      <c r="A327" s="1">
        <v>44650</v>
      </c>
      <c r="B327">
        <f>2498.68</f>
        <v>2498.6799999999998</v>
      </c>
      <c r="C327">
        <f>10954.88</f>
        <v>10954.88</v>
      </c>
      <c r="D327">
        <f>7584.89</f>
        <v>7584.89</v>
      </c>
      <c r="E327">
        <f>2795.469</f>
        <v>2795.4690000000001</v>
      </c>
      <c r="F327">
        <f>2478.4</f>
        <v>2478.4</v>
      </c>
      <c r="G327">
        <f>10085.64</f>
        <v>10085.64</v>
      </c>
      <c r="H327">
        <f>3932.45</f>
        <v>3932.45</v>
      </c>
      <c r="I327">
        <f>13454.49</f>
        <v>13454.49</v>
      </c>
      <c r="J327">
        <f>5775.58</f>
        <v>5775.58</v>
      </c>
      <c r="K327">
        <f>20181.97</f>
        <v>20181.97</v>
      </c>
      <c r="L327">
        <f>2801.17</f>
        <v>2801.17</v>
      </c>
      <c r="M327">
        <f>13697.22</f>
        <v>13697.22</v>
      </c>
      <c r="N327">
        <f>450.12</f>
        <v>450.12</v>
      </c>
      <c r="O327">
        <f>3922.17</f>
        <v>3922.17</v>
      </c>
      <c r="P327">
        <f>307.79</f>
        <v>307.79000000000002</v>
      </c>
      <c r="Q327">
        <f>4125.933</f>
        <v>4125.933</v>
      </c>
      <c r="R327">
        <f>9678.3</f>
        <v>9678.2999999999993</v>
      </c>
      <c r="S327">
        <f>3176.28</f>
        <v>3176.28</v>
      </c>
      <c r="T327">
        <f>4177.62</f>
        <v>4177.62</v>
      </c>
      <c r="U327">
        <f>75425.31</f>
        <v>75425.31</v>
      </c>
      <c r="V327">
        <f>749.34</f>
        <v>749.34</v>
      </c>
    </row>
    <row r="328" spans="1:22" x14ac:dyDescent="0.2">
      <c r="A328" s="1">
        <v>44649</v>
      </c>
      <c r="B328">
        <f>2485.99</f>
        <v>2485.9899999999998</v>
      </c>
      <c r="C328">
        <f>10841.39</f>
        <v>10841.39</v>
      </c>
      <c r="D328">
        <f>7543.36</f>
        <v>7543.36</v>
      </c>
      <c r="E328">
        <f>2763.005</f>
        <v>2763.0050000000001</v>
      </c>
      <c r="F328">
        <f>2416.5</f>
        <v>2416.5</v>
      </c>
      <c r="G328">
        <f>9985.282</f>
        <v>9985.2819999999992</v>
      </c>
      <c r="H328">
        <f>3939.26</f>
        <v>3939.26</v>
      </c>
      <c r="I328">
        <f>13463.38</f>
        <v>13463.38</v>
      </c>
      <c r="J328">
        <f>5788.65</f>
        <v>5788.65</v>
      </c>
      <c r="K328">
        <f>20324.71</f>
        <v>20324.71</v>
      </c>
      <c r="L328">
        <f>2797.48</f>
        <v>2797.48</v>
      </c>
      <c r="M328">
        <f>13748.97</f>
        <v>13748.97</v>
      </c>
      <c r="N328">
        <f>451.968</f>
        <v>451.96800000000002</v>
      </c>
      <c r="O328">
        <f>3939.36</f>
        <v>3939.36</v>
      </c>
      <c r="P328">
        <f>310.38</f>
        <v>310.38</v>
      </c>
      <c r="Q328">
        <f>4131.889</f>
        <v>4131.8890000000001</v>
      </c>
      <c r="R328">
        <f>9738.6</f>
        <v>9738.6</v>
      </c>
      <c r="S328">
        <f>3179.91</f>
        <v>3179.91</v>
      </c>
      <c r="T328">
        <f>4045.91</f>
        <v>4045.91</v>
      </c>
      <c r="U328">
        <f>74776.39</f>
        <v>74776.39</v>
      </c>
      <c r="V328">
        <f>738.59</f>
        <v>738.59</v>
      </c>
    </row>
    <row r="329" spans="1:22" x14ac:dyDescent="0.2">
      <c r="A329" s="1">
        <v>44648</v>
      </c>
      <c r="B329">
        <f>2463.4</f>
        <v>2463.4</v>
      </c>
      <c r="C329">
        <f>10843.99</f>
        <v>10843.99</v>
      </c>
      <c r="D329">
        <f>7479.2</f>
        <v>7479.2</v>
      </c>
      <c r="E329">
        <f>2734.522</f>
        <v>2734.5219999999999</v>
      </c>
      <c r="F329">
        <f>2437.41</f>
        <v>2437.41</v>
      </c>
      <c r="G329">
        <f>9874</f>
        <v>9874</v>
      </c>
      <c r="H329">
        <f>3871.44</f>
        <v>3871.44</v>
      </c>
      <c r="I329">
        <f>13008.06</f>
        <v>13008.06</v>
      </c>
      <c r="J329">
        <f>5747.81</f>
        <v>5747.81</v>
      </c>
      <c r="K329">
        <f>20055.87</f>
        <v>20055.87</v>
      </c>
      <c r="L329">
        <f>2767.44</f>
        <v>2767.44</v>
      </c>
      <c r="M329">
        <f>13531.42</f>
        <v>13531.42</v>
      </c>
      <c r="N329">
        <f>449.346</f>
        <v>449.346</v>
      </c>
      <c r="O329">
        <f>3874.7</f>
        <v>3874.7</v>
      </c>
      <c r="P329">
        <f>309.85</f>
        <v>309.85000000000002</v>
      </c>
      <c r="Q329">
        <f>4086.094</f>
        <v>4086.0940000000001</v>
      </c>
      <c r="R329">
        <f>9620.66</f>
        <v>9620.66</v>
      </c>
      <c r="S329">
        <f>3150.7</f>
        <v>3150.7</v>
      </c>
      <c r="T329">
        <f>4090.843</f>
        <v>4090.8429999999998</v>
      </c>
      <c r="U329">
        <f>74194.35</f>
        <v>74194.350000000006</v>
      </c>
      <c r="V329">
        <f>741.13</f>
        <v>741.13</v>
      </c>
    </row>
    <row r="330" spans="1:22" x14ac:dyDescent="0.2">
      <c r="A330" s="1">
        <v>44645</v>
      </c>
      <c r="B330">
        <f>2458.4</f>
        <v>2458.4</v>
      </c>
      <c r="C330">
        <f>10866.31</f>
        <v>10866.31</v>
      </c>
      <c r="D330">
        <f>7489.41</f>
        <v>7489.41</v>
      </c>
      <c r="E330">
        <f>2734.637</f>
        <v>2734.6370000000002</v>
      </c>
      <c r="F330">
        <f>2477.85</f>
        <v>2477.85</v>
      </c>
      <c r="G330">
        <f>9971.157</f>
        <v>9971.1569999999992</v>
      </c>
      <c r="H330">
        <f>3917.24</f>
        <v>3917.24</v>
      </c>
      <c r="I330">
        <f>12965.94</f>
        <v>12965.94</v>
      </c>
      <c r="J330">
        <f>5743.53</f>
        <v>5743.53</v>
      </c>
      <c r="K330">
        <f>19901</f>
        <v>19901</v>
      </c>
      <c r="L330">
        <f>2769.56</f>
        <v>2769.56</v>
      </c>
      <c r="M330">
        <f>13475.54</f>
        <v>13475.54</v>
      </c>
      <c r="N330">
        <f>448.679</f>
        <v>448.67899999999997</v>
      </c>
      <c r="O330">
        <f>3869.16</f>
        <v>3869.16</v>
      </c>
      <c r="P330">
        <f>309.39</f>
        <v>309.39</v>
      </c>
      <c r="Q330">
        <f>4077.537</f>
        <v>4077.5369999999998</v>
      </c>
      <c r="R330">
        <f>9552.4</f>
        <v>9552.4</v>
      </c>
      <c r="S330">
        <f>3163.63</f>
        <v>3163.63</v>
      </c>
      <c r="T330">
        <f>4143.972</f>
        <v>4143.9719999999998</v>
      </c>
      <c r="U330">
        <f>74324.67</f>
        <v>74324.67</v>
      </c>
      <c r="V330">
        <f>743.19</f>
        <v>743.19</v>
      </c>
    </row>
    <row r="331" spans="1:22" x14ac:dyDescent="0.2">
      <c r="A331" s="1">
        <v>44644</v>
      </c>
      <c r="B331">
        <f>2459.29</f>
        <v>2459.29</v>
      </c>
      <c r="C331">
        <f>10910.06</f>
        <v>10910.06</v>
      </c>
      <c r="D331">
        <f>7473.43</f>
        <v>7473.43</v>
      </c>
      <c r="E331">
        <f>2763.371</f>
        <v>2763.3710000000001</v>
      </c>
      <c r="F331">
        <f>2459.39</f>
        <v>2459.39</v>
      </c>
      <c r="G331">
        <f>9935.936</f>
        <v>9935.9359999999997</v>
      </c>
      <c r="H331">
        <f>3921.3</f>
        <v>3921.3</v>
      </c>
      <c r="I331">
        <f>12996.15</f>
        <v>12996.15</v>
      </c>
      <c r="J331">
        <f>5693.02</f>
        <v>5693.02</v>
      </c>
      <c r="K331">
        <f>19822.73</f>
        <v>19822.73</v>
      </c>
      <c r="L331">
        <f>2753.07</f>
        <v>2753.07</v>
      </c>
      <c r="M331">
        <f>13440.36</f>
        <v>13440.36</v>
      </c>
      <c r="N331">
        <f>448.401</f>
        <v>448.40100000000001</v>
      </c>
      <c r="O331">
        <f>3866.21</f>
        <v>3866.21</v>
      </c>
      <c r="P331">
        <f>309.43</f>
        <v>309.43</v>
      </c>
      <c r="Q331">
        <f>4037.84</f>
        <v>4037.84</v>
      </c>
      <c r="R331">
        <f>9504.19</f>
        <v>9504.19</v>
      </c>
      <c r="S331">
        <f>3163.77</f>
        <v>3163.77</v>
      </c>
      <c r="T331">
        <f>4205.314</f>
        <v>4205.3140000000003</v>
      </c>
      <c r="U331">
        <f>74349.94</f>
        <v>74349.94</v>
      </c>
      <c r="V331">
        <f>742.59</f>
        <v>742.59</v>
      </c>
    </row>
    <row r="332" spans="1:22" x14ac:dyDescent="0.2">
      <c r="A332" s="1">
        <v>44643</v>
      </c>
      <c r="B332">
        <f>2450.02</f>
        <v>2450.02</v>
      </c>
      <c r="C332">
        <f>10874.74</f>
        <v>10874.74</v>
      </c>
      <c r="D332">
        <f>7459.75</f>
        <v>7459.75</v>
      </c>
      <c r="E332">
        <f>2772.44</f>
        <v>2772.44</v>
      </c>
      <c r="F332">
        <f>2432.01</f>
        <v>2432.0100000000002</v>
      </c>
      <c r="G332">
        <f>9931.631</f>
        <v>9931.6309999999994</v>
      </c>
      <c r="H332">
        <f>3950.81</f>
        <v>3950.81</v>
      </c>
      <c r="I332">
        <f>13018.32</f>
        <v>13018.32</v>
      </c>
      <c r="J332">
        <f>5633.28</f>
        <v>5633.28</v>
      </c>
      <c r="K332">
        <f>19537.75</f>
        <v>19537.75</v>
      </c>
      <c r="L332">
        <f>2733.25</f>
        <v>2733.25</v>
      </c>
      <c r="M332">
        <f>13311.91</f>
        <v>13311.91</v>
      </c>
      <c r="N332">
        <f>448.801</f>
        <v>448.80099999999999</v>
      </c>
      <c r="O332">
        <f>3870.02</f>
        <v>3870.02</v>
      </c>
      <c r="P332">
        <f>310.96</f>
        <v>310.95999999999998</v>
      </c>
      <c r="Q332">
        <f>4002.89</f>
        <v>4002.89</v>
      </c>
      <c r="R332">
        <f>9368.98</f>
        <v>9368.98</v>
      </c>
      <c r="S332">
        <f>3159.21</f>
        <v>3159.21</v>
      </c>
      <c r="T332">
        <f>4147.693</f>
        <v>4147.6930000000002</v>
      </c>
      <c r="U332">
        <f>74838.09</f>
        <v>74838.09</v>
      </c>
      <c r="V332">
        <f>737.85</f>
        <v>737.85</v>
      </c>
    </row>
    <row r="333" spans="1:22" x14ac:dyDescent="0.2">
      <c r="A333" s="1">
        <v>44642</v>
      </c>
      <c r="B333">
        <f>2468.59</f>
        <v>2468.59</v>
      </c>
      <c r="C333">
        <f>10789.29</f>
        <v>10789.29</v>
      </c>
      <c r="D333">
        <f>7475.83</f>
        <v>7475.83</v>
      </c>
      <c r="E333">
        <f>2749.398</f>
        <v>2749.3980000000001</v>
      </c>
      <c r="F333">
        <f>2440.41</f>
        <v>2440.41</v>
      </c>
      <c r="G333">
        <f>9983.104</f>
        <v>9983.1039999999994</v>
      </c>
      <c r="H333">
        <f>3908.38</f>
        <v>3908.38</v>
      </c>
      <c r="I333">
        <f>13198.66</f>
        <v>13198.66</v>
      </c>
      <c r="J333">
        <f>5690.17</f>
        <v>5690.17</v>
      </c>
      <c r="K333">
        <f>19779.31</f>
        <v>19779.310000000001</v>
      </c>
      <c r="L333">
        <f>2749.33</f>
        <v>2749.33</v>
      </c>
      <c r="M333">
        <f>13432.92</f>
        <v>13432.92</v>
      </c>
      <c r="N333">
        <f>451.87</f>
        <v>451.87</v>
      </c>
      <c r="O333">
        <f>3907.55</f>
        <v>3907.55</v>
      </c>
      <c r="P333">
        <f>308.11</f>
        <v>308.11</v>
      </c>
      <c r="Q333">
        <f>4039.939</f>
        <v>4039.9389999999999</v>
      </c>
      <c r="R333">
        <f>9484.86</f>
        <v>9484.86</v>
      </c>
      <c r="S333">
        <f>3087.43</f>
        <v>3087.43</v>
      </c>
      <c r="T333">
        <f>4149.567</f>
        <v>4149.567</v>
      </c>
      <c r="U333">
        <f>75751.41</f>
        <v>75751.41</v>
      </c>
      <c r="V333">
        <f>739.9</f>
        <v>739.9</v>
      </c>
    </row>
    <row r="334" spans="1:22" x14ac:dyDescent="0.2">
      <c r="A334" s="1">
        <v>44641</v>
      </c>
      <c r="B334">
        <f>2451.49</f>
        <v>2451.4899999999998</v>
      </c>
      <c r="C334">
        <f>10727.91</f>
        <v>10727.91</v>
      </c>
      <c r="D334">
        <f>7441.51</f>
        <v>7441.51</v>
      </c>
      <c r="E334">
        <f>2710</f>
        <v>2710</v>
      </c>
      <c r="F334">
        <f>2426.5</f>
        <v>2426.5</v>
      </c>
      <c r="G334">
        <f>9889.716</f>
        <v>9889.7160000000003</v>
      </c>
      <c r="H334">
        <f>3872.53</f>
        <v>3872.53</v>
      </c>
      <c r="I334">
        <f>13129.28</f>
        <v>13129.28</v>
      </c>
      <c r="J334">
        <f>5665.86</f>
        <v>5665.86</v>
      </c>
      <c r="K334">
        <f>19541.75</f>
        <v>19541.75</v>
      </c>
      <c r="L334">
        <f>2736.93</f>
        <v>2736.93</v>
      </c>
      <c r="M334">
        <f>13298.66</f>
        <v>13298.66</v>
      </c>
      <c r="N334">
        <f>450.874</f>
        <v>450.87400000000002</v>
      </c>
      <c r="O334">
        <f>3874.04</f>
        <v>3874.04</v>
      </c>
      <c r="P334" t="e">
        <f>NA()</f>
        <v>#N/A</v>
      </c>
      <c r="Q334">
        <f>4018.668</f>
        <v>4018.6680000000001</v>
      </c>
      <c r="R334">
        <f>9378.84</f>
        <v>9378.84</v>
      </c>
      <c r="S334" t="e">
        <f>NA()</f>
        <v>#N/A</v>
      </c>
      <c r="T334" t="e">
        <f>NA()</f>
        <v>#N/A</v>
      </c>
      <c r="U334">
        <f>74847.63</f>
        <v>74847.63</v>
      </c>
      <c r="V334">
        <f>732.25</f>
        <v>732.25</v>
      </c>
    </row>
    <row r="335" spans="1:22" x14ac:dyDescent="0.2">
      <c r="A335" s="1">
        <v>44638</v>
      </c>
      <c r="B335">
        <f>2444.17</f>
        <v>2444.17</v>
      </c>
      <c r="C335">
        <f>10764.12</f>
        <v>10764.12</v>
      </c>
      <c r="D335">
        <f>7403.86</f>
        <v>7403.86</v>
      </c>
      <c r="E335">
        <f>2728.484</f>
        <v>2728.4839999999999</v>
      </c>
      <c r="F335">
        <f>2372.41</f>
        <v>2372.41</v>
      </c>
      <c r="G335">
        <f>9802.869</f>
        <v>9802.8690000000006</v>
      </c>
      <c r="H335">
        <f>3871.72</f>
        <v>3871.72</v>
      </c>
      <c r="I335">
        <f>13155.15</f>
        <v>13155.15</v>
      </c>
      <c r="J335">
        <f>5659.73</f>
        <v>5659.73</v>
      </c>
      <c r="K335">
        <f>19562.54</f>
        <v>19562.54</v>
      </c>
      <c r="L335">
        <f>2729.13</f>
        <v>2729.13</v>
      </c>
      <c r="M335">
        <f>13300.4</f>
        <v>13300.4</v>
      </c>
      <c r="N335">
        <f>451.818</f>
        <v>451.81799999999998</v>
      </c>
      <c r="O335">
        <f>3872.97</f>
        <v>3872.97</v>
      </c>
      <c r="P335">
        <f>301.9</f>
        <v>301.89999999999998</v>
      </c>
      <c r="Q335">
        <f>4010.626</f>
        <v>4010.6260000000002</v>
      </c>
      <c r="R335">
        <f>9382.43</f>
        <v>9382.43</v>
      </c>
      <c r="S335">
        <f>3048.36</f>
        <v>3048.36</v>
      </c>
      <c r="T335">
        <f>4169.333</f>
        <v>4169.3329999999996</v>
      </c>
      <c r="U335">
        <f>74847.63</f>
        <v>74847.63</v>
      </c>
      <c r="V335">
        <f>732.25</f>
        <v>732.25</v>
      </c>
    </row>
    <row r="336" spans="1:22" x14ac:dyDescent="0.2">
      <c r="A336" s="1">
        <v>44637</v>
      </c>
      <c r="B336">
        <f>2457.97</f>
        <v>2457.9699999999998</v>
      </c>
      <c r="C336">
        <f>10686.04</f>
        <v>10686.04</v>
      </c>
      <c r="D336">
        <f>7384.47</f>
        <v>7384.47</v>
      </c>
      <c r="E336">
        <f>2723.421</f>
        <v>2723.4209999999998</v>
      </c>
      <c r="F336">
        <f>2358.62</f>
        <v>2358.62</v>
      </c>
      <c r="G336">
        <f>9768.899</f>
        <v>9768.8989999999994</v>
      </c>
      <c r="H336">
        <f>3876.97</f>
        <v>3876.97</v>
      </c>
      <c r="I336">
        <f>13107.95</f>
        <v>13107.95</v>
      </c>
      <c r="J336">
        <f>5651.03</f>
        <v>5651.03</v>
      </c>
      <c r="K336">
        <f>19314.67</f>
        <v>19314.669999999998</v>
      </c>
      <c r="L336">
        <f>2727.43</f>
        <v>2727.43</v>
      </c>
      <c r="M336">
        <f>13170.86</f>
        <v>13170.86</v>
      </c>
      <c r="N336">
        <f>445.881</f>
        <v>445.88099999999997</v>
      </c>
      <c r="O336">
        <f>3835.92</f>
        <v>3835.92</v>
      </c>
      <c r="P336">
        <f>301.21</f>
        <v>301.20999999999998</v>
      </c>
      <c r="Q336">
        <f>3998.046</f>
        <v>3998.0459999999998</v>
      </c>
      <c r="R336">
        <f>9274.17</f>
        <v>9274.17</v>
      </c>
      <c r="S336">
        <f>3031.98</f>
        <v>3031.98</v>
      </c>
      <c r="T336">
        <f>4151.801</f>
        <v>4151.8010000000004</v>
      </c>
      <c r="U336">
        <f>74124.27</f>
        <v>74124.27</v>
      </c>
      <c r="V336">
        <f>732.26</f>
        <v>732.26</v>
      </c>
    </row>
    <row r="337" spans="1:22" x14ac:dyDescent="0.2">
      <c r="A337" s="1">
        <v>44636</v>
      </c>
      <c r="B337">
        <f>2428.04</f>
        <v>2428.04</v>
      </c>
      <c r="C337">
        <f>10321.71</f>
        <v>10321.709999999999</v>
      </c>
      <c r="D337">
        <f>7283.08</f>
        <v>7283.08</v>
      </c>
      <c r="E337">
        <f>2626.336</f>
        <v>2626.3359999999998</v>
      </c>
      <c r="F337">
        <f>2302</f>
        <v>2302</v>
      </c>
      <c r="G337">
        <f>9588.138</f>
        <v>9588.1380000000008</v>
      </c>
      <c r="H337">
        <f>3819.3</f>
        <v>3819.3</v>
      </c>
      <c r="I337">
        <f>12909.49</f>
        <v>12909.49</v>
      </c>
      <c r="J337">
        <f>5591.85</f>
        <v>5591.85</v>
      </c>
      <c r="K337">
        <f>19062.15</f>
        <v>19062.150000000001</v>
      </c>
      <c r="L337">
        <f>2690.41</f>
        <v>2690.41</v>
      </c>
      <c r="M337">
        <f>12968.81</f>
        <v>12968.81</v>
      </c>
      <c r="N337">
        <f>440.222</f>
        <v>440.22199999999998</v>
      </c>
      <c r="O337">
        <f>3816.47</f>
        <v>3816.47</v>
      </c>
      <c r="P337">
        <f>297.45</f>
        <v>297.45</v>
      </c>
      <c r="Q337">
        <f>3954.292</f>
        <v>3954.2919999999999</v>
      </c>
      <c r="R337">
        <f>9160.51</f>
        <v>9160.51</v>
      </c>
      <c r="S337">
        <f>2958.8</f>
        <v>2958.8</v>
      </c>
      <c r="T337">
        <f>4065.496</f>
        <v>4065.4960000000001</v>
      </c>
      <c r="U337">
        <f>73484.3</f>
        <v>73484.3</v>
      </c>
      <c r="V337">
        <f>716.55</f>
        <v>716.55</v>
      </c>
    </row>
    <row r="338" spans="1:22" x14ac:dyDescent="0.2">
      <c r="A338" s="1">
        <v>44635</v>
      </c>
      <c r="B338">
        <f>2397.02</f>
        <v>2397.02</v>
      </c>
      <c r="C338">
        <f>10111.68</f>
        <v>10111.68</v>
      </c>
      <c r="D338">
        <f>7167.23</f>
        <v>7167.23</v>
      </c>
      <c r="E338">
        <f>2493.343</f>
        <v>2493.3429999999998</v>
      </c>
      <c r="F338">
        <f>2279.31</f>
        <v>2279.31</v>
      </c>
      <c r="G338">
        <f>9426.519</f>
        <v>9426.5190000000002</v>
      </c>
      <c r="H338">
        <f>3788.4</f>
        <v>3788.4</v>
      </c>
      <c r="I338">
        <f>12454.49</f>
        <v>12454.49</v>
      </c>
      <c r="J338">
        <f>5542.81</f>
        <v>5542.81</v>
      </c>
      <c r="K338">
        <f>18616.23</f>
        <v>18616.23</v>
      </c>
      <c r="L338">
        <f>2663.88</f>
        <v>2663.88</v>
      </c>
      <c r="M338">
        <f>12656.56</f>
        <v>12656.56</v>
      </c>
      <c r="N338">
        <f>430.542</f>
        <v>430.54199999999997</v>
      </c>
      <c r="O338">
        <f>3707.91</f>
        <v>3707.91</v>
      </c>
      <c r="P338">
        <f>297.07</f>
        <v>297.07</v>
      </c>
      <c r="Q338">
        <f>3918.855</f>
        <v>3918.855</v>
      </c>
      <c r="R338">
        <f>8959.74</f>
        <v>8959.74</v>
      </c>
      <c r="S338">
        <f>2916.3</f>
        <v>2916.3</v>
      </c>
      <c r="T338">
        <f>3938.312</f>
        <v>3938.3119999999999</v>
      </c>
      <c r="U338">
        <f>70628.2</f>
        <v>70628.2</v>
      </c>
      <c r="V338">
        <f>698.24</f>
        <v>698.24</v>
      </c>
    </row>
    <row r="339" spans="1:22" x14ac:dyDescent="0.2">
      <c r="A339" s="1">
        <v>44634</v>
      </c>
      <c r="B339">
        <f>2401.44</f>
        <v>2401.44</v>
      </c>
      <c r="C339">
        <f>10373.8</f>
        <v>10373.799999999999</v>
      </c>
      <c r="D339">
        <f>7184.98</f>
        <v>7184.98</v>
      </c>
      <c r="E339">
        <f>2561.734</f>
        <v>2561.7339999999999</v>
      </c>
      <c r="F339">
        <f>2275.63</f>
        <v>2275.63</v>
      </c>
      <c r="G339">
        <f>9435.044</f>
        <v>9435.0439999999999</v>
      </c>
      <c r="H339">
        <f>3746.98</f>
        <v>3746.98</v>
      </c>
      <c r="I339">
        <f>12497.77</f>
        <v>12497.77</v>
      </c>
      <c r="J339">
        <f>5452.06</f>
        <v>5452.06</v>
      </c>
      <c r="K339">
        <f>18222.31</f>
        <v>18222.310000000001</v>
      </c>
      <c r="L339">
        <f>2643.5</f>
        <v>2643.5</v>
      </c>
      <c r="M339">
        <f>12482.26</f>
        <v>12482.26</v>
      </c>
      <c r="N339">
        <f>429.357</f>
        <v>429.35700000000003</v>
      </c>
      <c r="O339">
        <f>3713.41</f>
        <v>3713.41</v>
      </c>
      <c r="P339">
        <f>292.99</f>
        <v>292.99</v>
      </c>
      <c r="Q339">
        <f>3866.328</f>
        <v>3866.328</v>
      </c>
      <c r="R339">
        <f>8771.75</f>
        <v>8771.75</v>
      </c>
      <c r="S339">
        <f>2893.39</f>
        <v>2893.39</v>
      </c>
      <c r="T339">
        <f>4020.79</f>
        <v>4020.79</v>
      </c>
      <c r="U339">
        <f>71903.72</f>
        <v>71903.72</v>
      </c>
      <c r="V339">
        <f>707.7</f>
        <v>707.7</v>
      </c>
    </row>
    <row r="340" spans="1:22" x14ac:dyDescent="0.2">
      <c r="A340" s="1">
        <v>44631</v>
      </c>
      <c r="B340">
        <f>2391.24</f>
        <v>2391.2399999999998</v>
      </c>
      <c r="C340">
        <f>10578.17</f>
        <v>10578.17</v>
      </c>
      <c r="D340">
        <f>7147.2</f>
        <v>7147.2</v>
      </c>
      <c r="E340">
        <f>2635.936</f>
        <v>2635.9360000000001</v>
      </c>
      <c r="F340">
        <f>2325.55</f>
        <v>2325.5500000000002</v>
      </c>
      <c r="G340">
        <f>9413.425</f>
        <v>9413.4249999999993</v>
      </c>
      <c r="H340">
        <f>3754.57</f>
        <v>3754.57</v>
      </c>
      <c r="I340">
        <f>12303.09</f>
        <v>12303.09</v>
      </c>
      <c r="J340">
        <f>5435.3</f>
        <v>5435.3</v>
      </c>
      <c r="K340">
        <f>18380.47</f>
        <v>18380.47</v>
      </c>
      <c r="L340">
        <f>2629.57</f>
        <v>2629.57</v>
      </c>
      <c r="M340">
        <f>12540.02</f>
        <v>12540.02</v>
      </c>
      <c r="N340">
        <f>424.132</f>
        <v>424.13200000000001</v>
      </c>
      <c r="O340">
        <f>3674.14</f>
        <v>3674.14</v>
      </c>
      <c r="P340">
        <f>290.65</f>
        <v>290.64999999999998</v>
      </c>
      <c r="Q340">
        <f>3851.395</f>
        <v>3851.395</v>
      </c>
      <c r="R340">
        <f>8835.4</f>
        <v>8835.4</v>
      </c>
      <c r="S340">
        <f>2873.05</f>
        <v>2873.05</v>
      </c>
      <c r="T340">
        <f>4181.547</f>
        <v>4181.5469999999996</v>
      </c>
      <c r="U340">
        <f>73685.89</f>
        <v>73685.89</v>
      </c>
      <c r="V340">
        <f>723.8</f>
        <v>723.8</v>
      </c>
    </row>
    <row r="341" spans="1:22" x14ac:dyDescent="0.2">
      <c r="A341" s="1">
        <v>44630</v>
      </c>
      <c r="B341">
        <f>2380.28</f>
        <v>2380.2800000000002</v>
      </c>
      <c r="C341">
        <f>10646.78</f>
        <v>10646.78</v>
      </c>
      <c r="D341">
        <f>7090.71</f>
        <v>7090.71</v>
      </c>
      <c r="E341">
        <f>2676.848</f>
        <v>2676.848</v>
      </c>
      <c r="F341">
        <f>2316.24</f>
        <v>2316.2399999999998</v>
      </c>
      <c r="G341">
        <f>9376.974</f>
        <v>9376.9740000000002</v>
      </c>
      <c r="H341">
        <f>3816.91</f>
        <v>3816.91</v>
      </c>
      <c r="I341">
        <f>12250.21</f>
        <v>12250.21</v>
      </c>
      <c r="J341">
        <f>5464.21</f>
        <v>5464.21</v>
      </c>
      <c r="K341">
        <f>18641.17</f>
        <v>18641.169999999998</v>
      </c>
      <c r="L341">
        <f>2638.21</f>
        <v>2638.21</v>
      </c>
      <c r="M341">
        <f>12678.4</f>
        <v>12678.4</v>
      </c>
      <c r="N341">
        <f>421.333</f>
        <v>421.33300000000003</v>
      </c>
      <c r="O341">
        <f>3637.05</f>
        <v>3637.05</v>
      </c>
      <c r="P341">
        <f>291.86</f>
        <v>291.86</v>
      </c>
      <c r="Q341">
        <f>3885.678</f>
        <v>3885.6779999999999</v>
      </c>
      <c r="R341">
        <f>8950.9</f>
        <v>8950.9</v>
      </c>
      <c r="S341">
        <f>2921.72</f>
        <v>2921.72</v>
      </c>
      <c r="T341">
        <f>4237.25</f>
        <v>4237.25</v>
      </c>
      <c r="U341">
        <f>73889.41</f>
        <v>73889.41</v>
      </c>
      <c r="V341">
        <f>729.15</f>
        <v>729.15</v>
      </c>
    </row>
    <row r="342" spans="1:22" x14ac:dyDescent="0.2">
      <c r="A342" s="1">
        <v>44629</v>
      </c>
      <c r="B342">
        <f>2405.09</f>
        <v>2405.09</v>
      </c>
      <c r="C342">
        <f>10490.87</f>
        <v>10490.87</v>
      </c>
      <c r="D342">
        <f>7155.18</f>
        <v>7155.18</v>
      </c>
      <c r="E342">
        <f>2647.42</f>
        <v>2647.42</v>
      </c>
      <c r="F342">
        <f>2306.01</f>
        <v>2306.0100000000002</v>
      </c>
      <c r="G342">
        <f>9480.867</f>
        <v>9480.8670000000002</v>
      </c>
      <c r="H342">
        <f>3699.12</f>
        <v>3699.12</v>
      </c>
      <c r="I342">
        <f>12512.83</f>
        <v>12512.83</v>
      </c>
      <c r="J342">
        <f>5488.83</f>
        <v>5488.83</v>
      </c>
      <c r="K342">
        <f>18728.8</f>
        <v>18728.8</v>
      </c>
      <c r="L342">
        <f>2645.65</f>
        <v>2645.65</v>
      </c>
      <c r="M342">
        <f>12720.01</f>
        <v>12720.01</v>
      </c>
      <c r="N342">
        <f>423.799</f>
        <v>423.79899999999998</v>
      </c>
      <c r="O342">
        <f>3695.01</f>
        <v>3695.01</v>
      </c>
      <c r="P342">
        <f>281.98</f>
        <v>281.98</v>
      </c>
      <c r="Q342">
        <f>3900.028</f>
        <v>3900.0279999999998</v>
      </c>
      <c r="R342">
        <f>8988.65</f>
        <v>8988.65</v>
      </c>
      <c r="S342">
        <f>2808.14</f>
        <v>2808.14</v>
      </c>
      <c r="T342">
        <f>4117.924</f>
        <v>4117.924</v>
      </c>
      <c r="U342">
        <f>72684.82</f>
        <v>72684.820000000007</v>
      </c>
      <c r="V342">
        <f>717.21</f>
        <v>717.21</v>
      </c>
    </row>
    <row r="343" spans="1:22" x14ac:dyDescent="0.2">
      <c r="A343" s="1">
        <v>44628</v>
      </c>
      <c r="B343">
        <f>2348.2</f>
        <v>2348.1999999999998</v>
      </c>
      <c r="C343">
        <f>10936.34</f>
        <v>10936.34</v>
      </c>
      <c r="D343">
        <f>6929.69</f>
        <v>6929.69</v>
      </c>
      <c r="E343">
        <f>2658.648</f>
        <v>2658.6480000000001</v>
      </c>
      <c r="F343">
        <f>2299.19</f>
        <v>2299.19</v>
      </c>
      <c r="G343">
        <f>9168.613</f>
        <v>9168.6129999999994</v>
      </c>
      <c r="H343">
        <f>3686.5</f>
        <v>3686.5</v>
      </c>
      <c r="I343">
        <f>11679.87</f>
        <v>11679.87</v>
      </c>
      <c r="J343">
        <f>5424.37</f>
        <v>5424.37</v>
      </c>
      <c r="K343">
        <f>18239.42</f>
        <v>18239.419999999998</v>
      </c>
      <c r="L343">
        <f>2594.47</f>
        <v>2594.4699999999998</v>
      </c>
      <c r="M343">
        <f>12347.3</f>
        <v>12347.3</v>
      </c>
      <c r="N343">
        <f>413.832</f>
        <v>413.83199999999999</v>
      </c>
      <c r="O343">
        <f>3533.11</f>
        <v>3533.11</v>
      </c>
      <c r="P343">
        <f>282.21</f>
        <v>282.20999999999998</v>
      </c>
      <c r="Q343">
        <f>3850.736</f>
        <v>3850.7359999999999</v>
      </c>
      <c r="R343">
        <f>8762.11</f>
        <v>8762.11</v>
      </c>
      <c r="S343">
        <f>2809.69</f>
        <v>2809.69</v>
      </c>
      <c r="T343">
        <f>4193.896</f>
        <v>4193.8959999999997</v>
      </c>
      <c r="U343">
        <f>72398.62</f>
        <v>72398.62</v>
      </c>
      <c r="V343">
        <f>719.45</f>
        <v>719.45</v>
      </c>
    </row>
    <row r="344" spans="1:22" x14ac:dyDescent="0.2">
      <c r="A344" s="1">
        <v>44627</v>
      </c>
      <c r="B344">
        <f>2332.35</f>
        <v>2332.35</v>
      </c>
      <c r="C344">
        <f>11043.61</f>
        <v>11043.61</v>
      </c>
      <c r="D344">
        <f>6925.08</f>
        <v>6925.08</v>
      </c>
      <c r="E344">
        <f>2685.882</f>
        <v>2685.8820000000001</v>
      </c>
      <c r="F344">
        <f>2306.08</f>
        <v>2306.08</v>
      </c>
      <c r="G344">
        <f>9173.489</f>
        <v>9173.4889999999996</v>
      </c>
      <c r="H344">
        <f>3784.54</f>
        <v>3784.54</v>
      </c>
      <c r="I344">
        <f>11738.29</f>
        <v>11738.29</v>
      </c>
      <c r="J344">
        <f>5504.24</f>
        <v>5504.24</v>
      </c>
      <c r="K344">
        <f>18365.33</f>
        <v>18365.330000000002</v>
      </c>
      <c r="L344">
        <f>2625.71</f>
        <v>2625.71</v>
      </c>
      <c r="M344">
        <f>12441.75</f>
        <v>12441.75</v>
      </c>
      <c r="N344">
        <f>421.755</f>
        <v>421.755</v>
      </c>
      <c r="O344">
        <f>3548.14</f>
        <v>3548.14</v>
      </c>
      <c r="P344">
        <f>290.32</f>
        <v>290.32</v>
      </c>
      <c r="Q344">
        <f>3899.953</f>
        <v>3899.953</v>
      </c>
      <c r="R344">
        <f>8825.72</f>
        <v>8825.7199999999993</v>
      </c>
      <c r="S344">
        <f>2864.25</f>
        <v>2864.25</v>
      </c>
      <c r="T344">
        <f>4200.665</f>
        <v>4200.665</v>
      </c>
      <c r="U344">
        <f>73295.88</f>
        <v>73295.88</v>
      </c>
      <c r="V344">
        <f>731.58</f>
        <v>731.58</v>
      </c>
    </row>
    <row r="345" spans="1:22" x14ac:dyDescent="0.2">
      <c r="A345" s="1">
        <v>44624</v>
      </c>
      <c r="B345">
        <f>2351.27</f>
        <v>2351.27</v>
      </c>
      <c r="C345">
        <f>11326.79</f>
        <v>11326.79</v>
      </c>
      <c r="D345">
        <f>6952.61</f>
        <v>6952.61</v>
      </c>
      <c r="E345">
        <f>2776.858</f>
        <v>2776.8580000000002</v>
      </c>
      <c r="F345">
        <f>2319.07</f>
        <v>2319.0700000000002</v>
      </c>
      <c r="G345">
        <f>9259.668</f>
        <v>9259.6679999999997</v>
      </c>
      <c r="H345">
        <f>3867.82</f>
        <v>3867.82</v>
      </c>
      <c r="I345">
        <f>11933.88</f>
        <v>11933.88</v>
      </c>
      <c r="J345">
        <f>5603.36</f>
        <v>5603.36</v>
      </c>
      <c r="K345">
        <f>18943.66</f>
        <v>18943.66</v>
      </c>
      <c r="L345">
        <f>2667.86</f>
        <v>2667.86</v>
      </c>
      <c r="M345">
        <f>12781.08</f>
        <v>12781.08</v>
      </c>
      <c r="N345">
        <f>424.383</f>
        <v>424.38299999999998</v>
      </c>
      <c r="O345">
        <f>3588.44</f>
        <v>3588.44</v>
      </c>
      <c r="P345">
        <f>295.36</f>
        <v>295.36</v>
      </c>
      <c r="Q345">
        <f>3972.649</f>
        <v>3972.6489999999999</v>
      </c>
      <c r="R345">
        <f>9094.04</f>
        <v>9094.0400000000009</v>
      </c>
      <c r="S345">
        <f>2945.53</f>
        <v>2945.53</v>
      </c>
      <c r="T345">
        <f>4235.228</f>
        <v>4235.2280000000001</v>
      </c>
      <c r="U345">
        <f>74734.37</f>
        <v>74734.37</v>
      </c>
      <c r="V345">
        <f>750.69</f>
        <v>750.69</v>
      </c>
    </row>
    <row r="346" spans="1:22" x14ac:dyDescent="0.2">
      <c r="A346" s="1">
        <v>44623</v>
      </c>
      <c r="B346">
        <f>2420.82</f>
        <v>2420.8200000000002</v>
      </c>
      <c r="C346">
        <f>11491.91</f>
        <v>11491.91</v>
      </c>
      <c r="D346">
        <f>7203.07</f>
        <v>7203.07</v>
      </c>
      <c r="E346">
        <f>2843.748</f>
        <v>2843.748</v>
      </c>
      <c r="F346">
        <f>2397.43</f>
        <v>2397.4299999999998</v>
      </c>
      <c r="G346">
        <f>9671.156</f>
        <v>9671.1560000000009</v>
      </c>
      <c r="H346">
        <f>3881.13</f>
        <v>3881.13</v>
      </c>
      <c r="I346">
        <f>12556.51</f>
        <v>12556.51</v>
      </c>
      <c r="J346">
        <f>5600.86</f>
        <v>5600.86</v>
      </c>
      <c r="K346">
        <f>19112.26</f>
        <v>19112.259999999998</v>
      </c>
      <c r="L346">
        <f>2695.25</f>
        <v>2695.25</v>
      </c>
      <c r="M346">
        <f>12983.02</f>
        <v>12983.02</v>
      </c>
      <c r="N346">
        <f>433.799</f>
        <v>433.79899999999998</v>
      </c>
      <c r="O346">
        <f>3720.44</f>
        <v>3720.44</v>
      </c>
      <c r="P346">
        <f>300.21</f>
        <v>300.20999999999998</v>
      </c>
      <c r="Q346">
        <f>3973.399</f>
        <v>3973.3989999999999</v>
      </c>
      <c r="R346">
        <f>9166.13</f>
        <v>9166.1299999999992</v>
      </c>
      <c r="S346">
        <f>3004.37</f>
        <v>3004.37</v>
      </c>
      <c r="T346">
        <f>4272.971</f>
        <v>4272.9709999999995</v>
      </c>
      <c r="U346">
        <f>77390.85</f>
        <v>77390.850000000006</v>
      </c>
      <c r="V346">
        <f>763.23</f>
        <v>763.23</v>
      </c>
    </row>
    <row r="347" spans="1:22" x14ac:dyDescent="0.2">
      <c r="A347" s="1">
        <v>44622</v>
      </c>
      <c r="B347">
        <f>2490.73</f>
        <v>2490.73</v>
      </c>
      <c r="C347">
        <f>11343.74</f>
        <v>11343.74</v>
      </c>
      <c r="D347">
        <f>7390.1</f>
        <v>7390.1</v>
      </c>
      <c r="E347">
        <f>2833.47</f>
        <v>2833.47</v>
      </c>
      <c r="F347">
        <f>2439.9</f>
        <v>2439.9</v>
      </c>
      <c r="G347">
        <f>9896.353</f>
        <v>9896.3529999999992</v>
      </c>
      <c r="H347">
        <f>3815.38</f>
        <v>3815.38</v>
      </c>
      <c r="I347">
        <f>12803.67</f>
        <v>12803.67</v>
      </c>
      <c r="J347">
        <f>5578.98</f>
        <v>5578.98</v>
      </c>
      <c r="K347">
        <f>19246.28</f>
        <v>19246.28</v>
      </c>
      <c r="L347">
        <f>2695.07</f>
        <v>2695.07</v>
      </c>
      <c r="M347">
        <f>13077.55</f>
        <v>13077.55</v>
      </c>
      <c r="N347">
        <f>440.497</f>
        <v>440.49700000000001</v>
      </c>
      <c r="O347">
        <f>3796.26</f>
        <v>3796.26</v>
      </c>
      <c r="P347">
        <f>294.93</f>
        <v>294.93</v>
      </c>
      <c r="Q347">
        <f>3952.394</f>
        <v>3952.3939999999998</v>
      </c>
      <c r="R347">
        <f>9213.39</f>
        <v>9213.39</v>
      </c>
      <c r="S347">
        <f>2969.48</f>
        <v>2969.48</v>
      </c>
      <c r="T347">
        <f>4285.471</f>
        <v>4285.4709999999995</v>
      </c>
      <c r="U347">
        <f>77536.12</f>
        <v>77536.12</v>
      </c>
      <c r="V347">
        <f>769.55</f>
        <v>769.55</v>
      </c>
    </row>
    <row r="348" spans="1:22" x14ac:dyDescent="0.2">
      <c r="A348" s="1">
        <v>44621</v>
      </c>
      <c r="B348">
        <f>2466.98</f>
        <v>2466.98</v>
      </c>
      <c r="C348">
        <f>11375.72</f>
        <v>11375.72</v>
      </c>
      <c r="D348">
        <f>7291.27</f>
        <v>7291.27</v>
      </c>
      <c r="E348">
        <f>2852.805</f>
        <v>2852.8049999999998</v>
      </c>
      <c r="F348">
        <f>2431.56</f>
        <v>2431.56</v>
      </c>
      <c r="G348">
        <f>9788.242</f>
        <v>9788.2420000000002</v>
      </c>
      <c r="H348">
        <f>3921.83</f>
        <v>3921.83</v>
      </c>
      <c r="I348">
        <f>12814.03</f>
        <v>12814.03</v>
      </c>
      <c r="J348">
        <f>5469.3</f>
        <v>5469.3</v>
      </c>
      <c r="K348">
        <f>18899.17</f>
        <v>18899.169999999998</v>
      </c>
      <c r="L348">
        <f>2671.87</f>
        <v>2671.87</v>
      </c>
      <c r="M348">
        <f>12929.27</f>
        <v>12929.27</v>
      </c>
      <c r="N348">
        <f>440.041</f>
        <v>440.041</v>
      </c>
      <c r="O348">
        <f>3765.23</f>
        <v>3765.23</v>
      </c>
      <c r="P348">
        <f>301.4</f>
        <v>301.39999999999998</v>
      </c>
      <c r="Q348">
        <f>3871.655</f>
        <v>3871.6550000000002</v>
      </c>
      <c r="R348">
        <f>9044.47</f>
        <v>9044.4699999999993</v>
      </c>
      <c r="S348">
        <f>3028.91</f>
        <v>3028.91</v>
      </c>
      <c r="T348">
        <f>4303.97</f>
        <v>4303.97</v>
      </c>
      <c r="U348">
        <f>77110.69</f>
        <v>77110.69</v>
      </c>
      <c r="V348">
        <f>764.16</f>
        <v>764.16</v>
      </c>
    </row>
    <row r="349" spans="1:22" x14ac:dyDescent="0.2">
      <c r="A349" s="1">
        <v>44620</v>
      </c>
      <c r="B349">
        <f>2511.25</f>
        <v>2511.25</v>
      </c>
      <c r="C349">
        <f>11332.85</f>
        <v>11332.85</v>
      </c>
      <c r="D349">
        <f>7418.64</f>
        <v>7418.64</v>
      </c>
      <c r="E349">
        <f>2840.359</f>
        <v>2840.3589999999999</v>
      </c>
      <c r="F349">
        <f>2413.2</f>
        <v>2413.1999999999998</v>
      </c>
      <c r="G349">
        <f>9986.611</f>
        <v>9986.6110000000008</v>
      </c>
      <c r="H349">
        <f>3902.12</f>
        <v>3902.12</v>
      </c>
      <c r="I349">
        <f>13272.7</f>
        <v>13272.7</v>
      </c>
      <c r="J349">
        <f>5553.75</f>
        <v>5553.75</v>
      </c>
      <c r="K349">
        <f>19192.17</f>
        <v>19192.169999999998</v>
      </c>
      <c r="L349">
        <f>2709.12</f>
        <v>2709.12</v>
      </c>
      <c r="M349">
        <f>13137.03</f>
        <v>13137.03</v>
      </c>
      <c r="N349">
        <f>441.265</f>
        <v>441.26499999999999</v>
      </c>
      <c r="O349">
        <f>3852.98</f>
        <v>3852.98</v>
      </c>
      <c r="P349">
        <f>301.03</f>
        <v>301.02999999999997</v>
      </c>
      <c r="Q349">
        <f>3924.084</f>
        <v>3924.0839999999998</v>
      </c>
      <c r="R349">
        <f>9186.37</f>
        <v>9186.3700000000008</v>
      </c>
      <c r="S349">
        <f>3012.57</f>
        <v>3012.57</v>
      </c>
      <c r="T349">
        <f>4197.622</f>
        <v>4197.6220000000003</v>
      </c>
      <c r="U349">
        <f>76090.51</f>
        <v>76090.509999999995</v>
      </c>
      <c r="V349">
        <f>751.3</f>
        <v>751.3</v>
      </c>
    </row>
    <row r="350" spans="1:22" x14ac:dyDescent="0.2">
      <c r="A350" s="1">
        <v>44617</v>
      </c>
      <c r="B350">
        <f>2531.76</f>
        <v>2531.7600000000002</v>
      </c>
      <c r="C350">
        <f>11459.86</f>
        <v>11459.86</v>
      </c>
      <c r="D350">
        <f>7449.68</f>
        <v>7449.68</v>
      </c>
      <c r="E350">
        <f>2841.803</f>
        <v>2841.8029999999999</v>
      </c>
      <c r="F350">
        <f>2382.76</f>
        <v>2382.7600000000002</v>
      </c>
      <c r="G350">
        <f>10023.52</f>
        <v>10023.52</v>
      </c>
      <c r="H350">
        <f>3859.01</f>
        <v>3859.01</v>
      </c>
      <c r="I350">
        <f>13298.14</f>
        <v>13298.14</v>
      </c>
      <c r="J350">
        <f>5582.68</f>
        <v>5582.68</v>
      </c>
      <c r="K350">
        <f>19221.31</f>
        <v>19221.310000000001</v>
      </c>
      <c r="L350">
        <f>2714.77</f>
        <v>2714.77</v>
      </c>
      <c r="M350">
        <f>13145.72</f>
        <v>13145.72</v>
      </c>
      <c r="N350">
        <f>434.635</f>
        <v>434.63499999999999</v>
      </c>
      <c r="O350">
        <f>3855.4</f>
        <v>3855.4</v>
      </c>
      <c r="P350">
        <f>296.49</f>
        <v>296.49</v>
      </c>
      <c r="Q350">
        <f>3952.369</f>
        <v>3952.3690000000001</v>
      </c>
      <c r="R350">
        <f>9207.85</f>
        <v>9207.85</v>
      </c>
      <c r="S350">
        <f>2995.16</f>
        <v>2995.16</v>
      </c>
      <c r="T350">
        <f>4001.74</f>
        <v>4001.74</v>
      </c>
      <c r="U350">
        <f>74205.69</f>
        <v>74205.69</v>
      </c>
      <c r="V350">
        <f>723.37</f>
        <v>723.37</v>
      </c>
    </row>
    <row r="351" spans="1:22" x14ac:dyDescent="0.2">
      <c r="A351" s="1">
        <v>44616</v>
      </c>
      <c r="B351">
        <f>2432.88</f>
        <v>2432.88</v>
      </c>
      <c r="C351">
        <f>11234.51</f>
        <v>11234.51</v>
      </c>
      <c r="D351">
        <f>7169.1</f>
        <v>7169.1</v>
      </c>
      <c r="E351">
        <f>2800.264</f>
        <v>2800.2640000000001</v>
      </c>
      <c r="F351">
        <f>2275.05</f>
        <v>2275.0500000000002</v>
      </c>
      <c r="G351">
        <f>9546.788</f>
        <v>9546.7880000000005</v>
      </c>
      <c r="H351">
        <f>3872.21</f>
        <v>3872.21</v>
      </c>
      <c r="I351">
        <f>12741.92</f>
        <v>12741.92</v>
      </c>
      <c r="J351">
        <f>5417.29</f>
        <v>5417.29</v>
      </c>
      <c r="K351">
        <f>18798.67</f>
        <v>18798.669999999998</v>
      </c>
      <c r="L351">
        <f>2634.53</f>
        <v>2634.53</v>
      </c>
      <c r="M351">
        <f>12816.78</f>
        <v>12816.78</v>
      </c>
      <c r="N351">
        <f>423.059</f>
        <v>423.05900000000003</v>
      </c>
      <c r="O351">
        <f>3737.44</f>
        <v>3737.44</v>
      </c>
      <c r="P351">
        <f>299.72</f>
        <v>299.72000000000003</v>
      </c>
      <c r="Q351">
        <f>3838.609</f>
        <v>3838.6089999999999</v>
      </c>
      <c r="R351">
        <f>9005.37</f>
        <v>9005.3700000000008</v>
      </c>
      <c r="S351">
        <f>2964.54</f>
        <v>2964.54</v>
      </c>
      <c r="T351">
        <f>4067.669</f>
        <v>4067.6689999999999</v>
      </c>
      <c r="U351">
        <f>73697.11</f>
        <v>73697.11</v>
      </c>
      <c r="V351">
        <f>726.28</f>
        <v>726.28</v>
      </c>
    </row>
    <row r="352" spans="1:22" x14ac:dyDescent="0.2">
      <c r="A352" s="1">
        <v>44615</v>
      </c>
      <c r="B352">
        <f>2556.92</f>
        <v>2556.92</v>
      </c>
      <c r="C352">
        <f>11782.81</f>
        <v>11782.81</v>
      </c>
      <c r="D352">
        <f>7438.8</f>
        <v>7438.8</v>
      </c>
      <c r="E352">
        <f>2926.305</f>
        <v>2926.3049999999998</v>
      </c>
      <c r="F352">
        <f>2367.84</f>
        <v>2367.84</v>
      </c>
      <c r="G352">
        <f>10105.85</f>
        <v>10105.85</v>
      </c>
      <c r="H352">
        <f>3943.63</f>
        <v>3943.63</v>
      </c>
      <c r="I352">
        <f>13387.45</f>
        <v>13387.45</v>
      </c>
      <c r="J352">
        <f>5439.92</f>
        <v>5439.92</v>
      </c>
      <c r="K352">
        <f>18485.32</f>
        <v>18485.32</v>
      </c>
      <c r="L352">
        <f>2696.74</f>
        <v>2696.74</v>
      </c>
      <c r="M352">
        <f>12827.4</f>
        <v>12827.4</v>
      </c>
      <c r="N352">
        <f>431.497</f>
        <v>431.49700000000001</v>
      </c>
      <c r="O352">
        <f>3859.68</f>
        <v>3859.68</v>
      </c>
      <c r="P352" t="e">
        <f>NA()</f>
        <v>#N/A</v>
      </c>
      <c r="Q352">
        <f>3841.443</f>
        <v>3841.4430000000002</v>
      </c>
      <c r="R352">
        <f>8871.95</f>
        <v>8871.9500000000007</v>
      </c>
      <c r="S352" t="e">
        <f>NA()</f>
        <v>#N/A</v>
      </c>
      <c r="T352">
        <f>4033.784</f>
        <v>4033.7840000000001</v>
      </c>
      <c r="U352">
        <f>74987.05</f>
        <v>74987.05</v>
      </c>
      <c r="V352">
        <f>715.99</f>
        <v>715.99</v>
      </c>
    </row>
    <row r="353" spans="1:22" x14ac:dyDescent="0.2">
      <c r="A353" s="1">
        <v>44614</v>
      </c>
      <c r="B353">
        <f>2561.25</f>
        <v>2561.25</v>
      </c>
      <c r="C353">
        <f>11824.52</f>
        <v>11824.52</v>
      </c>
      <c r="D353">
        <f>7434.87</f>
        <v>7434.87</v>
      </c>
      <c r="E353">
        <f>2925.664</f>
        <v>2925.6640000000002</v>
      </c>
      <c r="F353">
        <f>2381.91</f>
        <v>2381.91</v>
      </c>
      <c r="G353">
        <f>10119.13</f>
        <v>10119.129999999999</v>
      </c>
      <c r="H353">
        <f>3942.6</f>
        <v>3942.6</v>
      </c>
      <c r="I353">
        <f>13438.71</f>
        <v>13438.71</v>
      </c>
      <c r="J353">
        <f>5507.51</f>
        <v>5507.51</v>
      </c>
      <c r="K353">
        <f>18842.57</f>
        <v>18842.57</v>
      </c>
      <c r="L353">
        <f>2711.77</f>
        <v>2711.77</v>
      </c>
      <c r="M353">
        <f>13005.04</f>
        <v>13005.04</v>
      </c>
      <c r="N353">
        <f>431.271</f>
        <v>431.27100000000002</v>
      </c>
      <c r="O353">
        <f>3867.07</f>
        <v>3867.07</v>
      </c>
      <c r="P353">
        <f>301.71</f>
        <v>301.70999999999998</v>
      </c>
      <c r="Q353">
        <f>3889.05</f>
        <v>3889.05</v>
      </c>
      <c r="R353">
        <f>9038.32</f>
        <v>9038.32</v>
      </c>
      <c r="S353">
        <f>3002.05</f>
        <v>3002.05</v>
      </c>
      <c r="T353">
        <f>4075.122</f>
        <v>4075.1219999999998</v>
      </c>
      <c r="U353">
        <f>75653.84</f>
        <v>75653.84</v>
      </c>
      <c r="V353">
        <f>718.39</f>
        <v>718.39</v>
      </c>
    </row>
    <row r="354" spans="1:22" x14ac:dyDescent="0.2">
      <c r="A354" s="1">
        <v>44613</v>
      </c>
      <c r="B354">
        <f>2560.25</f>
        <v>2560.25</v>
      </c>
      <c r="C354">
        <f>11873.26</f>
        <v>11873.26</v>
      </c>
      <c r="D354">
        <f>7425.07</f>
        <v>7425.07</v>
      </c>
      <c r="E354">
        <f>2956.746</f>
        <v>2956.7460000000001</v>
      </c>
      <c r="F354">
        <f>2380.92</f>
        <v>2380.92</v>
      </c>
      <c r="G354">
        <f>10116.92</f>
        <v>10116.92</v>
      </c>
      <c r="H354">
        <f>4011.92</f>
        <v>4011.92</v>
      </c>
      <c r="I354">
        <f>13432.65</f>
        <v>13432.65</v>
      </c>
      <c r="J354">
        <f>5554.72</f>
        <v>5554.72</v>
      </c>
      <c r="K354">
        <f>19043.85</f>
        <v>19043.849999999999</v>
      </c>
      <c r="L354">
        <f>2728.43</f>
        <v>2728.43</v>
      </c>
      <c r="M354">
        <f>13120.44</f>
        <v>13120.44</v>
      </c>
      <c r="N354">
        <f>430.828</f>
        <v>430.82799999999997</v>
      </c>
      <c r="O354">
        <f>3865.18</f>
        <v>3865.18</v>
      </c>
      <c r="P354">
        <f>305.15</f>
        <v>305.14999999999998</v>
      </c>
      <c r="Q354" t="e">
        <f>NA()</f>
        <v>#N/A</v>
      </c>
      <c r="R354" t="e">
        <f>NA()</f>
        <v>#N/A</v>
      </c>
      <c r="S354">
        <f>3049.29</f>
        <v>3049.29</v>
      </c>
      <c r="T354">
        <f>4046.366</f>
        <v>4046.366</v>
      </c>
      <c r="U354">
        <f>75528.46</f>
        <v>75528.460000000006</v>
      </c>
      <c r="V354">
        <f>710.89</f>
        <v>710.89</v>
      </c>
    </row>
    <row r="355" spans="1:22" x14ac:dyDescent="0.2">
      <c r="A355" s="1">
        <v>44610</v>
      </c>
      <c r="B355">
        <f>2579.91</f>
        <v>2579.91</v>
      </c>
      <c r="C355">
        <f>11976.22</f>
        <v>11976.22</v>
      </c>
      <c r="D355">
        <f>7454.13</f>
        <v>7454.13</v>
      </c>
      <c r="E355">
        <f>2986.489</f>
        <v>2986.489</v>
      </c>
      <c r="F355">
        <f>2381.22</f>
        <v>2381.2199999999998</v>
      </c>
      <c r="G355">
        <f>10128.42</f>
        <v>10128.42</v>
      </c>
      <c r="H355">
        <f>4013.17</f>
        <v>4013.17</v>
      </c>
      <c r="I355">
        <f>13661.32</f>
        <v>13661.32</v>
      </c>
      <c r="J355">
        <f>5554.72</f>
        <v>5554.72</v>
      </c>
      <c r="K355">
        <f>19043.85</f>
        <v>19043.849999999999</v>
      </c>
      <c r="L355">
        <f>2732.01</f>
        <v>2732.01</v>
      </c>
      <c r="M355">
        <f>13154.17</f>
        <v>13154.17</v>
      </c>
      <c r="N355">
        <f>435.315</f>
        <v>435.315</v>
      </c>
      <c r="O355">
        <f>3916.25</f>
        <v>3916.25</v>
      </c>
      <c r="P355">
        <f>306.78</f>
        <v>306.77999999999997</v>
      </c>
      <c r="Q355">
        <f>3919.106</f>
        <v>3919.1060000000002</v>
      </c>
      <c r="R355">
        <f>9130.81</f>
        <v>9130.81</v>
      </c>
      <c r="S355">
        <f>3071.05</f>
        <v>3071.05</v>
      </c>
      <c r="T355">
        <f>4092.172</f>
        <v>4092.172</v>
      </c>
      <c r="U355">
        <f>76368.34</f>
        <v>76368.34</v>
      </c>
      <c r="V355">
        <f>715.01</f>
        <v>715.01</v>
      </c>
    </row>
    <row r="356" spans="1:22" x14ac:dyDescent="0.2">
      <c r="A356" s="1">
        <v>44609</v>
      </c>
      <c r="B356">
        <f>2579.53</f>
        <v>2579.5300000000002</v>
      </c>
      <c r="C356">
        <f>11999.28</f>
        <v>11999.28</v>
      </c>
      <c r="D356">
        <f>7477.69</f>
        <v>7477.69</v>
      </c>
      <c r="E356">
        <f>3013.435</f>
        <v>3013.4349999999999</v>
      </c>
      <c r="F356">
        <f>2384.54</f>
        <v>2384.54</v>
      </c>
      <c r="G356">
        <f>10176.11</f>
        <v>10176.11</v>
      </c>
      <c r="H356">
        <f>4021.61</f>
        <v>4021.61</v>
      </c>
      <c r="I356">
        <f>13821.22</f>
        <v>13821.22</v>
      </c>
      <c r="J356">
        <f>5563.56</f>
        <v>5563.56</v>
      </c>
      <c r="K356">
        <f>19196.08</f>
        <v>19196.080000000002</v>
      </c>
      <c r="L356">
        <f>2739.95</f>
        <v>2739.95</v>
      </c>
      <c r="M356">
        <f>13265.26</f>
        <v>13265.26</v>
      </c>
      <c r="N356">
        <f>438.089</f>
        <v>438.089</v>
      </c>
      <c r="O356">
        <f>3945.73</f>
        <v>3945.73</v>
      </c>
      <c r="P356">
        <f>308.56</f>
        <v>308.56</v>
      </c>
      <c r="Q356">
        <f>3922.973</f>
        <v>3922.973</v>
      </c>
      <c r="R356">
        <f>9195.35</f>
        <v>9195.35</v>
      </c>
      <c r="S356">
        <f>3082.1</f>
        <v>3082.1</v>
      </c>
      <c r="T356">
        <f>4058.613</f>
        <v>4058.6129999999998</v>
      </c>
      <c r="U356">
        <f>76154.69</f>
        <v>76154.69</v>
      </c>
      <c r="V356">
        <f>714.08</f>
        <v>714.08</v>
      </c>
    </row>
    <row r="357" spans="1:22" x14ac:dyDescent="0.2">
      <c r="A357" s="1">
        <v>44608</v>
      </c>
      <c r="B357">
        <f>2615.05</f>
        <v>2615.0500000000002</v>
      </c>
      <c r="C357">
        <f>12089.49</f>
        <v>12089.49</v>
      </c>
      <c r="D357">
        <f>7533.75</f>
        <v>7533.75</v>
      </c>
      <c r="E357">
        <f>3016.492</f>
        <v>3016.4920000000002</v>
      </c>
      <c r="F357">
        <f>2398.89</f>
        <v>2398.89</v>
      </c>
      <c r="G357">
        <f>10217.85</f>
        <v>10217.85</v>
      </c>
      <c r="H357">
        <f>4025.55</f>
        <v>4025.55</v>
      </c>
      <c r="I357">
        <f>13910.46</f>
        <v>13910.46</v>
      </c>
      <c r="J357">
        <f>5620.8</f>
        <v>5620.8</v>
      </c>
      <c r="K357">
        <f>19629.4</f>
        <v>19629.400000000001</v>
      </c>
      <c r="L357">
        <f>2754.73</f>
        <v>2754.73</v>
      </c>
      <c r="M357">
        <f>13488.93</f>
        <v>13488.93</v>
      </c>
      <c r="N357">
        <f>439.398</f>
        <v>439.39800000000002</v>
      </c>
      <c r="O357">
        <f>3969.41</f>
        <v>3969.41</v>
      </c>
      <c r="P357">
        <f>310.75</f>
        <v>310.75</v>
      </c>
      <c r="Q357">
        <f>3976.58907</f>
        <v>3976.58907</v>
      </c>
      <c r="R357">
        <f>9393.09</f>
        <v>9393.09</v>
      </c>
      <c r="S357">
        <f>3106.6</f>
        <v>3106.6</v>
      </c>
      <c r="T357">
        <f>4059.482</f>
        <v>4059.482</v>
      </c>
      <c r="U357">
        <f>76502.59</f>
        <v>76502.59</v>
      </c>
      <c r="V357">
        <f>712.27</f>
        <v>712.27</v>
      </c>
    </row>
    <row r="358" spans="1:22" x14ac:dyDescent="0.2">
      <c r="A358" s="1">
        <v>44607</v>
      </c>
      <c r="B358">
        <f>2604.42</f>
        <v>2604.42</v>
      </c>
      <c r="C358">
        <f>11947.25</f>
        <v>11947.25</v>
      </c>
      <c r="D358">
        <f>7538.84</f>
        <v>7538.84</v>
      </c>
      <c r="E358">
        <f>2979.688</f>
        <v>2979.6880000000001</v>
      </c>
      <c r="F358">
        <f>2380.72</f>
        <v>2380.7199999999998</v>
      </c>
      <c r="G358">
        <f>10179.91</f>
        <v>10179.91</v>
      </c>
      <c r="H358">
        <f>3952.54</f>
        <v>3952.54</v>
      </c>
      <c r="I358">
        <f>13902.47</f>
        <v>13902.47</v>
      </c>
      <c r="J358">
        <f>5614.03</f>
        <v>5614.03</v>
      </c>
      <c r="K358">
        <f>19622.3</f>
        <v>19622.3</v>
      </c>
      <c r="L358">
        <f>2746.27</f>
        <v>2746.27</v>
      </c>
      <c r="M358">
        <f>13460.66</f>
        <v>13460.66</v>
      </c>
      <c r="N358">
        <f>438.677</f>
        <v>438.67700000000002</v>
      </c>
      <c r="O358">
        <f>3969.37</f>
        <v>3969.37</v>
      </c>
      <c r="P358">
        <f>305.9</f>
        <v>305.89999999999998</v>
      </c>
      <c r="Q358">
        <f>3967.64</f>
        <v>3967.64</v>
      </c>
      <c r="R358">
        <f>9383.57</f>
        <v>9383.57</v>
      </c>
      <c r="S358">
        <f>3055.65</f>
        <v>3055.65</v>
      </c>
      <c r="T358">
        <f>4003.734</f>
        <v>4003.7339999999999</v>
      </c>
      <c r="U358">
        <f>75853.16</f>
        <v>75853.16</v>
      </c>
      <c r="V358">
        <f>699.38</f>
        <v>699.38</v>
      </c>
    </row>
    <row r="359" spans="1:22" x14ac:dyDescent="0.2">
      <c r="A359" s="1">
        <v>44606</v>
      </c>
      <c r="B359">
        <f>2592.48</f>
        <v>2592.48</v>
      </c>
      <c r="C359">
        <f>11958.19</f>
        <v>11958.19</v>
      </c>
      <c r="D359">
        <f>7462.22</f>
        <v>7462.22</v>
      </c>
      <c r="E359">
        <f>2958.51</f>
        <v>2958.51</v>
      </c>
      <c r="F359">
        <f>2385.01</f>
        <v>2385.0100000000002</v>
      </c>
      <c r="G359">
        <f>10073.72</f>
        <v>10073.719999999999</v>
      </c>
      <c r="H359">
        <f>3985.23</f>
        <v>3985.23</v>
      </c>
      <c r="I359">
        <f>13620.85</f>
        <v>13620.85</v>
      </c>
      <c r="J359">
        <f>5555.39</f>
        <v>5555.39</v>
      </c>
      <c r="K359">
        <f>19298.93</f>
        <v>19298.93</v>
      </c>
      <c r="L359">
        <f>2724.18</f>
        <v>2724.18</v>
      </c>
      <c r="M359">
        <f>13270.95</f>
        <v>13270.95</v>
      </c>
      <c r="N359">
        <f>433.833</f>
        <v>433.83300000000003</v>
      </c>
      <c r="O359">
        <f>3914.54</f>
        <v>3914.54</v>
      </c>
      <c r="P359">
        <f>308.26</f>
        <v>308.26</v>
      </c>
      <c r="Q359">
        <f>3933.46965</f>
        <v>3933.46965</v>
      </c>
      <c r="R359">
        <f>9236.86</f>
        <v>9236.86</v>
      </c>
      <c r="S359">
        <f>3081.09</f>
        <v>3081.09</v>
      </c>
      <c r="T359">
        <f>4060.267</f>
        <v>4060.2669999999998</v>
      </c>
      <c r="U359">
        <f>75765.16</f>
        <v>75765.16</v>
      </c>
      <c r="V359">
        <f>704.59</f>
        <v>704.59</v>
      </c>
    </row>
    <row r="360" spans="1:22" x14ac:dyDescent="0.2">
      <c r="A360" s="1">
        <v>44603</v>
      </c>
      <c r="B360">
        <f>2623.47</f>
        <v>2623.47</v>
      </c>
      <c r="C360">
        <f>12124.35</f>
        <v>12124.35</v>
      </c>
      <c r="D360">
        <f>7590.46</f>
        <v>7590.46</v>
      </c>
      <c r="E360">
        <f>3006.628</f>
        <v>3006.6280000000002</v>
      </c>
      <c r="F360">
        <f>2408.18</f>
        <v>2408.1799999999998</v>
      </c>
      <c r="G360">
        <f>10315.34</f>
        <v>10315.34</v>
      </c>
      <c r="H360">
        <f>3991.58</f>
        <v>3991.58</v>
      </c>
      <c r="I360">
        <f>14000.71</f>
        <v>14000.71</v>
      </c>
      <c r="J360">
        <f>5588.28</f>
        <v>5588.28</v>
      </c>
      <c r="K360">
        <f>19367.95</f>
        <v>19367.95</v>
      </c>
      <c r="L360">
        <f>2757.34</f>
        <v>2757.34</v>
      </c>
      <c r="M360">
        <f>13391.97</f>
        <v>13391.97</v>
      </c>
      <c r="N360">
        <f>439.166</f>
        <v>439.166</v>
      </c>
      <c r="O360">
        <f>3985.23</f>
        <v>3985.23</v>
      </c>
      <c r="P360" t="e">
        <f>NA()</f>
        <v>#N/A</v>
      </c>
      <c r="Q360">
        <f>3961.995</f>
        <v>3961.9949999999999</v>
      </c>
      <c r="R360">
        <f>9271.8</f>
        <v>9271.7999999999993</v>
      </c>
      <c r="S360" t="e">
        <f>NA()</f>
        <v>#N/A</v>
      </c>
      <c r="T360">
        <f>4035.246</f>
        <v>4035.2460000000001</v>
      </c>
      <c r="U360">
        <f>76382.95</f>
        <v>76382.95</v>
      </c>
      <c r="V360">
        <f>701.43</f>
        <v>701.43</v>
      </c>
    </row>
    <row r="361" spans="1:22" x14ac:dyDescent="0.2">
      <c r="A361" s="1">
        <v>44602</v>
      </c>
      <c r="B361">
        <f>2614.63</f>
        <v>2614.63</v>
      </c>
      <c r="C361">
        <f>12175.42</f>
        <v>12175.42</v>
      </c>
      <c r="D361">
        <f>7601.74</f>
        <v>7601.74</v>
      </c>
      <c r="E361">
        <f>3032.212</f>
        <v>3032.212</v>
      </c>
      <c r="F361">
        <f>2405.36</f>
        <v>2405.36</v>
      </c>
      <c r="G361">
        <f>10337.99</f>
        <v>10337.99</v>
      </c>
      <c r="H361">
        <f>3989</f>
        <v>3989</v>
      </c>
      <c r="I361">
        <f>14191.38</f>
        <v>14191.38</v>
      </c>
      <c r="J361">
        <f>5641.57</f>
        <v>5641.57</v>
      </c>
      <c r="K361">
        <f>19754.35</f>
        <v>19754.349999999999</v>
      </c>
      <c r="L361">
        <f>2770.27</f>
        <v>2770.27</v>
      </c>
      <c r="M361">
        <f>13605.79</f>
        <v>13605.79</v>
      </c>
      <c r="N361">
        <f>442.459</f>
        <v>442.459</v>
      </c>
      <c r="O361">
        <f>4006.07</f>
        <v>4006.07</v>
      </c>
      <c r="P361">
        <f>308.7</f>
        <v>308.7</v>
      </c>
      <c r="Q361">
        <f>4001.517</f>
        <v>4001.5169999999998</v>
      </c>
      <c r="R361">
        <f>9450.72</f>
        <v>9450.7199999999993</v>
      </c>
      <c r="S361">
        <f>3132.11</f>
        <v>3132.11</v>
      </c>
      <c r="T361">
        <f>4015.658</f>
        <v>4015.6579999999999</v>
      </c>
      <c r="U361">
        <f>76585.19</f>
        <v>76585.19</v>
      </c>
      <c r="V361">
        <f>694.2</f>
        <v>694.2</v>
      </c>
    </row>
    <row r="362" spans="1:22" x14ac:dyDescent="0.2">
      <c r="A362" s="1">
        <v>44601</v>
      </c>
      <c r="B362">
        <f>2606.66</f>
        <v>2606.66</v>
      </c>
      <c r="C362">
        <f>12032.65</f>
        <v>12032.65</v>
      </c>
      <c r="D362">
        <f>7573.02</f>
        <v>7573.02</v>
      </c>
      <c r="E362">
        <f>3004.521</f>
        <v>3004.5210000000002</v>
      </c>
      <c r="F362">
        <f>2362.78</f>
        <v>2362.7800000000002</v>
      </c>
      <c r="G362">
        <f>10243.55</f>
        <v>10243.549999999999</v>
      </c>
      <c r="H362">
        <f>3974.2</f>
        <v>3974.2</v>
      </c>
      <c r="I362">
        <f>14213.11</f>
        <v>14213.11</v>
      </c>
      <c r="J362">
        <f>5729.72</f>
        <v>5729.72</v>
      </c>
      <c r="K362">
        <f>20110.62</f>
        <v>20110.62</v>
      </c>
      <c r="L362">
        <f>2787.97</f>
        <v>2787.97</v>
      </c>
      <c r="M362">
        <f>13767.35</f>
        <v>13767.35</v>
      </c>
      <c r="N362">
        <f>443.827</f>
        <v>443.827</v>
      </c>
      <c r="O362">
        <f>4014.03</f>
        <v>4014.03</v>
      </c>
      <c r="P362">
        <f>307.19</f>
        <v>307.19</v>
      </c>
      <c r="Q362">
        <f>4065.191</f>
        <v>4065.1909999999998</v>
      </c>
      <c r="R362">
        <f>9623.84</f>
        <v>9623.84</v>
      </c>
      <c r="S362">
        <f>3115.53</f>
        <v>3115.53</v>
      </c>
      <c r="T362">
        <f>3966.797</f>
        <v>3966.797</v>
      </c>
      <c r="U362">
        <f>76690.92</f>
        <v>76690.92</v>
      </c>
      <c r="V362">
        <f>687.99</f>
        <v>687.99</v>
      </c>
    </row>
    <row r="363" spans="1:22" x14ac:dyDescent="0.2">
      <c r="A363" s="1">
        <v>44600</v>
      </c>
      <c r="B363">
        <f>2586.49</f>
        <v>2586.4899999999998</v>
      </c>
      <c r="C363">
        <f>11895.07</f>
        <v>11895.07</v>
      </c>
      <c r="D363">
        <f>7497.38</f>
        <v>7497.38</v>
      </c>
      <c r="E363">
        <f>2956.012</f>
        <v>2956.0120000000002</v>
      </c>
      <c r="F363">
        <f>2352.59</f>
        <v>2352.59</v>
      </c>
      <c r="G363">
        <f>10154.67</f>
        <v>10154.67</v>
      </c>
      <c r="H363">
        <f>3973.02</f>
        <v>3973.02</v>
      </c>
      <c r="I363">
        <f>13930.46</f>
        <v>13930.46</v>
      </c>
      <c r="J363">
        <f>5691.93</f>
        <v>5691.93</v>
      </c>
      <c r="K363">
        <f>19801.65</f>
        <v>19801.650000000001</v>
      </c>
      <c r="L363">
        <f>2771.03</f>
        <v>2771.03</v>
      </c>
      <c r="M363">
        <f>13555.69</f>
        <v>13555.69</v>
      </c>
      <c r="N363">
        <f>438.364</f>
        <v>438.36399999999998</v>
      </c>
      <c r="O363">
        <f>3949.82</f>
        <v>3949.82</v>
      </c>
      <c r="P363">
        <f>306.91</f>
        <v>306.91000000000003</v>
      </c>
      <c r="Q363">
        <f>4021.753</f>
        <v>4021.7530000000002</v>
      </c>
      <c r="R363">
        <f>9484.95</f>
        <v>9484.9500000000007</v>
      </c>
      <c r="S363">
        <f>3086.54</f>
        <v>3086.54</v>
      </c>
      <c r="T363">
        <f>3941.366</f>
        <v>3941.366</v>
      </c>
      <c r="U363">
        <f>76090.52</f>
        <v>76090.52</v>
      </c>
      <c r="V363" t="e">
        <f>NA()</f>
        <v>#N/A</v>
      </c>
    </row>
    <row r="364" spans="1:22" x14ac:dyDescent="0.2">
      <c r="A364" s="1">
        <v>44599</v>
      </c>
      <c r="B364">
        <f>2571.88</f>
        <v>2571.88</v>
      </c>
      <c r="C364">
        <f>11800.94</f>
        <v>11800.94</v>
      </c>
      <c r="D364">
        <f>7503.72</f>
        <v>7503.72</v>
      </c>
      <c r="E364">
        <f>2954.849</f>
        <v>2954.8490000000002</v>
      </c>
      <c r="F364">
        <f>2311.96</f>
        <v>2311.96</v>
      </c>
      <c r="G364">
        <f>10149.25</f>
        <v>10149.25</v>
      </c>
      <c r="H364">
        <f>3985.62</f>
        <v>3985.62</v>
      </c>
      <c r="I364">
        <f>13973.66</f>
        <v>13973.66</v>
      </c>
      <c r="J364">
        <f>5657.89</f>
        <v>5657.89</v>
      </c>
      <c r="K364">
        <f>19635.74</f>
        <v>19635.740000000002</v>
      </c>
      <c r="L364">
        <f>2759.87</f>
        <v>2759.87</v>
      </c>
      <c r="M364">
        <f>13477.65</f>
        <v>13477.65</v>
      </c>
      <c r="N364">
        <f>441.311</f>
        <v>441.31099999999998</v>
      </c>
      <c r="O364">
        <f>3948.71</f>
        <v>3948.71</v>
      </c>
      <c r="P364">
        <f>306.96</f>
        <v>306.95999999999998</v>
      </c>
      <c r="Q364">
        <f>3996.96199</f>
        <v>3996.9619899999998</v>
      </c>
      <c r="R364">
        <f>9405.84</f>
        <v>9405.84</v>
      </c>
      <c r="S364">
        <f>3073.66</f>
        <v>3073.66</v>
      </c>
      <c r="T364">
        <f>3905.319</f>
        <v>3905.319</v>
      </c>
      <c r="U364">
        <f>75679.56</f>
        <v>75679.56</v>
      </c>
      <c r="V364">
        <f>681.15</f>
        <v>681.15</v>
      </c>
    </row>
    <row r="365" spans="1:22" x14ac:dyDescent="0.2">
      <c r="A365" s="1">
        <v>44596</v>
      </c>
      <c r="B365">
        <f>2559.38</f>
        <v>2559.38</v>
      </c>
      <c r="C365">
        <f>11704.49</f>
        <v>11704.49</v>
      </c>
      <c r="D365">
        <f>7447.17</f>
        <v>7447.17</v>
      </c>
      <c r="E365">
        <f>2959.128</f>
        <v>2959.1280000000002</v>
      </c>
      <c r="F365">
        <f>2289.2</f>
        <v>2289.1999999999998</v>
      </c>
      <c r="G365">
        <f>10071.34</f>
        <v>10071.34</v>
      </c>
      <c r="H365">
        <f>3964.37</f>
        <v>3964.37</v>
      </c>
      <c r="I365">
        <f>13872.99</f>
        <v>13872.99</v>
      </c>
      <c r="J365">
        <f>5658.19</f>
        <v>5658.19</v>
      </c>
      <c r="K365">
        <f>19703.71</f>
        <v>19703.71</v>
      </c>
      <c r="L365">
        <f>2749.09</f>
        <v>2749.09</v>
      </c>
      <c r="M365">
        <f>13486.38</f>
        <v>13486.38</v>
      </c>
      <c r="N365">
        <f>439.844</f>
        <v>439.84399999999999</v>
      </c>
      <c r="O365">
        <f>3918.62</f>
        <v>3918.62</v>
      </c>
      <c r="P365">
        <f>304.22</f>
        <v>304.22000000000003</v>
      </c>
      <c r="Q365">
        <f>4000.402</f>
        <v>4000.402</v>
      </c>
      <c r="R365">
        <f>9440.58</f>
        <v>9440.58</v>
      </c>
      <c r="S365">
        <f>3080.95</f>
        <v>3080.95</v>
      </c>
      <c r="T365">
        <f>3882.177</f>
        <v>3882.1770000000001</v>
      </c>
      <c r="U365">
        <f>75206</f>
        <v>75206</v>
      </c>
      <c r="V365">
        <f>679.15</f>
        <v>679.15</v>
      </c>
    </row>
    <row r="366" spans="1:22" x14ac:dyDescent="0.2">
      <c r="A366" s="1">
        <v>44595</v>
      </c>
      <c r="B366">
        <f>2565.7</f>
        <v>2565.6999999999998</v>
      </c>
      <c r="C366">
        <f>11633.06</f>
        <v>11633.06</v>
      </c>
      <c r="D366">
        <f>7459.5</f>
        <v>7459.5</v>
      </c>
      <c r="E366">
        <f>2932.828</f>
        <v>2932.828</v>
      </c>
      <c r="F366">
        <f>2298.31</f>
        <v>2298.31</v>
      </c>
      <c r="G366">
        <f>10143.41</f>
        <v>10143.41</v>
      </c>
      <c r="H366">
        <f>3954.54</f>
        <v>3954.54</v>
      </c>
      <c r="I366">
        <f>14036.8</f>
        <v>14036.8</v>
      </c>
      <c r="J366">
        <f>5693.18</f>
        <v>5693.18</v>
      </c>
      <c r="K366">
        <f>19566.88</f>
        <v>19566.88</v>
      </c>
      <c r="L366">
        <f>2768.03</f>
        <v>2768.03</v>
      </c>
      <c r="M366">
        <f>13445.13</f>
        <v>13445.13</v>
      </c>
      <c r="N366">
        <f>444.408</f>
        <v>444.40800000000002</v>
      </c>
      <c r="O366">
        <f>3965.13</f>
        <v>3965.13</v>
      </c>
      <c r="P366">
        <f>302.28</f>
        <v>302.27999999999997</v>
      </c>
      <c r="Q366">
        <f>4046.936</f>
        <v>4046.9360000000001</v>
      </c>
      <c r="R366">
        <f>9390.57</f>
        <v>9390.57</v>
      </c>
      <c r="S366">
        <f>3063.97</f>
        <v>3063.97</v>
      </c>
      <c r="T366">
        <f>3822.424</f>
        <v>3822.424</v>
      </c>
      <c r="U366">
        <f>75021.67</f>
        <v>75021.67</v>
      </c>
      <c r="V366">
        <f>673.4</f>
        <v>673.4</v>
      </c>
    </row>
    <row r="367" spans="1:22" x14ac:dyDescent="0.2">
      <c r="A367" s="1">
        <v>44594</v>
      </c>
      <c r="B367">
        <f>2572.37</f>
        <v>2572.37</v>
      </c>
      <c r="C367">
        <f>11636.49</f>
        <v>11636.49</v>
      </c>
      <c r="D367">
        <f>7513.16</f>
        <v>7513.16</v>
      </c>
      <c r="E367">
        <f>2939.674</f>
        <v>2939.674</v>
      </c>
      <c r="F367">
        <f>2293.78</f>
        <v>2293.7800000000002</v>
      </c>
      <c r="G367">
        <f>10172.51</f>
        <v>10172.51</v>
      </c>
      <c r="H367">
        <f>3951.12</f>
        <v>3951.12</v>
      </c>
      <c r="I367">
        <f>14143.25</f>
        <v>14143.25</v>
      </c>
      <c r="J367">
        <f>5759.1</f>
        <v>5759.1</v>
      </c>
      <c r="K367">
        <f>20075.09</f>
        <v>20075.09</v>
      </c>
      <c r="L367">
        <f>2781.65</f>
        <v>2781.65</v>
      </c>
      <c r="M367">
        <f>13714.89</f>
        <v>13714.89</v>
      </c>
      <c r="N367">
        <f>454.953</f>
        <v>454.95299999999997</v>
      </c>
      <c r="O367">
        <f>4037.58</f>
        <v>4037.58</v>
      </c>
      <c r="P367">
        <f>300.57</f>
        <v>300.57</v>
      </c>
      <c r="Q367">
        <f>4082.287</f>
        <v>4082.2869999999998</v>
      </c>
      <c r="R367">
        <f>9624.89</f>
        <v>9624.89</v>
      </c>
      <c r="S367">
        <f>3090.54</f>
        <v>3090.54</v>
      </c>
      <c r="T367">
        <f>3843.835</f>
        <v>3843.835</v>
      </c>
      <c r="U367">
        <f>75190.74</f>
        <v>75190.740000000005</v>
      </c>
      <c r="V367">
        <f>677.2</f>
        <v>677.2</v>
      </c>
    </row>
    <row r="368" spans="1:22" x14ac:dyDescent="0.2">
      <c r="A368" s="1">
        <v>44593</v>
      </c>
      <c r="B368">
        <f>2560.71</f>
        <v>2560.71</v>
      </c>
      <c r="C368">
        <f>11635.94</f>
        <v>11635.94</v>
      </c>
      <c r="D368">
        <f>7466.38</f>
        <v>7466.38</v>
      </c>
      <c r="E368">
        <f>2941.537</f>
        <v>2941.5369999999998</v>
      </c>
      <c r="F368">
        <f>2286.32</f>
        <v>2286.3200000000002</v>
      </c>
      <c r="G368">
        <f>10063.76</f>
        <v>10063.76</v>
      </c>
      <c r="H368">
        <f>3898.59</f>
        <v>3898.59</v>
      </c>
      <c r="I368">
        <f>14036.85</f>
        <v>14036.85</v>
      </c>
      <c r="J368">
        <f>5694.53</f>
        <v>5694.53</v>
      </c>
      <c r="K368">
        <f>19916.56</f>
        <v>19916.560000000001</v>
      </c>
      <c r="L368">
        <f>2754.35</f>
        <v>2754.35</v>
      </c>
      <c r="M368">
        <f>13594.9</f>
        <v>13594.9</v>
      </c>
      <c r="N368">
        <f>451.368</f>
        <v>451.36799999999999</v>
      </c>
      <c r="O368">
        <f>4023.28</f>
        <v>4023.28</v>
      </c>
      <c r="P368">
        <f>294.87</f>
        <v>294.87</v>
      </c>
      <c r="Q368">
        <f>4049.045</f>
        <v>4049.0450000000001</v>
      </c>
      <c r="R368">
        <f>9534.95</f>
        <v>9534.9500000000007</v>
      </c>
      <c r="S368">
        <f>3025.9</f>
        <v>3025.9</v>
      </c>
      <c r="T368">
        <f>3819.714</f>
        <v>3819.7139999999999</v>
      </c>
      <c r="U368">
        <f>74889.17</f>
        <v>74889.17</v>
      </c>
      <c r="V368">
        <f>674.74</f>
        <v>674.74</v>
      </c>
    </row>
    <row r="369" spans="1:22" x14ac:dyDescent="0.2">
      <c r="A369" s="1">
        <v>44592</v>
      </c>
      <c r="B369">
        <f>2537.46</f>
        <v>2537.46</v>
      </c>
      <c r="C369">
        <f>11575.51</f>
        <v>11575.51</v>
      </c>
      <c r="D369">
        <f>7395.62</f>
        <v>7395.62</v>
      </c>
      <c r="E369">
        <f>2927.511</f>
        <v>2927.511</v>
      </c>
      <c r="F369">
        <f>2246.81</f>
        <v>2246.81</v>
      </c>
      <c r="G369">
        <f>9908.641</f>
        <v>9908.6409999999996</v>
      </c>
      <c r="H369">
        <f>3886.03</f>
        <v>3886.03</v>
      </c>
      <c r="I369">
        <f>13810.11</f>
        <v>13810.11</v>
      </c>
      <c r="J369">
        <f>5671.17</f>
        <v>5671.17</v>
      </c>
      <c r="K369">
        <f>19771.41</f>
        <v>19771.41</v>
      </c>
      <c r="L369">
        <f>2743.93</f>
        <v>2743.93</v>
      </c>
      <c r="M369">
        <f>13473.44</f>
        <v>13473.44</v>
      </c>
      <c r="N369">
        <f>447.625</f>
        <v>447.625</v>
      </c>
      <c r="O369">
        <f>3972.97</f>
        <v>3972.97</v>
      </c>
      <c r="P369">
        <f>294.7</f>
        <v>294.7</v>
      </c>
      <c r="Q369">
        <f>4029.502</f>
        <v>4029.502</v>
      </c>
      <c r="R369">
        <f>9469.92</f>
        <v>9469.92</v>
      </c>
      <c r="S369">
        <f>3025.69</f>
        <v>3025.69</v>
      </c>
      <c r="T369">
        <f>3812.974</f>
        <v>3812.9740000000002</v>
      </c>
      <c r="U369">
        <f>74304.56</f>
        <v>74304.56</v>
      </c>
      <c r="V369">
        <f>678.02</f>
        <v>678.02</v>
      </c>
    </row>
    <row r="370" spans="1:22" x14ac:dyDescent="0.2">
      <c r="A370" s="1">
        <v>44589</v>
      </c>
      <c r="B370">
        <f>2545.33</f>
        <v>2545.33</v>
      </c>
      <c r="C370">
        <f>11523.53</f>
        <v>11523.53</v>
      </c>
      <c r="D370">
        <f>7397.31</f>
        <v>7397.31</v>
      </c>
      <c r="E370">
        <f>2886.088</f>
        <v>2886.0880000000002</v>
      </c>
      <c r="F370">
        <f>2285.84</f>
        <v>2285.84</v>
      </c>
      <c r="G370">
        <f>9921.263</f>
        <v>9921.2630000000008</v>
      </c>
      <c r="H370">
        <f>3878.75</f>
        <v>3878.75</v>
      </c>
      <c r="I370">
        <f>13615.66</f>
        <v>13615.66</v>
      </c>
      <c r="J370">
        <f>5637.99</f>
        <v>5637.99</v>
      </c>
      <c r="K370">
        <f>19365.58</f>
        <v>19365.580000000002</v>
      </c>
      <c r="L370">
        <f>2736.42</f>
        <v>2736.42</v>
      </c>
      <c r="M370">
        <f>13237.84</f>
        <v>13237.84</v>
      </c>
      <c r="N370">
        <f>445.17</f>
        <v>445.17</v>
      </c>
      <c r="O370">
        <f>3946.59</f>
        <v>3946.59</v>
      </c>
      <c r="P370">
        <f>294.44</f>
        <v>294.44</v>
      </c>
      <c r="Q370">
        <f>3992.501</f>
        <v>3992.5010000000002</v>
      </c>
      <c r="R370">
        <f>9294.21</f>
        <v>9294.2099999999991</v>
      </c>
      <c r="S370">
        <f>2995.29</f>
        <v>2995.29</v>
      </c>
      <c r="T370">
        <f>3731.621</f>
        <v>3731.6210000000001</v>
      </c>
      <c r="U370">
        <f>73454.96</f>
        <v>73454.960000000006</v>
      </c>
      <c r="V370">
        <f>666.67</f>
        <v>666.67</v>
      </c>
    </row>
    <row r="371" spans="1:22" x14ac:dyDescent="0.2">
      <c r="A371" s="1">
        <v>44588</v>
      </c>
      <c r="B371">
        <f>2575.16</f>
        <v>2575.16</v>
      </c>
      <c r="C371">
        <f>11551.34</f>
        <v>11551.34</v>
      </c>
      <c r="D371">
        <f>7484.74</f>
        <v>7484.74</v>
      </c>
      <c r="E371">
        <f>2888.104</f>
        <v>2888.1039999999998</v>
      </c>
      <c r="F371">
        <f>2327.04</f>
        <v>2327.04</v>
      </c>
      <c r="G371">
        <f>10027.48</f>
        <v>10027.48</v>
      </c>
      <c r="H371">
        <f>3801.98</f>
        <v>3801.98</v>
      </c>
      <c r="I371">
        <f>13724.86</f>
        <v>13724.86</v>
      </c>
      <c r="J371">
        <f>5559.33</f>
        <v>5559.33</v>
      </c>
      <c r="K371">
        <f>18886.85</f>
        <v>18886.849999999999</v>
      </c>
      <c r="L371">
        <f>2717.61</f>
        <v>2717.61</v>
      </c>
      <c r="M371">
        <f>13015.27</f>
        <v>13015.27</v>
      </c>
      <c r="N371">
        <f>448.272</f>
        <v>448.27199999999999</v>
      </c>
      <c r="O371">
        <f>3986.4</f>
        <v>3986.4</v>
      </c>
      <c r="P371">
        <f>289.67</f>
        <v>289.67</v>
      </c>
      <c r="Q371">
        <f>3948.901</f>
        <v>3948.9009999999998</v>
      </c>
      <c r="R371">
        <f>9072.24</f>
        <v>9072.24</v>
      </c>
      <c r="S371">
        <f>2940.1</f>
        <v>2940.1</v>
      </c>
      <c r="T371">
        <f>3766.899</f>
        <v>3766.8989999999999</v>
      </c>
      <c r="U371">
        <f>73504.04</f>
        <v>73504.039999999994</v>
      </c>
      <c r="V371">
        <f>670.69</f>
        <v>670.69</v>
      </c>
    </row>
    <row r="372" spans="1:22" x14ac:dyDescent="0.2">
      <c r="A372" s="1">
        <v>44587</v>
      </c>
      <c r="B372">
        <f>2551.25</f>
        <v>2551.25</v>
      </c>
      <c r="C372">
        <f>11572.46</f>
        <v>11572.46</v>
      </c>
      <c r="D372">
        <f>7400.98</f>
        <v>7400.98</v>
      </c>
      <c r="E372">
        <f>2935.008</f>
        <v>2935.0079999999998</v>
      </c>
      <c r="F372">
        <f>2313.3</f>
        <v>2313.3000000000002</v>
      </c>
      <c r="G372">
        <f>9994.949</f>
        <v>9994.9490000000005</v>
      </c>
      <c r="H372">
        <f>3890.2</f>
        <v>3890.2</v>
      </c>
      <c r="I372">
        <f>13828.73</f>
        <v>13828.73</v>
      </c>
      <c r="J372">
        <f>5567.25</f>
        <v>5567.25</v>
      </c>
      <c r="K372">
        <f>18995.12</f>
        <v>18995.12</v>
      </c>
      <c r="L372">
        <f>2721.6</f>
        <v>2721.6</v>
      </c>
      <c r="M372">
        <f>13121.99</f>
        <v>13121.99</v>
      </c>
      <c r="N372">
        <f>445.34</f>
        <v>445.34</v>
      </c>
      <c r="O372">
        <f>3959.27</f>
        <v>3959.27</v>
      </c>
      <c r="P372">
        <f>292.43</f>
        <v>292.43</v>
      </c>
      <c r="Q372">
        <f>3942.914</f>
        <v>3942.9140000000002</v>
      </c>
      <c r="R372">
        <f>9120.75</f>
        <v>9120.75</v>
      </c>
      <c r="S372">
        <f>3018.96</f>
        <v>3018.96</v>
      </c>
      <c r="T372">
        <f>3845.693</f>
        <v>3845.6930000000002</v>
      </c>
      <c r="U372">
        <f>73797.33</f>
        <v>73797.33</v>
      </c>
      <c r="V372">
        <f>673.78</f>
        <v>673.78</v>
      </c>
    </row>
    <row r="373" spans="1:22" x14ac:dyDescent="0.2">
      <c r="A373" s="1">
        <v>44586</v>
      </c>
      <c r="B373">
        <f>2520.28</f>
        <v>2520.2800000000002</v>
      </c>
      <c r="C373">
        <f>11533.33</f>
        <v>11533.33</v>
      </c>
      <c r="D373">
        <f>7303.57</f>
        <v>7303.57</v>
      </c>
      <c r="E373">
        <f>2932.575</f>
        <v>2932.5749999999998</v>
      </c>
      <c r="F373">
        <f>2273.5</f>
        <v>2273.5</v>
      </c>
      <c r="G373">
        <f>9845.929</f>
        <v>9845.9290000000001</v>
      </c>
      <c r="H373">
        <f>3908.26</f>
        <v>3908.26</v>
      </c>
      <c r="I373">
        <f>13580.04</f>
        <v>13580.04</v>
      </c>
      <c r="J373">
        <f>5601.42</f>
        <v>5601.42</v>
      </c>
      <c r="K373">
        <f>19039.1</f>
        <v>19039.099999999999</v>
      </c>
      <c r="L373">
        <f>2723.24</f>
        <v>2723.24</v>
      </c>
      <c r="M373">
        <f>13103.33</f>
        <v>13103.33</v>
      </c>
      <c r="N373">
        <f>441.98</f>
        <v>441.98</v>
      </c>
      <c r="O373">
        <f>3892.03</f>
        <v>3892.03</v>
      </c>
      <c r="P373">
        <f>292.93</f>
        <v>292.93</v>
      </c>
      <c r="Q373">
        <f>3982.21014</f>
        <v>3982.2101400000001</v>
      </c>
      <c r="R373">
        <f>9134.33</f>
        <v>9134.33</v>
      </c>
      <c r="S373">
        <f>3026.56</f>
        <v>3026.56</v>
      </c>
      <c r="T373">
        <f>3778.393</f>
        <v>3778.393</v>
      </c>
      <c r="U373">
        <f>72314.81</f>
        <v>72314.81</v>
      </c>
      <c r="V373">
        <f>656.41</f>
        <v>656.41</v>
      </c>
    </row>
    <row r="374" spans="1:22" x14ac:dyDescent="0.2">
      <c r="A374" s="1">
        <v>44585</v>
      </c>
      <c r="B374">
        <f>2492.86</f>
        <v>2492.86</v>
      </c>
      <c r="C374">
        <f>11576.53</f>
        <v>11576.53</v>
      </c>
      <c r="D374">
        <f>7229.94</f>
        <v>7229.94</v>
      </c>
      <c r="E374">
        <f>2960.946</f>
        <v>2960.9459999999999</v>
      </c>
      <c r="F374">
        <f>2259.86</f>
        <v>2259.86</v>
      </c>
      <c r="G374">
        <f>9725.948</f>
        <v>9725.9480000000003</v>
      </c>
      <c r="H374">
        <f>3928.45</f>
        <v>3928.45</v>
      </c>
      <c r="I374">
        <f>13555.32</f>
        <v>13555.32</v>
      </c>
      <c r="J374">
        <f>5622.53</f>
        <v>5622.53</v>
      </c>
      <c r="K374">
        <f>19298.11</f>
        <v>19298.11</v>
      </c>
      <c r="L374">
        <f>2721.8</f>
        <v>2721.8</v>
      </c>
      <c r="M374">
        <f>13235.23</f>
        <v>13235.23</v>
      </c>
      <c r="N374">
        <f>438.545</f>
        <v>438.54500000000002</v>
      </c>
      <c r="O374">
        <f>3860.95</f>
        <v>3860.95</v>
      </c>
      <c r="P374">
        <f>296.3</f>
        <v>296.3</v>
      </c>
      <c r="Q374">
        <f>4016.9</f>
        <v>4016.9</v>
      </c>
      <c r="R374">
        <f>9246.84</f>
        <v>9246.84</v>
      </c>
      <c r="S374">
        <f>3079.62</f>
        <v>3079.62</v>
      </c>
      <c r="T374">
        <f>3748.635</f>
        <v>3748.6350000000002</v>
      </c>
      <c r="U374">
        <f>72164.02</f>
        <v>72164.02</v>
      </c>
      <c r="V374">
        <f>649.06</f>
        <v>649.05999999999995</v>
      </c>
    </row>
    <row r="375" spans="1:22" x14ac:dyDescent="0.2">
      <c r="A375" s="1">
        <v>44582</v>
      </c>
      <c r="B375">
        <f>2550.95</f>
        <v>2550.9499999999998</v>
      </c>
      <c r="C375">
        <f>11741.94</f>
        <v>11741.94</v>
      </c>
      <c r="D375">
        <f>7425.1</f>
        <v>7425.1</v>
      </c>
      <c r="E375">
        <f>3014.57</f>
        <v>3014.57</v>
      </c>
      <c r="F375">
        <f>2331.18</f>
        <v>2331.1799999999998</v>
      </c>
      <c r="G375">
        <f>10042.92</f>
        <v>10042.92</v>
      </c>
      <c r="H375">
        <f>3929.2</f>
        <v>3929.2</v>
      </c>
      <c r="I375">
        <f>14165.84</f>
        <v>14165.84</v>
      </c>
      <c r="J375">
        <f>5616</f>
        <v>5616</v>
      </c>
      <c r="K375">
        <f>19233.45</f>
        <v>19233.45</v>
      </c>
      <c r="L375">
        <f>2752.15</f>
        <v>2752.15</v>
      </c>
      <c r="M375">
        <f>13320.91</f>
        <v>13320.91</v>
      </c>
      <c r="N375">
        <f>451.426</f>
        <v>451.42599999999999</v>
      </c>
      <c r="O375">
        <f>4012.43</f>
        <v>4012.43</v>
      </c>
      <c r="P375">
        <f>293.46</f>
        <v>293.45999999999998</v>
      </c>
      <c r="Q375">
        <f>4006.831</f>
        <v>4006.8310000000001</v>
      </c>
      <c r="R375">
        <f>9221.28</f>
        <v>9221.2800000000007</v>
      </c>
      <c r="S375">
        <f>3075.33</f>
        <v>3075.33</v>
      </c>
      <c r="T375">
        <f>3881.331</f>
        <v>3881.3310000000001</v>
      </c>
      <c r="U375">
        <f>74834.52</f>
        <v>74834.52</v>
      </c>
      <c r="V375">
        <f>676.14</f>
        <v>676.14</v>
      </c>
    </row>
    <row r="376" spans="1:22" x14ac:dyDescent="0.2">
      <c r="A376" s="1">
        <v>44581</v>
      </c>
      <c r="B376">
        <f>2587.2</f>
        <v>2587.1999999999998</v>
      </c>
      <c r="C376">
        <f>11813.53</f>
        <v>11813.53</v>
      </c>
      <c r="D376">
        <f>7515.15</f>
        <v>7515.15</v>
      </c>
      <c r="E376">
        <f>3042.265</f>
        <v>3042.2649999999999</v>
      </c>
      <c r="F376">
        <f>2377.11</f>
        <v>2377.11</v>
      </c>
      <c r="G376">
        <f>10232.16</f>
        <v>10232.16</v>
      </c>
      <c r="H376">
        <f>3924.87</f>
        <v>3924.87</v>
      </c>
      <c r="I376">
        <f>14421.98</f>
        <v>14421.98</v>
      </c>
      <c r="J376">
        <f>5661.37</f>
        <v>5661.37</v>
      </c>
      <c r="K376">
        <f>19618.77</f>
        <v>19618.77</v>
      </c>
      <c r="L376">
        <f>2778.36</f>
        <v>2778.36</v>
      </c>
      <c r="M376">
        <f>13572.49</f>
        <v>13572.49</v>
      </c>
      <c r="N376">
        <f>458.614</f>
        <v>458.61399999999998</v>
      </c>
      <c r="O376">
        <f>4085.05</f>
        <v>4085.05</v>
      </c>
      <c r="P376">
        <f>293.47</f>
        <v>293.47000000000003</v>
      </c>
      <c r="Q376">
        <f>4043.864</f>
        <v>4043.864</v>
      </c>
      <c r="R376">
        <f>9398.96</f>
        <v>9398.9599999999991</v>
      </c>
      <c r="S376">
        <f>3093.44</f>
        <v>3093.44</v>
      </c>
      <c r="T376">
        <f>3930.723</f>
        <v>3930.723</v>
      </c>
      <c r="U376">
        <f>76233.26</f>
        <v>76233.259999999995</v>
      </c>
      <c r="V376">
        <f>679.49</f>
        <v>679.49</v>
      </c>
    </row>
    <row r="377" spans="1:22" x14ac:dyDescent="0.2">
      <c r="A377" s="1">
        <v>44580</v>
      </c>
      <c r="B377">
        <f>2593.69</f>
        <v>2593.69</v>
      </c>
      <c r="C377">
        <f>11756.09</f>
        <v>11756.09</v>
      </c>
      <c r="D377">
        <f>7518.85</f>
        <v>7518.85</v>
      </c>
      <c r="E377">
        <f>3003.656</f>
        <v>3003.6559999999999</v>
      </c>
      <c r="F377">
        <f>2382.61</f>
        <v>2382.61</v>
      </c>
      <c r="G377">
        <f>10223.79</f>
        <v>10223.790000000001</v>
      </c>
      <c r="H377">
        <f>3882.84</f>
        <v>3882.84</v>
      </c>
      <c r="I377">
        <f>14327.88</f>
        <v>14327.88</v>
      </c>
      <c r="J377">
        <f>5717.15</f>
        <v>5717.15</v>
      </c>
      <c r="K377">
        <f>19833.33</f>
        <v>19833.330000000002</v>
      </c>
      <c r="L377">
        <f>2784.48</f>
        <v>2784.48</v>
      </c>
      <c r="M377">
        <f>13643.74</f>
        <v>13643.74</v>
      </c>
      <c r="N377">
        <f>456.489</f>
        <v>456.48899999999998</v>
      </c>
      <c r="O377">
        <f>4064.6</f>
        <v>4064.6</v>
      </c>
      <c r="P377">
        <f>293.48</f>
        <v>293.48</v>
      </c>
      <c r="Q377">
        <f>4097.204</f>
        <v>4097.2039999999997</v>
      </c>
      <c r="R377">
        <f>9503.14</f>
        <v>9503.14</v>
      </c>
      <c r="S377">
        <f>3063.42</f>
        <v>3063.42</v>
      </c>
      <c r="T377">
        <f>3847.906</f>
        <v>3847.9059999999999</v>
      </c>
      <c r="U377">
        <f>76176.15</f>
        <v>76176.149999999994</v>
      </c>
      <c r="V377">
        <f>678.03</f>
        <v>678.03</v>
      </c>
    </row>
    <row r="378" spans="1:22" x14ac:dyDescent="0.2">
      <c r="A378" s="1">
        <v>44579</v>
      </c>
      <c r="B378">
        <f>2579.91</f>
        <v>2579.91</v>
      </c>
      <c r="C378">
        <f>11640.72</f>
        <v>11640.72</v>
      </c>
      <c r="D378">
        <f>7492.98</f>
        <v>7492.98</v>
      </c>
      <c r="E378">
        <f>3007.8</f>
        <v>3007.8</v>
      </c>
      <c r="F378">
        <f>2342.59</f>
        <v>2342.59</v>
      </c>
      <c r="G378">
        <f>10154.56</f>
        <v>10154.56</v>
      </c>
      <c r="H378">
        <f>3938.48</f>
        <v>3938.48</v>
      </c>
      <c r="I378">
        <f>14318.03</f>
        <v>14318.03</v>
      </c>
      <c r="J378">
        <f>5763.8</f>
        <v>5763.8</v>
      </c>
      <c r="K378">
        <f>20025.95</f>
        <v>20025.95</v>
      </c>
      <c r="L378">
        <f>2800.44</f>
        <v>2800.44</v>
      </c>
      <c r="M378">
        <f>13756.26</f>
        <v>13756.26</v>
      </c>
      <c r="N378">
        <f>455.993</f>
        <v>455.99299999999999</v>
      </c>
      <c r="O378">
        <f>4058.52</f>
        <v>4058.52</v>
      </c>
      <c r="P378">
        <f>298.91</f>
        <v>298.91000000000003</v>
      </c>
      <c r="Q378">
        <f>4123.191</f>
        <v>4123.1909999999998</v>
      </c>
      <c r="R378">
        <f>9595.93</f>
        <v>9595.93</v>
      </c>
      <c r="S378">
        <f>3157.03</f>
        <v>3157.03</v>
      </c>
      <c r="T378">
        <f>3766.771</f>
        <v>3766.7710000000002</v>
      </c>
      <c r="U378">
        <f>74955.66</f>
        <v>74955.66</v>
      </c>
      <c r="V378">
        <f>663.03</f>
        <v>663.03</v>
      </c>
    </row>
    <row r="379" spans="1:22" x14ac:dyDescent="0.2">
      <c r="A379" s="1">
        <v>44578</v>
      </c>
      <c r="B379">
        <f>2578.83</f>
        <v>2578.83</v>
      </c>
      <c r="C379">
        <f>11699.96</f>
        <v>11699.96</v>
      </c>
      <c r="D379">
        <f>7540.22</f>
        <v>7540.22</v>
      </c>
      <c r="E379">
        <f>3038.864</f>
        <v>3038.864</v>
      </c>
      <c r="F379">
        <f>2348.13</f>
        <v>2348.13</v>
      </c>
      <c r="G379">
        <f>10257.48</f>
        <v>10257.48</v>
      </c>
      <c r="H379">
        <f>3952.49</f>
        <v>3952.49</v>
      </c>
      <c r="I379">
        <f>14540.74</f>
        <v>14540.74</v>
      </c>
      <c r="J379">
        <f>5835.28</f>
        <v>5835.28</v>
      </c>
      <c r="K379">
        <f>20412.13</f>
        <v>20412.13</v>
      </c>
      <c r="L379">
        <f>2826.72</f>
        <v>2826.72</v>
      </c>
      <c r="M379">
        <f>13985.01</f>
        <v>13985.01</v>
      </c>
      <c r="N379">
        <f>461.028</f>
        <v>461.02800000000002</v>
      </c>
      <c r="O379">
        <f>4092.69</f>
        <v>4092.69</v>
      </c>
      <c r="P379">
        <f>301.5</f>
        <v>301.5</v>
      </c>
      <c r="Q379" t="e">
        <f>NA()</f>
        <v>#N/A</v>
      </c>
      <c r="R379" t="e">
        <f>NA()</f>
        <v>#N/A</v>
      </c>
      <c r="S379">
        <f>3170.31</f>
        <v>3170.31</v>
      </c>
      <c r="T379">
        <f>3822.694</f>
        <v>3822.694</v>
      </c>
      <c r="U379">
        <f>75593.47</f>
        <v>75593.47</v>
      </c>
      <c r="V379">
        <f>671.34</f>
        <v>671.34</v>
      </c>
    </row>
    <row r="380" spans="1:22" x14ac:dyDescent="0.2">
      <c r="A380" s="1">
        <v>44575</v>
      </c>
      <c r="B380">
        <f>2554.6</f>
        <v>2554.6</v>
      </c>
      <c r="C380">
        <f>11738.62</f>
        <v>11738.62</v>
      </c>
      <c r="D380">
        <f>7472.58</f>
        <v>7472.58</v>
      </c>
      <c r="E380">
        <f>3046.242</f>
        <v>3046.2420000000002</v>
      </c>
      <c r="F380">
        <f>2305.66</f>
        <v>2305.66</v>
      </c>
      <c r="G380">
        <f>10189.03</f>
        <v>10189.030000000001</v>
      </c>
      <c r="H380">
        <f>3952.1</f>
        <v>3952.1</v>
      </c>
      <c r="I380">
        <f>14488.55</f>
        <v>14488.55</v>
      </c>
      <c r="J380">
        <f>5835.28</f>
        <v>5835.28</v>
      </c>
      <c r="K380">
        <f>20412.13</f>
        <v>20412.13</v>
      </c>
      <c r="L380">
        <f>2822.8</f>
        <v>2822.8</v>
      </c>
      <c r="M380">
        <f>13971.49</f>
        <v>13971.49</v>
      </c>
      <c r="N380">
        <f>457.861</f>
        <v>457.86099999999999</v>
      </c>
      <c r="O380">
        <f>4064.84</f>
        <v>4064.84</v>
      </c>
      <c r="P380">
        <f>300.24</f>
        <v>300.24</v>
      </c>
      <c r="Q380">
        <f>4164.72</f>
        <v>4164.72</v>
      </c>
      <c r="R380">
        <f>9775.53</f>
        <v>9775.5300000000007</v>
      </c>
      <c r="S380">
        <f>3155.88</f>
        <v>3155.88</v>
      </c>
      <c r="T380">
        <f>3827.415</f>
        <v>3827.415</v>
      </c>
      <c r="U380">
        <f>75160.21</f>
        <v>75160.210000000006</v>
      </c>
      <c r="V380">
        <f>669.74</f>
        <v>669.74</v>
      </c>
    </row>
    <row r="381" spans="1:22" x14ac:dyDescent="0.2">
      <c r="A381" s="1">
        <v>44574</v>
      </c>
      <c r="B381">
        <f>2559.66</f>
        <v>2559.66</v>
      </c>
      <c r="C381">
        <f>11822.07</f>
        <v>11822.07</v>
      </c>
      <c r="D381">
        <f>7493.28</f>
        <v>7493.28</v>
      </c>
      <c r="E381">
        <f>3060.382</f>
        <v>3060.3820000000001</v>
      </c>
      <c r="F381">
        <f>2319.38</f>
        <v>2319.38</v>
      </c>
      <c r="G381">
        <f>10240.51</f>
        <v>10240.51</v>
      </c>
      <c r="H381">
        <f>3967.42</f>
        <v>3967.42</v>
      </c>
      <c r="I381">
        <f>14685.63</f>
        <v>14685.63</v>
      </c>
      <c r="J381">
        <f>5838.91</f>
        <v>5838.91</v>
      </c>
      <c r="K381">
        <f>20399.6</f>
        <v>20399.599999999999</v>
      </c>
      <c r="L381">
        <f>2825.05</f>
        <v>2825.05</v>
      </c>
      <c r="M381">
        <f>14010.98</f>
        <v>14010.98</v>
      </c>
      <c r="N381">
        <f>462.288</f>
        <v>462.28800000000001</v>
      </c>
      <c r="O381">
        <f>4100</f>
        <v>4100</v>
      </c>
      <c r="P381">
        <f>302.24</f>
        <v>302.24</v>
      </c>
      <c r="Q381">
        <f>4183.076</f>
        <v>4183.076</v>
      </c>
      <c r="R381">
        <f>9767.35</f>
        <v>9767.35</v>
      </c>
      <c r="S381">
        <f>3200.44</f>
        <v>3200.44</v>
      </c>
      <c r="T381">
        <f>3892.837</f>
        <v>3892.837</v>
      </c>
      <c r="U381">
        <f>75925.55</f>
        <v>75925.55</v>
      </c>
      <c r="V381">
        <f>679.6</f>
        <v>679.6</v>
      </c>
    </row>
    <row r="382" spans="1:22" x14ac:dyDescent="0.2">
      <c r="A382" s="1">
        <v>44573</v>
      </c>
      <c r="B382">
        <f>2549.74</f>
        <v>2549.7399999999998</v>
      </c>
      <c r="C382">
        <f>11831.15</f>
        <v>11831.15</v>
      </c>
      <c r="D382">
        <f>7479.68</f>
        <v>7479.68</v>
      </c>
      <c r="E382">
        <f>3069.684</f>
        <v>3069.6840000000002</v>
      </c>
      <c r="F382">
        <f>2297.57</f>
        <v>2297.5700000000002</v>
      </c>
      <c r="G382">
        <f>10181.31</f>
        <v>10181.31</v>
      </c>
      <c r="H382">
        <f>3942.45</f>
        <v>3942.45</v>
      </c>
      <c r="I382">
        <f>14639.94</f>
        <v>14639.94</v>
      </c>
      <c r="J382">
        <f>5847.8</f>
        <v>5847.8</v>
      </c>
      <c r="K382">
        <f>20720.55</f>
        <v>20720.55</v>
      </c>
      <c r="L382">
        <f>2819.35</f>
        <v>2819.35</v>
      </c>
      <c r="M382">
        <f>14151.07</f>
        <v>14151.07</v>
      </c>
      <c r="N382">
        <f>467.363</f>
        <v>467.363</v>
      </c>
      <c r="O382">
        <f>4100.29</f>
        <v>4100.29</v>
      </c>
      <c r="P382">
        <f>301.39</f>
        <v>301.39</v>
      </c>
      <c r="Q382">
        <f>4188.99</f>
        <v>4188.99</v>
      </c>
      <c r="R382">
        <f>9907.38</f>
        <v>9907.3799999999992</v>
      </c>
      <c r="S382">
        <f>3222.42</f>
        <v>3222.42</v>
      </c>
      <c r="T382">
        <f>3907.023</f>
        <v>3907.0230000000001</v>
      </c>
      <c r="U382">
        <f>75884.75</f>
        <v>75884.75</v>
      </c>
      <c r="V382">
        <f>683.13</f>
        <v>683.13</v>
      </c>
    </row>
    <row r="383" spans="1:22" x14ac:dyDescent="0.2">
      <c r="A383" s="1">
        <v>44572</v>
      </c>
      <c r="B383">
        <f>2527.14</f>
        <v>2527.14</v>
      </c>
      <c r="C383">
        <f>11738.72</f>
        <v>11738.72</v>
      </c>
      <c r="D383">
        <f>7419.91</f>
        <v>7419.91</v>
      </c>
      <c r="E383">
        <f>3010.755</f>
        <v>3010.7550000000001</v>
      </c>
      <c r="F383">
        <f>2243.74</f>
        <v>2243.7399999999998</v>
      </c>
      <c r="G383">
        <f>10039.56</f>
        <v>10039.56</v>
      </c>
      <c r="H383">
        <f>3881.09</f>
        <v>3881.09</v>
      </c>
      <c r="I383">
        <f>14446.09</f>
        <v>14446.09</v>
      </c>
      <c r="J383">
        <f>5847.71</f>
        <v>5847.71</v>
      </c>
      <c r="K383">
        <f>20669.69</f>
        <v>20669.689999999999</v>
      </c>
      <c r="L383">
        <f>2805.69</f>
        <v>2805.69</v>
      </c>
      <c r="M383">
        <f>14059.12</f>
        <v>14059.12</v>
      </c>
      <c r="N383">
        <f>465.657</f>
        <v>465.65699999999998</v>
      </c>
      <c r="O383">
        <f>4072.53</f>
        <v>4072.53</v>
      </c>
      <c r="P383">
        <f>298.55</f>
        <v>298.55</v>
      </c>
      <c r="Q383">
        <f>4187.56</f>
        <v>4187.5600000000004</v>
      </c>
      <c r="R383">
        <f>9879.39</f>
        <v>9879.39</v>
      </c>
      <c r="S383">
        <f>3170.49</f>
        <v>3170.49</v>
      </c>
      <c r="T383">
        <f>3772.108</f>
        <v>3772.1080000000002</v>
      </c>
      <c r="U383">
        <f>73971.43</f>
        <v>73971.429999999993</v>
      </c>
      <c r="V383">
        <f>665.93</f>
        <v>665.93</v>
      </c>
    </row>
    <row r="384" spans="1:22" x14ac:dyDescent="0.2">
      <c r="A384" s="1">
        <v>44571</v>
      </c>
      <c r="B384">
        <f>2514.04</f>
        <v>2514.04</v>
      </c>
      <c r="C384">
        <f>11628.75</f>
        <v>11628.75</v>
      </c>
      <c r="D384">
        <f>7374.22</f>
        <v>7374.22</v>
      </c>
      <c r="E384">
        <f>2984.658</f>
        <v>2984.6579999999999</v>
      </c>
      <c r="F384">
        <f>2217.26</f>
        <v>2217.2600000000002</v>
      </c>
      <c r="G384">
        <f>9952.504</f>
        <v>9952.5040000000008</v>
      </c>
      <c r="H384">
        <f>3876.87</f>
        <v>3876.87</v>
      </c>
      <c r="I384">
        <f>14288.22</f>
        <v>14288.22</v>
      </c>
      <c r="J384">
        <f>5829.35</f>
        <v>5829.35</v>
      </c>
      <c r="K384">
        <f>20465.56</f>
        <v>20465.560000000001</v>
      </c>
      <c r="L384">
        <f>2794.61</f>
        <v>2794.61</v>
      </c>
      <c r="M384">
        <f>13939.14</f>
        <v>13939.14</v>
      </c>
      <c r="N384">
        <f>462.966</f>
        <v>462.96600000000001</v>
      </c>
      <c r="O384">
        <f>4038.12</f>
        <v>4038.12</v>
      </c>
      <c r="P384" t="e">
        <f>NA()</f>
        <v>#N/A</v>
      </c>
      <c r="Q384">
        <f>4163.635</f>
        <v>4163.6350000000002</v>
      </c>
      <c r="R384">
        <f>9789.72</f>
        <v>9789.7199999999993</v>
      </c>
      <c r="S384" t="e">
        <f>NA()</f>
        <v>#N/A</v>
      </c>
      <c r="T384">
        <f>3689.762</f>
        <v>3689.7620000000002</v>
      </c>
      <c r="U384">
        <f>73830.47</f>
        <v>73830.47</v>
      </c>
      <c r="V384">
        <f>659.62</f>
        <v>659.62</v>
      </c>
    </row>
    <row r="385" spans="1:22" x14ac:dyDescent="0.2">
      <c r="A385" s="1">
        <v>44568</v>
      </c>
      <c r="B385">
        <f>2516.84</f>
        <v>2516.84</v>
      </c>
      <c r="C385">
        <f>11596</f>
        <v>11596</v>
      </c>
      <c r="D385">
        <f>7413.88</f>
        <v>7413.88</v>
      </c>
      <c r="E385">
        <f>2969.723</f>
        <v>2969.723</v>
      </c>
      <c r="F385">
        <f>2218.74</f>
        <v>2218.7399999999998</v>
      </c>
      <c r="G385">
        <f>10005.26</f>
        <v>10005.26</v>
      </c>
      <c r="H385">
        <f>3858.77</f>
        <v>3858.77</v>
      </c>
      <c r="I385">
        <f>14578.12</f>
        <v>14578.12</v>
      </c>
      <c r="J385">
        <f>5834.64</f>
        <v>5834.64</v>
      </c>
      <c r="K385">
        <f>20489.56</f>
        <v>20489.560000000001</v>
      </c>
      <c r="L385">
        <f>2797.83</f>
        <v>2797.83</v>
      </c>
      <c r="M385">
        <f>13989.32</f>
        <v>13989.32</v>
      </c>
      <c r="N385">
        <f>472.193</f>
        <v>472.19299999999998</v>
      </c>
      <c r="O385">
        <f>4096.26</f>
        <v>4096.26</v>
      </c>
      <c r="P385">
        <f>295.31</f>
        <v>295.31</v>
      </c>
      <c r="Q385">
        <f>4196.047</f>
        <v>4196.0469999999996</v>
      </c>
      <c r="R385">
        <f>9803.85</f>
        <v>9803.85</v>
      </c>
      <c r="S385">
        <f>3184.63</f>
        <v>3184.63</v>
      </c>
      <c r="T385">
        <f>3675.617</f>
        <v>3675.6170000000002</v>
      </c>
      <c r="U385">
        <f>73939.71</f>
        <v>73939.710000000006</v>
      </c>
      <c r="V385">
        <f>656.95</f>
        <v>656.95</v>
      </c>
    </row>
    <row r="386" spans="1:22" x14ac:dyDescent="0.2">
      <c r="A386" s="1">
        <v>44567</v>
      </c>
      <c r="B386">
        <f>2494</f>
        <v>2494</v>
      </c>
      <c r="C386">
        <f>11496.79</f>
        <v>11496.79</v>
      </c>
      <c r="D386">
        <f>7379.29</f>
        <v>7379.29</v>
      </c>
      <c r="E386">
        <f>2947.852</f>
        <v>2947.8519999999999</v>
      </c>
      <c r="F386">
        <f>2176.21</f>
        <v>2176.21</v>
      </c>
      <c r="G386">
        <f>9917.912</f>
        <v>9917.9120000000003</v>
      </c>
      <c r="H386">
        <f>3842.63</f>
        <v>3842.63</v>
      </c>
      <c r="I386">
        <f>14585.74</f>
        <v>14585.74</v>
      </c>
      <c r="J386">
        <f>5817.24</f>
        <v>5817.24</v>
      </c>
      <c r="K386">
        <f>20580.76</f>
        <v>20580.759999999998</v>
      </c>
      <c r="L386">
        <f>2781.13</f>
        <v>2781.13</v>
      </c>
      <c r="M386">
        <f>14018.45</f>
        <v>14018.45</v>
      </c>
      <c r="N386">
        <f>474.386</f>
        <v>474.38600000000002</v>
      </c>
      <c r="O386">
        <f>4106.43</f>
        <v>4106.43</v>
      </c>
      <c r="P386">
        <f>293.24</f>
        <v>293.24</v>
      </c>
      <c r="Q386">
        <f>4193.463</f>
        <v>4193.4629999999997</v>
      </c>
      <c r="R386">
        <f>9841.92</f>
        <v>9841.92</v>
      </c>
      <c r="S386">
        <f>3186.75</f>
        <v>3186.75</v>
      </c>
      <c r="T386">
        <f>3694.548</f>
        <v>3694.5479999999998</v>
      </c>
      <c r="U386">
        <f>74165.25</f>
        <v>74165.25</v>
      </c>
      <c r="V386">
        <f>656.8</f>
        <v>656.8</v>
      </c>
    </row>
    <row r="387" spans="1:22" x14ac:dyDescent="0.2">
      <c r="A387" s="1">
        <v>44566</v>
      </c>
      <c r="B387">
        <f>2507.75</f>
        <v>2507.75</v>
      </c>
      <c r="C387">
        <f>11581.78</f>
        <v>11581.78</v>
      </c>
      <c r="D387">
        <f>7444.62</f>
        <v>7444.62</v>
      </c>
      <c r="E387">
        <f>2961.388</f>
        <v>2961.3879999999999</v>
      </c>
      <c r="F387">
        <f>2188.35</f>
        <v>2188.35</v>
      </c>
      <c r="G387">
        <f>10024.33</f>
        <v>10024.33</v>
      </c>
      <c r="H387">
        <f>3867.94</f>
        <v>3867.94</v>
      </c>
      <c r="I387">
        <f>14840.01</f>
        <v>14840.01</v>
      </c>
      <c r="J387">
        <f>5817.23</f>
        <v>5817.23</v>
      </c>
      <c r="K387">
        <f>20598.07</f>
        <v>20598.07</v>
      </c>
      <c r="L387">
        <f>2791.92</f>
        <v>2791.92</v>
      </c>
      <c r="M387">
        <f>14098.73</f>
        <v>14098.73</v>
      </c>
      <c r="N387">
        <f>483.34</f>
        <v>483.34</v>
      </c>
      <c r="O387">
        <f>4157.24</f>
        <v>4157.24</v>
      </c>
      <c r="P387">
        <f>294.72</f>
        <v>294.72000000000003</v>
      </c>
      <c r="Q387">
        <f>4205.603</f>
        <v>4205.6030000000001</v>
      </c>
      <c r="R387">
        <f>9850.7</f>
        <v>9850.7000000000007</v>
      </c>
      <c r="S387">
        <f>3254.2</f>
        <v>3254.2</v>
      </c>
      <c r="T387">
        <f>3778.033</f>
        <v>3778.0329999999999</v>
      </c>
      <c r="U387">
        <f>75060.92</f>
        <v>75060.92</v>
      </c>
      <c r="V387">
        <f>662.53</f>
        <v>662.53</v>
      </c>
    </row>
    <row r="388" spans="1:22" x14ac:dyDescent="0.2">
      <c r="A388" s="1">
        <v>44565</v>
      </c>
      <c r="B388">
        <f>2506.89</f>
        <v>2506.89</v>
      </c>
      <c r="C388">
        <f>11542.39</f>
        <v>11542.39</v>
      </c>
      <c r="D388">
        <f>7433.01</f>
        <v>7433.01</v>
      </c>
      <c r="E388">
        <f>2990.949</f>
        <v>2990.9490000000001</v>
      </c>
      <c r="F388">
        <f>2163.59</f>
        <v>2163.59</v>
      </c>
      <c r="G388">
        <f>9996.203</f>
        <v>9996.2029999999995</v>
      </c>
      <c r="H388">
        <f>3794.25</f>
        <v>3794.25</v>
      </c>
      <c r="I388">
        <f>14795.27</f>
        <v>14795.27</v>
      </c>
      <c r="J388">
        <f>5826.96</f>
        <v>5826.96</v>
      </c>
      <c r="K388">
        <f>21038.68</f>
        <v>21038.68</v>
      </c>
      <c r="L388">
        <f>2786.96</f>
        <v>2786.96</v>
      </c>
      <c r="M388">
        <f>14296.44</f>
        <v>14296.44</v>
      </c>
      <c r="N388">
        <f>485.848</f>
        <v>485.84800000000001</v>
      </c>
      <c r="O388">
        <f>4154.87</f>
        <v>4154.87</v>
      </c>
      <c r="P388">
        <f>290.8</f>
        <v>290.8</v>
      </c>
      <c r="Q388">
        <f>4220.433</f>
        <v>4220.433</v>
      </c>
      <c r="R388">
        <f>10044.75</f>
        <v>10044.75</v>
      </c>
      <c r="S388">
        <f>3239.74</f>
        <v>3239.74</v>
      </c>
      <c r="T388">
        <f>3780.288</f>
        <v>3780.288</v>
      </c>
      <c r="U388">
        <f>75052.06</f>
        <v>75052.06</v>
      </c>
      <c r="V388">
        <f>656.08</f>
        <v>656.08</v>
      </c>
    </row>
    <row r="389" spans="1:22" x14ac:dyDescent="0.2">
      <c r="A389" s="1">
        <v>44564</v>
      </c>
      <c r="B389" t="e">
        <f>NA()</f>
        <v>#N/A</v>
      </c>
      <c r="C389">
        <f>11473.43</f>
        <v>11473.43</v>
      </c>
      <c r="D389" t="e">
        <f>NA()</f>
        <v>#N/A</v>
      </c>
      <c r="E389">
        <f>2987.439</f>
        <v>2987.4389999999999</v>
      </c>
      <c r="F389">
        <f>2123.79</f>
        <v>2123.79</v>
      </c>
      <c r="G389">
        <f>9750.285</f>
        <v>9750.2849999999999</v>
      </c>
      <c r="H389">
        <f>3743.15</f>
        <v>3743.15</v>
      </c>
      <c r="I389">
        <f>14704.02</f>
        <v>14704.02</v>
      </c>
      <c r="J389">
        <f>5787.37</f>
        <v>5787.37</v>
      </c>
      <c r="K389">
        <f>21080.49</f>
        <v>21080.49</v>
      </c>
      <c r="L389">
        <f>2762.57</f>
        <v>2762.57</v>
      </c>
      <c r="M389">
        <f>14266.32</f>
        <v>14266.32</v>
      </c>
      <c r="N389">
        <f>484.178</f>
        <v>484.178</v>
      </c>
      <c r="O389">
        <f>4118.19</f>
        <v>4118.1899999999996</v>
      </c>
      <c r="P389" t="e">
        <f>NA()</f>
        <v>#N/A</v>
      </c>
      <c r="Q389">
        <f>4175.401</f>
        <v>4175.4009999999998</v>
      </c>
      <c r="R389">
        <f>10050.41</f>
        <v>10050.41</v>
      </c>
      <c r="S389" t="e">
        <f>NA()</f>
        <v>#N/A</v>
      </c>
      <c r="T389">
        <f>3716.534</f>
        <v>3716.5340000000001</v>
      </c>
      <c r="U389">
        <f>73722.6</f>
        <v>73722.600000000006</v>
      </c>
      <c r="V389">
        <f>644.62</f>
        <v>644.62</v>
      </c>
    </row>
    <row r="390" spans="1:22" x14ac:dyDescent="0.2">
      <c r="A390" s="1">
        <v>44561</v>
      </c>
      <c r="B390">
        <f>2454.17</f>
        <v>2454.17</v>
      </c>
      <c r="C390">
        <f>11503.28</f>
        <v>11503.28</v>
      </c>
      <c r="D390">
        <f>7313.56</f>
        <v>7313.56</v>
      </c>
      <c r="E390">
        <f>2983.766</f>
        <v>2983.7660000000001</v>
      </c>
      <c r="F390">
        <f>2139.11</f>
        <v>2139.11</v>
      </c>
      <c r="G390">
        <f>9820.616</f>
        <v>9820.616</v>
      </c>
      <c r="H390">
        <f>3747.86</f>
        <v>3747.86</v>
      </c>
      <c r="I390">
        <f>14713.28</f>
        <v>14713.28</v>
      </c>
      <c r="J390">
        <f>5787.65</f>
        <v>5787.65</v>
      </c>
      <c r="K390">
        <f>20958.03</f>
        <v>20958.03</v>
      </c>
      <c r="L390">
        <f>2761.94</f>
        <v>2761.94</v>
      </c>
      <c r="M390">
        <f>14223.14</f>
        <v>14223.14</v>
      </c>
      <c r="N390">
        <f>483.674</f>
        <v>483.67399999999998</v>
      </c>
      <c r="O390">
        <f>4094.56</f>
        <v>4094.56</v>
      </c>
      <c r="P390" t="e">
        <f>NA()</f>
        <v>#N/A</v>
      </c>
      <c r="Q390">
        <f>4200.098</f>
        <v>4200.098</v>
      </c>
      <c r="R390">
        <f>9986.7</f>
        <v>9986.7000000000007</v>
      </c>
      <c r="S390" t="e">
        <f>NA()</f>
        <v>#N/A</v>
      </c>
      <c r="T390">
        <f>3734.205</f>
        <v>3734.2049999999999</v>
      </c>
      <c r="U390">
        <f>73709.39</f>
        <v>73709.39</v>
      </c>
      <c r="V390">
        <f>643.87</f>
        <v>643.87</v>
      </c>
    </row>
    <row r="391" spans="1:22" x14ac:dyDescent="0.2">
      <c r="A391" s="1">
        <v>44560</v>
      </c>
      <c r="B391">
        <f>2461.04</f>
        <v>2461.04</v>
      </c>
      <c r="C391">
        <f>11480.51</f>
        <v>11480.51</v>
      </c>
      <c r="D391">
        <f>7331.85</f>
        <v>7331.85</v>
      </c>
      <c r="E391">
        <f>2961.337</f>
        <v>2961.337</v>
      </c>
      <c r="F391">
        <f>2134.85</f>
        <v>2134.85</v>
      </c>
      <c r="G391">
        <f>9809.501</f>
        <v>9809.5010000000002</v>
      </c>
      <c r="H391">
        <f>3747.86</f>
        <v>3747.86</v>
      </c>
      <c r="I391">
        <f>14683.66</f>
        <v>14683.66</v>
      </c>
      <c r="J391">
        <f>5779.79</f>
        <v>5779.79</v>
      </c>
      <c r="K391">
        <f>21020.67</f>
        <v>21020.67</v>
      </c>
      <c r="L391">
        <f>2759.88</f>
        <v>2759.88</v>
      </c>
      <c r="M391">
        <f>14246.01</f>
        <v>14246.01</v>
      </c>
      <c r="N391">
        <f>485.217</f>
        <v>485.21699999999998</v>
      </c>
      <c r="O391">
        <f>4105.33</f>
        <v>4105.33</v>
      </c>
      <c r="P391">
        <f>285.88</f>
        <v>285.88</v>
      </c>
      <c r="Q391">
        <f>4186.388</f>
        <v>4186.3879999999999</v>
      </c>
      <c r="R391">
        <f>10012.51</f>
        <v>10012.51</v>
      </c>
      <c r="S391">
        <f>3179.28</f>
        <v>3179.28</v>
      </c>
      <c r="T391">
        <f>3721.54</f>
        <v>3721.54</v>
      </c>
      <c r="U391">
        <f>73786.45</f>
        <v>73786.45</v>
      </c>
      <c r="V391">
        <f>645.66</f>
        <v>645.66</v>
      </c>
    </row>
    <row r="392" spans="1:22" x14ac:dyDescent="0.2">
      <c r="A392" s="1">
        <v>44559</v>
      </c>
      <c r="B392">
        <f>2467.78</f>
        <v>2467.7800000000002</v>
      </c>
      <c r="C392">
        <f>11471.6</f>
        <v>11471.6</v>
      </c>
      <c r="D392">
        <f>7348.73</f>
        <v>7348.73</v>
      </c>
      <c r="E392">
        <f>2949.54</f>
        <v>2949.54</v>
      </c>
      <c r="F392">
        <f>2132.75</f>
        <v>2132.75</v>
      </c>
      <c r="G392">
        <f>9829.275</f>
        <v>9829.2749999999996</v>
      </c>
      <c r="H392">
        <f>3769.13</f>
        <v>3769.13</v>
      </c>
      <c r="I392">
        <f>14683.86</f>
        <v>14683.86</v>
      </c>
      <c r="J392">
        <f>5787.75</f>
        <v>5787.75</v>
      </c>
      <c r="K392">
        <f>21068.98</f>
        <v>21068.98</v>
      </c>
      <c r="L392">
        <f>2763.46</f>
        <v>2763.46</v>
      </c>
      <c r="M392">
        <f>14274.39</f>
        <v>14274.39</v>
      </c>
      <c r="N392">
        <f>485.735</f>
        <v>485.73500000000001</v>
      </c>
      <c r="O392">
        <f>4098.29</f>
        <v>4098.29</v>
      </c>
      <c r="P392">
        <f>287.2</f>
        <v>287.2</v>
      </c>
      <c r="Q392">
        <f>4192.749</f>
        <v>4192.7489999999998</v>
      </c>
      <c r="R392">
        <f>10041.61</f>
        <v>10041.61</v>
      </c>
      <c r="S392">
        <f>3189.91</f>
        <v>3189.91</v>
      </c>
      <c r="T392">
        <f>3689.412</f>
        <v>3689.4119999999998</v>
      </c>
      <c r="U392">
        <f>73238.01</f>
        <v>73238.009999999995</v>
      </c>
      <c r="V392">
        <f>644.31</f>
        <v>644.30999999999995</v>
      </c>
    </row>
    <row r="393" spans="1:22" x14ac:dyDescent="0.2">
      <c r="A393" s="1">
        <v>44558</v>
      </c>
      <c r="B393" t="e">
        <f>NA()</f>
        <v>#N/A</v>
      </c>
      <c r="C393">
        <f>11497.55</f>
        <v>11497.55</v>
      </c>
      <c r="D393" t="e">
        <f>NA()</f>
        <v>#N/A</v>
      </c>
      <c r="E393">
        <f>2968.366</f>
        <v>2968.366</v>
      </c>
      <c r="F393">
        <f>2117.2</f>
        <v>2117.1999999999998</v>
      </c>
      <c r="G393">
        <f>9719.73</f>
        <v>9719.73</v>
      </c>
      <c r="H393">
        <f>3783.89</f>
        <v>3783.89</v>
      </c>
      <c r="I393">
        <f>14669.26</f>
        <v>14669.26</v>
      </c>
      <c r="J393">
        <f>5770.6</f>
        <v>5770.6</v>
      </c>
      <c r="K393">
        <f>21045.13</f>
        <v>21045.13</v>
      </c>
      <c r="L393">
        <f>2756</f>
        <v>2756</v>
      </c>
      <c r="M393">
        <f>14252.74</f>
        <v>14252.74</v>
      </c>
      <c r="N393">
        <f>483.296</f>
        <v>483.29599999999999</v>
      </c>
      <c r="O393">
        <f>4103.87</f>
        <v>4103.87</v>
      </c>
      <c r="P393">
        <f>286.2</f>
        <v>286.2</v>
      </c>
      <c r="Q393">
        <f>4175.841</f>
        <v>4175.8410000000003</v>
      </c>
      <c r="R393">
        <f>10027.53</f>
        <v>10027.530000000001</v>
      </c>
      <c r="S393">
        <f>3195.46</f>
        <v>3195.46</v>
      </c>
      <c r="T393">
        <f>3674.371</f>
        <v>3674.3710000000001</v>
      </c>
      <c r="U393">
        <f>72444.52</f>
        <v>72444.52</v>
      </c>
      <c r="V393">
        <f>638.68</f>
        <v>638.67999999999995</v>
      </c>
    </row>
    <row r="394" spans="1:22" x14ac:dyDescent="0.2">
      <c r="A394" s="1">
        <v>44557</v>
      </c>
      <c r="B394" t="e">
        <f>NA()</f>
        <v>#N/A</v>
      </c>
      <c r="C394">
        <f>11442.65</f>
        <v>11442.65</v>
      </c>
      <c r="D394" t="e">
        <f>NA()</f>
        <v>#N/A</v>
      </c>
      <c r="E394">
        <f>2955.352</f>
        <v>2955.3519999999999</v>
      </c>
      <c r="F394">
        <f>2116.1</f>
        <v>2116.1</v>
      </c>
      <c r="G394">
        <f>9714.662</f>
        <v>9714.6620000000003</v>
      </c>
      <c r="H394">
        <f>3734.46</f>
        <v>3734.46</v>
      </c>
      <c r="I394">
        <f>14593.88</f>
        <v>14593.88</v>
      </c>
      <c r="J394">
        <f>5759.41</f>
        <v>5759.41</v>
      </c>
      <c r="K394">
        <f>21080.54</f>
        <v>21080.54</v>
      </c>
      <c r="L394">
        <f>2744.84</f>
        <v>2744.84</v>
      </c>
      <c r="M394">
        <f>14245.78</f>
        <v>14245.78</v>
      </c>
      <c r="N394">
        <f>480.337</f>
        <v>480.33699999999999</v>
      </c>
      <c r="O394">
        <f>4079.67</f>
        <v>4079.67</v>
      </c>
      <c r="P394">
        <f>282.56</f>
        <v>282.56</v>
      </c>
      <c r="Q394">
        <f>4160.07599</f>
        <v>4160.0759900000003</v>
      </c>
      <c r="R394">
        <f>10037.67</f>
        <v>10037.67</v>
      </c>
      <c r="S394">
        <f>3152.23</f>
        <v>3152.23</v>
      </c>
      <c r="T394" t="e">
        <f>NA()</f>
        <v>#N/A</v>
      </c>
      <c r="U394" t="e">
        <f>NA()</f>
        <v>#N/A</v>
      </c>
      <c r="V394" t="e">
        <f>NA()</f>
        <v>#N/A</v>
      </c>
    </row>
    <row r="395" spans="1:22" x14ac:dyDescent="0.2">
      <c r="A395" s="1">
        <v>44554</v>
      </c>
      <c r="B395">
        <f>2453.73</f>
        <v>2453.73</v>
      </c>
      <c r="C395">
        <f>11409.82</f>
        <v>11409.82</v>
      </c>
      <c r="D395">
        <f>7300.61</f>
        <v>7300.61</v>
      </c>
      <c r="E395">
        <f>2952.353</f>
        <v>2952.3530000000001</v>
      </c>
      <c r="F395">
        <f>2115.07</f>
        <v>2115.0700000000002</v>
      </c>
      <c r="G395">
        <f>9709.956</f>
        <v>9709.9560000000001</v>
      </c>
      <c r="H395">
        <f>3768.76</f>
        <v>3768.76</v>
      </c>
      <c r="I395">
        <f>14500.39</f>
        <v>14500.39</v>
      </c>
      <c r="J395">
        <f>5698.34</f>
        <v>5698.34</v>
      </c>
      <c r="K395">
        <f>20803.51</f>
        <v>20803.509999999998</v>
      </c>
      <c r="L395">
        <f>2728.62</f>
        <v>2728.62</v>
      </c>
      <c r="M395">
        <f>14109.73</f>
        <v>14109.73</v>
      </c>
      <c r="N395">
        <f>477.979</f>
        <v>477.97899999999998</v>
      </c>
      <c r="O395">
        <f>4055.2</f>
        <v>4055.2</v>
      </c>
      <c r="P395">
        <f>284.24</f>
        <v>284.24</v>
      </c>
      <c r="Q395" t="e">
        <f>NA()</f>
        <v>#N/A</v>
      </c>
      <c r="R395" t="e">
        <f>NA()</f>
        <v>#N/A</v>
      </c>
      <c r="S395">
        <f>3166.39</f>
        <v>3166.39</v>
      </c>
      <c r="T395">
        <f>3642.815</f>
        <v>3642.8150000000001</v>
      </c>
      <c r="U395">
        <f>71570.64</f>
        <v>71570.64</v>
      </c>
      <c r="V395">
        <f>631.95</f>
        <v>631.95000000000005</v>
      </c>
    </row>
    <row r="396" spans="1:22" x14ac:dyDescent="0.2">
      <c r="A396" s="1">
        <v>44553</v>
      </c>
      <c r="B396">
        <f>2452.92</f>
        <v>2452.92</v>
      </c>
      <c r="C396">
        <f>11377.21</f>
        <v>11377.21</v>
      </c>
      <c r="D396">
        <f>7301.84</f>
        <v>7301.84</v>
      </c>
      <c r="E396">
        <f>2949.96</f>
        <v>2949.96</v>
      </c>
      <c r="F396">
        <f>2114.45</f>
        <v>2114.4499999999998</v>
      </c>
      <c r="G396">
        <f>9710.272</f>
        <v>9710.2720000000008</v>
      </c>
      <c r="H396">
        <f>3787.23</f>
        <v>3787.23</v>
      </c>
      <c r="I396">
        <f>14486.61</f>
        <v>14486.61</v>
      </c>
      <c r="J396">
        <f>5698.34</f>
        <v>5698.34</v>
      </c>
      <c r="K396">
        <f>20803.51</f>
        <v>20803.509999999998</v>
      </c>
      <c r="L396">
        <f>2727.63</f>
        <v>2727.63</v>
      </c>
      <c r="M396">
        <f>14106.21</f>
        <v>14106.21</v>
      </c>
      <c r="N396">
        <f>477.834</f>
        <v>477.834</v>
      </c>
      <c r="O396">
        <f>4059</f>
        <v>4059</v>
      </c>
      <c r="P396">
        <f>285.33</f>
        <v>285.33</v>
      </c>
      <c r="Q396">
        <f>4105.503</f>
        <v>4105.5029999999997</v>
      </c>
      <c r="R396">
        <f>9900.3</f>
        <v>9900.2999999999993</v>
      </c>
      <c r="S396">
        <f>3170.61</f>
        <v>3170.61</v>
      </c>
      <c r="T396">
        <f>3657.858</f>
        <v>3657.8580000000002</v>
      </c>
      <c r="U396">
        <f>71684.1</f>
        <v>71684.100000000006</v>
      </c>
      <c r="V396">
        <f>635.42</f>
        <v>635.41999999999996</v>
      </c>
    </row>
    <row r="397" spans="1:22" x14ac:dyDescent="0.2">
      <c r="A397" s="1">
        <v>44552</v>
      </c>
      <c r="B397">
        <f>2444.27</f>
        <v>2444.27</v>
      </c>
      <c r="C397">
        <f>11294.25</f>
        <v>11294.25</v>
      </c>
      <c r="D397">
        <f>7265.55</f>
        <v>7265.55</v>
      </c>
      <c r="E397">
        <f>2926.408</f>
        <v>2926.4079999999999</v>
      </c>
      <c r="F397">
        <f>2099.7</f>
        <v>2099.6999999999998</v>
      </c>
      <c r="G397">
        <f>9619.806</f>
        <v>9619.8060000000005</v>
      </c>
      <c r="H397">
        <f>3752.65</f>
        <v>3752.65</v>
      </c>
      <c r="I397">
        <f>14367.71</f>
        <v>14367.71</v>
      </c>
      <c r="J397">
        <f>5664.87</f>
        <v>5664.87</v>
      </c>
      <c r="K397">
        <f>20671.08</f>
        <v>20671.080000000002</v>
      </c>
      <c r="L397">
        <f>2712.84</f>
        <v>2712.84</v>
      </c>
      <c r="M397">
        <f>14006.79</f>
        <v>14006.79</v>
      </c>
      <c r="N397">
        <f>474.255</f>
        <v>474.255</v>
      </c>
      <c r="O397">
        <f>4019.67</f>
        <v>4019.67</v>
      </c>
      <c r="P397">
        <f>283.27</f>
        <v>283.27</v>
      </c>
      <c r="Q397">
        <f>4079.075</f>
        <v>4079.0749999999998</v>
      </c>
      <c r="R397">
        <f>9838.9</f>
        <v>9838.9</v>
      </c>
      <c r="S397">
        <f>3142.05</f>
        <v>3142.05</v>
      </c>
      <c r="T397">
        <f>3643.609</f>
        <v>3643.6089999999999</v>
      </c>
      <c r="U397">
        <f>71359.04</f>
        <v>71359.039999999994</v>
      </c>
      <c r="V397">
        <f>633.6</f>
        <v>633.6</v>
      </c>
    </row>
    <row r="398" spans="1:22" x14ac:dyDescent="0.2">
      <c r="A398" s="1">
        <v>44551</v>
      </c>
      <c r="B398">
        <f>2434.01</f>
        <v>2434.0100000000002</v>
      </c>
      <c r="C398">
        <f>11277.24</f>
        <v>11277.24</v>
      </c>
      <c r="D398">
        <f>7221.76</f>
        <v>7221.76</v>
      </c>
      <c r="E398">
        <f>2911.206</f>
        <v>2911.2060000000001</v>
      </c>
      <c r="F398">
        <f>2079.28</f>
        <v>2079.2800000000002</v>
      </c>
      <c r="G398">
        <f>9483.149</f>
        <v>9483.1489999999994</v>
      </c>
      <c r="H398">
        <f>3764.68</f>
        <v>3764.68</v>
      </c>
      <c r="I398">
        <f>14164.63</f>
        <v>14164.63</v>
      </c>
      <c r="J398">
        <f>5630.97</f>
        <v>5630.97</v>
      </c>
      <c r="K398">
        <f>20467.56</f>
        <v>20467.560000000001</v>
      </c>
      <c r="L398">
        <f>2697.45</f>
        <v>2697.45</v>
      </c>
      <c r="M398">
        <f>13868.05</f>
        <v>13868.05</v>
      </c>
      <c r="N398">
        <f>469.322</f>
        <v>469.322</v>
      </c>
      <c r="O398">
        <f>3984.06</f>
        <v>3984.06</v>
      </c>
      <c r="P398">
        <f>283.05</f>
        <v>283.05</v>
      </c>
      <c r="Q398">
        <f>4056.601</f>
        <v>4056.6010000000001</v>
      </c>
      <c r="R398">
        <f>9738.73</f>
        <v>9738.73</v>
      </c>
      <c r="S398">
        <f>3139.3</f>
        <v>3139.3</v>
      </c>
      <c r="T398">
        <f>3637.826</f>
        <v>3637.826</v>
      </c>
      <c r="U398">
        <f>71119.36</f>
        <v>71119.360000000001</v>
      </c>
      <c r="V398">
        <f>631.51</f>
        <v>631.51</v>
      </c>
    </row>
    <row r="399" spans="1:22" x14ac:dyDescent="0.2">
      <c r="A399" s="1">
        <v>44550</v>
      </c>
      <c r="B399">
        <f>2396.55</f>
        <v>2396.5500000000002</v>
      </c>
      <c r="C399">
        <f>11176.79</f>
        <v>11176.79</v>
      </c>
      <c r="D399">
        <f>7123.41</f>
        <v>7123.41</v>
      </c>
      <c r="E399">
        <f>2878.136</f>
        <v>2878.136</v>
      </c>
      <c r="F399">
        <f>2038.67</f>
        <v>2038.67</v>
      </c>
      <c r="G399">
        <f>9344.432</f>
        <v>9344.4320000000007</v>
      </c>
      <c r="H399">
        <f>3739.14</f>
        <v>3739.14</v>
      </c>
      <c r="I399">
        <f>14009.33</f>
        <v>14009.33</v>
      </c>
      <c r="J399">
        <f>5593.8</f>
        <v>5593.8</v>
      </c>
      <c r="K399">
        <f>20090.95</f>
        <v>20090.95</v>
      </c>
      <c r="L399">
        <f>2680.97</f>
        <v>2680.97</v>
      </c>
      <c r="M399">
        <f>13639.44</f>
        <v>13639.44</v>
      </c>
      <c r="N399">
        <f>465.26</f>
        <v>465.26</v>
      </c>
      <c r="O399">
        <f>3926.39</f>
        <v>3926.39</v>
      </c>
      <c r="P399">
        <f>279.65</f>
        <v>279.64999999999998</v>
      </c>
      <c r="Q399">
        <f>4018.679</f>
        <v>4018.6790000000001</v>
      </c>
      <c r="R399">
        <f>9567.91</f>
        <v>9567.91</v>
      </c>
      <c r="S399">
        <f>3093.95</f>
        <v>3093.95</v>
      </c>
      <c r="T399">
        <f>3564.328</f>
        <v>3564.328</v>
      </c>
      <c r="U399">
        <f>70087.63</f>
        <v>70087.63</v>
      </c>
      <c r="V399">
        <f>617.02</f>
        <v>617.02</v>
      </c>
    </row>
    <row r="400" spans="1:22" x14ac:dyDescent="0.2">
      <c r="A400" s="1">
        <v>44547</v>
      </c>
      <c r="B400">
        <f>2426.93</f>
        <v>2426.9299999999998</v>
      </c>
      <c r="C400">
        <f>11363.57</f>
        <v>11363.57</v>
      </c>
      <c r="D400">
        <f>7194.55</f>
        <v>7194.55</v>
      </c>
      <c r="E400">
        <f>2940.585</f>
        <v>2940.585</v>
      </c>
      <c r="F400">
        <f>2068.73</f>
        <v>2068.73</v>
      </c>
      <c r="G400">
        <f>9464.151</f>
        <v>9464.1509999999998</v>
      </c>
      <c r="H400">
        <f>3808.86</f>
        <v>3808.86</v>
      </c>
      <c r="I400">
        <f>14181.91</f>
        <v>14181.91</v>
      </c>
      <c r="J400">
        <f>5630.06</f>
        <v>5630.06</v>
      </c>
      <c r="K400">
        <f>20327.82</f>
        <v>20327.82</v>
      </c>
      <c r="L400">
        <f>2700.27</f>
        <v>2700.27</v>
      </c>
      <c r="M400">
        <f>13811.99</f>
        <v>13811.99</v>
      </c>
      <c r="N400">
        <f>470.836</f>
        <v>470.83600000000001</v>
      </c>
      <c r="O400">
        <f>3980.39</f>
        <v>3980.39</v>
      </c>
      <c r="P400">
        <f>286.3</f>
        <v>286.3</v>
      </c>
      <c r="Q400">
        <f>4066.075</f>
        <v>4066.0749999999998</v>
      </c>
      <c r="R400">
        <f>9678.03</f>
        <v>9678.0300000000007</v>
      </c>
      <c r="S400">
        <f>3162.7</f>
        <v>3162.7</v>
      </c>
      <c r="T400">
        <f>3638.826</f>
        <v>3638.826</v>
      </c>
      <c r="U400">
        <f>71203.13</f>
        <v>71203.13</v>
      </c>
      <c r="V400">
        <f>632.1</f>
        <v>632.1</v>
      </c>
    </row>
    <row r="401" spans="1:22" x14ac:dyDescent="0.2">
      <c r="A401" s="1">
        <v>44546</v>
      </c>
      <c r="B401">
        <f>2417.4</f>
        <v>2417.4</v>
      </c>
      <c r="C401">
        <f>11366.44</f>
        <v>11366.44</v>
      </c>
      <c r="D401">
        <f>7185.34</f>
        <v>7185.34</v>
      </c>
      <c r="E401">
        <f>2958.804</f>
        <v>2958.8040000000001</v>
      </c>
      <c r="F401">
        <f>2065.12</f>
        <v>2065.12</v>
      </c>
      <c r="G401">
        <f>9504.723</f>
        <v>9504.723</v>
      </c>
      <c r="H401">
        <f>3829.99</f>
        <v>3829.99</v>
      </c>
      <c r="I401">
        <f>14325.32</f>
        <v>14325.32</v>
      </c>
      <c r="J401">
        <f>5715.41</f>
        <v>5715.41</v>
      </c>
      <c r="K401">
        <f>20503.46</f>
        <v>20503.46</v>
      </c>
      <c r="L401">
        <f>2726.6</f>
        <v>2726.6</v>
      </c>
      <c r="M401">
        <f>13932.65</f>
        <v>13932.65</v>
      </c>
      <c r="N401">
        <f>473.289</f>
        <v>473.28899999999999</v>
      </c>
      <c r="O401">
        <f>4004.64</f>
        <v>4004.64</v>
      </c>
      <c r="P401">
        <f>287.85</f>
        <v>287.85000000000002</v>
      </c>
      <c r="Q401">
        <f>4138.146</f>
        <v>4138.1459999999997</v>
      </c>
      <c r="R401">
        <f>9778.09</f>
        <v>9778.09</v>
      </c>
      <c r="S401">
        <f>3208.29</f>
        <v>3208.29</v>
      </c>
      <c r="T401" t="e">
        <f>NA()</f>
        <v>#N/A</v>
      </c>
      <c r="U401" t="e">
        <f>NA()</f>
        <v>#N/A</v>
      </c>
      <c r="V401" t="e">
        <f>NA()</f>
        <v>#N/A</v>
      </c>
    </row>
    <row r="402" spans="1:22" x14ac:dyDescent="0.2">
      <c r="A402" s="1">
        <v>44545</v>
      </c>
      <c r="B402">
        <f>2393.06</f>
        <v>2393.06</v>
      </c>
      <c r="C402">
        <f>11228.99</f>
        <v>11228.99</v>
      </c>
      <c r="D402">
        <f>7095.62</f>
        <v>7095.62</v>
      </c>
      <c r="E402">
        <f>2935.072</f>
        <v>2935.0720000000001</v>
      </c>
      <c r="F402">
        <f>2021.78</f>
        <v>2021.78</v>
      </c>
      <c r="G402">
        <f>9302.964</f>
        <v>9302.9639999999999</v>
      </c>
      <c r="H402">
        <f>3779.78</f>
        <v>3779.78</v>
      </c>
      <c r="I402">
        <f>14094.52</f>
        <v>14094.52</v>
      </c>
      <c r="J402">
        <f>5675.34</f>
        <v>5675.34</v>
      </c>
      <c r="K402">
        <f>20711.25</f>
        <v>20711.25</v>
      </c>
      <c r="L402">
        <f>2689.53</f>
        <v>2689.53</v>
      </c>
      <c r="M402">
        <f>13966.32</f>
        <v>13966.32</v>
      </c>
      <c r="N402">
        <f>468.733</f>
        <v>468.733</v>
      </c>
      <c r="O402">
        <f>3953.51</f>
        <v>3953.51</v>
      </c>
      <c r="P402">
        <f>284.93</f>
        <v>284.93</v>
      </c>
      <c r="Q402">
        <f>4120.94339</f>
        <v>4120.9433900000004</v>
      </c>
      <c r="R402">
        <f>9863.92</f>
        <v>9863.92</v>
      </c>
      <c r="S402">
        <f>3162.1</f>
        <v>3162.1</v>
      </c>
      <c r="T402">
        <f>3592.995</f>
        <v>3592.9949999999999</v>
      </c>
      <c r="U402">
        <f>71467.17</f>
        <v>71467.17</v>
      </c>
      <c r="V402">
        <f>623.1</f>
        <v>623.1</v>
      </c>
    </row>
    <row r="403" spans="1:22" x14ac:dyDescent="0.2">
      <c r="A403" s="1">
        <v>44544</v>
      </c>
      <c r="B403">
        <f>2414.64</f>
        <v>2414.64</v>
      </c>
      <c r="C403">
        <f>11268.44</f>
        <v>11268.44</v>
      </c>
      <c r="D403">
        <f>7143.01</f>
        <v>7143.01</v>
      </c>
      <c r="E403">
        <f>2953.412</f>
        <v>2953.4119999999998</v>
      </c>
      <c r="F403">
        <f>2048.48</f>
        <v>2048.48</v>
      </c>
      <c r="G403">
        <f>9380.75</f>
        <v>9380.75</v>
      </c>
      <c r="H403">
        <f>3770.21</f>
        <v>3770.21</v>
      </c>
      <c r="I403">
        <f>14049.1</f>
        <v>14049.1</v>
      </c>
      <c r="J403">
        <f>5601.49</f>
        <v>5601.49</v>
      </c>
      <c r="K403">
        <f>20373.29</f>
        <v>20373.29</v>
      </c>
      <c r="L403">
        <f>2669.12</f>
        <v>2669.12</v>
      </c>
      <c r="M403">
        <f>13803.13</f>
        <v>13803.13</v>
      </c>
      <c r="N403">
        <f>464.686</f>
        <v>464.68599999999998</v>
      </c>
      <c r="O403">
        <f>3945.48</f>
        <v>3945.48</v>
      </c>
      <c r="P403">
        <f>283.66</f>
        <v>283.66000000000003</v>
      </c>
      <c r="Q403">
        <f>4085.95108</f>
        <v>4085.9510799999998</v>
      </c>
      <c r="R403">
        <f>9705.06</f>
        <v>9705.06</v>
      </c>
      <c r="S403">
        <f>3145.71</f>
        <v>3145.71</v>
      </c>
      <c r="T403">
        <f>3617.613</f>
        <v>3617.6129999999998</v>
      </c>
      <c r="U403">
        <f>71544.82</f>
        <v>71544.820000000007</v>
      </c>
      <c r="V403">
        <f>627.37</f>
        <v>627.37</v>
      </c>
    </row>
    <row r="404" spans="1:22" x14ac:dyDescent="0.2">
      <c r="A404" s="1">
        <v>44543</v>
      </c>
      <c r="B404">
        <f>2407.97</f>
        <v>2407.9699999999998</v>
      </c>
      <c r="C404">
        <f>11316.31</f>
        <v>11316.31</v>
      </c>
      <c r="D404">
        <f>7155.68</f>
        <v>7155.68</v>
      </c>
      <c r="E404">
        <f>2973.926</f>
        <v>2973.9259999999999</v>
      </c>
      <c r="F404">
        <f>2038.54</f>
        <v>2038.54</v>
      </c>
      <c r="G404">
        <f>9390.995</f>
        <v>9390.9950000000008</v>
      </c>
      <c r="H404">
        <f>3755.74</f>
        <v>3755.74</v>
      </c>
      <c r="I404">
        <f>14199.43</f>
        <v>14199.43</v>
      </c>
      <c r="J404">
        <f>5602.11</f>
        <v>5602.11</v>
      </c>
      <c r="K404">
        <f>20532.78</f>
        <v>20532.78</v>
      </c>
      <c r="L404">
        <f>2671.2</f>
        <v>2671.2</v>
      </c>
      <c r="M404">
        <f>13906.78</f>
        <v>13906.78</v>
      </c>
      <c r="N404">
        <f>471.483</f>
        <v>471.483</v>
      </c>
      <c r="O404">
        <f>3976.32</f>
        <v>3976.32</v>
      </c>
      <c r="P404">
        <f>283.34</f>
        <v>283.33999999999997</v>
      </c>
      <c r="Q404">
        <f>4105.536</f>
        <v>4105.5360000000001</v>
      </c>
      <c r="R404">
        <f>9776.69</f>
        <v>9776.69</v>
      </c>
      <c r="S404">
        <f>3152.58</f>
        <v>3152.58</v>
      </c>
      <c r="T404">
        <f>3568.706</f>
        <v>3568.7060000000001</v>
      </c>
      <c r="U404">
        <f>71429.88</f>
        <v>71429.88</v>
      </c>
      <c r="V404">
        <f>620.96</f>
        <v>620.96</v>
      </c>
    </row>
    <row r="405" spans="1:22" x14ac:dyDescent="0.2">
      <c r="A405" s="1">
        <v>44540</v>
      </c>
      <c r="B405">
        <f>2427.09</f>
        <v>2427.09</v>
      </c>
      <c r="C405">
        <f>11382.55</f>
        <v>11382.55</v>
      </c>
      <c r="D405">
        <f>7215.38</f>
        <v>7215.38</v>
      </c>
      <c r="E405">
        <f>2992.924</f>
        <v>2992.924</v>
      </c>
      <c r="F405">
        <f>2050.71</f>
        <v>2050.71</v>
      </c>
      <c r="G405">
        <f>9466.408</f>
        <v>9466.4079999999994</v>
      </c>
      <c r="H405">
        <f>3757.02</f>
        <v>3757.02</v>
      </c>
      <c r="I405">
        <f>14289.75</f>
        <v>14289.75</v>
      </c>
      <c r="J405">
        <f>5601.73</f>
        <v>5601.73</v>
      </c>
      <c r="K405">
        <f>20723.64</f>
        <v>20723.64</v>
      </c>
      <c r="L405">
        <f>2671.42</f>
        <v>2671.42</v>
      </c>
      <c r="M405">
        <f>14021.9</f>
        <v>14021.9</v>
      </c>
      <c r="N405">
        <f>472.122</f>
        <v>472.12200000000001</v>
      </c>
      <c r="O405">
        <f>3996.71</f>
        <v>3996.71</v>
      </c>
      <c r="P405">
        <f>282.96</f>
        <v>282.95999999999998</v>
      </c>
      <c r="Q405">
        <f>4101.08729</f>
        <v>4101.0872900000004</v>
      </c>
      <c r="R405">
        <f>9866.62</f>
        <v>9866.6200000000008</v>
      </c>
      <c r="S405">
        <f>3148.37</f>
        <v>3148.37</v>
      </c>
      <c r="T405">
        <f>3601.789</f>
        <v>3601.7890000000002</v>
      </c>
      <c r="U405">
        <f>71686.33</f>
        <v>71686.33</v>
      </c>
      <c r="V405">
        <f>624.32</f>
        <v>624.32000000000005</v>
      </c>
    </row>
    <row r="406" spans="1:22" x14ac:dyDescent="0.2">
      <c r="A406" s="1">
        <v>44539</v>
      </c>
      <c r="B406">
        <f>2431.2</f>
        <v>2431.1999999999998</v>
      </c>
      <c r="C406">
        <f>11442.63</f>
        <v>11442.63</v>
      </c>
      <c r="D406">
        <f>7244.56</f>
        <v>7244.56</v>
      </c>
      <c r="E406">
        <f>3015.103</f>
        <v>3015.1030000000001</v>
      </c>
      <c r="F406">
        <f>2045.5</f>
        <v>2045.5</v>
      </c>
      <c r="G406">
        <f>9487.461</f>
        <v>9487.4609999999993</v>
      </c>
      <c r="H406">
        <f>3769.98</f>
        <v>3769.98</v>
      </c>
      <c r="I406">
        <f>14299.39</f>
        <v>14299.39</v>
      </c>
      <c r="J406">
        <f>5561.37</f>
        <v>5561.37</v>
      </c>
      <c r="K406">
        <f>20549.64</f>
        <v>20549.64</v>
      </c>
      <c r="L406">
        <f>2660.01</f>
        <v>2660.01</v>
      </c>
      <c r="M406">
        <f>13952.44</f>
        <v>13952.44</v>
      </c>
      <c r="N406">
        <f>471.493</f>
        <v>471.49299999999999</v>
      </c>
      <c r="O406">
        <f>4004.13</f>
        <v>4004.13</v>
      </c>
      <c r="P406">
        <f>283.88</f>
        <v>283.88</v>
      </c>
      <c r="Q406">
        <f>4068.462</f>
        <v>4068.462</v>
      </c>
      <c r="R406">
        <f>9773.19</f>
        <v>9773.19</v>
      </c>
      <c r="S406">
        <f>3172.76</f>
        <v>3172.76</v>
      </c>
      <c r="T406">
        <f>3643.607</f>
        <v>3643.607</v>
      </c>
      <c r="U406">
        <f>72207.64</f>
        <v>72207.64</v>
      </c>
      <c r="V406">
        <f>634.29</f>
        <v>634.29</v>
      </c>
    </row>
    <row r="407" spans="1:22" x14ac:dyDescent="0.2">
      <c r="A407" s="1">
        <v>44538</v>
      </c>
      <c r="B407">
        <f>2438.56</f>
        <v>2438.56</v>
      </c>
      <c r="C407">
        <f>11413.08</f>
        <v>11413.08</v>
      </c>
      <c r="D407">
        <f>7259.98</f>
        <v>7259.98</v>
      </c>
      <c r="E407">
        <f>2998.78</f>
        <v>2998.78</v>
      </c>
      <c r="F407">
        <f>2049.78</f>
        <v>2049.7800000000002</v>
      </c>
      <c r="G407">
        <f>9511.187</f>
        <v>9511.1869999999999</v>
      </c>
      <c r="H407">
        <f>3774.04</f>
        <v>3774.04</v>
      </c>
      <c r="I407">
        <f>14385.29</f>
        <v>14385.29</v>
      </c>
      <c r="J407">
        <f>5563.38</f>
        <v>5563.38</v>
      </c>
      <c r="K407">
        <f>20726.73</f>
        <v>20726.73</v>
      </c>
      <c r="L407">
        <f>2661.58</f>
        <v>2661.58</v>
      </c>
      <c r="M407">
        <f>14056.26</f>
        <v>14056.26</v>
      </c>
      <c r="N407">
        <f>470.25</f>
        <v>470.25</v>
      </c>
      <c r="O407">
        <f>4012.5</f>
        <v>4012.5</v>
      </c>
      <c r="P407">
        <f>285.77</f>
        <v>285.77</v>
      </c>
      <c r="Q407">
        <f>4074.65174</f>
        <v>4074.6517399999998</v>
      </c>
      <c r="R407">
        <f>9842.68</f>
        <v>9842.68</v>
      </c>
      <c r="S407">
        <f>3191.01</f>
        <v>3191.01</v>
      </c>
      <c r="T407">
        <f>3657.009</f>
        <v>3657.009</v>
      </c>
      <c r="U407">
        <f>72403.88</f>
        <v>72403.88</v>
      </c>
      <c r="V407">
        <f>637.01</f>
        <v>637.01</v>
      </c>
    </row>
    <row r="408" spans="1:22" x14ac:dyDescent="0.2">
      <c r="A408" s="1">
        <v>44537</v>
      </c>
      <c r="B408">
        <f>2435.86</f>
        <v>2435.86</v>
      </c>
      <c r="C408">
        <f>11400.49</f>
        <v>11400.49</v>
      </c>
      <c r="D408">
        <f>7262.8</f>
        <v>7262.8</v>
      </c>
      <c r="E408">
        <f>2985.571</f>
        <v>2985.5709999999999</v>
      </c>
      <c r="F408">
        <f>2053.24</f>
        <v>2053.2399999999998</v>
      </c>
      <c r="G408">
        <f>9528.494</f>
        <v>9528.4940000000006</v>
      </c>
      <c r="H408">
        <f>3774.73</f>
        <v>3774.73</v>
      </c>
      <c r="I408">
        <f>14342.62</f>
        <v>14342.62</v>
      </c>
      <c r="J408">
        <f>5574.78</f>
        <v>5574.78</v>
      </c>
      <c r="K408">
        <f>20640.29</f>
        <v>20640.29</v>
      </c>
      <c r="L408">
        <f>2659.47</f>
        <v>2659.47</v>
      </c>
      <c r="M408">
        <f>14002.13</f>
        <v>14002.13</v>
      </c>
      <c r="N408">
        <f>470.791</f>
        <v>470.791</v>
      </c>
      <c r="O408">
        <f>4032.12</f>
        <v>4032.12</v>
      </c>
      <c r="P408">
        <f>287.07</f>
        <v>287.07</v>
      </c>
      <c r="Q408">
        <f>4068.623</f>
        <v>4068.623</v>
      </c>
      <c r="R408">
        <f>9812.2</f>
        <v>9812.2000000000007</v>
      </c>
      <c r="S408">
        <f>3171.27</f>
        <v>3171.27</v>
      </c>
      <c r="T408">
        <f>3716.381</f>
        <v>3716.3809999999999</v>
      </c>
      <c r="U408">
        <f>72939.25</f>
        <v>72939.25</v>
      </c>
      <c r="V408">
        <f>644.9</f>
        <v>644.9</v>
      </c>
    </row>
    <row r="409" spans="1:22" x14ac:dyDescent="0.2">
      <c r="A409" s="1">
        <v>44536</v>
      </c>
      <c r="B409">
        <f>2399.59</f>
        <v>2399.59</v>
      </c>
      <c r="C409">
        <f>11298.1</f>
        <v>11298.1</v>
      </c>
      <c r="D409">
        <f>7156.32</f>
        <v>7156.32</v>
      </c>
      <c r="E409">
        <f>2933.295</f>
        <v>2933.2950000000001</v>
      </c>
      <c r="F409">
        <f>1991.99</f>
        <v>1991.99</v>
      </c>
      <c r="G409">
        <f>9395.165</f>
        <v>9395.1650000000009</v>
      </c>
      <c r="H409">
        <f>3711.21</f>
        <v>3711.21</v>
      </c>
      <c r="I409">
        <f>14003.6</f>
        <v>14003.6</v>
      </c>
      <c r="J409">
        <f>5535.23</f>
        <v>5535.23</v>
      </c>
      <c r="K409">
        <f>20203.85</f>
        <v>20203.849999999999</v>
      </c>
      <c r="L409">
        <f>2633.99</f>
        <v>2633.99</v>
      </c>
      <c r="M409">
        <f>13707.92</f>
        <v>13707.92</v>
      </c>
      <c r="N409">
        <f>461.886</f>
        <v>461.88600000000002</v>
      </c>
      <c r="O409">
        <f>3937.83</f>
        <v>3937.83</v>
      </c>
      <c r="P409">
        <f>280.79</f>
        <v>280.79000000000002</v>
      </c>
      <c r="Q409">
        <f>4032.299</f>
        <v>4032.299</v>
      </c>
      <c r="R409">
        <f>9613.02</f>
        <v>9613.02</v>
      </c>
      <c r="S409">
        <f>3103.84</f>
        <v>3103.84</v>
      </c>
      <c r="T409">
        <f>3642.803</f>
        <v>3642.8029999999999</v>
      </c>
      <c r="U409">
        <f>71016.63</f>
        <v>71016.63</v>
      </c>
      <c r="V409">
        <f>631.86</f>
        <v>631.86</v>
      </c>
    </row>
    <row r="410" spans="1:22" x14ac:dyDescent="0.2">
      <c r="A410" s="1">
        <v>44533</v>
      </c>
      <c r="B410">
        <f>2370.7</f>
        <v>2370.6999999999998</v>
      </c>
      <c r="C410">
        <f>11213.09</f>
        <v>11213.09</v>
      </c>
      <c r="D410">
        <f>7047.52</f>
        <v>7047.52</v>
      </c>
      <c r="E410">
        <f>2958.915</f>
        <v>2958.915</v>
      </c>
      <c r="F410">
        <f>1964.1</f>
        <v>1964.1</v>
      </c>
      <c r="G410">
        <f>9244.006</f>
        <v>9244.0059999999994</v>
      </c>
      <c r="H410">
        <f>3718.57</f>
        <v>3718.57</v>
      </c>
      <c r="I410">
        <f>13841.31</f>
        <v>13841.31</v>
      </c>
      <c r="J410">
        <f>5469.3</f>
        <v>5469.3</v>
      </c>
      <c r="K410">
        <f>19977.92</f>
        <v>19977.919999999998</v>
      </c>
      <c r="L410">
        <f>2605.13</f>
        <v>2605.13</v>
      </c>
      <c r="M410">
        <f>13571.91</f>
        <v>13571.91</v>
      </c>
      <c r="N410">
        <f>455.347</f>
        <v>455.34699999999998</v>
      </c>
      <c r="O410">
        <f>3882.76</f>
        <v>3882.76</v>
      </c>
      <c r="P410">
        <f>280.36</f>
        <v>280.36</v>
      </c>
      <c r="Q410">
        <f>3976.906</f>
        <v>3976.9059999999999</v>
      </c>
      <c r="R410">
        <f>9501.28</f>
        <v>9501.2800000000007</v>
      </c>
      <c r="S410">
        <f>3120.28</f>
        <v>3120.28</v>
      </c>
      <c r="T410">
        <f>3620.131</f>
        <v>3620.1309999999999</v>
      </c>
      <c r="U410">
        <f>70807.6</f>
        <v>70807.600000000006</v>
      </c>
      <c r="V410">
        <f>628.67</f>
        <v>628.66999999999996</v>
      </c>
    </row>
    <row r="411" spans="1:22" x14ac:dyDescent="0.2">
      <c r="A411" s="1">
        <v>44532</v>
      </c>
      <c r="B411">
        <f>2369.36</f>
        <v>2369.36</v>
      </c>
      <c r="C411">
        <f>11237.18</f>
        <v>11237.18</v>
      </c>
      <c r="D411">
        <f>7054.33</f>
        <v>7054.33</v>
      </c>
      <c r="E411">
        <f>2986.823</f>
        <v>2986.8229999999999</v>
      </c>
      <c r="F411">
        <f>1999.27</f>
        <v>1999.27</v>
      </c>
      <c r="G411">
        <f>9311.254</f>
        <v>9311.2540000000008</v>
      </c>
      <c r="H411">
        <f>3677.98</f>
        <v>3677.98</v>
      </c>
      <c r="I411">
        <f>13965.09</f>
        <v>13965.09</v>
      </c>
      <c r="J411">
        <f>5448.71</f>
        <v>5448.71</v>
      </c>
      <c r="K411">
        <f>20177.82</f>
        <v>20177.82</v>
      </c>
      <c r="L411">
        <f>2598.3</f>
        <v>2598.3000000000002</v>
      </c>
      <c r="M411">
        <f>13680.15</f>
        <v>13680.15</v>
      </c>
      <c r="N411">
        <f>456.806</f>
        <v>456.80599999999998</v>
      </c>
      <c r="O411">
        <f>3905.42</f>
        <v>3905.42</v>
      </c>
      <c r="P411">
        <f>273.96</f>
        <v>273.95999999999998</v>
      </c>
      <c r="Q411">
        <f>3964.334</f>
        <v>3964.3339999999998</v>
      </c>
      <c r="R411">
        <f>9581.79</f>
        <v>9581.7900000000009</v>
      </c>
      <c r="S411">
        <f>3070.09</f>
        <v>3070.09</v>
      </c>
      <c r="T411">
        <f>3645.178</f>
        <v>3645.1779999999999</v>
      </c>
      <c r="U411">
        <f>71020.76</f>
        <v>71020.759999999995</v>
      </c>
      <c r="V411">
        <f>632.85</f>
        <v>632.85</v>
      </c>
    </row>
    <row r="412" spans="1:22" x14ac:dyDescent="0.2">
      <c r="A412" s="1">
        <v>44531</v>
      </c>
      <c r="B412">
        <f>2381.12</f>
        <v>2381.12</v>
      </c>
      <c r="C412">
        <f>11096.99</f>
        <v>11096.99</v>
      </c>
      <c r="D412">
        <f>7089.73</f>
        <v>7089.73</v>
      </c>
      <c r="E412">
        <f>2962.292</f>
        <v>2962.2919999999999</v>
      </c>
      <c r="F412">
        <f>2005.52</f>
        <v>2005.52</v>
      </c>
      <c r="G412">
        <f>9352.829</f>
        <v>9352.8289999999997</v>
      </c>
      <c r="H412">
        <f>3673.08</f>
        <v>3673.08</v>
      </c>
      <c r="I412">
        <f>14172.4</f>
        <v>14172.4</v>
      </c>
      <c r="J412">
        <f>5363.81</f>
        <v>5363.81</v>
      </c>
      <c r="K412">
        <f>19886.19</f>
        <v>19886.189999999999</v>
      </c>
      <c r="L412">
        <f>2582.7</f>
        <v>2582.6999999999998</v>
      </c>
      <c r="M412">
        <f>13576.29</f>
        <v>13576.29</v>
      </c>
      <c r="N412">
        <f>459.881</f>
        <v>459.88099999999997</v>
      </c>
      <c r="O412">
        <f>3948.47</f>
        <v>3948.47</v>
      </c>
      <c r="P412">
        <f>274.88</f>
        <v>274.88</v>
      </c>
      <c r="Q412">
        <f>3888.512</f>
        <v>3888.5120000000002</v>
      </c>
      <c r="R412">
        <f>9446.21</f>
        <v>9446.2099999999991</v>
      </c>
      <c r="S412">
        <f>3086.62</f>
        <v>3086.62</v>
      </c>
      <c r="T412">
        <f>3673.76</f>
        <v>3673.76</v>
      </c>
      <c r="U412">
        <f>71198.08</f>
        <v>71198.080000000002</v>
      </c>
      <c r="V412">
        <f>628.29</f>
        <v>628.29</v>
      </c>
    </row>
    <row r="413" spans="1:22" x14ac:dyDescent="0.2">
      <c r="A413" s="1">
        <v>44530</v>
      </c>
      <c r="B413">
        <f>2344.47</f>
        <v>2344.4699999999998</v>
      </c>
      <c r="C413">
        <f>10917.98</f>
        <v>10917.98</v>
      </c>
      <c r="D413">
        <f>6981.71</f>
        <v>6981.71</v>
      </c>
      <c r="E413">
        <f>2927.423</f>
        <v>2927.4229999999998</v>
      </c>
      <c r="F413">
        <f>1964.73</f>
        <v>1964.73</v>
      </c>
      <c r="G413">
        <f>9152.555</f>
        <v>9152.5550000000003</v>
      </c>
      <c r="H413">
        <f>3630.18</f>
        <v>3630.18</v>
      </c>
      <c r="I413">
        <f>13826.73</f>
        <v>13826.73</v>
      </c>
      <c r="J413">
        <f>5381.93</f>
        <v>5381.93</v>
      </c>
      <c r="K413">
        <f>20161.22</f>
        <v>20161.22</v>
      </c>
      <c r="L413">
        <f>2565</f>
        <v>2565</v>
      </c>
      <c r="M413">
        <f>13636.23</f>
        <v>13636.23</v>
      </c>
      <c r="N413">
        <f>455.4</f>
        <v>455.4</v>
      </c>
      <c r="O413">
        <f>3878.34</f>
        <v>3878.34</v>
      </c>
      <c r="P413">
        <f>273.41</f>
        <v>273.41000000000003</v>
      </c>
      <c r="Q413">
        <f>3912.975</f>
        <v>3912.9749999999999</v>
      </c>
      <c r="R413">
        <f>9558.33</f>
        <v>9558.33</v>
      </c>
      <c r="S413">
        <f>3073.26</f>
        <v>3073.26</v>
      </c>
      <c r="T413">
        <f>3619.515</f>
        <v>3619.5149999999999</v>
      </c>
      <c r="U413">
        <f>70475.02</f>
        <v>70475.02</v>
      </c>
      <c r="V413">
        <f>613.84</f>
        <v>613.84</v>
      </c>
    </row>
    <row r="414" spans="1:22" x14ac:dyDescent="0.2">
      <c r="A414" s="1">
        <v>44529</v>
      </c>
      <c r="B414">
        <f>2351.82</f>
        <v>2351.8200000000002</v>
      </c>
      <c r="C414">
        <f>10970.31</f>
        <v>10970.31</v>
      </c>
      <c r="D414">
        <f>7031.64</f>
        <v>7031.64</v>
      </c>
      <c r="E414">
        <f>2943.212</f>
        <v>2943.212</v>
      </c>
      <c r="F414">
        <f>1981.1</f>
        <v>1981.1</v>
      </c>
      <c r="G414">
        <f>9261.173</f>
        <v>9261.1730000000007</v>
      </c>
      <c r="H414">
        <f>3664.32</f>
        <v>3664.32</v>
      </c>
      <c r="I414">
        <f>13964.56</f>
        <v>13964.56</v>
      </c>
      <c r="J414">
        <f>5511.59</f>
        <v>5511.59</v>
      </c>
      <c r="K414">
        <f>20555.41</f>
        <v>20555.41</v>
      </c>
      <c r="L414">
        <f>2611.95</f>
        <v>2611.9499999999998</v>
      </c>
      <c r="M414">
        <f>13871.64</f>
        <v>13871.64</v>
      </c>
      <c r="N414">
        <f>459.763</f>
        <v>459.76299999999998</v>
      </c>
      <c r="O414">
        <f>3915.72</f>
        <v>3915.72</v>
      </c>
      <c r="P414">
        <f>276.52</f>
        <v>276.52</v>
      </c>
      <c r="Q414">
        <f>4025.441</f>
        <v>4025.4409999999998</v>
      </c>
      <c r="R414">
        <f>9741.78</f>
        <v>9741.7800000000007</v>
      </c>
      <c r="S414">
        <f>3104.46</f>
        <v>3104.46</v>
      </c>
      <c r="T414">
        <f>3527.67</f>
        <v>3527.67</v>
      </c>
      <c r="U414">
        <f>70008.54</f>
        <v>70008.539999999994</v>
      </c>
      <c r="V414">
        <f>604.42</f>
        <v>604.41999999999996</v>
      </c>
    </row>
    <row r="415" spans="1:22" x14ac:dyDescent="0.2">
      <c r="A415" s="1">
        <v>44526</v>
      </c>
      <c r="B415">
        <f>2329.21</f>
        <v>2329.21</v>
      </c>
      <c r="C415">
        <f>11033.18</f>
        <v>11033.18</v>
      </c>
      <c r="D415">
        <f>6966.45</f>
        <v>6966.45</v>
      </c>
      <c r="E415">
        <f>2953.062</f>
        <v>2953.0619999999999</v>
      </c>
      <c r="F415">
        <f>1963.89</f>
        <v>1963.89</v>
      </c>
      <c r="G415">
        <f>9197.45</f>
        <v>9197.4500000000007</v>
      </c>
      <c r="H415">
        <f>3748.79</f>
        <v>3748.79</v>
      </c>
      <c r="I415">
        <f>13945.2</f>
        <v>13945.2</v>
      </c>
      <c r="J415">
        <f>5485.89</f>
        <v>5485.89</v>
      </c>
      <c r="K415">
        <f>20296.28</f>
        <v>20296.28</v>
      </c>
      <c r="L415">
        <f>2614.76</f>
        <v>2614.7600000000002</v>
      </c>
      <c r="M415">
        <f>13766.39</f>
        <v>13766.39</v>
      </c>
      <c r="N415">
        <f>456.989</f>
        <v>456.98899999999998</v>
      </c>
      <c r="O415">
        <f>3888.89</f>
        <v>3888.89</v>
      </c>
      <c r="P415">
        <f>283.04</f>
        <v>283.04000000000002</v>
      </c>
      <c r="Q415">
        <f>3997.227</f>
        <v>3997.2269999999999</v>
      </c>
      <c r="R415">
        <f>9614.25</f>
        <v>9614.25</v>
      </c>
      <c r="S415">
        <f>3162.5</f>
        <v>3162.5</v>
      </c>
      <c r="T415">
        <f>3478.024</f>
        <v>3478.0239999999999</v>
      </c>
      <c r="U415">
        <f>68614.98</f>
        <v>68614.98</v>
      </c>
      <c r="V415">
        <f>573.76</f>
        <v>573.76</v>
      </c>
    </row>
    <row r="416" spans="1:22" x14ac:dyDescent="0.2">
      <c r="A416" s="1">
        <v>44525</v>
      </c>
      <c r="B416">
        <f>2416.67</f>
        <v>2416.67</v>
      </c>
      <c r="C416">
        <f>11234.57</f>
        <v>11234.57</v>
      </c>
      <c r="D416">
        <f>7229.86</f>
        <v>7229.86</v>
      </c>
      <c r="E416">
        <f>3029.085</f>
        <v>3029.085</v>
      </c>
      <c r="F416">
        <f>2014.89</f>
        <v>2014.89</v>
      </c>
      <c r="G416">
        <f>9535.831</f>
        <v>9535.8310000000001</v>
      </c>
      <c r="H416">
        <f>3751.67</f>
        <v>3751.67</v>
      </c>
      <c r="I416">
        <f>14314.59</f>
        <v>14314.59</v>
      </c>
      <c r="J416">
        <f>5577.87</f>
        <v>5577.87</v>
      </c>
      <c r="K416">
        <f>20749.02</f>
        <v>20749.02</v>
      </c>
      <c r="L416">
        <f>2654.17</f>
        <v>2654.17</v>
      </c>
      <c r="M416">
        <f>14075.85</f>
        <v>14075.85</v>
      </c>
      <c r="N416">
        <f>466.421</f>
        <v>466.42099999999999</v>
      </c>
      <c r="O416">
        <f>4040.24</f>
        <v>4040.24</v>
      </c>
      <c r="P416">
        <f>287.24</f>
        <v>287.24</v>
      </c>
      <c r="Q416" t="e">
        <f>NA()</f>
        <v>#N/A</v>
      </c>
      <c r="R416" t="e">
        <f>NA()</f>
        <v>#N/A</v>
      </c>
      <c r="S416">
        <f>3227.36</f>
        <v>3227.36</v>
      </c>
      <c r="T416">
        <f>3519.28</f>
        <v>3519.28</v>
      </c>
      <c r="U416">
        <f>70554.68</f>
        <v>70554.679999999993</v>
      </c>
      <c r="V416">
        <f>600.49</f>
        <v>600.49</v>
      </c>
    </row>
    <row r="417" spans="1:22" x14ac:dyDescent="0.2">
      <c r="A417" s="1">
        <v>44524</v>
      </c>
      <c r="B417">
        <f>2414.76</f>
        <v>2414.7600000000002</v>
      </c>
      <c r="C417">
        <f>11251.01</f>
        <v>11251.01</v>
      </c>
      <c r="D417">
        <f>7200.01</f>
        <v>7200.01</v>
      </c>
      <c r="E417">
        <f>3025.362</f>
        <v>3025.3620000000001</v>
      </c>
      <c r="F417">
        <f>2009.27</f>
        <v>2009.27</v>
      </c>
      <c r="G417">
        <f>9504.779</f>
        <v>9504.7790000000005</v>
      </c>
      <c r="H417">
        <f>3735.3</f>
        <v>3735.3</v>
      </c>
      <c r="I417">
        <f>14231.13</f>
        <v>14231.13</v>
      </c>
      <c r="J417">
        <f>5577.87</f>
        <v>5577.87</v>
      </c>
      <c r="K417">
        <f>20749.02</f>
        <v>20749.02</v>
      </c>
      <c r="L417">
        <f>2649.83</f>
        <v>2649.83</v>
      </c>
      <c r="M417">
        <f>14056.29</f>
        <v>14056.29</v>
      </c>
      <c r="N417">
        <f>465.728</f>
        <v>465.72800000000001</v>
      </c>
      <c r="O417">
        <f>4025.12</f>
        <v>4025.12</v>
      </c>
      <c r="P417">
        <f>285.81</f>
        <v>285.81</v>
      </c>
      <c r="Q417">
        <f>4077.093</f>
        <v>4077.0929999999998</v>
      </c>
      <c r="R417">
        <f>9837.6</f>
        <v>9837.6</v>
      </c>
      <c r="S417">
        <f>3216.89</f>
        <v>3216.89</v>
      </c>
      <c r="T417">
        <f>3558.307</f>
        <v>3558.3069999999998</v>
      </c>
      <c r="U417">
        <f>70558.89</f>
        <v>70558.89</v>
      </c>
      <c r="V417">
        <f>598.65</f>
        <v>598.65</v>
      </c>
    </row>
    <row r="418" spans="1:22" x14ac:dyDescent="0.2">
      <c r="A418" s="1">
        <v>44523</v>
      </c>
      <c r="B418">
        <f>2403.9</f>
        <v>2403.9</v>
      </c>
      <c r="C418">
        <f>11236.63</f>
        <v>11236.63</v>
      </c>
      <c r="D418">
        <f>7180.61</f>
        <v>7180.61</v>
      </c>
      <c r="E418">
        <f>3030.713</f>
        <v>3030.7130000000002</v>
      </c>
      <c r="F418">
        <f>2012.28</f>
        <v>2012.28</v>
      </c>
      <c r="G418">
        <f>9505.126</f>
        <v>9505.1260000000002</v>
      </c>
      <c r="H418">
        <f>3761.62</f>
        <v>3761.62</v>
      </c>
      <c r="I418">
        <f>14316.7</f>
        <v>14316.7</v>
      </c>
      <c r="J418">
        <f>5589.83</f>
        <v>5589.83</v>
      </c>
      <c r="K418">
        <f>20688.62</f>
        <v>20688.62</v>
      </c>
      <c r="L418">
        <f>2657.97</f>
        <v>2657.97</v>
      </c>
      <c r="M418">
        <f>14050.39</f>
        <v>14050.39</v>
      </c>
      <c r="N418">
        <f>465.53</f>
        <v>465.53</v>
      </c>
      <c r="O418">
        <f>4019.24</f>
        <v>4019.24</v>
      </c>
      <c r="P418" t="e">
        <f>NA()</f>
        <v>#N/A</v>
      </c>
      <c r="Q418">
        <f>4089.2007</f>
        <v>4089.2006999999999</v>
      </c>
      <c r="R418">
        <f>9814.65</f>
        <v>9814.65</v>
      </c>
      <c r="S418" t="e">
        <f>NA()</f>
        <v>#N/A</v>
      </c>
      <c r="T418">
        <f>3580.853</f>
        <v>3580.8530000000001</v>
      </c>
      <c r="U418">
        <f>71015.4</f>
        <v>71015.399999999994</v>
      </c>
      <c r="V418">
        <f>604.67</f>
        <v>604.66999999999996</v>
      </c>
    </row>
    <row r="419" spans="1:22" x14ac:dyDescent="0.2">
      <c r="A419" s="1">
        <v>44522</v>
      </c>
      <c r="B419">
        <f>2394.88</f>
        <v>2394.88</v>
      </c>
      <c r="C419">
        <f>11246.8</f>
        <v>11246.8</v>
      </c>
      <c r="D419">
        <f>7169.51</f>
        <v>7169.51</v>
      </c>
      <c r="E419">
        <f>3045.558</f>
        <v>3045.558</v>
      </c>
      <c r="F419">
        <f>1996.29</f>
        <v>1996.29</v>
      </c>
      <c r="G419">
        <f>9509.324</f>
        <v>9509.3240000000005</v>
      </c>
      <c r="H419">
        <f>3769.82</f>
        <v>3769.82</v>
      </c>
      <c r="I419">
        <f>14512.63</f>
        <v>14512.63</v>
      </c>
      <c r="J419">
        <f>5563.33</f>
        <v>5563.33</v>
      </c>
      <c r="K419">
        <f>20670.35</f>
        <v>20670.349999999999</v>
      </c>
      <c r="L419">
        <f>2651.16</f>
        <v>2651.16</v>
      </c>
      <c r="M419">
        <f>14070.39</f>
        <v>14070.39</v>
      </c>
      <c r="N419">
        <f>474.067</f>
        <v>474.06700000000001</v>
      </c>
      <c r="O419">
        <f>4067.42</f>
        <v>4067.42</v>
      </c>
      <c r="P419">
        <f>286.42</f>
        <v>286.42</v>
      </c>
      <c r="Q419">
        <f>4076.805</f>
        <v>4076.8049999999998</v>
      </c>
      <c r="R419">
        <f>9798.29</f>
        <v>9798.2900000000009</v>
      </c>
      <c r="S419">
        <f>3254.65</f>
        <v>3254.65</v>
      </c>
      <c r="T419">
        <f>3570.352</f>
        <v>3570.3519999999999</v>
      </c>
      <c r="U419">
        <f>70865.85</f>
        <v>70865.850000000006</v>
      </c>
      <c r="V419">
        <f>603.4</f>
        <v>603.4</v>
      </c>
    </row>
    <row r="420" spans="1:22" x14ac:dyDescent="0.2">
      <c r="A420" s="1">
        <v>44519</v>
      </c>
      <c r="B420">
        <f>2375.74</f>
        <v>2375.7399999999998</v>
      </c>
      <c r="C420">
        <f>11311.86</f>
        <v>11311.86</v>
      </c>
      <c r="D420">
        <f>7138.01</f>
        <v>7138.01</v>
      </c>
      <c r="E420">
        <f>3063.801</f>
        <v>3063.8009999999999</v>
      </c>
      <c r="F420">
        <f>1982.99</f>
        <v>1982.99</v>
      </c>
      <c r="G420">
        <f>9502.814</f>
        <v>9502.8140000000003</v>
      </c>
      <c r="H420">
        <f>3799.04</f>
        <v>3799.04</v>
      </c>
      <c r="I420">
        <f>14644.73</f>
        <v>14644.73</v>
      </c>
      <c r="J420">
        <f>5538.4</f>
        <v>5538.4</v>
      </c>
      <c r="K420">
        <f>20771.41</f>
        <v>20771.41</v>
      </c>
      <c r="L420">
        <f>2645.77</f>
        <v>2645.77</v>
      </c>
      <c r="M420">
        <f>14149.62</f>
        <v>14149.62</v>
      </c>
      <c r="N420">
        <f>475.005</f>
        <v>475.005</v>
      </c>
      <c r="O420">
        <f>4071.65</f>
        <v>4071.65</v>
      </c>
      <c r="P420">
        <f>286.35</f>
        <v>286.35000000000002</v>
      </c>
      <c r="Q420">
        <f>4062.989</f>
        <v>4062.989</v>
      </c>
      <c r="R420">
        <f>9828.8</f>
        <v>9828.7999999999993</v>
      </c>
      <c r="S420">
        <f>3257.37</f>
        <v>3257.37</v>
      </c>
      <c r="T420">
        <f>3565.78</f>
        <v>3565.78</v>
      </c>
      <c r="U420">
        <f>70376.42</f>
        <v>70376.42</v>
      </c>
      <c r="V420">
        <f>602.2</f>
        <v>602.20000000000005</v>
      </c>
    </row>
    <row r="421" spans="1:22" x14ac:dyDescent="0.2">
      <c r="A421" s="1">
        <v>44518</v>
      </c>
      <c r="B421">
        <f>2387.56</f>
        <v>2387.56</v>
      </c>
      <c r="C421">
        <f>11280.08</f>
        <v>11280.08</v>
      </c>
      <c r="D421">
        <f>7170.01</f>
        <v>7170.01</v>
      </c>
      <c r="E421">
        <f>3074.991</f>
        <v>3074.991</v>
      </c>
      <c r="F421">
        <f>1987.21</f>
        <v>1987.21</v>
      </c>
      <c r="G421">
        <f>9561.728</f>
        <v>9561.7279999999992</v>
      </c>
      <c r="H421">
        <f>3788.38</f>
        <v>3788.38</v>
      </c>
      <c r="I421">
        <f>14744.71</f>
        <v>14744.71</v>
      </c>
      <c r="J421">
        <f>5566.86</f>
        <v>5566.86</v>
      </c>
      <c r="K421">
        <f>20808.14</f>
        <v>20808.14</v>
      </c>
      <c r="L421">
        <f>2654.2</f>
        <v>2654.2</v>
      </c>
      <c r="M421">
        <f>14177.78</f>
        <v>14177.78</v>
      </c>
      <c r="N421">
        <f>472.304</f>
        <v>472.30399999999997</v>
      </c>
      <c r="O421">
        <f>4085.68</f>
        <v>4085.68</v>
      </c>
      <c r="P421">
        <f>286.27</f>
        <v>286.27</v>
      </c>
      <c r="Q421">
        <f>4067.767</f>
        <v>4067.7669999999998</v>
      </c>
      <c r="R421">
        <f>9842.35</f>
        <v>9842.35</v>
      </c>
      <c r="S421">
        <f>3243.03</f>
        <v>3243.03</v>
      </c>
      <c r="T421">
        <f>3563.409</f>
        <v>3563.4090000000001</v>
      </c>
      <c r="U421">
        <f>70866.57</f>
        <v>70866.570000000007</v>
      </c>
      <c r="V421">
        <f>609.25</f>
        <v>609.25</v>
      </c>
    </row>
    <row r="422" spans="1:22" x14ac:dyDescent="0.2">
      <c r="A422" s="1">
        <v>44517</v>
      </c>
      <c r="B422">
        <f>2391.21</f>
        <v>2391.21</v>
      </c>
      <c r="C422">
        <f>11369.79</f>
        <v>11369.79</v>
      </c>
      <c r="D422">
        <f>7200.73</f>
        <v>7200.73</v>
      </c>
      <c r="E422">
        <f>3106.365</f>
        <v>3106.3649999999998</v>
      </c>
      <c r="F422">
        <f>1979.97</f>
        <v>1979.97</v>
      </c>
      <c r="G422">
        <f>9594.077</f>
        <v>9594.0769999999993</v>
      </c>
      <c r="H422">
        <f>3794.1</f>
        <v>3794.1</v>
      </c>
      <c r="I422">
        <f>14750.06</f>
        <v>14750.06</v>
      </c>
      <c r="J422">
        <f>5582.92</f>
        <v>5582.92</v>
      </c>
      <c r="K422">
        <f>20747.57</f>
        <v>20747.57</v>
      </c>
      <c r="L422">
        <f>2665.77</f>
        <v>2665.77</v>
      </c>
      <c r="M422">
        <f>14152.98</f>
        <v>14152.98</v>
      </c>
      <c r="N422">
        <f>473.996</f>
        <v>473.99599999999998</v>
      </c>
      <c r="O422">
        <f>4104.44</f>
        <v>4104.4399999999996</v>
      </c>
      <c r="P422">
        <f>287.05</f>
        <v>287.05</v>
      </c>
      <c r="Q422">
        <f>4084.349</f>
        <v>4084.3490000000002</v>
      </c>
      <c r="R422">
        <f>9808.27</f>
        <v>9808.27</v>
      </c>
      <c r="S422">
        <f>3247.5</f>
        <v>3247.5</v>
      </c>
      <c r="T422">
        <f>3591.396</f>
        <v>3591.3960000000002</v>
      </c>
      <c r="U422">
        <f>70942.34</f>
        <v>70942.34</v>
      </c>
      <c r="V422">
        <f>613.4</f>
        <v>613.4</v>
      </c>
    </row>
    <row r="423" spans="1:22" x14ac:dyDescent="0.2">
      <c r="A423" s="1">
        <v>44516</v>
      </c>
      <c r="B423">
        <f>2403.5</f>
        <v>2403.5</v>
      </c>
      <c r="C423">
        <f>11372.49</f>
        <v>11372.49</v>
      </c>
      <c r="D423">
        <f>7236.05</f>
        <v>7236.05</v>
      </c>
      <c r="E423">
        <f>3114.994</f>
        <v>3114.9940000000001</v>
      </c>
      <c r="F423">
        <f>1979.44</f>
        <v>1979.44</v>
      </c>
      <c r="G423">
        <f>9608.109</f>
        <v>9608.1090000000004</v>
      </c>
      <c r="H423">
        <f>3824.46</f>
        <v>3824.46</v>
      </c>
      <c r="I423">
        <f>14779.91</f>
        <v>14779.91</v>
      </c>
      <c r="J423">
        <f>5591.58</f>
        <v>5591.58</v>
      </c>
      <c r="K423">
        <f>20806.8</f>
        <v>20806.8</v>
      </c>
      <c r="L423">
        <f>2672.3</f>
        <v>2672.3</v>
      </c>
      <c r="M423">
        <f>14199.17</f>
        <v>14199.17</v>
      </c>
      <c r="N423">
        <f>473.157</f>
        <v>473.15699999999998</v>
      </c>
      <c r="O423">
        <f>4098.5</f>
        <v>4098.5</v>
      </c>
      <c r="P423">
        <f>289.8</f>
        <v>289.8</v>
      </c>
      <c r="Q423">
        <f>4103.993</f>
        <v>4103.9930000000004</v>
      </c>
      <c r="R423">
        <f>9831.91</f>
        <v>9831.91</v>
      </c>
      <c r="S423">
        <f>3267.4</f>
        <v>3267.4</v>
      </c>
      <c r="T423">
        <f>3603.197</f>
        <v>3603.1970000000001</v>
      </c>
      <c r="U423">
        <f>70938.41</f>
        <v>70938.41</v>
      </c>
      <c r="V423">
        <f>617.04</f>
        <v>617.04</v>
      </c>
    </row>
    <row r="424" spans="1:22" x14ac:dyDescent="0.2">
      <c r="A424" s="1">
        <v>44515</v>
      </c>
      <c r="B424">
        <f>2408.05</f>
        <v>2408.0500000000002</v>
      </c>
      <c r="C424">
        <f>11385.24</f>
        <v>11385.24</v>
      </c>
      <c r="D424">
        <f>7260.63</f>
        <v>7260.63</v>
      </c>
      <c r="E424">
        <f>3105.963</f>
        <v>3105.9630000000002</v>
      </c>
      <c r="F424">
        <f>2001.62</f>
        <v>2001.62</v>
      </c>
      <c r="G424">
        <f>9650.147</f>
        <v>9650.1470000000008</v>
      </c>
      <c r="H424">
        <f>3831.61</f>
        <v>3831.61</v>
      </c>
      <c r="I424">
        <f>14843.43</f>
        <v>14843.43</v>
      </c>
      <c r="J424">
        <f>5584.07</f>
        <v>5584.07</v>
      </c>
      <c r="K424">
        <f>20717.25</f>
        <v>20717.25</v>
      </c>
      <c r="L424">
        <f>2685.7</f>
        <v>2685.7</v>
      </c>
      <c r="M424">
        <f>14174.35</f>
        <v>14174.35</v>
      </c>
      <c r="N424">
        <f>472.762</f>
        <v>472.762</v>
      </c>
      <c r="O424">
        <f>4089.62</f>
        <v>4089.62</v>
      </c>
      <c r="P424">
        <f>290.74</f>
        <v>290.74</v>
      </c>
      <c r="Q424">
        <f>4095.215</f>
        <v>4095.2150000000001</v>
      </c>
      <c r="R424">
        <f>9793.53</f>
        <v>9793.5300000000007</v>
      </c>
      <c r="S424">
        <f>3263.73</f>
        <v>3263.73</v>
      </c>
      <c r="T424">
        <f>3522.67</f>
        <v>3522.67</v>
      </c>
      <c r="U424">
        <f>70090.54</f>
        <v>70090.539999999994</v>
      </c>
      <c r="V424">
        <f>611.27</f>
        <v>611.27</v>
      </c>
    </row>
    <row r="425" spans="1:22" x14ac:dyDescent="0.2">
      <c r="A425" s="1">
        <v>44512</v>
      </c>
      <c r="B425">
        <f>2414.04</f>
        <v>2414.04</v>
      </c>
      <c r="C425">
        <f>11392.93</f>
        <v>11392.93</v>
      </c>
      <c r="D425">
        <f>7256.73</f>
        <v>7256.73</v>
      </c>
      <c r="E425">
        <f>3102.705</f>
        <v>3102.7049999999999</v>
      </c>
      <c r="F425">
        <f>1995.31</f>
        <v>1995.31</v>
      </c>
      <c r="G425">
        <f>9616.999</f>
        <v>9616.9989999999998</v>
      </c>
      <c r="H425">
        <f>3836.25</f>
        <v>3836.25</v>
      </c>
      <c r="I425">
        <f>14828</f>
        <v>14828</v>
      </c>
      <c r="J425">
        <f>5579.31</f>
        <v>5579.31</v>
      </c>
      <c r="K425">
        <f>20716.9</f>
        <v>20716.900000000001</v>
      </c>
      <c r="L425">
        <f>2680.39</f>
        <v>2680.39</v>
      </c>
      <c r="M425">
        <f>14161.59</f>
        <v>14161.59</v>
      </c>
      <c r="N425">
        <f>472.886</f>
        <v>472.88600000000002</v>
      </c>
      <c r="O425">
        <f>4075.3</f>
        <v>4075.3</v>
      </c>
      <c r="P425">
        <f>291.18</f>
        <v>291.18</v>
      </c>
      <c r="Q425">
        <f>4089.192</f>
        <v>4089.192</v>
      </c>
      <c r="R425">
        <f>9793.22</f>
        <v>9793.2199999999993</v>
      </c>
      <c r="S425">
        <f>3251.11</f>
        <v>3251.11</v>
      </c>
      <c r="T425">
        <f>3533.966</f>
        <v>3533.9659999999999</v>
      </c>
      <c r="U425">
        <f>69921.37</f>
        <v>69921.37</v>
      </c>
      <c r="V425">
        <f>608.99</f>
        <v>608.99</v>
      </c>
    </row>
    <row r="426" spans="1:22" x14ac:dyDescent="0.2">
      <c r="A426" s="1">
        <v>44511</v>
      </c>
      <c r="B426">
        <f>2417.7</f>
        <v>2417.6999999999998</v>
      </c>
      <c r="C426">
        <f>11403.82</f>
        <v>11403.82</v>
      </c>
      <c r="D426">
        <f>7292.55</f>
        <v>7292.55</v>
      </c>
      <c r="E426">
        <f>3092.818</f>
        <v>3092.8180000000002</v>
      </c>
      <c r="F426">
        <f>1993.27</f>
        <v>1993.27</v>
      </c>
      <c r="G426">
        <f>9663.578</f>
        <v>9663.5779999999995</v>
      </c>
      <c r="H426">
        <f>3784.85</f>
        <v>3784.85</v>
      </c>
      <c r="I426">
        <f>14796.16</f>
        <v>14796.16</v>
      </c>
      <c r="J426">
        <f>5566.55</f>
        <v>5566.55</v>
      </c>
      <c r="K426">
        <f>20554.98</f>
        <v>20554.98</v>
      </c>
      <c r="L426">
        <f>2678.42</f>
        <v>2678.42</v>
      </c>
      <c r="M426">
        <f>14064.37</f>
        <v>14064.37</v>
      </c>
      <c r="N426">
        <f>470.013</f>
        <v>470.01299999999998</v>
      </c>
      <c r="O426">
        <f>4062.6</f>
        <v>4062.6</v>
      </c>
      <c r="P426">
        <f>288.25</f>
        <v>288.25</v>
      </c>
      <c r="Q426">
        <f>4064.146</f>
        <v>4064.1460000000002</v>
      </c>
      <c r="R426">
        <f>9722.08</f>
        <v>9722.08</v>
      </c>
      <c r="S426">
        <f>3209.19</f>
        <v>3209.19</v>
      </c>
      <c r="T426">
        <f>3551.174</f>
        <v>3551.174</v>
      </c>
      <c r="U426">
        <f>69131.56</f>
        <v>69131.56</v>
      </c>
      <c r="V426">
        <f>616.65</f>
        <v>616.65</v>
      </c>
    </row>
    <row r="427" spans="1:22" x14ac:dyDescent="0.2">
      <c r="A427" s="1">
        <v>44510</v>
      </c>
      <c r="B427">
        <f>2393.04</f>
        <v>2393.04</v>
      </c>
      <c r="C427">
        <f>11301.74</f>
        <v>11301.74</v>
      </c>
      <c r="D427">
        <f>7241.25</f>
        <v>7241.25</v>
      </c>
      <c r="E427">
        <f>3075.796</f>
        <v>3075.7959999999998</v>
      </c>
      <c r="F427">
        <f>1984.48</f>
        <v>1984.48</v>
      </c>
      <c r="G427">
        <f>9650.966</f>
        <v>9650.9660000000003</v>
      </c>
      <c r="H427">
        <f>3784.58</f>
        <v>3784.58</v>
      </c>
      <c r="I427">
        <f>14814.3</f>
        <v>14814.3</v>
      </c>
      <c r="J427">
        <f>5571.33</f>
        <v>5571.33</v>
      </c>
      <c r="K427">
        <f>20539.98</f>
        <v>20539.98</v>
      </c>
      <c r="L427">
        <f>2680.27</f>
        <v>2680.27</v>
      </c>
      <c r="M427">
        <f>14061.71</f>
        <v>14061.71</v>
      </c>
      <c r="N427">
        <f>468.543</f>
        <v>468.54300000000001</v>
      </c>
      <c r="O427">
        <f>4047.91</f>
        <v>4047.91</v>
      </c>
      <c r="P427">
        <f>287.22</f>
        <v>287.22000000000003</v>
      </c>
      <c r="Q427">
        <f>4060.146</f>
        <v>4060.1460000000002</v>
      </c>
      <c r="R427">
        <f>9716.72</f>
        <v>9716.7199999999993</v>
      </c>
      <c r="S427">
        <f>3199.08</f>
        <v>3199.08</v>
      </c>
      <c r="T427">
        <f>3447.84</f>
        <v>3447.84</v>
      </c>
      <c r="U427">
        <f>68279.4</f>
        <v>68279.399999999994</v>
      </c>
      <c r="V427">
        <f>601.5</f>
        <v>601.5</v>
      </c>
    </row>
    <row r="428" spans="1:22" x14ac:dyDescent="0.2">
      <c r="A428" s="1">
        <v>44509</v>
      </c>
      <c r="B428">
        <f>2365.22</f>
        <v>2365.2199999999998</v>
      </c>
      <c r="C428">
        <f>11270.99</f>
        <v>11270.99</v>
      </c>
      <c r="D428">
        <f>7176.04</f>
        <v>7176.04</v>
      </c>
      <c r="E428">
        <f>3072.215</f>
        <v>3072.2150000000001</v>
      </c>
      <c r="F428">
        <f>1978.73</f>
        <v>1978.73</v>
      </c>
      <c r="G428">
        <f>9617.585</f>
        <v>9617.5849999999991</v>
      </c>
      <c r="H428">
        <f>3837.01</f>
        <v>3837.01</v>
      </c>
      <c r="I428">
        <f>14892.31</f>
        <v>14892.31</v>
      </c>
      <c r="J428">
        <f>5559.05</f>
        <v>5559.05</v>
      </c>
      <c r="K428">
        <f>20728.29</f>
        <v>20728.29</v>
      </c>
      <c r="L428">
        <f>2675.27</f>
        <v>2675.27</v>
      </c>
      <c r="M428">
        <f>14174.78</f>
        <v>14174.78</v>
      </c>
      <c r="N428">
        <f>466.599</f>
        <v>466.59899999999999</v>
      </c>
      <c r="O428">
        <f>4038.04</f>
        <v>4038.04</v>
      </c>
      <c r="P428">
        <f>288.24</f>
        <v>288.24</v>
      </c>
      <c r="Q428">
        <f>4066.21</f>
        <v>4066.21</v>
      </c>
      <c r="R428">
        <f>9795.12</f>
        <v>9795.1200000000008</v>
      </c>
      <c r="S428">
        <f>3216.3</f>
        <v>3216.3</v>
      </c>
      <c r="T428">
        <f>3368.084</f>
        <v>3368.0839999999998</v>
      </c>
      <c r="U428">
        <f>67983.2</f>
        <v>67983.199999999997</v>
      </c>
      <c r="V428">
        <f>593.99</f>
        <v>593.99</v>
      </c>
    </row>
    <row r="429" spans="1:22" x14ac:dyDescent="0.2">
      <c r="A429" s="1">
        <v>44508</v>
      </c>
      <c r="B429">
        <f>2384.72</f>
        <v>2384.7199999999998</v>
      </c>
      <c r="C429">
        <f>11254.55</f>
        <v>11254.55</v>
      </c>
      <c r="D429">
        <f>7202.04</f>
        <v>7202.04</v>
      </c>
      <c r="E429">
        <f>3062.187</f>
        <v>3062.1869999999999</v>
      </c>
      <c r="F429">
        <f>2002.4</f>
        <v>2002.4</v>
      </c>
      <c r="G429">
        <f>9660.004</f>
        <v>9660.0040000000008</v>
      </c>
      <c r="H429">
        <f>3857.22</f>
        <v>3857.22</v>
      </c>
      <c r="I429">
        <f>14912.21</f>
        <v>14912.21</v>
      </c>
      <c r="J429">
        <f>5557.16</f>
        <v>5557.16</v>
      </c>
      <c r="K429">
        <f>20790.47</f>
        <v>20790.47</v>
      </c>
      <c r="L429">
        <f>2679.84</f>
        <v>2679.84</v>
      </c>
      <c r="M429">
        <f>14217.35</f>
        <v>14217.35</v>
      </c>
      <c r="N429">
        <f>467.75</f>
        <v>467.75</v>
      </c>
      <c r="O429">
        <f>4045.07</f>
        <v>4045.07</v>
      </c>
      <c r="P429">
        <f>291.5</f>
        <v>291.5</v>
      </c>
      <c r="Q429">
        <f>4066.523</f>
        <v>4066.5230000000001</v>
      </c>
      <c r="R429">
        <f>9828.81</f>
        <v>9828.81</v>
      </c>
      <c r="S429">
        <f>3242.52</f>
        <v>3242.52</v>
      </c>
      <c r="T429">
        <f>3370.113</f>
        <v>3370.1129999999998</v>
      </c>
      <c r="U429">
        <f>68049.34</f>
        <v>68049.34</v>
      </c>
      <c r="V429">
        <f>605.49</f>
        <v>605.49</v>
      </c>
    </row>
    <row r="430" spans="1:22" x14ac:dyDescent="0.2">
      <c r="A430" s="1">
        <v>44505</v>
      </c>
      <c r="B430">
        <f>2380.33</f>
        <v>2380.33</v>
      </c>
      <c r="C430">
        <f>11148.49</f>
        <v>11148.49</v>
      </c>
      <c r="D430">
        <f>7205.55</f>
        <v>7205.55</v>
      </c>
      <c r="E430">
        <f>3050.472</f>
        <v>3050.4720000000002</v>
      </c>
      <c r="F430">
        <f>1991.25</f>
        <v>1991.25</v>
      </c>
      <c r="G430">
        <f>9615.153</f>
        <v>9615.1530000000002</v>
      </c>
      <c r="H430">
        <f>3870.42</f>
        <v>3870.42</v>
      </c>
      <c r="I430">
        <f>14872.13</f>
        <v>14872.13</v>
      </c>
      <c r="J430">
        <f>5569.58</f>
        <v>5569.58</v>
      </c>
      <c r="K430">
        <f>20759.28</f>
        <v>20759.28</v>
      </c>
      <c r="L430">
        <f>2682.77</f>
        <v>2682.77</v>
      </c>
      <c r="M430">
        <f>14192.9</f>
        <v>14192.9</v>
      </c>
      <c r="N430">
        <f>466.323</f>
        <v>466.32299999999998</v>
      </c>
      <c r="O430">
        <f>4046.21</f>
        <v>4046.21</v>
      </c>
      <c r="P430">
        <f>292.54</f>
        <v>292.54000000000002</v>
      </c>
      <c r="Q430">
        <f>4063.766</f>
        <v>4063.7660000000001</v>
      </c>
      <c r="R430">
        <f>9819.98</f>
        <v>9819.98</v>
      </c>
      <c r="S430">
        <f>3252.4</f>
        <v>3252.4</v>
      </c>
      <c r="T430">
        <f>3379.505</f>
        <v>3379.5050000000001</v>
      </c>
      <c r="U430">
        <f>67825.34</f>
        <v>67825.34</v>
      </c>
      <c r="V430">
        <f>604.24</f>
        <v>604.24</v>
      </c>
    </row>
    <row r="431" spans="1:22" x14ac:dyDescent="0.2">
      <c r="A431" s="1">
        <v>44504</v>
      </c>
      <c r="B431">
        <f>2371.41</f>
        <v>2371.41</v>
      </c>
      <c r="C431">
        <f>11175.93</f>
        <v>11175.93</v>
      </c>
      <c r="D431">
        <f>7181.83</f>
        <v>7181.83</v>
      </c>
      <c r="E431">
        <f>3060.951</f>
        <v>3060.951</v>
      </c>
      <c r="F431">
        <f>1981.31</f>
        <v>1981.31</v>
      </c>
      <c r="G431">
        <f>9585.219</f>
        <v>9585.2189999999991</v>
      </c>
      <c r="H431">
        <f>3906.75</f>
        <v>3906.75</v>
      </c>
      <c r="I431">
        <f>14860.12</f>
        <v>14860.12</v>
      </c>
      <c r="J431">
        <f>5534.71</f>
        <v>5534.71</v>
      </c>
      <c r="K431">
        <f>20695.37</f>
        <v>20695.37</v>
      </c>
      <c r="L431">
        <f>2676.16</f>
        <v>2676.16</v>
      </c>
      <c r="M431">
        <f>14158.05</f>
        <v>14158.05</v>
      </c>
      <c r="N431">
        <f>469.065</f>
        <v>469.065</v>
      </c>
      <c r="O431">
        <f>4042.7</f>
        <v>4042.7</v>
      </c>
      <c r="P431">
        <f>296.14</f>
        <v>296.14</v>
      </c>
      <c r="Q431">
        <f>4047.82543</f>
        <v>4047.8254299999999</v>
      </c>
      <c r="R431">
        <f>9782.48</f>
        <v>9782.48</v>
      </c>
      <c r="S431">
        <f>3274.92</f>
        <v>3274.92</v>
      </c>
      <c r="T431">
        <f>3439.217</f>
        <v>3439.2170000000001</v>
      </c>
      <c r="U431">
        <f>68156.21</f>
        <v>68156.210000000006</v>
      </c>
      <c r="V431">
        <f>611.62</f>
        <v>611.62</v>
      </c>
    </row>
    <row r="432" spans="1:22" x14ac:dyDescent="0.2">
      <c r="A432" s="1">
        <v>44503</v>
      </c>
      <c r="B432">
        <f>2362.54</f>
        <v>2362.54</v>
      </c>
      <c r="C432">
        <f>11163.03</f>
        <v>11163.03</v>
      </c>
      <c r="D432">
        <f>7147.84</f>
        <v>7147.84</v>
      </c>
      <c r="E432">
        <f>3046.239</f>
        <v>3046.239</v>
      </c>
      <c r="F432">
        <f>1993.68</f>
        <v>1993.68</v>
      </c>
      <c r="G432">
        <f>9657.196</f>
        <v>9657.1959999999999</v>
      </c>
      <c r="H432">
        <f>3855.45</f>
        <v>3855.45</v>
      </c>
      <c r="I432">
        <f>14828.14</f>
        <v>14828.14</v>
      </c>
      <c r="J432">
        <f>5541.22</f>
        <v>5541.22</v>
      </c>
      <c r="K432">
        <f>20608.34</f>
        <v>20608.34</v>
      </c>
      <c r="L432">
        <f>2683.2</f>
        <v>2683.2</v>
      </c>
      <c r="M432">
        <f>14102.59</f>
        <v>14102.59</v>
      </c>
      <c r="N432">
        <f>466.451</f>
        <v>466.45100000000002</v>
      </c>
      <c r="O432">
        <f>4028.6</f>
        <v>4028.6</v>
      </c>
      <c r="P432" t="e">
        <f>NA()</f>
        <v>#N/A</v>
      </c>
      <c r="Q432">
        <f>4050.623</f>
        <v>4050.623</v>
      </c>
      <c r="R432">
        <f>9740.47</f>
        <v>9740.4699999999993</v>
      </c>
      <c r="S432" t="e">
        <f>NA()</f>
        <v>#N/A</v>
      </c>
      <c r="T432">
        <f>3454.341</f>
        <v>3454.3409999999999</v>
      </c>
      <c r="U432">
        <f>68587.27</f>
        <v>68587.27</v>
      </c>
      <c r="V432">
        <f>610.16</f>
        <v>610.16</v>
      </c>
    </row>
    <row r="433" spans="1:22" x14ac:dyDescent="0.2">
      <c r="A433" s="1">
        <v>44502</v>
      </c>
      <c r="B433">
        <f>2367.38</f>
        <v>2367.38</v>
      </c>
      <c r="C433">
        <f>11176</f>
        <v>11176</v>
      </c>
      <c r="D433">
        <f>7173.4</f>
        <v>7173.4</v>
      </c>
      <c r="E433">
        <f>3049.791</f>
        <v>3049.7910000000002</v>
      </c>
      <c r="F433">
        <f>1985.28</f>
        <v>1985.28</v>
      </c>
      <c r="G433">
        <f>9661.149</f>
        <v>9661.1489999999994</v>
      </c>
      <c r="H433">
        <f>3864.93</f>
        <v>3864.93</v>
      </c>
      <c r="I433">
        <f>14748.94</f>
        <v>14748.94</v>
      </c>
      <c r="J433">
        <f>5508.77</f>
        <v>5508.77</v>
      </c>
      <c r="K433">
        <f>20477.15</f>
        <v>20477.150000000001</v>
      </c>
      <c r="L433">
        <f>2672.13</f>
        <v>2672.13</v>
      </c>
      <c r="M433">
        <f>14029.3</f>
        <v>14029.3</v>
      </c>
      <c r="N433">
        <f>463.319</f>
        <v>463.31900000000002</v>
      </c>
      <c r="O433">
        <f>4014.05</f>
        <v>4014.05</v>
      </c>
      <c r="P433">
        <f>293.06</f>
        <v>293.06</v>
      </c>
      <c r="Q433">
        <f>4027.798</f>
        <v>4027.7979999999998</v>
      </c>
      <c r="R433">
        <f>9677.95</f>
        <v>9677.9500000000007</v>
      </c>
      <c r="S433">
        <f>3236.85</f>
        <v>3236.85</v>
      </c>
      <c r="T433">
        <f>3411.563</f>
        <v>3411.5630000000001</v>
      </c>
      <c r="U433">
        <f>67782.2</f>
        <v>67782.2</v>
      </c>
      <c r="V433">
        <f>603.48</f>
        <v>603.48</v>
      </c>
    </row>
    <row r="434" spans="1:22" x14ac:dyDescent="0.2">
      <c r="A434" s="1">
        <v>44501</v>
      </c>
      <c r="B434">
        <f>2386.71</f>
        <v>2386.71</v>
      </c>
      <c r="C434">
        <f>11210.82</f>
        <v>11210.82</v>
      </c>
      <c r="D434">
        <f>7187.02</f>
        <v>7187.02</v>
      </c>
      <c r="E434">
        <f>3051.126</f>
        <v>3051.1260000000002</v>
      </c>
      <c r="F434">
        <f>2013.41</f>
        <v>2013.41</v>
      </c>
      <c r="G434">
        <f>9717.826</f>
        <v>9717.8259999999991</v>
      </c>
      <c r="H434">
        <f>3904.84</f>
        <v>3904.84</v>
      </c>
      <c r="I434">
        <f>14713.97</f>
        <v>14713.97</v>
      </c>
      <c r="J434">
        <f>5472.56</f>
        <v>5472.56</v>
      </c>
      <c r="K434">
        <f>20406.28</f>
        <v>20406.28</v>
      </c>
      <c r="L434">
        <f>2662.21</f>
        <v>2662.21</v>
      </c>
      <c r="M434">
        <f>14006.54</f>
        <v>14006.54</v>
      </c>
      <c r="N434">
        <f>460.522</f>
        <v>460.52199999999999</v>
      </c>
      <c r="O434">
        <f>4006</f>
        <v>4006</v>
      </c>
      <c r="P434">
        <f>296.68</f>
        <v>296.68</v>
      </c>
      <c r="Q434">
        <f>4004.358</f>
        <v>4004.3580000000002</v>
      </c>
      <c r="R434">
        <f>9642.44</f>
        <v>9642.44</v>
      </c>
      <c r="S434">
        <f>3257.65</f>
        <v>3257.65</v>
      </c>
      <c r="T434" t="e">
        <f>NA()</f>
        <v>#N/A</v>
      </c>
      <c r="U434" t="e">
        <f>NA()</f>
        <v>#N/A</v>
      </c>
      <c r="V434" t="e">
        <f>NA()</f>
        <v>#N/A</v>
      </c>
    </row>
    <row r="435" spans="1:22" x14ac:dyDescent="0.2">
      <c r="A435" s="1">
        <v>44498</v>
      </c>
      <c r="B435">
        <f>2372.91</f>
        <v>2372.91</v>
      </c>
      <c r="C435">
        <f>11214.97</f>
        <v>11214.97</v>
      </c>
      <c r="D435">
        <f>7136.68</f>
        <v>7136.68</v>
      </c>
      <c r="E435">
        <f>3051.526</f>
        <v>3051.5259999999998</v>
      </c>
      <c r="F435">
        <f>2016.72</f>
        <v>2016.72</v>
      </c>
      <c r="G435">
        <f>9670.417</f>
        <v>9670.4169999999995</v>
      </c>
      <c r="H435">
        <f>3829.11</f>
        <v>3829.11</v>
      </c>
      <c r="I435">
        <f>14566.38</f>
        <v>14566.38</v>
      </c>
      <c r="J435">
        <f>5462.43</f>
        <v>5462.43</v>
      </c>
      <c r="K435">
        <f>20366.29</f>
        <v>20366.29</v>
      </c>
      <c r="L435">
        <f>2644.27</f>
        <v>2644.27</v>
      </c>
      <c r="M435">
        <f>13936.99</f>
        <v>13936.99</v>
      </c>
      <c r="N435">
        <f>457.977</f>
        <v>457.97699999999998</v>
      </c>
      <c r="O435">
        <f>3978.68</f>
        <v>3978.68</v>
      </c>
      <c r="P435">
        <f>290.66</f>
        <v>290.66000000000003</v>
      </c>
      <c r="Q435">
        <f>3984.70121</f>
        <v>3984.7012100000002</v>
      </c>
      <c r="R435">
        <f>9625.02</f>
        <v>9625.02</v>
      </c>
      <c r="S435">
        <f>3188.28</f>
        <v>3188.28</v>
      </c>
      <c r="T435">
        <f>3459.399</f>
        <v>3459.3989999999999</v>
      </c>
      <c r="U435">
        <f>67464.69</f>
        <v>67464.69</v>
      </c>
      <c r="V435">
        <f>599.49</f>
        <v>599.49</v>
      </c>
    </row>
    <row r="436" spans="1:22" x14ac:dyDescent="0.2">
      <c r="A436" s="1">
        <v>44497</v>
      </c>
      <c r="B436">
        <f>2385.48</f>
        <v>2385.48</v>
      </c>
      <c r="C436">
        <f>11299.53</f>
        <v>11299.53</v>
      </c>
      <c r="D436">
        <f>7148.41</f>
        <v>7148.41</v>
      </c>
      <c r="E436">
        <f>3078.756</f>
        <v>3078.7559999999999</v>
      </c>
      <c r="F436">
        <f>2045.55</f>
        <v>2045.55</v>
      </c>
      <c r="G436">
        <f>9752.438</f>
        <v>9752.4380000000001</v>
      </c>
      <c r="H436">
        <f>3855.04</f>
        <v>3855.04</v>
      </c>
      <c r="I436">
        <f>14682.31</f>
        <v>14682.31</v>
      </c>
      <c r="J436">
        <f>5462.02</f>
        <v>5462.02</v>
      </c>
      <c r="K436">
        <f>20327.21</f>
        <v>20327.21</v>
      </c>
      <c r="L436">
        <f>2651.66</f>
        <v>2651.66</v>
      </c>
      <c r="M436">
        <f>13955.6</f>
        <v>13955.6</v>
      </c>
      <c r="N436">
        <f>458.571</f>
        <v>458.57100000000003</v>
      </c>
      <c r="O436">
        <f>3974.76</f>
        <v>3974.76</v>
      </c>
      <c r="P436">
        <f>291.9</f>
        <v>291.89999999999998</v>
      </c>
      <c r="Q436">
        <f>3984.054</f>
        <v>3984.0540000000001</v>
      </c>
      <c r="R436">
        <f>9605.23</f>
        <v>9605.23</v>
      </c>
      <c r="S436">
        <f>3185.55</f>
        <v>3185.55</v>
      </c>
      <c r="T436">
        <f>3502.845</f>
        <v>3502.8449999999998</v>
      </c>
      <c r="U436">
        <f>67759.76</f>
        <v>67759.759999999995</v>
      </c>
      <c r="V436">
        <f>603.26</f>
        <v>603.26</v>
      </c>
    </row>
    <row r="437" spans="1:22" x14ac:dyDescent="0.2">
      <c r="A437" s="1">
        <v>44496</v>
      </c>
      <c r="B437">
        <f>2390.19</f>
        <v>2390.19</v>
      </c>
      <c r="C437">
        <f>11370.92</f>
        <v>11370.92</v>
      </c>
      <c r="D437">
        <f>7151.17</f>
        <v>7151.17</v>
      </c>
      <c r="E437">
        <f>3095.188</f>
        <v>3095.1880000000001</v>
      </c>
      <c r="F437">
        <f>2042.88</f>
        <v>2042.88</v>
      </c>
      <c r="G437">
        <f>9695.135</f>
        <v>9695.1350000000002</v>
      </c>
      <c r="H437">
        <f>3868.16</f>
        <v>3868.16</v>
      </c>
      <c r="I437">
        <f>14531.97</f>
        <v>14531.97</v>
      </c>
      <c r="J437">
        <f>5417.28</f>
        <v>5417.28</v>
      </c>
      <c r="K437">
        <f>20125.83</f>
        <v>20125.830000000002</v>
      </c>
      <c r="L437">
        <f>2631.29</f>
        <v>2631.29</v>
      </c>
      <c r="M437">
        <f>13834.55</f>
        <v>13834.55</v>
      </c>
      <c r="N437">
        <f>457.18</f>
        <v>457.18</v>
      </c>
      <c r="O437">
        <f>3966.72</f>
        <v>3966.72</v>
      </c>
      <c r="P437">
        <f>294.68</f>
        <v>294.68</v>
      </c>
      <c r="Q437">
        <f>3938.525</f>
        <v>3938.5250000000001</v>
      </c>
      <c r="R437">
        <f>9511.27</f>
        <v>9511.27</v>
      </c>
      <c r="S437">
        <f>3208.03</f>
        <v>3208.03</v>
      </c>
      <c r="T437">
        <f>3499.63</f>
        <v>3499.63</v>
      </c>
      <c r="U437">
        <f>67475.09</f>
        <v>67475.09</v>
      </c>
      <c r="V437">
        <f>606.39</f>
        <v>606.39</v>
      </c>
    </row>
    <row r="438" spans="1:22" x14ac:dyDescent="0.2">
      <c r="A438" s="1">
        <v>44495</v>
      </c>
      <c r="B438">
        <f>2396.2</f>
        <v>2396.1999999999998</v>
      </c>
      <c r="C438">
        <f>11455.42</f>
        <v>11455.42</v>
      </c>
      <c r="D438">
        <f>7175.18</f>
        <v>7175.18</v>
      </c>
      <c r="E438">
        <f>3126.925</f>
        <v>3126.9250000000002</v>
      </c>
      <c r="F438">
        <f>2068.82</f>
        <v>2068.8200000000002</v>
      </c>
      <c r="G438">
        <f>9778.527</f>
        <v>9778.527</v>
      </c>
      <c r="H438">
        <f>3836.03</f>
        <v>3836.03</v>
      </c>
      <c r="I438">
        <f>14563.68</f>
        <v>14563.68</v>
      </c>
      <c r="J438">
        <f>5476.93</f>
        <v>5476.93</v>
      </c>
      <c r="K438">
        <f>20246.26</f>
        <v>20246.259999999998</v>
      </c>
      <c r="L438">
        <f>2649.4</f>
        <v>2649.4</v>
      </c>
      <c r="M438">
        <f>13901.82</f>
        <v>13901.82</v>
      </c>
      <c r="N438">
        <f>457.807</f>
        <v>457.80700000000002</v>
      </c>
      <c r="O438">
        <f>3979.75</f>
        <v>3979.75</v>
      </c>
      <c r="P438">
        <f>295.56</f>
        <v>295.56</v>
      </c>
      <c r="Q438">
        <f>3979.036</f>
        <v>3979.0360000000001</v>
      </c>
      <c r="R438">
        <f>9559.39</f>
        <v>9559.39</v>
      </c>
      <c r="S438">
        <f>3215.34</f>
        <v>3215.34</v>
      </c>
      <c r="T438">
        <f>3516.714</f>
        <v>3516.7139999999999</v>
      </c>
      <c r="U438">
        <f>67615.31</f>
        <v>67615.31</v>
      </c>
      <c r="V438">
        <f>598.68</f>
        <v>598.67999999999995</v>
      </c>
    </row>
    <row r="439" spans="1:22" x14ac:dyDescent="0.2">
      <c r="A439" s="1">
        <v>44494</v>
      </c>
      <c r="B439">
        <f>2381.38</f>
        <v>2381.38</v>
      </c>
      <c r="C439">
        <f>11484.76</f>
        <v>11484.76</v>
      </c>
      <c r="D439">
        <f>7121.15</f>
        <v>7121.15</v>
      </c>
      <c r="E439">
        <f>3129.474</f>
        <v>3129.4740000000002</v>
      </c>
      <c r="F439">
        <f>2064.68</f>
        <v>2064.6799999999998</v>
      </c>
      <c r="G439">
        <f>9693.041</f>
        <v>9693.0409999999993</v>
      </c>
      <c r="H439">
        <f>3814.74</f>
        <v>3814.74</v>
      </c>
      <c r="I439">
        <f>14492.05</f>
        <v>14492.05</v>
      </c>
      <c r="J439">
        <f>5470.48</f>
        <v>5470.48</v>
      </c>
      <c r="K439">
        <f>20214.41</f>
        <v>20214.41</v>
      </c>
      <c r="L439">
        <f>2641.48</f>
        <v>2641.48</v>
      </c>
      <c r="M439">
        <f>13868.63</f>
        <v>13868.63</v>
      </c>
      <c r="N439">
        <f>455.889</f>
        <v>455.88900000000001</v>
      </c>
      <c r="O439">
        <f>3951.97</f>
        <v>3951.97</v>
      </c>
      <c r="P439">
        <f>293.38</f>
        <v>293.38</v>
      </c>
      <c r="Q439">
        <f>3973.465</f>
        <v>3973.4650000000001</v>
      </c>
      <c r="R439">
        <f>9541.99</f>
        <v>9541.99</v>
      </c>
      <c r="S439">
        <f>3178.74</f>
        <v>3178.74</v>
      </c>
      <c r="T439">
        <f>3507.943</f>
        <v>3507.9430000000002</v>
      </c>
      <c r="U439">
        <f>66980.45</f>
        <v>66980.45</v>
      </c>
      <c r="V439">
        <f>596.94</f>
        <v>596.94000000000005</v>
      </c>
    </row>
    <row r="440" spans="1:22" x14ac:dyDescent="0.2">
      <c r="A440" s="1">
        <v>44491</v>
      </c>
      <c r="B440">
        <f>2370.79</f>
        <v>2370.79</v>
      </c>
      <c r="C440">
        <f>11474.65</f>
        <v>11474.65</v>
      </c>
      <c r="D440">
        <f>7103.14</f>
        <v>7103.14</v>
      </c>
      <c r="E440">
        <f>3119.457</f>
        <v>3119.4569999999999</v>
      </c>
      <c r="F440">
        <f>2067.59</f>
        <v>2067.59</v>
      </c>
      <c r="G440">
        <f>9669.996</f>
        <v>9669.9959999999992</v>
      </c>
      <c r="H440">
        <f>3846.96</f>
        <v>3846.96</v>
      </c>
      <c r="I440">
        <f>14540.76</f>
        <v>14540.76</v>
      </c>
      <c r="J440">
        <f>5466.11</f>
        <v>5466.11</v>
      </c>
      <c r="K440">
        <f>20118.68</f>
        <v>20118.68</v>
      </c>
      <c r="L440">
        <f>2647.18</f>
        <v>2647.18</v>
      </c>
      <c r="M440">
        <f>13829.98</f>
        <v>13829.98</v>
      </c>
      <c r="N440">
        <f>455.301</f>
        <v>455.30099999999999</v>
      </c>
      <c r="O440">
        <f>3947.52</f>
        <v>3947.52</v>
      </c>
      <c r="P440">
        <f>294.54</f>
        <v>294.54000000000002</v>
      </c>
      <c r="Q440">
        <f>3959.178</f>
        <v>3959.1779999999999</v>
      </c>
      <c r="R440">
        <f>9496.86</f>
        <v>9496.86</v>
      </c>
      <c r="S440">
        <f>3189.59</f>
        <v>3189.59</v>
      </c>
      <c r="T440">
        <f>3525.531</f>
        <v>3525.5309999999999</v>
      </c>
      <c r="U440">
        <f>67050.52</f>
        <v>67050.52</v>
      </c>
      <c r="V440">
        <f>595.13</f>
        <v>595.13</v>
      </c>
    </row>
    <row r="441" spans="1:22" x14ac:dyDescent="0.2">
      <c r="A441" s="1">
        <v>44490</v>
      </c>
      <c r="B441">
        <f>2364.16</f>
        <v>2364.16</v>
      </c>
      <c r="C441">
        <f>11471.06</f>
        <v>11471.06</v>
      </c>
      <c r="D441">
        <f>7089.09</f>
        <v>7089.09</v>
      </c>
      <c r="E441">
        <f>3119.076</f>
        <v>3119.076</v>
      </c>
      <c r="F441">
        <f>2068.37</f>
        <v>2068.37</v>
      </c>
      <c r="G441">
        <f>9684.189</f>
        <v>9684.1890000000003</v>
      </c>
      <c r="H441">
        <f>3852.56</f>
        <v>3852.56</v>
      </c>
      <c r="I441">
        <f>14447.4</f>
        <v>14447.4</v>
      </c>
      <c r="J441">
        <f>5466.05</f>
        <v>5466.05</v>
      </c>
      <c r="K441">
        <f>20158.57</f>
        <v>20158.57</v>
      </c>
      <c r="L441">
        <f>2647.68</f>
        <v>2647.68</v>
      </c>
      <c r="M441">
        <f>13834.82</f>
        <v>13834.82</v>
      </c>
      <c r="N441">
        <f>453.642</f>
        <v>453.642</v>
      </c>
      <c r="O441">
        <f>3929.95</f>
        <v>3929.95</v>
      </c>
      <c r="P441">
        <f>295.87</f>
        <v>295.87</v>
      </c>
      <c r="Q441">
        <f>3945.815</f>
        <v>3945.8150000000001</v>
      </c>
      <c r="R441">
        <f>9506.91</f>
        <v>9506.91</v>
      </c>
      <c r="S441">
        <f>3187.32</f>
        <v>3187.32</v>
      </c>
      <c r="T441">
        <f>3440.128</f>
        <v>3440.1280000000002</v>
      </c>
      <c r="U441">
        <f>66057.58</f>
        <v>66057.58</v>
      </c>
      <c r="V441">
        <f>588.54</f>
        <v>588.54</v>
      </c>
    </row>
    <row r="442" spans="1:22" x14ac:dyDescent="0.2">
      <c r="A442" s="1">
        <v>44489</v>
      </c>
      <c r="B442">
        <f>2385.62</f>
        <v>2385.62</v>
      </c>
      <c r="C442">
        <f>11489.35</f>
        <v>11489.35</v>
      </c>
      <c r="D442">
        <f>7119.89</f>
        <v>7119.89</v>
      </c>
      <c r="E442">
        <f>3138.607</f>
        <v>3138.607</v>
      </c>
      <c r="F442">
        <f>2094.01</f>
        <v>2094.0100000000002</v>
      </c>
      <c r="G442">
        <f>9722.632</f>
        <v>9722.6319999999996</v>
      </c>
      <c r="H442">
        <f>3863.5</f>
        <v>3863.5</v>
      </c>
      <c r="I442">
        <f>14448.31</f>
        <v>14448.31</v>
      </c>
      <c r="J442">
        <f>5477.22</f>
        <v>5477.22</v>
      </c>
      <c r="K442">
        <f>20086.79</f>
        <v>20086.79</v>
      </c>
      <c r="L442">
        <f>2655.13</f>
        <v>2655.13</v>
      </c>
      <c r="M442">
        <f>13813.71</f>
        <v>13813.71</v>
      </c>
      <c r="N442">
        <f>452.349</f>
        <v>452.34899999999999</v>
      </c>
      <c r="O442">
        <f>3935.19</f>
        <v>3935.19</v>
      </c>
      <c r="P442">
        <f>297.37</f>
        <v>297.37</v>
      </c>
      <c r="Q442">
        <f>3947.958</f>
        <v>3947.9580000000001</v>
      </c>
      <c r="R442">
        <f>9477.82</f>
        <v>9477.82</v>
      </c>
      <c r="S442">
        <f>3230.11</f>
        <v>3230.11</v>
      </c>
      <c r="T442">
        <f>3507.187</f>
        <v>3507.1869999999999</v>
      </c>
      <c r="U442">
        <f>66894.79</f>
        <v>66894.789999999994</v>
      </c>
      <c r="V442">
        <f>601.74</f>
        <v>601.74</v>
      </c>
    </row>
    <row r="443" spans="1:22" x14ac:dyDescent="0.2">
      <c r="A443" s="1">
        <v>44488</v>
      </c>
      <c r="B443">
        <f>2384.13</f>
        <v>2384.13</v>
      </c>
      <c r="C443">
        <f>11491.88</f>
        <v>11491.88</v>
      </c>
      <c r="D443">
        <f>7114.4</f>
        <v>7114.4</v>
      </c>
      <c r="E443">
        <f>3122.645</f>
        <v>3122.645</v>
      </c>
      <c r="F443">
        <f>2093.45</f>
        <v>2093.4499999999998</v>
      </c>
      <c r="G443">
        <f>9702.182</f>
        <v>9702.1820000000007</v>
      </c>
      <c r="H443">
        <f>3863.72</f>
        <v>3863.72</v>
      </c>
      <c r="I443">
        <f>14392.37</f>
        <v>14392.37</v>
      </c>
      <c r="J443">
        <f>5432.86</f>
        <v>5432.86</v>
      </c>
      <c r="K443">
        <f>20014.98</f>
        <v>20014.98</v>
      </c>
      <c r="L443">
        <f>2635.53</f>
        <v>2635.53</v>
      </c>
      <c r="M443">
        <f>13763.13</f>
        <v>13763.13</v>
      </c>
      <c r="N443">
        <f>450.306</f>
        <v>450.30599999999998</v>
      </c>
      <c r="O443">
        <f>3923.6</f>
        <v>3923.6</v>
      </c>
      <c r="P443">
        <f>295.88</f>
        <v>295.88</v>
      </c>
      <c r="Q443">
        <f>3915.483</f>
        <v>3915.4830000000002</v>
      </c>
      <c r="R443">
        <f>9443.12</f>
        <v>9443.1200000000008</v>
      </c>
      <c r="S443">
        <f>3228.36</f>
        <v>3228.36</v>
      </c>
      <c r="T443">
        <f>3490.131</f>
        <v>3490.1309999999999</v>
      </c>
      <c r="U443">
        <f>66776.15</f>
        <v>66776.149999999994</v>
      </c>
      <c r="V443">
        <f>602.38</f>
        <v>602.38</v>
      </c>
    </row>
    <row r="444" spans="1:22" x14ac:dyDescent="0.2">
      <c r="A444" s="1">
        <v>44487</v>
      </c>
      <c r="B444">
        <f>2375.33</f>
        <v>2375.33</v>
      </c>
      <c r="C444">
        <f>11461.28</f>
        <v>11461.28</v>
      </c>
      <c r="D444">
        <f>7100.89</f>
        <v>7100.89</v>
      </c>
      <c r="E444">
        <f>3094.789</f>
        <v>3094.7890000000002</v>
      </c>
      <c r="F444">
        <f>2073.69</f>
        <v>2073.69</v>
      </c>
      <c r="G444">
        <f>9626.72</f>
        <v>9626.7199999999993</v>
      </c>
      <c r="H444">
        <f>3876.81</f>
        <v>3876.81</v>
      </c>
      <c r="I444">
        <f>14296.54</f>
        <v>14296.54</v>
      </c>
      <c r="J444">
        <f>5382.72</f>
        <v>5382.72</v>
      </c>
      <c r="K444">
        <f>19866.93</f>
        <v>19866.93</v>
      </c>
      <c r="L444">
        <f>2619.91</f>
        <v>2619.91</v>
      </c>
      <c r="M444">
        <f>13665.63</f>
        <v>13665.63</v>
      </c>
      <c r="N444">
        <f>448.923</f>
        <v>448.923</v>
      </c>
      <c r="O444">
        <f>3910.09</f>
        <v>3910.09</v>
      </c>
      <c r="P444">
        <f>297.65</f>
        <v>297.64999999999998</v>
      </c>
      <c r="Q444">
        <f>3891.103</f>
        <v>3891.1030000000001</v>
      </c>
      <c r="R444">
        <f>9373.68</f>
        <v>9373.68</v>
      </c>
      <c r="S444">
        <f>3216.66</f>
        <v>3216.66</v>
      </c>
      <c r="T444">
        <f>3489.126</f>
        <v>3489.1260000000002</v>
      </c>
      <c r="U444">
        <f>66792.1</f>
        <v>66792.100000000006</v>
      </c>
      <c r="V444">
        <f>605.42</f>
        <v>605.41999999999996</v>
      </c>
    </row>
    <row r="445" spans="1:22" x14ac:dyDescent="0.2">
      <c r="A445" s="1">
        <v>44484</v>
      </c>
      <c r="B445">
        <f>2385.63</f>
        <v>2385.63</v>
      </c>
      <c r="C445">
        <f>11475.76</f>
        <v>11475.76</v>
      </c>
      <c r="D445">
        <f>7130.66</f>
        <v>7130.66</v>
      </c>
      <c r="E445">
        <f>3096.208</f>
        <v>3096.2080000000001</v>
      </c>
      <c r="F445">
        <f>2095.84</f>
        <v>2095.84</v>
      </c>
      <c r="G445">
        <f>9701.645</f>
        <v>9701.6450000000004</v>
      </c>
      <c r="H445">
        <f>3891.38</f>
        <v>3891.38</v>
      </c>
      <c r="I445">
        <f>14362.9</f>
        <v>14362.9</v>
      </c>
      <c r="J445">
        <f>5414.55</f>
        <v>5414.55</v>
      </c>
      <c r="K445">
        <f>19790.8</f>
        <v>19790.8</v>
      </c>
      <c r="L445">
        <f>2633.74</f>
        <v>2633.74</v>
      </c>
      <c r="M445">
        <f>13645.12</f>
        <v>13645.12</v>
      </c>
      <c r="N445">
        <f>450.806</f>
        <v>450.80599999999998</v>
      </c>
      <c r="O445">
        <f>3930.38</f>
        <v>3930.38</v>
      </c>
      <c r="P445">
        <f>297.36</f>
        <v>297.36</v>
      </c>
      <c r="Q445">
        <f>3903.80288</f>
        <v>3903.8028800000002</v>
      </c>
      <c r="R445">
        <f>9342.15</f>
        <v>9342.15</v>
      </c>
      <c r="S445">
        <f>3224.16</f>
        <v>3224.16</v>
      </c>
      <c r="T445">
        <f>3511.991</f>
        <v>3511.991</v>
      </c>
      <c r="U445">
        <f>67028.86</f>
        <v>67028.86</v>
      </c>
      <c r="V445">
        <f>605.71</f>
        <v>605.71</v>
      </c>
    </row>
    <row r="446" spans="1:22" x14ac:dyDescent="0.2">
      <c r="A446" s="1">
        <v>44483</v>
      </c>
      <c r="B446">
        <f>2376.85</f>
        <v>2376.85</v>
      </c>
      <c r="C446">
        <f>11392.82</f>
        <v>11392.82</v>
      </c>
      <c r="D446">
        <f>7104.72</f>
        <v>7104.72</v>
      </c>
      <c r="E446">
        <f>3055.169</f>
        <v>3055.1689999999999</v>
      </c>
      <c r="F446">
        <f>2081.27</f>
        <v>2081.27</v>
      </c>
      <c r="G446">
        <f>9608.04</f>
        <v>9608.0400000000009</v>
      </c>
      <c r="H446">
        <f>3843.8</f>
        <v>3843.8</v>
      </c>
      <c r="I446">
        <f>14237.06</f>
        <v>14237.06</v>
      </c>
      <c r="J446">
        <f>5390.88</f>
        <v>5390.88</v>
      </c>
      <c r="K446">
        <f>19649.44</f>
        <v>19649.439999999999</v>
      </c>
      <c r="L446">
        <f>2622.51</f>
        <v>2622.51</v>
      </c>
      <c r="M446">
        <f>13535.9</f>
        <v>13535.9</v>
      </c>
      <c r="N446">
        <f>449.063</f>
        <v>449.06299999999999</v>
      </c>
      <c r="O446">
        <f>3900.69</f>
        <v>3900.69</v>
      </c>
      <c r="P446">
        <f>292.92</f>
        <v>292.92</v>
      </c>
      <c r="Q446">
        <f>3895.745</f>
        <v>3895.7449999999999</v>
      </c>
      <c r="R446">
        <f>9272.97</f>
        <v>9272.9699999999993</v>
      </c>
      <c r="S446">
        <f>3165.27</f>
        <v>3165.27</v>
      </c>
      <c r="T446">
        <f>3523.068</f>
        <v>3523.0680000000002</v>
      </c>
      <c r="U446">
        <f>66846.17</f>
        <v>66846.17</v>
      </c>
      <c r="V446">
        <f>605.02</f>
        <v>605.02</v>
      </c>
    </row>
    <row r="447" spans="1:22" x14ac:dyDescent="0.2">
      <c r="A447" s="1">
        <v>44482</v>
      </c>
      <c r="B447">
        <f>2352.43</f>
        <v>2352.4299999999998</v>
      </c>
      <c r="C447">
        <f>11331.11</f>
        <v>11331.11</v>
      </c>
      <c r="D447">
        <f>7038.26</f>
        <v>7038.26</v>
      </c>
      <c r="E447">
        <f>3039.604</f>
        <v>3039.6039999999998</v>
      </c>
      <c r="F447">
        <f>2044.57</f>
        <v>2044.57</v>
      </c>
      <c r="G447">
        <f>9486.433</f>
        <v>9486.4330000000009</v>
      </c>
      <c r="H447">
        <f>3859.24</f>
        <v>3859.24</v>
      </c>
      <c r="I447">
        <f>14054.77</f>
        <v>14054.77</v>
      </c>
      <c r="J447">
        <f>5311.01</f>
        <v>5311.01</v>
      </c>
      <c r="K447">
        <f>19320.68</f>
        <v>19320.68</v>
      </c>
      <c r="L447">
        <f>2593.35</f>
        <v>2593.35</v>
      </c>
      <c r="M447">
        <f>13334.8</f>
        <v>13334.8</v>
      </c>
      <c r="N447">
        <f>445.403</f>
        <v>445.40300000000002</v>
      </c>
      <c r="O447">
        <f>3856.49</f>
        <v>3856.49</v>
      </c>
      <c r="P447">
        <f>294.26</f>
        <v>294.26</v>
      </c>
      <c r="Q447">
        <f>3824.582</f>
        <v>3824.5819999999999</v>
      </c>
      <c r="R447">
        <f>9116.39</f>
        <v>9116.39</v>
      </c>
      <c r="S447">
        <f>3144.35</f>
        <v>3144.35</v>
      </c>
      <c r="T447">
        <f>3483.04</f>
        <v>3483.04</v>
      </c>
      <c r="U447">
        <f>66012.78</f>
        <v>66012.78</v>
      </c>
      <c r="V447">
        <f>599.17</f>
        <v>599.16999999999996</v>
      </c>
    </row>
    <row r="448" spans="1:22" x14ac:dyDescent="0.2">
      <c r="A448" s="1">
        <v>44481</v>
      </c>
      <c r="B448">
        <f>2346.27</f>
        <v>2346.27</v>
      </c>
      <c r="C448">
        <f>11312.93</f>
        <v>11312.93</v>
      </c>
      <c r="D448">
        <f>7026.83</f>
        <v>7026.83</v>
      </c>
      <c r="E448">
        <f>3023.437</f>
        <v>3023.4369999999999</v>
      </c>
      <c r="F448">
        <f>2036.31</f>
        <v>2036.31</v>
      </c>
      <c r="G448">
        <f>9453.952</f>
        <v>9453.9519999999993</v>
      </c>
      <c r="H448">
        <f>3863.9</f>
        <v>3863.9</v>
      </c>
      <c r="I448">
        <f>13914.69</f>
        <v>13914.69</v>
      </c>
      <c r="J448">
        <f>5293.33</f>
        <v>5293.33</v>
      </c>
      <c r="K448">
        <f>19238.96</f>
        <v>19238.96</v>
      </c>
      <c r="L448">
        <f>2588.82</f>
        <v>2588.8200000000002</v>
      </c>
      <c r="M448">
        <f>13271.83</f>
        <v>13271.83</v>
      </c>
      <c r="N448">
        <f>439.732</f>
        <v>439.73200000000003</v>
      </c>
      <c r="O448">
        <f>3831.32</f>
        <v>3831.32</v>
      </c>
      <c r="P448">
        <f>295.7</f>
        <v>295.7</v>
      </c>
      <c r="Q448">
        <f>3814.353</f>
        <v>3814.3530000000001</v>
      </c>
      <c r="R448">
        <f>9088.73</f>
        <v>9088.73</v>
      </c>
      <c r="S448">
        <f>3158.44</f>
        <v>3158.44</v>
      </c>
      <c r="T448">
        <f>3451.142</f>
        <v>3451.1419999999998</v>
      </c>
      <c r="U448">
        <f>65988.12</f>
        <v>65988.12</v>
      </c>
      <c r="V448">
        <f>597.05</f>
        <v>597.04999999999995</v>
      </c>
    </row>
    <row r="449" spans="1:22" x14ac:dyDescent="0.2">
      <c r="A449" s="1">
        <v>44480</v>
      </c>
      <c r="B449">
        <f>2350.43</f>
        <v>2350.4299999999998</v>
      </c>
      <c r="C449">
        <f>11350.36</f>
        <v>11350.36</v>
      </c>
      <c r="D449">
        <f>7043.21</f>
        <v>7043.21</v>
      </c>
      <c r="E449">
        <f>3052.41</f>
        <v>3052.41</v>
      </c>
      <c r="F449">
        <f>2043.62</f>
        <v>2043.62</v>
      </c>
      <c r="G449">
        <f>9492.957</f>
        <v>9492.9570000000003</v>
      </c>
      <c r="H449">
        <f>3883.66</f>
        <v>3883.66</v>
      </c>
      <c r="I449">
        <f>13950.37</f>
        <v>13950.37</v>
      </c>
      <c r="J449">
        <f>5318.5</f>
        <v>5318.5</v>
      </c>
      <c r="K449">
        <f>19268.84</f>
        <v>19268.84</v>
      </c>
      <c r="L449">
        <f>2601.94</f>
        <v>2601.94</v>
      </c>
      <c r="M449">
        <f>13301.88</f>
        <v>13301.88</v>
      </c>
      <c r="N449">
        <f>439.339</f>
        <v>439.339</v>
      </c>
      <c r="O449">
        <f>3834.78</f>
        <v>3834.78</v>
      </c>
      <c r="P449">
        <f>296.84</f>
        <v>296.83999999999997</v>
      </c>
      <c r="Q449">
        <f>3815.908</f>
        <v>3815.9079999999999</v>
      </c>
      <c r="R449">
        <f>9110.76</f>
        <v>9110.76</v>
      </c>
      <c r="S449">
        <f>3180.58</f>
        <v>3180.58</v>
      </c>
      <c r="T449">
        <f>3447.696</f>
        <v>3447.6959999999999</v>
      </c>
      <c r="U449">
        <f>66101.04</f>
        <v>66101.039999999994</v>
      </c>
      <c r="V449">
        <f>593.72</f>
        <v>593.72</v>
      </c>
    </row>
    <row r="450" spans="1:22" x14ac:dyDescent="0.2">
      <c r="A450" s="1">
        <v>44477</v>
      </c>
      <c r="B450">
        <f>2329.21</f>
        <v>2329.21</v>
      </c>
      <c r="C450">
        <f>11335.39</f>
        <v>11335.39</v>
      </c>
      <c r="D450">
        <f>6992.66</f>
        <v>6992.66</v>
      </c>
      <c r="E450">
        <f>3031.516</f>
        <v>3031.5160000000001</v>
      </c>
      <c r="F450">
        <f>2018.02</f>
        <v>2018.02</v>
      </c>
      <c r="G450">
        <f>9424.614</f>
        <v>9424.6139999999996</v>
      </c>
      <c r="H450">
        <f>3879.24</f>
        <v>3879.24</v>
      </c>
      <c r="I450">
        <f>13964.93</f>
        <v>13964.93</v>
      </c>
      <c r="J450">
        <f>5352.21</f>
        <v>5352.21</v>
      </c>
      <c r="K450">
        <f>19401.74</f>
        <v>19401.740000000002</v>
      </c>
      <c r="L450">
        <f>2608.33</f>
        <v>2608.33</v>
      </c>
      <c r="M450">
        <f>13355.29</f>
        <v>13355.29</v>
      </c>
      <c r="N450">
        <f>439.306</f>
        <v>439.30599999999998</v>
      </c>
      <c r="O450">
        <f>3830.4</f>
        <v>3830.4</v>
      </c>
      <c r="P450">
        <f>292.74</f>
        <v>292.74</v>
      </c>
      <c r="Q450">
        <f>3830.24509</f>
        <v>3830.2450899999999</v>
      </c>
      <c r="R450">
        <f>9173.74</f>
        <v>9173.74</v>
      </c>
      <c r="S450">
        <f>3125.26</f>
        <v>3125.26</v>
      </c>
      <c r="T450">
        <f>3393.194</f>
        <v>3393.194</v>
      </c>
      <c r="U450">
        <f>65242.61</f>
        <v>65242.61</v>
      </c>
      <c r="V450">
        <f>586.25</f>
        <v>586.25</v>
      </c>
    </row>
    <row r="451" spans="1:22" x14ac:dyDescent="0.2">
      <c r="A451" s="1">
        <v>44476</v>
      </c>
      <c r="B451">
        <f>2320.1</f>
        <v>2320.1</v>
      </c>
      <c r="C451">
        <f>11337.86</f>
        <v>11337.86</v>
      </c>
      <c r="D451">
        <f>6975.4</f>
        <v>6975.4</v>
      </c>
      <c r="E451">
        <f>3022.147</f>
        <v>3022.1469999999999</v>
      </c>
      <c r="F451">
        <f>2006.9</f>
        <v>2006.9</v>
      </c>
      <c r="G451">
        <f>9385.315</f>
        <v>9385.3150000000005</v>
      </c>
      <c r="H451">
        <f>3867.64</f>
        <v>3867.64</v>
      </c>
      <c r="I451">
        <f>14002.22</f>
        <v>14002.22</v>
      </c>
      <c r="J451">
        <f>5370.52</f>
        <v>5370.52</v>
      </c>
      <c r="K451">
        <f>19447.37</f>
        <v>19447.37</v>
      </c>
      <c r="L451">
        <f>2607.84</f>
        <v>2607.84</v>
      </c>
      <c r="M451">
        <f>13367.39</f>
        <v>13367.39</v>
      </c>
      <c r="N451">
        <f>440.739</f>
        <v>440.73899999999998</v>
      </c>
      <c r="O451">
        <f>3840.04</f>
        <v>3840.04</v>
      </c>
      <c r="P451">
        <f>291.65</f>
        <v>291.64999999999998</v>
      </c>
      <c r="Q451">
        <f>3841.84661</f>
        <v>3841.8466100000001</v>
      </c>
      <c r="R451">
        <f>9191.19</f>
        <v>9191.19</v>
      </c>
      <c r="S451">
        <f>3089.85</f>
        <v>3089.85</v>
      </c>
      <c r="T451">
        <f>3365.427</f>
        <v>3365.4270000000001</v>
      </c>
      <c r="U451">
        <f>65157.75</f>
        <v>65157.75</v>
      </c>
      <c r="V451">
        <f>575.23</f>
        <v>575.23</v>
      </c>
    </row>
    <row r="452" spans="1:22" x14ac:dyDescent="0.2">
      <c r="A452" s="1">
        <v>44475</v>
      </c>
      <c r="B452">
        <f>2290.59</f>
        <v>2290.59</v>
      </c>
      <c r="C452">
        <f>11188.92</f>
        <v>11188.92</v>
      </c>
      <c r="D452">
        <f>6893.22</f>
        <v>6893.22</v>
      </c>
      <c r="E452">
        <f>2958.916</f>
        <v>2958.9160000000002</v>
      </c>
      <c r="F452">
        <f>1973.88</f>
        <v>1973.88</v>
      </c>
      <c r="G452">
        <f>9241.562</f>
        <v>9241.5619999999999</v>
      </c>
      <c r="H452">
        <f>3876.22</f>
        <v>3876.22</v>
      </c>
      <c r="I452">
        <f>13748.52</f>
        <v>13748.52</v>
      </c>
      <c r="J452">
        <f>5332.81</f>
        <v>5332.81</v>
      </c>
      <c r="K452">
        <f>19272.17</f>
        <v>19272.169999999998</v>
      </c>
      <c r="L452">
        <f>2585</f>
        <v>2585</v>
      </c>
      <c r="M452">
        <f>13230.7</f>
        <v>13230.7</v>
      </c>
      <c r="N452">
        <f>436.304</f>
        <v>436.30399999999997</v>
      </c>
      <c r="O452">
        <f>3778.1</f>
        <v>3778.1</v>
      </c>
      <c r="P452">
        <f>292.93</f>
        <v>292.93</v>
      </c>
      <c r="Q452">
        <f>3811.26731</f>
        <v>3811.2673100000002</v>
      </c>
      <c r="R452">
        <f>9113.45</f>
        <v>9113.4500000000007</v>
      </c>
      <c r="S452">
        <f>3093.49</f>
        <v>3093.49</v>
      </c>
      <c r="T452">
        <f>3261.583</f>
        <v>3261.5830000000001</v>
      </c>
      <c r="U452">
        <f>63987.02</f>
        <v>63987.02</v>
      </c>
      <c r="V452">
        <f>560.56</f>
        <v>560.55999999999995</v>
      </c>
    </row>
    <row r="453" spans="1:22" x14ac:dyDescent="0.2">
      <c r="A453" s="1">
        <v>44474</v>
      </c>
      <c r="B453">
        <f>2320.38</f>
        <v>2320.38</v>
      </c>
      <c r="C453">
        <f>11189.17</f>
        <v>11189.17</v>
      </c>
      <c r="D453">
        <f>6973.25</f>
        <v>6973.25</v>
      </c>
      <c r="E453">
        <f>2981.485</f>
        <v>2981.4850000000001</v>
      </c>
      <c r="F453">
        <f>2010.98</f>
        <v>2010.98</v>
      </c>
      <c r="G453">
        <f>9386.333</f>
        <v>9386.3330000000005</v>
      </c>
      <c r="H453">
        <f>3854.94</f>
        <v>3854.94</v>
      </c>
      <c r="I453">
        <f>13944.85</f>
        <v>13944.85</v>
      </c>
      <c r="J453">
        <f>5319.4</f>
        <v>5319.4</v>
      </c>
      <c r="K453">
        <f>19186.23</f>
        <v>19186.23</v>
      </c>
      <c r="L453">
        <f>2589.19</f>
        <v>2589.19</v>
      </c>
      <c r="M453">
        <f>13231.73</f>
        <v>13231.73</v>
      </c>
      <c r="N453">
        <f>439.418</f>
        <v>439.41800000000001</v>
      </c>
      <c r="O453">
        <f>3816.13</f>
        <v>3816.13</v>
      </c>
      <c r="P453">
        <f>289.45</f>
        <v>289.45</v>
      </c>
      <c r="Q453">
        <f>3797.517</f>
        <v>3797.5169999999998</v>
      </c>
      <c r="R453">
        <f>9076.19</f>
        <v>9076.19</v>
      </c>
      <c r="S453">
        <f>3102.79</f>
        <v>3102.79</v>
      </c>
      <c r="T453">
        <f>3275.26</f>
        <v>3275.26</v>
      </c>
      <c r="U453">
        <f>64542.87</f>
        <v>64542.87</v>
      </c>
      <c r="V453">
        <f>564.82</f>
        <v>564.82000000000005</v>
      </c>
    </row>
    <row r="454" spans="1:22" x14ac:dyDescent="0.2">
      <c r="A454" s="1">
        <v>44473</v>
      </c>
      <c r="B454">
        <f>2304.7</f>
        <v>2304.6999999999998</v>
      </c>
      <c r="C454">
        <f>11200.13</f>
        <v>11200.13</v>
      </c>
      <c r="D454">
        <f>6908.13</f>
        <v>6908.13</v>
      </c>
      <c r="E454">
        <f>2981.157</f>
        <v>2981.1570000000002</v>
      </c>
      <c r="F454">
        <f>2008.57</f>
        <v>2008.57</v>
      </c>
      <c r="G454">
        <f>9283.954</f>
        <v>9283.9539999999997</v>
      </c>
      <c r="H454">
        <f>3900.85</f>
        <v>3900.85</v>
      </c>
      <c r="I454">
        <f>13830.27</f>
        <v>13830.27</v>
      </c>
      <c r="J454">
        <f>5285.75</f>
        <v>5285.75</v>
      </c>
      <c r="K454">
        <f>18980.38</f>
        <v>18980.38</v>
      </c>
      <c r="L454">
        <f>2585.12</f>
        <v>2585.12</v>
      </c>
      <c r="M454">
        <f>13128.53</f>
        <v>13128.53</v>
      </c>
      <c r="N454">
        <f>436.438</f>
        <v>436.43799999999999</v>
      </c>
      <c r="O454">
        <f>3771.3</f>
        <v>3771.3</v>
      </c>
      <c r="P454">
        <f>290.24</f>
        <v>290.24</v>
      </c>
      <c r="Q454">
        <f>3772.975</f>
        <v>3772.9749999999999</v>
      </c>
      <c r="R454">
        <f>8980.64</f>
        <v>8980.64</v>
      </c>
      <c r="S454">
        <f>3144.48</f>
        <v>3144.48</v>
      </c>
      <c r="T454">
        <f>3256.154</f>
        <v>3256.154</v>
      </c>
      <c r="U454">
        <f>64129</f>
        <v>64129</v>
      </c>
      <c r="V454">
        <f>559.82</f>
        <v>559.82000000000005</v>
      </c>
    </row>
    <row r="455" spans="1:22" x14ac:dyDescent="0.2">
      <c r="A455" s="1">
        <v>44470</v>
      </c>
      <c r="B455">
        <f>2302.04</f>
        <v>2302.04</v>
      </c>
      <c r="C455">
        <f>11248.11</f>
        <v>11248.11</v>
      </c>
      <c r="D455">
        <f>6923.96</f>
        <v>6923.96</v>
      </c>
      <c r="E455">
        <f>3005.688</f>
        <v>3005.6880000000001</v>
      </c>
      <c r="F455">
        <f>1991.65</f>
        <v>1991.65</v>
      </c>
      <c r="G455">
        <f>9255.921</f>
        <v>9255.9210000000003</v>
      </c>
      <c r="H455">
        <f>3896.88</f>
        <v>3896.88</v>
      </c>
      <c r="I455">
        <f>13864.65</f>
        <v>13864.65</v>
      </c>
      <c r="J455">
        <f>5307.86</f>
        <v>5307.86</v>
      </c>
      <c r="K455">
        <f>19249.2</f>
        <v>19249.2</v>
      </c>
      <c r="L455">
        <f>2583.58</f>
        <v>2583.58</v>
      </c>
      <c r="M455">
        <f>13257.86</f>
        <v>13257.86</v>
      </c>
      <c r="N455">
        <f>438.104</f>
        <v>438.10399999999998</v>
      </c>
      <c r="O455">
        <f>3787.21</f>
        <v>3787.21</v>
      </c>
      <c r="P455">
        <f>289.93</f>
        <v>289.93</v>
      </c>
      <c r="Q455">
        <f>3786.966</f>
        <v>3786.9659999999999</v>
      </c>
      <c r="R455">
        <f>9098.25</f>
        <v>9098.25</v>
      </c>
      <c r="S455">
        <f>3164.22</f>
        <v>3164.22</v>
      </c>
      <c r="T455">
        <f>3204.238</f>
        <v>3204.2379999999998</v>
      </c>
      <c r="U455">
        <f>63661.02</f>
        <v>63661.02</v>
      </c>
      <c r="V455">
        <f>551.65</f>
        <v>551.65</v>
      </c>
    </row>
    <row r="456" spans="1:22" x14ac:dyDescent="0.2">
      <c r="A456" s="1">
        <v>44469</v>
      </c>
      <c r="B456">
        <f>2325.61</f>
        <v>2325.61</v>
      </c>
      <c r="C456">
        <f>11295.43</f>
        <v>11295.43</v>
      </c>
      <c r="D456">
        <f>6982.44</f>
        <v>6982.44</v>
      </c>
      <c r="E456">
        <f>3021.283</f>
        <v>3021.2829999999999</v>
      </c>
      <c r="F456">
        <f>2015.26</f>
        <v>2015.26</v>
      </c>
      <c r="G456">
        <f>9297.393</f>
        <v>9297.393</v>
      </c>
      <c r="H456">
        <f>3959.82</f>
        <v>3959.82</v>
      </c>
      <c r="I456">
        <f>13913.07</f>
        <v>13913.07</v>
      </c>
      <c r="J456">
        <f>5261.49</f>
        <v>5261.49</v>
      </c>
      <c r="K456">
        <f>19038.38</f>
        <v>19038.38</v>
      </c>
      <c r="L456">
        <f>2577.06</f>
        <v>2577.06</v>
      </c>
      <c r="M456">
        <f>13186.53</f>
        <v>13186.53</v>
      </c>
      <c r="N456">
        <f>440.149</f>
        <v>440.149</v>
      </c>
      <c r="O456">
        <f>3800.86</f>
        <v>3800.86</v>
      </c>
      <c r="P456">
        <f>294.88</f>
        <v>294.88</v>
      </c>
      <c r="Q456">
        <f>3759.30358</f>
        <v>3759.3035799999998</v>
      </c>
      <c r="R456">
        <f>8994.83</f>
        <v>8994.83</v>
      </c>
      <c r="S456">
        <f>3234.08</f>
        <v>3234.08</v>
      </c>
      <c r="T456">
        <f>3240.713</f>
        <v>3240.7130000000002</v>
      </c>
      <c r="U456">
        <f>64281.77</f>
        <v>64281.77</v>
      </c>
      <c r="V456">
        <f>557.71</f>
        <v>557.71</v>
      </c>
    </row>
    <row r="457" spans="1:22" x14ac:dyDescent="0.2">
      <c r="A457" s="1">
        <v>44468</v>
      </c>
      <c r="B457">
        <f>2332.3</f>
        <v>2332.3000000000002</v>
      </c>
      <c r="C457">
        <f>11250.3</f>
        <v>11250.3</v>
      </c>
      <c r="D457">
        <f>6998.15</f>
        <v>6998.15</v>
      </c>
      <c r="E457">
        <f>3016.897</f>
        <v>3016.8969999999999</v>
      </c>
      <c r="F457">
        <f>2010.93</f>
        <v>2010.93</v>
      </c>
      <c r="G457">
        <f>9269.673</f>
        <v>9269.6730000000007</v>
      </c>
      <c r="H457">
        <f>3976.22</f>
        <v>3976.22</v>
      </c>
      <c r="I457">
        <f>13972.38</f>
        <v>13972.38</v>
      </c>
      <c r="J457">
        <f>5335.27</f>
        <v>5335.27</v>
      </c>
      <c r="K457">
        <f>19244.41</f>
        <v>19244.41</v>
      </c>
      <c r="L457">
        <f>2599.06</f>
        <v>2599.06</v>
      </c>
      <c r="M457">
        <f>13282.47</f>
        <v>13282.47</v>
      </c>
      <c r="N457">
        <f>438.454</f>
        <v>438.45400000000001</v>
      </c>
      <c r="O457">
        <f>3804.01</f>
        <v>3804.01</v>
      </c>
      <c r="P457">
        <f>297</f>
        <v>297</v>
      </c>
      <c r="Q457">
        <f>3828.13</f>
        <v>3828.13</v>
      </c>
      <c r="R457">
        <f>9102.62</f>
        <v>9102.6200000000008</v>
      </c>
      <c r="S457">
        <f>3247.02</f>
        <v>3247.02</v>
      </c>
      <c r="T457">
        <f>3221.305</f>
        <v>3221.3049999999998</v>
      </c>
      <c r="U457">
        <f>64363.66</f>
        <v>64363.66</v>
      </c>
      <c r="V457">
        <f>550.6</f>
        <v>550.6</v>
      </c>
    </row>
    <row r="458" spans="1:22" x14ac:dyDescent="0.2">
      <c r="A458" s="1">
        <v>44467</v>
      </c>
      <c r="B458">
        <f>2316.51</f>
        <v>2316.5100000000002</v>
      </c>
      <c r="C458">
        <f>11270.9</f>
        <v>11270.9</v>
      </c>
      <c r="D458">
        <f>6919.33</f>
        <v>6919.33</v>
      </c>
      <c r="E458">
        <f>3038.795</f>
        <v>3038.7950000000001</v>
      </c>
      <c r="F458">
        <f>2014.62</f>
        <v>2014.62</v>
      </c>
      <c r="G458">
        <f>9232.965</f>
        <v>9232.9650000000001</v>
      </c>
      <c r="H458">
        <f>4030.4</f>
        <v>4030.4</v>
      </c>
      <c r="I458">
        <f>13963.15</f>
        <v>13963.15</v>
      </c>
      <c r="J458">
        <f>5301.6</f>
        <v>5301.6</v>
      </c>
      <c r="K458">
        <f>19223.65</f>
        <v>19223.650000000001</v>
      </c>
      <c r="L458">
        <f>2588.5</f>
        <v>2588.5</v>
      </c>
      <c r="M458">
        <f>13291.31</f>
        <v>13291.31</v>
      </c>
      <c r="N458">
        <f>436.101</f>
        <v>436.101</v>
      </c>
      <c r="O458">
        <f>3777.49</f>
        <v>3777.49</v>
      </c>
      <c r="P458">
        <f>299.97</f>
        <v>299.97000000000003</v>
      </c>
      <c r="Q458">
        <f>3806.14659</f>
        <v>3806.1465899999998</v>
      </c>
      <c r="R458">
        <f>9087.47</f>
        <v>9087.4699999999993</v>
      </c>
      <c r="S458">
        <f>3290.57</f>
        <v>3290.57</v>
      </c>
      <c r="T458">
        <f>3221.659</f>
        <v>3221.6590000000001</v>
      </c>
      <c r="U458">
        <f>63784.41</f>
        <v>63784.41</v>
      </c>
      <c r="V458">
        <f>547.52</f>
        <v>547.52</v>
      </c>
    </row>
    <row r="459" spans="1:22" x14ac:dyDescent="0.2">
      <c r="A459" s="1">
        <v>44466</v>
      </c>
      <c r="B459">
        <f>2333.71</f>
        <v>2333.71</v>
      </c>
      <c r="C459">
        <f>11306.15</f>
        <v>11306.15</v>
      </c>
      <c r="D459">
        <f>6954.07</f>
        <v>6954.07</v>
      </c>
      <c r="E459">
        <f>3053.958</f>
        <v>3053.9580000000001</v>
      </c>
      <c r="F459">
        <f>2053.56</f>
        <v>2053.56</v>
      </c>
      <c r="G459">
        <f>9390.314</f>
        <v>9390.3140000000003</v>
      </c>
      <c r="H459">
        <f>4038.38</f>
        <v>4038.38</v>
      </c>
      <c r="I459">
        <f>14311.25</f>
        <v>14311.25</v>
      </c>
      <c r="J459">
        <f>5366.16</f>
        <v>5366.16</v>
      </c>
      <c r="K459">
        <f>19641.77</f>
        <v>19641.77</v>
      </c>
      <c r="L459">
        <f>2619.29</f>
        <v>2619.29</v>
      </c>
      <c r="M459">
        <f>13565.5</f>
        <v>13565.5</v>
      </c>
      <c r="N459">
        <f>445.115</f>
        <v>445.11500000000001</v>
      </c>
      <c r="O459">
        <f>3857.53</f>
        <v>3857.53</v>
      </c>
      <c r="P459">
        <f>298.22</f>
        <v>298.22000000000003</v>
      </c>
      <c r="Q459">
        <f>3858.54397</f>
        <v>3858.5439700000002</v>
      </c>
      <c r="R459">
        <f>9275.87</f>
        <v>9275.8700000000008</v>
      </c>
      <c r="S459">
        <f>3300</f>
        <v>3300</v>
      </c>
      <c r="T459">
        <f>3273.132</f>
        <v>3273.1320000000001</v>
      </c>
      <c r="U459">
        <f>64197.36</f>
        <v>64197.36</v>
      </c>
      <c r="V459">
        <f>553.36</f>
        <v>553.36</v>
      </c>
    </row>
    <row r="460" spans="1:22" x14ac:dyDescent="0.2">
      <c r="A460" s="1">
        <v>44463</v>
      </c>
      <c r="B460">
        <f>2323.66</f>
        <v>2323.66</v>
      </c>
      <c r="C460">
        <f>11310.24</f>
        <v>11310.24</v>
      </c>
      <c r="D460">
        <f>6942.35</f>
        <v>6942.35</v>
      </c>
      <c r="E460">
        <f>3048.451</f>
        <v>3048.451</v>
      </c>
      <c r="F460">
        <f>2051.1</f>
        <v>2051.1</v>
      </c>
      <c r="G460">
        <f>9350.027</f>
        <v>9350.027</v>
      </c>
      <c r="H460">
        <f>4036.26</f>
        <v>4036.26</v>
      </c>
      <c r="I460">
        <f>14372.61</f>
        <v>14372.61</v>
      </c>
      <c r="J460">
        <f>5360.47</f>
        <v>5360.47</v>
      </c>
      <c r="K460">
        <f>19711.22</f>
        <v>19711.22</v>
      </c>
      <c r="L460">
        <f>2616.85</f>
        <v>2616.85</v>
      </c>
      <c r="M460">
        <f>13600.07</f>
        <v>13600.07</v>
      </c>
      <c r="N460">
        <f>450.392</f>
        <v>450.392</v>
      </c>
      <c r="O460">
        <f>3862.11</f>
        <v>3862.11</v>
      </c>
      <c r="P460">
        <f>297.26</f>
        <v>297.26</v>
      </c>
      <c r="Q460">
        <f>3856.513</f>
        <v>3856.5129999999999</v>
      </c>
      <c r="R460">
        <f>9301.49</f>
        <v>9301.49</v>
      </c>
      <c r="S460">
        <f>3304.76</f>
        <v>3304.76</v>
      </c>
      <c r="T460" t="e">
        <f>NA()</f>
        <v>#N/A</v>
      </c>
      <c r="U460" t="e">
        <f>NA()</f>
        <v>#N/A</v>
      </c>
      <c r="V460" t="e">
        <f>NA()</f>
        <v>#N/A</v>
      </c>
    </row>
    <row r="461" spans="1:22" x14ac:dyDescent="0.2">
      <c r="A461" s="1">
        <v>44462</v>
      </c>
      <c r="B461">
        <f>2338.75</f>
        <v>2338.75</v>
      </c>
      <c r="C461">
        <f>11394.66</f>
        <v>11394.66</v>
      </c>
      <c r="D461">
        <f>6968.8</f>
        <v>6968.8</v>
      </c>
      <c r="E461">
        <f>3066.302</f>
        <v>3066.3020000000001</v>
      </c>
      <c r="F461">
        <f>2069.36</f>
        <v>2069.36</v>
      </c>
      <c r="G461">
        <f>9429.313</f>
        <v>9429.3130000000001</v>
      </c>
      <c r="H461">
        <f>3978.17</f>
        <v>3978.17</v>
      </c>
      <c r="I461">
        <f>14556.48</f>
        <v>14556.48</v>
      </c>
      <c r="J461">
        <f>5356.93</f>
        <v>5356.93</v>
      </c>
      <c r="K461">
        <f>19690.07</f>
        <v>19690.07</v>
      </c>
      <c r="L461">
        <f>2621.45</f>
        <v>2621.45</v>
      </c>
      <c r="M461">
        <f>13612.51</f>
        <v>13612.51</v>
      </c>
      <c r="N461">
        <f>457.354</f>
        <v>457.35399999999998</v>
      </c>
      <c r="O461">
        <f>3895.66</f>
        <v>3895.66</v>
      </c>
      <c r="P461" t="e">
        <f>NA()</f>
        <v>#N/A</v>
      </c>
      <c r="Q461">
        <f>3856.96</f>
        <v>3856.96</v>
      </c>
      <c r="R461">
        <f>9287.8</f>
        <v>9287.7999999999993</v>
      </c>
      <c r="S461" t="e">
        <f>NA()</f>
        <v>#N/A</v>
      </c>
      <c r="T461">
        <f>3255.686</f>
        <v>3255.6860000000001</v>
      </c>
      <c r="U461">
        <f>64049.05</f>
        <v>64049.05</v>
      </c>
      <c r="V461">
        <f>559.35</f>
        <v>559.35</v>
      </c>
    </row>
    <row r="462" spans="1:22" x14ac:dyDescent="0.2">
      <c r="A462" s="1">
        <v>44461</v>
      </c>
      <c r="B462">
        <f>2344.2</f>
        <v>2344.1999999999998</v>
      </c>
      <c r="C462">
        <f>11301.39</f>
        <v>11301.39</v>
      </c>
      <c r="D462">
        <f>6973.14</f>
        <v>6973.14</v>
      </c>
      <c r="E462">
        <f>3040.362</f>
        <v>3040.3620000000001</v>
      </c>
      <c r="F462">
        <f>2063.74</f>
        <v>2063.7399999999998</v>
      </c>
      <c r="G462">
        <f>9367.357</f>
        <v>9367.357</v>
      </c>
      <c r="H462">
        <f>3996.49</f>
        <v>3996.49</v>
      </c>
      <c r="I462">
        <f>14388.24</f>
        <v>14388.24</v>
      </c>
      <c r="J462">
        <f>5304.44</f>
        <v>5304.44</v>
      </c>
      <c r="K462">
        <f>19460.08</f>
        <v>19460.080000000002</v>
      </c>
      <c r="L462">
        <f>2600.79</f>
        <v>2600.79</v>
      </c>
      <c r="M462">
        <f>13471.49</f>
        <v>13471.49</v>
      </c>
      <c r="N462">
        <f>455.159</f>
        <v>455.15899999999999</v>
      </c>
      <c r="O462">
        <f>3860.92</f>
        <v>3860.92</v>
      </c>
      <c r="P462">
        <f>291.54</f>
        <v>291.54000000000002</v>
      </c>
      <c r="Q462">
        <f>3818.591</f>
        <v>3818.5909999999999</v>
      </c>
      <c r="R462">
        <f>9176.08</f>
        <v>9176.08</v>
      </c>
      <c r="S462">
        <f>3230.16</f>
        <v>3230.16</v>
      </c>
      <c r="T462">
        <f>3250.259</f>
        <v>3250.259</v>
      </c>
      <c r="U462">
        <f>63353.05</f>
        <v>63353.05</v>
      </c>
      <c r="V462">
        <f>557.11</f>
        <v>557.11</v>
      </c>
    </row>
    <row r="463" spans="1:22" x14ac:dyDescent="0.2">
      <c r="A463" s="1">
        <v>44460</v>
      </c>
      <c r="B463">
        <f>2307.53</f>
        <v>2307.5300000000002</v>
      </c>
      <c r="C463">
        <f>11272.55</f>
        <v>11272.55</v>
      </c>
      <c r="D463">
        <f>6872.34</f>
        <v>6872.34</v>
      </c>
      <c r="E463">
        <f>3036.915</f>
        <v>3036.915</v>
      </c>
      <c r="F463">
        <f>2035.59</f>
        <v>2035.59</v>
      </c>
      <c r="G463">
        <f>9235.571</f>
        <v>9235.5709999999999</v>
      </c>
      <c r="H463">
        <f>4054.66</f>
        <v>4054.66</v>
      </c>
      <c r="I463">
        <f>14251.67</f>
        <v>14251.67</v>
      </c>
      <c r="J463">
        <f>5278.79</f>
        <v>5278.79</v>
      </c>
      <c r="K463">
        <f>19275.32</f>
        <v>19275.32</v>
      </c>
      <c r="L463">
        <f>2589.34</f>
        <v>2589.34</v>
      </c>
      <c r="M463">
        <f>13363.34</f>
        <v>13363.34</v>
      </c>
      <c r="N463">
        <f>453.57</f>
        <v>453.57</v>
      </c>
      <c r="O463">
        <f>3822.3</f>
        <v>3822.3</v>
      </c>
      <c r="P463">
        <f>294.64</f>
        <v>294.64</v>
      </c>
      <c r="Q463">
        <f>3794.55805</f>
        <v>3794.5580500000001</v>
      </c>
      <c r="R463">
        <f>9089.55</f>
        <v>9089.5499999999993</v>
      </c>
      <c r="S463">
        <f>3263.34</f>
        <v>3263.34</v>
      </c>
      <c r="T463">
        <f>3207.56</f>
        <v>3207.56</v>
      </c>
      <c r="U463">
        <f>62362.18</f>
        <v>62362.18</v>
      </c>
      <c r="V463">
        <f>546.05</f>
        <v>546.04999999999995</v>
      </c>
    </row>
    <row r="464" spans="1:22" x14ac:dyDescent="0.2">
      <c r="A464" s="1">
        <v>44459</v>
      </c>
      <c r="B464">
        <f>2290.78</f>
        <v>2290.7800000000002</v>
      </c>
      <c r="C464">
        <f>11231.12</f>
        <v>11231.12</v>
      </c>
      <c r="D464">
        <f>6796.47</f>
        <v>6796.47</v>
      </c>
      <c r="E464">
        <f>3028.965</f>
        <v>3028.9650000000001</v>
      </c>
      <c r="F464">
        <f>2026.13</f>
        <v>2026.13</v>
      </c>
      <c r="G464">
        <f>9154.036</f>
        <v>9154.0360000000001</v>
      </c>
      <c r="H464">
        <f>4118.8</f>
        <v>4118.8</v>
      </c>
      <c r="I464">
        <f>14085.74</f>
        <v>14085.74</v>
      </c>
      <c r="J464">
        <f>5294.78</f>
        <v>5294.78</v>
      </c>
      <c r="K464">
        <f>19277.58</f>
        <v>19277.580000000002</v>
      </c>
      <c r="L464">
        <f>2590.37</f>
        <v>2590.37</v>
      </c>
      <c r="M464">
        <f>13347.05</f>
        <v>13347.05</v>
      </c>
      <c r="N464">
        <f>448.161</f>
        <v>448.161</v>
      </c>
      <c r="O464">
        <f>3777.57</f>
        <v>3777.57</v>
      </c>
      <c r="P464" t="e">
        <f>NA()</f>
        <v>#N/A</v>
      </c>
      <c r="Q464">
        <f>3808.1884</f>
        <v>3808.1884</v>
      </c>
      <c r="R464">
        <f>9096.52</f>
        <v>9096.52</v>
      </c>
      <c r="S464" t="e">
        <f>NA()</f>
        <v>#N/A</v>
      </c>
      <c r="T464">
        <f>3156.192</f>
        <v>3156.192</v>
      </c>
      <c r="U464">
        <f>61453.42</f>
        <v>61453.42</v>
      </c>
      <c r="V464">
        <f>538.6</f>
        <v>538.6</v>
      </c>
    </row>
    <row r="465" spans="1:22" x14ac:dyDescent="0.2">
      <c r="A465" s="1">
        <v>44456</v>
      </c>
      <c r="B465">
        <f>2324.75</f>
        <v>2324.75</v>
      </c>
      <c r="C465">
        <f>11422.4</f>
        <v>11422.4</v>
      </c>
      <c r="D465">
        <f>6855.27</f>
        <v>6855.27</v>
      </c>
      <c r="E465">
        <f>3079.635</f>
        <v>3079.6350000000002</v>
      </c>
      <c r="F465">
        <f>2069.02</f>
        <v>2069.02</v>
      </c>
      <c r="G465">
        <f>9279.749</f>
        <v>9279.7489999999998</v>
      </c>
      <c r="H465">
        <f>4101.76</f>
        <v>4101.76</v>
      </c>
      <c r="I465">
        <f>14350.44</f>
        <v>14350.44</v>
      </c>
      <c r="J465">
        <f>5352.35</f>
        <v>5352.35</v>
      </c>
      <c r="K465">
        <f>19620.37</f>
        <v>19620.37</v>
      </c>
      <c r="L465">
        <f>2617.26</f>
        <v>2617.2600000000002</v>
      </c>
      <c r="M465">
        <f>13567.5</f>
        <v>13567.5</v>
      </c>
      <c r="N465">
        <f>452.895</f>
        <v>452.89499999999998</v>
      </c>
      <c r="O465">
        <f>3843.07</f>
        <v>3843.07</v>
      </c>
      <c r="P465">
        <f>300.59</f>
        <v>300.58999999999997</v>
      </c>
      <c r="Q465">
        <f>3862.171</f>
        <v>3862.1709999999998</v>
      </c>
      <c r="R465">
        <f>9253.57</f>
        <v>9253.57</v>
      </c>
      <c r="S465">
        <f>3319.65</f>
        <v>3319.65</v>
      </c>
      <c r="T465">
        <f>3202.961</f>
        <v>3202.9609999999998</v>
      </c>
      <c r="U465">
        <f>62863.64</f>
        <v>62863.64</v>
      </c>
      <c r="V465">
        <f>550.15</f>
        <v>550.15</v>
      </c>
    </row>
    <row r="466" spans="1:22" x14ac:dyDescent="0.2">
      <c r="A466" s="1">
        <v>44455</v>
      </c>
      <c r="B466">
        <f>2350.96</f>
        <v>2350.96</v>
      </c>
      <c r="C466">
        <f>11471.08</f>
        <v>11471.08</v>
      </c>
      <c r="D466">
        <f>6918.12</f>
        <v>6918.12</v>
      </c>
      <c r="E466">
        <f>3073.447</f>
        <v>3073.4470000000001</v>
      </c>
      <c r="F466">
        <f>2097.79</f>
        <v>2097.79</v>
      </c>
      <c r="G466">
        <f>9380.707</f>
        <v>9380.7070000000003</v>
      </c>
      <c r="H466">
        <f>4104.27</f>
        <v>4104.2700000000004</v>
      </c>
      <c r="I466">
        <f>14517.99</f>
        <v>14517.99</v>
      </c>
      <c r="J466">
        <f>5393</f>
        <v>5393</v>
      </c>
      <c r="K466">
        <f>19790.38</f>
        <v>19790.38</v>
      </c>
      <c r="L466">
        <f>2638.85</f>
        <v>2638.85</v>
      </c>
      <c r="M466">
        <f>13681.18</f>
        <v>13681.18</v>
      </c>
      <c r="N466">
        <f>457.025</f>
        <v>457.02499999999998</v>
      </c>
      <c r="O466">
        <f>3878.63</f>
        <v>3878.63</v>
      </c>
      <c r="P466">
        <f>300.25</f>
        <v>300.25</v>
      </c>
      <c r="Q466">
        <f>3903.06181</f>
        <v>3903.0618100000002</v>
      </c>
      <c r="R466">
        <f>9338.61</f>
        <v>9338.61</v>
      </c>
      <c r="S466">
        <f>3303.83</f>
        <v>3303.83</v>
      </c>
      <c r="T466">
        <f>3236.286</f>
        <v>3236.2860000000001</v>
      </c>
      <c r="U466">
        <f>63313.75</f>
        <v>63313.75</v>
      </c>
      <c r="V466">
        <f>550.82</f>
        <v>550.82000000000005</v>
      </c>
    </row>
    <row r="467" spans="1:22" x14ac:dyDescent="0.2">
      <c r="A467" s="1">
        <v>44454</v>
      </c>
      <c r="B467">
        <f>2351.91</f>
        <v>2351.91</v>
      </c>
      <c r="C467">
        <f>11549.84</f>
        <v>11549.84</v>
      </c>
      <c r="D467">
        <f>6907.1</f>
        <v>6907.1</v>
      </c>
      <c r="E467">
        <f>3100.88</f>
        <v>3100.88</v>
      </c>
      <c r="F467">
        <f>2124.93</f>
        <v>2124.9299999999998</v>
      </c>
      <c r="G467">
        <f>9416.299</f>
        <v>9416.2990000000009</v>
      </c>
      <c r="H467">
        <f>4107.97</f>
        <v>4107.97</v>
      </c>
      <c r="I467">
        <f>14516.18</f>
        <v>14516.18</v>
      </c>
      <c r="J467">
        <f>5418.6</f>
        <v>5418.6</v>
      </c>
      <c r="K467">
        <f>19808.18</f>
        <v>19808.18</v>
      </c>
      <c r="L467">
        <f>2650.22</f>
        <v>2650.22</v>
      </c>
      <c r="M467">
        <f>13703.24</f>
        <v>13703.24</v>
      </c>
      <c r="N467">
        <f>453.094</f>
        <v>453.09399999999999</v>
      </c>
      <c r="O467">
        <f>3862.43</f>
        <v>3862.43</v>
      </c>
      <c r="P467">
        <f>299.55</f>
        <v>299.55</v>
      </c>
      <c r="Q467">
        <f>3917.143</f>
        <v>3917.143</v>
      </c>
      <c r="R467">
        <f>9352.83</f>
        <v>9352.83</v>
      </c>
      <c r="S467">
        <f>3313.56</f>
        <v>3313.56</v>
      </c>
      <c r="T467">
        <f>3313.565</f>
        <v>3313.5650000000001</v>
      </c>
      <c r="U467">
        <f>64385.13</f>
        <v>64385.13</v>
      </c>
      <c r="V467">
        <f>560.51</f>
        <v>560.51</v>
      </c>
    </row>
    <row r="468" spans="1:22" x14ac:dyDescent="0.2">
      <c r="A468" s="1">
        <v>44453</v>
      </c>
      <c r="B468">
        <f>2352.37</f>
        <v>2352.37</v>
      </c>
      <c r="C468">
        <f>11583.42</f>
        <v>11583.42</v>
      </c>
      <c r="D468">
        <f>6924.39</f>
        <v>6924.39</v>
      </c>
      <c r="E468">
        <f>3118.324</f>
        <v>3118.3240000000001</v>
      </c>
      <c r="F468">
        <f>2119.17</f>
        <v>2119.17</v>
      </c>
      <c r="G468">
        <f>9449.902</f>
        <v>9449.902</v>
      </c>
      <c r="H468">
        <f>4128.99</f>
        <v>4128.99</v>
      </c>
      <c r="I468">
        <f>14648.69</f>
        <v>14648.69</v>
      </c>
      <c r="J468">
        <f>5382.66</f>
        <v>5382.66</v>
      </c>
      <c r="K468">
        <f>19643.22</f>
        <v>19643.22</v>
      </c>
      <c r="L468">
        <f>2646.64</f>
        <v>2646.64</v>
      </c>
      <c r="M468">
        <f>13651.93</f>
        <v>13651.93</v>
      </c>
      <c r="N468">
        <f>456.425</f>
        <v>456.42500000000001</v>
      </c>
      <c r="O468">
        <f>3890.47</f>
        <v>3890.47</v>
      </c>
      <c r="P468">
        <f>305.17</f>
        <v>305.17</v>
      </c>
      <c r="Q468">
        <f>3886.03121</f>
        <v>3886.0312100000001</v>
      </c>
      <c r="R468">
        <f>9273.99</f>
        <v>9273.99</v>
      </c>
      <c r="S468">
        <f>3349.1</f>
        <v>3349.1</v>
      </c>
      <c r="T468">
        <f>3291.374</f>
        <v>3291.3739999999998</v>
      </c>
      <c r="U468">
        <f>64300.46</f>
        <v>64300.46</v>
      </c>
      <c r="V468">
        <f>555.88</f>
        <v>555.88</v>
      </c>
    </row>
    <row r="469" spans="1:22" x14ac:dyDescent="0.2">
      <c r="A469" s="1">
        <v>44452</v>
      </c>
      <c r="B469">
        <f>2367.06</f>
        <v>2367.06</v>
      </c>
      <c r="C469">
        <f>11634.7</f>
        <v>11634.7</v>
      </c>
      <c r="D469">
        <f>6958.23</f>
        <v>6958.23</v>
      </c>
      <c r="E469">
        <f>3130.871</f>
        <v>3130.8710000000001</v>
      </c>
      <c r="F469">
        <f>2139.31</f>
        <v>2139.31</v>
      </c>
      <c r="G469">
        <f>9497.268</f>
        <v>9497.268</v>
      </c>
      <c r="H469">
        <f>4080.38</f>
        <v>4080.38</v>
      </c>
      <c r="I469">
        <f>14609.93</f>
        <v>14609.93</v>
      </c>
      <c r="J469">
        <f>5436.33</f>
        <v>5436.33</v>
      </c>
      <c r="K469">
        <f>19750.89</f>
        <v>19750.89</v>
      </c>
      <c r="L469">
        <f>2655.23</f>
        <v>2655.23</v>
      </c>
      <c r="M469">
        <f>13693.56</f>
        <v>13693.56</v>
      </c>
      <c r="N469">
        <f>455.477</f>
        <v>455.47699999999998</v>
      </c>
      <c r="O469">
        <f>3890.41</f>
        <v>3890.41</v>
      </c>
      <c r="P469">
        <f>301.33</f>
        <v>301.33</v>
      </c>
      <c r="Q469">
        <f>3915.31111</f>
        <v>3915.3111100000001</v>
      </c>
      <c r="R469">
        <f>9325.29</f>
        <v>9325.2900000000009</v>
      </c>
      <c r="S469">
        <f>3315.65</f>
        <v>3315.65</v>
      </c>
      <c r="T469">
        <f>3310.095</f>
        <v>3310.0949999999998</v>
      </c>
      <c r="U469">
        <f>64652.32</f>
        <v>64652.32</v>
      </c>
      <c r="V469">
        <f>556.97</f>
        <v>556.97</v>
      </c>
    </row>
    <row r="470" spans="1:22" x14ac:dyDescent="0.2">
      <c r="A470" s="1">
        <v>44449</v>
      </c>
      <c r="B470">
        <f>2347.52</f>
        <v>2347.52</v>
      </c>
      <c r="C470">
        <f>11610.79</f>
        <v>11610.79</v>
      </c>
      <c r="D470">
        <f>6919.61</f>
        <v>6919.61</v>
      </c>
      <c r="E470">
        <f>3148.446</f>
        <v>3148.4459999999999</v>
      </c>
      <c r="F470">
        <f>2129.17</f>
        <v>2129.17</v>
      </c>
      <c r="G470">
        <f>9442.795</f>
        <v>9442.7950000000001</v>
      </c>
      <c r="H470">
        <f>4063.92</f>
        <v>4063.92</v>
      </c>
      <c r="I470">
        <f>14614.95</f>
        <v>14614.95</v>
      </c>
      <c r="J470">
        <f>5414.08</f>
        <v>5414.08</v>
      </c>
      <c r="K470">
        <f>19717.87</f>
        <v>19717.87</v>
      </c>
      <c r="L470">
        <f>2648.03</f>
        <v>2648.03</v>
      </c>
      <c r="M470">
        <f>13675.81</f>
        <v>13675.81</v>
      </c>
      <c r="N470">
        <f>455.32</f>
        <v>455.32</v>
      </c>
      <c r="O470">
        <f>3878.61</f>
        <v>3878.61</v>
      </c>
      <c r="P470">
        <f>298.83</f>
        <v>298.83</v>
      </c>
      <c r="Q470">
        <f>3910.99955</f>
        <v>3910.99955</v>
      </c>
      <c r="R470">
        <f>9304.03</f>
        <v>9304.0300000000007</v>
      </c>
      <c r="S470">
        <f>3306.07</f>
        <v>3306.07</v>
      </c>
      <c r="T470">
        <f>3272.46</f>
        <v>3272.46</v>
      </c>
      <c r="U470">
        <f>64296.06</f>
        <v>64296.06</v>
      </c>
      <c r="V470">
        <f>550.76</f>
        <v>550.76</v>
      </c>
    </row>
    <row r="471" spans="1:22" x14ac:dyDescent="0.2">
      <c r="A471" s="1">
        <v>44448</v>
      </c>
      <c r="B471">
        <f>2349.81</f>
        <v>2349.81</v>
      </c>
      <c r="C471">
        <f>11537.17</f>
        <v>11537.17</v>
      </c>
      <c r="D471">
        <f>6914.7</f>
        <v>6914.7</v>
      </c>
      <c r="E471">
        <f>3126.631</f>
        <v>3126.6309999999999</v>
      </c>
      <c r="F471">
        <f>2119.06</f>
        <v>2119.06</v>
      </c>
      <c r="G471">
        <f>9428.404</f>
        <v>9428.4040000000005</v>
      </c>
      <c r="H471">
        <f>4007.62</f>
        <v>4007.62</v>
      </c>
      <c r="I471">
        <f>14640.94</f>
        <v>14640.94</v>
      </c>
      <c r="J471">
        <f>5438.73</f>
        <v>5438.73</v>
      </c>
      <c r="K471">
        <f>19870.57</f>
        <v>19870.57</v>
      </c>
      <c r="L471">
        <f>2655.07</f>
        <v>2655.07</v>
      </c>
      <c r="M471">
        <f>13736.56</f>
        <v>13736.56</v>
      </c>
      <c r="N471">
        <f>457.309</f>
        <v>457.30900000000003</v>
      </c>
      <c r="O471">
        <f>3888.05</f>
        <v>3888.05</v>
      </c>
      <c r="P471">
        <f>295.24</f>
        <v>295.24</v>
      </c>
      <c r="Q471">
        <f>3933.781</f>
        <v>3933.7809999999999</v>
      </c>
      <c r="R471">
        <f>9375.99</f>
        <v>9375.99</v>
      </c>
      <c r="S471">
        <f>3263.83</f>
        <v>3263.83</v>
      </c>
      <c r="T471">
        <f>3287.998</f>
        <v>3287.998</v>
      </c>
      <c r="U471">
        <f>64176.53</f>
        <v>64176.53</v>
      </c>
      <c r="V471">
        <f>552</f>
        <v>552</v>
      </c>
    </row>
    <row r="472" spans="1:22" x14ac:dyDescent="0.2">
      <c r="A472" s="1">
        <v>44447</v>
      </c>
      <c r="B472">
        <f>2372.08</f>
        <v>2372.08</v>
      </c>
      <c r="C472">
        <f>11525.51</f>
        <v>11525.51</v>
      </c>
      <c r="D472">
        <f>6983.61</f>
        <v>6983.61</v>
      </c>
      <c r="E472">
        <f>3158.608</f>
        <v>3158.6080000000002</v>
      </c>
      <c r="F472">
        <f>2124.96</f>
        <v>2124.96</v>
      </c>
      <c r="G472">
        <f>9452.885</f>
        <v>9452.8850000000002</v>
      </c>
      <c r="H472">
        <f>4004.66</f>
        <v>4004.66</v>
      </c>
      <c r="I472">
        <f>14645.67</f>
        <v>14645.67</v>
      </c>
      <c r="J472">
        <f>5482.61</f>
        <v>5482.61</v>
      </c>
      <c r="K472">
        <f>19954.07</f>
        <v>19954.07</v>
      </c>
      <c r="L472">
        <f>2669.72</f>
        <v>2669.72</v>
      </c>
      <c r="M472">
        <f>13783.49</f>
        <v>13783.49</v>
      </c>
      <c r="N472">
        <f>458.005</f>
        <v>458.005</v>
      </c>
      <c r="O472">
        <f>3893.42</f>
        <v>3893.42</v>
      </c>
      <c r="P472">
        <f>297.3</f>
        <v>297.3</v>
      </c>
      <c r="Q472">
        <f>3955.55829</f>
        <v>3955.5582899999999</v>
      </c>
      <c r="R472">
        <f>9418.57</f>
        <v>9418.57</v>
      </c>
      <c r="S472">
        <f>3287.04</f>
        <v>3287.04</v>
      </c>
      <c r="T472">
        <f>3384.032</f>
        <v>3384.0320000000002</v>
      </c>
      <c r="U472">
        <f>65525.35</f>
        <v>65525.35</v>
      </c>
      <c r="V472">
        <f>558.64</f>
        <v>558.64</v>
      </c>
    </row>
    <row r="473" spans="1:22" x14ac:dyDescent="0.2">
      <c r="A473" s="1">
        <v>44446</v>
      </c>
      <c r="B473">
        <f>2386.66</f>
        <v>2386.66</v>
      </c>
      <c r="C473">
        <f>11624.83</f>
        <v>11624.83</v>
      </c>
      <c r="D473">
        <f>7036.6</f>
        <v>7036.6</v>
      </c>
      <c r="E473">
        <f>3186.938</f>
        <v>3186.9380000000001</v>
      </c>
      <c r="F473">
        <f>2151.15</f>
        <v>2151.15</v>
      </c>
      <c r="G473">
        <f>9555.067</f>
        <v>9555.0669999999991</v>
      </c>
      <c r="H473">
        <f>3986.34</f>
        <v>3986.34</v>
      </c>
      <c r="I473">
        <f>14848.13</f>
        <v>14848.13</v>
      </c>
      <c r="J473">
        <f>5469.8</f>
        <v>5469.8</v>
      </c>
      <c r="K473">
        <f>19989.58</f>
        <v>19989.580000000002</v>
      </c>
      <c r="L473">
        <f>2678.55</f>
        <v>2678.55</v>
      </c>
      <c r="M473">
        <f>13835.52</f>
        <v>13835.52</v>
      </c>
      <c r="N473">
        <f>461.467</f>
        <v>461.46699999999998</v>
      </c>
      <c r="O473" t="e">
        <f>NA()</f>
        <v>#N/A</v>
      </c>
      <c r="P473">
        <f>294.87</f>
        <v>294.87</v>
      </c>
      <c r="Q473">
        <f>3935.27482</f>
        <v>3935.2748200000001</v>
      </c>
      <c r="R473">
        <f>9430.68</f>
        <v>9430.68</v>
      </c>
      <c r="S473">
        <f>3261.38</f>
        <v>3261.38</v>
      </c>
      <c r="T473">
        <f>3438.745</f>
        <v>3438.7449999999999</v>
      </c>
      <c r="U473">
        <f>66514.91</f>
        <v>66514.91</v>
      </c>
      <c r="V473">
        <f>563.79</f>
        <v>563.79</v>
      </c>
    </row>
    <row r="474" spans="1:22" x14ac:dyDescent="0.2">
      <c r="A474" s="1">
        <v>44445</v>
      </c>
      <c r="B474">
        <f>2401.91</f>
        <v>2401.91</v>
      </c>
      <c r="C474">
        <f>11666.75</f>
        <v>11666.75</v>
      </c>
      <c r="D474">
        <f>7073.81</f>
        <v>7073.81</v>
      </c>
      <c r="E474">
        <f>3183.65</f>
        <v>3183.65</v>
      </c>
      <c r="F474">
        <f>2173.38</f>
        <v>2173.38</v>
      </c>
      <c r="G474">
        <f>9636.82</f>
        <v>9636.82</v>
      </c>
      <c r="H474">
        <f>3960.8</f>
        <v>3960.8</v>
      </c>
      <c r="I474">
        <f>14923.38</f>
        <v>14923.38</v>
      </c>
      <c r="J474">
        <f>5536.1</f>
        <v>5536.1</v>
      </c>
      <c r="K474">
        <f>20059.81</f>
        <v>20059.810000000001</v>
      </c>
      <c r="L474">
        <f>2703.26</f>
        <v>2703.26</v>
      </c>
      <c r="M474">
        <f>13881.86</f>
        <v>13881.86</v>
      </c>
      <c r="N474">
        <f>464.393</f>
        <v>464.39299999999997</v>
      </c>
      <c r="O474">
        <f>3950.87</f>
        <v>3950.87</v>
      </c>
      <c r="P474">
        <f>292.51</f>
        <v>292.51</v>
      </c>
      <c r="Q474" t="e">
        <f>NA()</f>
        <v>#N/A</v>
      </c>
      <c r="R474" t="e">
        <f>NA()</f>
        <v>#N/A</v>
      </c>
      <c r="S474">
        <f>3226.35</f>
        <v>3226.35</v>
      </c>
      <c r="T474">
        <f>3435.635</f>
        <v>3435.6350000000002</v>
      </c>
      <c r="U474">
        <f>66253.8</f>
        <v>66253.8</v>
      </c>
      <c r="V474">
        <f>567.27</f>
        <v>567.27</v>
      </c>
    </row>
    <row r="475" spans="1:22" x14ac:dyDescent="0.2">
      <c r="A475" s="1">
        <v>44442</v>
      </c>
      <c r="B475">
        <f>2393.22</f>
        <v>2393.2199999999998</v>
      </c>
      <c r="C475">
        <f>11654.34</f>
        <v>11654.34</v>
      </c>
      <c r="D475">
        <f>7025.75</f>
        <v>7025.75</v>
      </c>
      <c r="E475">
        <f>3162.933</f>
        <v>3162.933</v>
      </c>
      <c r="F475">
        <f>2175.93</f>
        <v>2175.9299999999998</v>
      </c>
      <c r="G475">
        <f>9603.66</f>
        <v>9603.66</v>
      </c>
      <c r="H475">
        <f>3922.86</f>
        <v>3922.86</v>
      </c>
      <c r="I475">
        <f>14837.09</f>
        <v>14837.09</v>
      </c>
      <c r="J475">
        <f>5536.1</f>
        <v>5536.1</v>
      </c>
      <c r="K475">
        <f>20059.81</f>
        <v>20059.810000000001</v>
      </c>
      <c r="L475">
        <f>2698.89</f>
        <v>2698.89</v>
      </c>
      <c r="M475">
        <f>13856.31</f>
        <v>13856.31</v>
      </c>
      <c r="N475">
        <f>461.184</f>
        <v>461.18400000000003</v>
      </c>
      <c r="O475">
        <f>3921.92</f>
        <v>3921.92</v>
      </c>
      <c r="P475">
        <f>290.89</f>
        <v>290.89</v>
      </c>
      <c r="Q475">
        <f>3985.90469</f>
        <v>3985.9046899999998</v>
      </c>
      <c r="R475">
        <f>9462.54</f>
        <v>9462.5400000000009</v>
      </c>
      <c r="S475">
        <f>3185.62</f>
        <v>3185.62</v>
      </c>
      <c r="T475">
        <f>3478.939</f>
        <v>3478.9389999999999</v>
      </c>
      <c r="U475">
        <f>66371.85</f>
        <v>66371.850000000006</v>
      </c>
      <c r="V475">
        <f>572.2</f>
        <v>572.20000000000005</v>
      </c>
    </row>
    <row r="476" spans="1:22" x14ac:dyDescent="0.2">
      <c r="A476" s="1">
        <v>44441</v>
      </c>
      <c r="B476">
        <f>2394.18</f>
        <v>2394.1799999999998</v>
      </c>
      <c r="C476">
        <f>11565.18</f>
        <v>11565.18</v>
      </c>
      <c r="D476">
        <f>7050.9</f>
        <v>7050.9</v>
      </c>
      <c r="E476">
        <f>3153.188</f>
        <v>3153.1880000000001</v>
      </c>
      <c r="F476">
        <f>2171.67</f>
        <v>2171.67</v>
      </c>
      <c r="G476">
        <f>9614.008</f>
        <v>9614.0079999999998</v>
      </c>
      <c r="H476">
        <f>3854.37</f>
        <v>3854.37</v>
      </c>
      <c r="I476">
        <f>14922.04</f>
        <v>14922.04</v>
      </c>
      <c r="J476">
        <f>5549</f>
        <v>5549</v>
      </c>
      <c r="K476">
        <f>20056.61</f>
        <v>20056.61</v>
      </c>
      <c r="L476">
        <f>2698.48</f>
        <v>2698.48</v>
      </c>
      <c r="M476">
        <f>13844.94</f>
        <v>13844.94</v>
      </c>
      <c r="N476">
        <f>463.498</f>
        <v>463.49799999999999</v>
      </c>
      <c r="O476">
        <f>3945.09</f>
        <v>3945.09</v>
      </c>
      <c r="P476">
        <f>286.57</f>
        <v>286.57</v>
      </c>
      <c r="Q476">
        <f>4002.361</f>
        <v>4002.3609999999999</v>
      </c>
      <c r="R476">
        <f>9465.47</f>
        <v>9465.4699999999993</v>
      </c>
      <c r="S476">
        <f>3135.23</f>
        <v>3135.23</v>
      </c>
      <c r="T476">
        <f>3447.144</f>
        <v>3447.1439999999998</v>
      </c>
      <c r="U476">
        <f>66654.24</f>
        <v>66654.240000000005</v>
      </c>
      <c r="V476">
        <f>572.75</f>
        <v>572.75</v>
      </c>
    </row>
    <row r="477" spans="1:22" x14ac:dyDescent="0.2">
      <c r="A477" s="1">
        <v>44440</v>
      </c>
      <c r="B477">
        <f>2398.94</f>
        <v>2398.94</v>
      </c>
      <c r="C477">
        <f>11592.05</f>
        <v>11592.05</v>
      </c>
      <c r="D477">
        <f>7023.35</f>
        <v>7023.35</v>
      </c>
      <c r="E477">
        <f>3154.362</f>
        <v>3154.3620000000001</v>
      </c>
      <c r="F477">
        <f>2156.99</f>
        <v>2156.9899999999998</v>
      </c>
      <c r="G477">
        <f>9539.973</f>
        <v>9539.973</v>
      </c>
      <c r="H477">
        <f>3834.89</f>
        <v>3834.89</v>
      </c>
      <c r="I477">
        <f>14867.34</f>
        <v>14867.34</v>
      </c>
      <c r="J477">
        <f>5512.71</f>
        <v>5512.71</v>
      </c>
      <c r="K477">
        <f>19996.65</f>
        <v>19996.650000000001</v>
      </c>
      <c r="L477">
        <f>2685.62</f>
        <v>2685.62</v>
      </c>
      <c r="M477">
        <f>13797.43</f>
        <v>13797.43</v>
      </c>
      <c r="N477">
        <f>461.876</f>
        <v>461.87599999999998</v>
      </c>
      <c r="O477">
        <f>3932.85</f>
        <v>3932.85</v>
      </c>
      <c r="P477">
        <f>286.56</f>
        <v>286.56</v>
      </c>
      <c r="Q477">
        <f>3980.595</f>
        <v>3980.5949999999998</v>
      </c>
      <c r="R477">
        <f>9437.15</f>
        <v>9437.15</v>
      </c>
      <c r="S477">
        <f>3130.85</f>
        <v>3130.85</v>
      </c>
      <c r="T477">
        <f>3507.9</f>
        <v>3507.9</v>
      </c>
      <c r="U477">
        <f>66976.05</f>
        <v>66976.05</v>
      </c>
      <c r="V477">
        <f>580.88</f>
        <v>580.88</v>
      </c>
    </row>
    <row r="478" spans="1:22" x14ac:dyDescent="0.2">
      <c r="A478" s="1">
        <v>44439</v>
      </c>
      <c r="B478">
        <f>2394.08</f>
        <v>2394.08</v>
      </c>
      <c r="C478">
        <f>11578.86</f>
        <v>11578.86</v>
      </c>
      <c r="D478">
        <f>6993.75</f>
        <v>6993.75</v>
      </c>
      <c r="E478">
        <f>3145.169</f>
        <v>3145.1689999999999</v>
      </c>
      <c r="F478">
        <f>2162.59</f>
        <v>2162.59</v>
      </c>
      <c r="G478">
        <f>9489.762</f>
        <v>9489.7620000000006</v>
      </c>
      <c r="H478">
        <f>3789.04</f>
        <v>3789.04</v>
      </c>
      <c r="I478">
        <f>14716.75</f>
        <v>14716.75</v>
      </c>
      <c r="J478">
        <f>5527.96</f>
        <v>5527.96</v>
      </c>
      <c r="K478">
        <f>19981.84</f>
        <v>19981.84</v>
      </c>
      <c r="L478">
        <f>2686.53</f>
        <v>2686.53</v>
      </c>
      <c r="M478">
        <f>13751.46</f>
        <v>13751.46</v>
      </c>
      <c r="N478">
        <f>460.975</f>
        <v>460.97500000000002</v>
      </c>
      <c r="O478">
        <f>3913</f>
        <v>3913</v>
      </c>
      <c r="P478">
        <f>282.71</f>
        <v>282.70999999999998</v>
      </c>
      <c r="Q478">
        <f>3985.457</f>
        <v>3985.4569999999999</v>
      </c>
      <c r="R478">
        <f>9433.58</f>
        <v>9433.58</v>
      </c>
      <c r="S478">
        <f>3099.08</f>
        <v>3099.08</v>
      </c>
      <c r="T478">
        <f>3527.603</f>
        <v>3527.6030000000001</v>
      </c>
      <c r="U478">
        <f>67427.93</f>
        <v>67427.929999999993</v>
      </c>
      <c r="V478">
        <f>587.54</f>
        <v>587.54</v>
      </c>
    </row>
    <row r="479" spans="1:22" x14ac:dyDescent="0.2">
      <c r="A479" s="1">
        <v>44438</v>
      </c>
      <c r="B479" t="e">
        <f>NA()</f>
        <v>#N/A</v>
      </c>
      <c r="C479">
        <f>11456.19</f>
        <v>11456.19</v>
      </c>
      <c r="D479" t="e">
        <f>NA()</f>
        <v>#N/A</v>
      </c>
      <c r="E479">
        <f>3088.856</f>
        <v>3088.8560000000002</v>
      </c>
      <c r="F479">
        <f>2162.4</f>
        <v>2162.4</v>
      </c>
      <c r="G479">
        <f>9524.971</f>
        <v>9524.9709999999995</v>
      </c>
      <c r="H479">
        <f>3779.89</f>
        <v>3779.89</v>
      </c>
      <c r="I479">
        <f>14768.91</f>
        <v>14768.91</v>
      </c>
      <c r="J479">
        <f>5526.09</f>
        <v>5526.09</v>
      </c>
      <c r="K479">
        <f>20017.14</f>
        <v>20017.14</v>
      </c>
      <c r="L479">
        <f>2686.92</f>
        <v>2686.92</v>
      </c>
      <c r="M479">
        <f>13773.42</f>
        <v>13773.42</v>
      </c>
      <c r="N479">
        <f>462.662</f>
        <v>462.66199999999998</v>
      </c>
      <c r="O479">
        <f>3928.11</f>
        <v>3928.11</v>
      </c>
      <c r="P479">
        <f>283.39</f>
        <v>283.39</v>
      </c>
      <c r="Q479">
        <f>3984.23</f>
        <v>3984.23</v>
      </c>
      <c r="R479">
        <f>9445.24</f>
        <v>9445.24</v>
      </c>
      <c r="S479">
        <f>3082.19</f>
        <v>3082.19</v>
      </c>
      <c r="T479">
        <f>3496.791</f>
        <v>3496.7910000000002</v>
      </c>
      <c r="U479">
        <f>67064.69</f>
        <v>67064.69</v>
      </c>
      <c r="V479">
        <f>584.68</f>
        <v>584.67999999999995</v>
      </c>
    </row>
    <row r="480" spans="1:22" x14ac:dyDescent="0.2">
      <c r="A480" s="1">
        <v>44435</v>
      </c>
      <c r="B480">
        <f>2399.58</f>
        <v>2399.58</v>
      </c>
      <c r="C480">
        <f>11364.92</f>
        <v>11364.92</v>
      </c>
      <c r="D480">
        <f>7021.56</f>
        <v>7021.56</v>
      </c>
      <c r="E480">
        <f>3058.223</f>
        <v>3058.223</v>
      </c>
      <c r="F480">
        <f>2160.2</f>
        <v>2160.1999999999998</v>
      </c>
      <c r="G480">
        <f>9515.278</f>
        <v>9515.2780000000002</v>
      </c>
      <c r="H480">
        <f>3739.5</f>
        <v>3739.5</v>
      </c>
      <c r="I480">
        <f>14742.49</f>
        <v>14742.49</v>
      </c>
      <c r="J480">
        <f>5519.33</f>
        <v>5519.33</v>
      </c>
      <c r="K480">
        <f>19926.86</f>
        <v>19926.86</v>
      </c>
      <c r="L480">
        <f>2683.57</f>
        <v>2683.57</v>
      </c>
      <c r="M480">
        <f>13715.63</f>
        <v>13715.63</v>
      </c>
      <c r="N480">
        <f>462.67</f>
        <v>462.67</v>
      </c>
      <c r="O480">
        <f>3928.38</f>
        <v>3928.38</v>
      </c>
      <c r="P480">
        <f>280.04</f>
        <v>280.04000000000002</v>
      </c>
      <c r="Q480">
        <f>3976.49</f>
        <v>3976.49</v>
      </c>
      <c r="R480">
        <f>9404.15</f>
        <v>9404.15</v>
      </c>
      <c r="S480">
        <f>3047.72</f>
        <v>3047.72</v>
      </c>
      <c r="T480">
        <f>3522.026</f>
        <v>3522.0259999999998</v>
      </c>
      <c r="U480">
        <f>67646.08</f>
        <v>67646.080000000002</v>
      </c>
      <c r="V480">
        <f>583.88</f>
        <v>583.88</v>
      </c>
    </row>
    <row r="481" spans="1:22" x14ac:dyDescent="0.2">
      <c r="A481" s="1">
        <v>44434</v>
      </c>
      <c r="B481">
        <f>2390.24</f>
        <v>2390.2399999999998</v>
      </c>
      <c r="C481">
        <f>11258.58</f>
        <v>11258.58</v>
      </c>
      <c r="D481">
        <f>6998.94</f>
        <v>6998.94</v>
      </c>
      <c r="E481">
        <f>3042.453</f>
        <v>3042.453</v>
      </c>
      <c r="F481">
        <f>2142.83</f>
        <v>2142.83</v>
      </c>
      <c r="G481">
        <f>9457.831</f>
        <v>9457.8310000000001</v>
      </c>
      <c r="H481">
        <f>3749.32</f>
        <v>3749.32</v>
      </c>
      <c r="I481">
        <f>14640.06</f>
        <v>14640.06</v>
      </c>
      <c r="J481">
        <f>5493.64</f>
        <v>5493.64</v>
      </c>
      <c r="K481">
        <f>19751.17</f>
        <v>19751.169999999998</v>
      </c>
      <c r="L481">
        <f>2672.85</f>
        <v>2672.85</v>
      </c>
      <c r="M481">
        <f>13612.92</f>
        <v>13612.92</v>
      </c>
      <c r="N481">
        <f>461.257</f>
        <v>461.25700000000001</v>
      </c>
      <c r="O481">
        <f>3910.3</f>
        <v>3910.3</v>
      </c>
      <c r="P481">
        <f>280.58</f>
        <v>280.58</v>
      </c>
      <c r="Q481">
        <f>3950.55256</f>
        <v>3950.5525600000001</v>
      </c>
      <c r="R481">
        <f>9321.74</f>
        <v>9321.74</v>
      </c>
      <c r="S481">
        <f>3058.12</f>
        <v>3058.12</v>
      </c>
      <c r="T481">
        <f>3468.378</f>
        <v>3468.3780000000002</v>
      </c>
      <c r="U481">
        <f>67068.74</f>
        <v>67068.740000000005</v>
      </c>
      <c r="V481">
        <f>577.76</f>
        <v>577.76</v>
      </c>
    </row>
    <row r="482" spans="1:22" x14ac:dyDescent="0.2">
      <c r="A482" s="1">
        <v>44433</v>
      </c>
      <c r="B482">
        <f>2403</f>
        <v>2403</v>
      </c>
      <c r="C482">
        <f>11347.05</f>
        <v>11347.05</v>
      </c>
      <c r="D482">
        <f>7018.02</f>
        <v>7018.02</v>
      </c>
      <c r="E482">
        <f>3064.242</f>
        <v>3064.2420000000002</v>
      </c>
      <c r="F482">
        <f>2153.96</f>
        <v>2153.96</v>
      </c>
      <c r="G482">
        <f>9499.538</f>
        <v>9499.5380000000005</v>
      </c>
      <c r="H482">
        <f>3762.46</f>
        <v>3762.46</v>
      </c>
      <c r="I482">
        <f>14674.84</f>
        <v>14674.84</v>
      </c>
      <c r="J482">
        <f>5523.63</f>
        <v>5523.63</v>
      </c>
      <c r="K482">
        <f>19866.29</f>
        <v>19866.29</v>
      </c>
      <c r="L482">
        <f>2682.55</f>
        <v>2682.55</v>
      </c>
      <c r="M482">
        <f>13680.03</f>
        <v>13680.03</v>
      </c>
      <c r="N482">
        <f>461.976</f>
        <v>461.976</v>
      </c>
      <c r="O482">
        <f>3922.36</f>
        <v>3922.36</v>
      </c>
      <c r="P482">
        <f>280.19</f>
        <v>280.19</v>
      </c>
      <c r="Q482">
        <f>3977.922</f>
        <v>3977.922</v>
      </c>
      <c r="R482">
        <f>9376</f>
        <v>9376</v>
      </c>
      <c r="S482">
        <f>3058.62</f>
        <v>3058.62</v>
      </c>
      <c r="T482">
        <f>3474.903</f>
        <v>3474.9029999999998</v>
      </c>
      <c r="U482">
        <f>67452.86</f>
        <v>67452.86</v>
      </c>
      <c r="V482">
        <f>580.09</f>
        <v>580.09</v>
      </c>
    </row>
    <row r="483" spans="1:22" x14ac:dyDescent="0.2">
      <c r="A483" s="1">
        <v>44432</v>
      </c>
      <c r="B483">
        <f>2399.61</f>
        <v>2399.61</v>
      </c>
      <c r="C483">
        <f>11306.7</f>
        <v>11306.7</v>
      </c>
      <c r="D483">
        <f>6994.13</f>
        <v>6994.13</v>
      </c>
      <c r="E483">
        <f>3051.227</f>
        <v>3051.2269999999999</v>
      </c>
      <c r="F483">
        <f>2151.05</f>
        <v>2151.0500000000002</v>
      </c>
      <c r="G483">
        <f>9472.104</f>
        <v>9472.1039999999994</v>
      </c>
      <c r="H483">
        <f>3785.6</f>
        <v>3785.6</v>
      </c>
      <c r="I483">
        <f>14704.79</f>
        <v>14704.79</v>
      </c>
      <c r="J483">
        <f>5518.94</f>
        <v>5518.94</v>
      </c>
      <c r="K483">
        <f>19819.25</f>
        <v>19819.25</v>
      </c>
      <c r="L483">
        <f>2686.37</f>
        <v>2686.37</v>
      </c>
      <c r="M483">
        <f>13662.91</f>
        <v>13662.91</v>
      </c>
      <c r="N483">
        <f>464.521</f>
        <v>464.52100000000002</v>
      </c>
      <c r="O483">
        <f>3923.56</f>
        <v>3923.56</v>
      </c>
      <c r="P483">
        <f>280.99</f>
        <v>280.99</v>
      </c>
      <c r="Q483">
        <f>3963.77475</f>
        <v>3963.77475</v>
      </c>
      <c r="R483">
        <f>9355.11</f>
        <v>9355.11</v>
      </c>
      <c r="S483">
        <f>3056.3</f>
        <v>3056.3</v>
      </c>
      <c r="T483">
        <f>3493.298</f>
        <v>3493.2979999999998</v>
      </c>
      <c r="U483">
        <f>67451.54</f>
        <v>67451.539999999994</v>
      </c>
      <c r="V483">
        <f>580.71</f>
        <v>580.71</v>
      </c>
    </row>
    <row r="484" spans="1:22" x14ac:dyDescent="0.2">
      <c r="A484" s="1">
        <v>44431</v>
      </c>
      <c r="B484">
        <f>2395.33</f>
        <v>2395.33</v>
      </c>
      <c r="C484">
        <f>11160.75</f>
        <v>11160.75</v>
      </c>
      <c r="D484">
        <f>6977.67</f>
        <v>6977.67</v>
      </c>
      <c r="E484">
        <f>2973.106</f>
        <v>2973.1060000000002</v>
      </c>
      <c r="F484">
        <f>2142.32</f>
        <v>2142.3200000000002</v>
      </c>
      <c r="G484">
        <f>9443.151</f>
        <v>9443.1509999999998</v>
      </c>
      <c r="H484">
        <f>3769.85</f>
        <v>3769.85</v>
      </c>
      <c r="I484">
        <f>14687.01</f>
        <v>14687.01</v>
      </c>
      <c r="J484">
        <f>5531.96</f>
        <v>5531.96</v>
      </c>
      <c r="K484">
        <f>19778.17</f>
        <v>19778.169999999998</v>
      </c>
      <c r="L484">
        <f>2689.08</f>
        <v>2689.08</v>
      </c>
      <c r="M484">
        <f>13621.32</f>
        <v>13621.32</v>
      </c>
      <c r="N484">
        <f>465.862</f>
        <v>465.86200000000002</v>
      </c>
      <c r="O484">
        <f>3924.12</f>
        <v>3924.12</v>
      </c>
      <c r="P484">
        <f>279.15</f>
        <v>279.14999999999998</v>
      </c>
      <c r="Q484">
        <f>3963.2308</f>
        <v>3963.2307999999998</v>
      </c>
      <c r="R484">
        <f>9341.09</f>
        <v>9341.09</v>
      </c>
      <c r="S484">
        <f>3026.19</f>
        <v>3026.19</v>
      </c>
      <c r="T484">
        <f>3466.878</f>
        <v>3466.8780000000002</v>
      </c>
      <c r="U484">
        <f>66829.21</f>
        <v>66829.210000000006</v>
      </c>
      <c r="V484">
        <f>578.1</f>
        <v>578.1</v>
      </c>
    </row>
    <row r="485" spans="1:22" x14ac:dyDescent="0.2">
      <c r="A485" s="1">
        <v>44428</v>
      </c>
      <c r="B485">
        <f>2388.24</f>
        <v>2388.2399999999998</v>
      </c>
      <c r="C485">
        <f>11067.07</f>
        <v>11067.07</v>
      </c>
      <c r="D485">
        <f>6956.95</f>
        <v>6956.95</v>
      </c>
      <c r="E485">
        <f>2932.545</f>
        <v>2932.5450000000001</v>
      </c>
      <c r="F485">
        <f>2123.57</f>
        <v>2123.5700000000002</v>
      </c>
      <c r="G485">
        <f>9343.169</f>
        <v>9343.1689999999999</v>
      </c>
      <c r="H485">
        <f>3721.05</f>
        <v>3721.05</v>
      </c>
      <c r="I485">
        <f>14511.26</f>
        <v>14511.26</v>
      </c>
      <c r="J485">
        <f>5521.04</f>
        <v>5521.04</v>
      </c>
      <c r="K485">
        <f>19602.61</f>
        <v>19602.61</v>
      </c>
      <c r="L485">
        <f>2674.18</f>
        <v>2674.18</v>
      </c>
      <c r="M485">
        <f>13478.03</f>
        <v>13478.03</v>
      </c>
      <c r="N485">
        <f>463.338</f>
        <v>463.33800000000002</v>
      </c>
      <c r="O485">
        <f>3897.05</f>
        <v>3897.05</v>
      </c>
      <c r="P485">
        <f>276.1</f>
        <v>276.10000000000002</v>
      </c>
      <c r="Q485">
        <f>3956.188</f>
        <v>3956.1880000000001</v>
      </c>
      <c r="R485">
        <f>9261.31</f>
        <v>9261.31</v>
      </c>
      <c r="S485">
        <f>2971.73</f>
        <v>2971.73</v>
      </c>
      <c r="T485">
        <f>3418.362</f>
        <v>3418.3620000000001</v>
      </c>
      <c r="U485">
        <f>66011.06</f>
        <v>66011.06</v>
      </c>
      <c r="V485">
        <f>567.69</f>
        <v>567.69000000000005</v>
      </c>
    </row>
    <row r="486" spans="1:22" x14ac:dyDescent="0.2">
      <c r="A486" s="1">
        <v>44427</v>
      </c>
      <c r="B486">
        <f>2371.64</f>
        <v>2371.64</v>
      </c>
      <c r="C486">
        <f>11120.33</f>
        <v>11120.33</v>
      </c>
      <c r="D486">
        <f>6928.44</f>
        <v>6928.44</v>
      </c>
      <c r="E486">
        <f>2960.395</f>
        <v>2960.395</v>
      </c>
      <c r="F486">
        <f>2110.2</f>
        <v>2110.1999999999998</v>
      </c>
      <c r="G486">
        <f>9336.559</f>
        <v>9336.5589999999993</v>
      </c>
      <c r="H486">
        <f>3741.1</f>
        <v>3741.1</v>
      </c>
      <c r="I486">
        <f>14459.71</f>
        <v>14459.71</v>
      </c>
      <c r="J486">
        <f>5493.07</f>
        <v>5493.07</v>
      </c>
      <c r="K486">
        <f>19439.36</f>
        <v>19439.36</v>
      </c>
      <c r="L486">
        <f>2669.59</f>
        <v>2669.59</v>
      </c>
      <c r="M486">
        <f>13404.03</f>
        <v>13404.03</v>
      </c>
      <c r="N486">
        <f>462.56</f>
        <v>462.56</v>
      </c>
      <c r="O486">
        <f>3884.8</f>
        <v>3884.8</v>
      </c>
      <c r="P486">
        <f>278.63</f>
        <v>278.63</v>
      </c>
      <c r="Q486">
        <f>3930.263</f>
        <v>3930.2629999999999</v>
      </c>
      <c r="R486">
        <f>9186.07</f>
        <v>9186.07</v>
      </c>
      <c r="S486">
        <f>2997.82</f>
        <v>2997.82</v>
      </c>
      <c r="T486">
        <f>3451.74</f>
        <v>3451.74</v>
      </c>
      <c r="U486">
        <f>66113.48</f>
        <v>66113.48</v>
      </c>
      <c r="V486">
        <f>574.81</f>
        <v>574.80999999999995</v>
      </c>
    </row>
    <row r="487" spans="1:22" x14ac:dyDescent="0.2">
      <c r="A487" s="1">
        <v>44426</v>
      </c>
      <c r="B487">
        <f>2416.2</f>
        <v>2416.1999999999998</v>
      </c>
      <c r="C487">
        <f>11386.18</f>
        <v>11386.18</v>
      </c>
      <c r="D487">
        <f>7020.27</f>
        <v>7020.27</v>
      </c>
      <c r="E487">
        <f>3030.471</f>
        <v>3030.471</v>
      </c>
      <c r="F487">
        <f>2164.46</f>
        <v>2164.46</v>
      </c>
      <c r="G487">
        <f>9531.56</f>
        <v>9531.56</v>
      </c>
      <c r="H487">
        <f>3779.32</f>
        <v>3779.32</v>
      </c>
      <c r="I487">
        <f>14702.94</f>
        <v>14702.94</v>
      </c>
      <c r="J487">
        <f>5486.37</f>
        <v>5486.37</v>
      </c>
      <c r="K487">
        <f>19421.4</f>
        <v>19421.400000000001</v>
      </c>
      <c r="L487">
        <f>2683.59</f>
        <v>2683.59</v>
      </c>
      <c r="M487">
        <f>13466.24</f>
        <v>13466.24</v>
      </c>
      <c r="N487">
        <f>467.108</f>
        <v>467.108</v>
      </c>
      <c r="O487">
        <f>3943.52</f>
        <v>3943.52</v>
      </c>
      <c r="P487">
        <f>282.03</f>
        <v>282.02999999999997</v>
      </c>
      <c r="Q487">
        <f>3935.885</f>
        <v>3935.8850000000002</v>
      </c>
      <c r="R487">
        <f>9173.93</f>
        <v>9173.93</v>
      </c>
      <c r="S487">
        <f>3040.08</f>
        <v>3040.08</v>
      </c>
      <c r="T487">
        <f>3551.595</f>
        <v>3551.5949999999998</v>
      </c>
      <c r="U487">
        <f>67905.68</f>
        <v>67905.679999999993</v>
      </c>
      <c r="V487">
        <f>588.36</f>
        <v>588.36</v>
      </c>
    </row>
    <row r="488" spans="1:22" x14ac:dyDescent="0.2">
      <c r="A488" s="1">
        <v>44425</v>
      </c>
      <c r="B488">
        <f>2424.65</f>
        <v>2424.65</v>
      </c>
      <c r="C488">
        <f>11360.48</f>
        <v>11360.48</v>
      </c>
      <c r="D488">
        <f>7031.81</f>
        <v>7031.81</v>
      </c>
      <c r="E488">
        <f>3016.242</f>
        <v>3016.2420000000002</v>
      </c>
      <c r="F488">
        <f>2189.47</f>
        <v>2189.4699999999998</v>
      </c>
      <c r="G488">
        <f>9538.837</f>
        <v>9538.8369999999995</v>
      </c>
      <c r="H488">
        <f>3771.9</f>
        <v>3771.9</v>
      </c>
      <c r="I488">
        <f>14692.08</f>
        <v>14692.08</v>
      </c>
      <c r="J488">
        <f>5552.17</f>
        <v>5552.17</v>
      </c>
      <c r="K488">
        <f>19625.3</f>
        <v>19625.3</v>
      </c>
      <c r="L488">
        <f>2705.08</f>
        <v>2705.08</v>
      </c>
      <c r="M488">
        <f>13561.23</f>
        <v>13561.23</v>
      </c>
      <c r="N488">
        <f>466.515</f>
        <v>466.51499999999999</v>
      </c>
      <c r="O488">
        <f>3940.35</f>
        <v>3940.35</v>
      </c>
      <c r="P488">
        <f>280.07</f>
        <v>280.07</v>
      </c>
      <c r="Q488">
        <f>3981.489</f>
        <v>3981.489</v>
      </c>
      <c r="R488">
        <f>9271.83</f>
        <v>9271.83</v>
      </c>
      <c r="S488">
        <f>3026.9</f>
        <v>3026.9</v>
      </c>
      <c r="T488">
        <f>3617.134</f>
        <v>3617.134</v>
      </c>
      <c r="U488">
        <f>68939.84</f>
        <v>68939.839999999997</v>
      </c>
      <c r="V488">
        <f>594.91</f>
        <v>594.91</v>
      </c>
    </row>
    <row r="489" spans="1:22" x14ac:dyDescent="0.2">
      <c r="A489" s="1">
        <v>44424</v>
      </c>
      <c r="B489">
        <f>2418.4</f>
        <v>2418.4</v>
      </c>
      <c r="C489">
        <f>11413.15</f>
        <v>11413.15</v>
      </c>
      <c r="D489">
        <f>7005.25</f>
        <v>7005.25</v>
      </c>
      <c r="E489">
        <f>3054.141</f>
        <v>3054.1410000000001</v>
      </c>
      <c r="F489">
        <f>2200.09</f>
        <v>2200.09</v>
      </c>
      <c r="G489">
        <f>9586.158</f>
        <v>9586.1579999999994</v>
      </c>
      <c r="H489">
        <f>3797.25</f>
        <v>3797.25</v>
      </c>
      <c r="I489">
        <f>14769.37</f>
        <v>14769.37</v>
      </c>
      <c r="J489">
        <f>5570.19</f>
        <v>5570.19</v>
      </c>
      <c r="K489">
        <f>19760.93</f>
        <v>19760.93</v>
      </c>
      <c r="L489">
        <f>2712.27</f>
        <v>2712.27</v>
      </c>
      <c r="M489">
        <f>13655.66</f>
        <v>13655.66</v>
      </c>
      <c r="N489">
        <f>463.838</f>
        <v>463.83800000000002</v>
      </c>
      <c r="O489">
        <f>3936.72</f>
        <v>3936.72</v>
      </c>
      <c r="P489">
        <f>281.72</f>
        <v>281.72000000000003</v>
      </c>
      <c r="Q489">
        <f>4010.334</f>
        <v>4010.3339999999998</v>
      </c>
      <c r="R489">
        <f>9337.18</f>
        <v>9337.18</v>
      </c>
      <c r="S489">
        <f>3041.68</f>
        <v>3041.68</v>
      </c>
      <c r="T489">
        <f>3552.752</f>
        <v>3552.752</v>
      </c>
      <c r="U489">
        <f>68824.7</f>
        <v>68824.7</v>
      </c>
      <c r="V489">
        <f>582.78</f>
        <v>582.78</v>
      </c>
    </row>
    <row r="490" spans="1:22" x14ac:dyDescent="0.2">
      <c r="A490" s="1">
        <v>44421</v>
      </c>
      <c r="B490">
        <f>2435.52</f>
        <v>2435.52</v>
      </c>
      <c r="C490">
        <f>11405.59</f>
        <v>11405.59</v>
      </c>
      <c r="D490">
        <f>7068.64</f>
        <v>7068.64</v>
      </c>
      <c r="E490">
        <f>3074.192</f>
        <v>3074.192</v>
      </c>
      <c r="F490">
        <f>2215.22</f>
        <v>2215.2199999999998</v>
      </c>
      <c r="G490">
        <f>9665.947</f>
        <v>9665.9470000000001</v>
      </c>
      <c r="H490">
        <f>3830.26</f>
        <v>3830.26</v>
      </c>
      <c r="I490">
        <f>14845.41</f>
        <v>14845.41</v>
      </c>
      <c r="J490">
        <f>5538.39</f>
        <v>5538.39</v>
      </c>
      <c r="K490">
        <f>19724.72</f>
        <v>19724.72</v>
      </c>
      <c r="L490">
        <f>2707.95</f>
        <v>2707.95</v>
      </c>
      <c r="M490">
        <f>13668.59</f>
        <v>13668.59</v>
      </c>
      <c r="N490">
        <f>463.969</f>
        <v>463.96899999999999</v>
      </c>
      <c r="O490">
        <f>3958.08</f>
        <v>3958.08</v>
      </c>
      <c r="P490">
        <f>286.71</f>
        <v>286.70999999999998</v>
      </c>
      <c r="Q490">
        <f>3995.27062</f>
        <v>3995.2706199999998</v>
      </c>
      <c r="R490">
        <f>9312.51</f>
        <v>9312.51</v>
      </c>
      <c r="S490">
        <f>3091.31</f>
        <v>3091.31</v>
      </c>
      <c r="T490">
        <f>3577.456</f>
        <v>3577.4560000000001</v>
      </c>
      <c r="U490">
        <f>69384.76</f>
        <v>69384.759999999995</v>
      </c>
      <c r="V490">
        <f>574.89</f>
        <v>574.89</v>
      </c>
    </row>
    <row r="491" spans="1:22" x14ac:dyDescent="0.2">
      <c r="A491" s="1">
        <v>44420</v>
      </c>
      <c r="B491">
        <f>2425.96</f>
        <v>2425.96</v>
      </c>
      <c r="C491">
        <f>11442.65</f>
        <v>11442.65</v>
      </c>
      <c r="D491">
        <f>7043.69</f>
        <v>7043.69</v>
      </c>
      <c r="E491">
        <f>3098.18</f>
        <v>3098.18</v>
      </c>
      <c r="F491">
        <f>2201.27</f>
        <v>2201.27</v>
      </c>
      <c r="G491">
        <f>9618.16</f>
        <v>9618.16</v>
      </c>
      <c r="H491">
        <f>3817.33</f>
        <v>3817.33</v>
      </c>
      <c r="I491">
        <f>14729.09</f>
        <v>14729.09</v>
      </c>
      <c r="J491">
        <f>5521.43</f>
        <v>5521.43</v>
      </c>
      <c r="K491">
        <f>19694.65</f>
        <v>19694.650000000001</v>
      </c>
      <c r="L491">
        <f>2694.41</f>
        <v>2694.41</v>
      </c>
      <c r="M491">
        <f>13626.6</f>
        <v>13626.6</v>
      </c>
      <c r="N491">
        <f>462.661</f>
        <v>462.661</v>
      </c>
      <c r="O491">
        <f>3949.96</f>
        <v>3949.96</v>
      </c>
      <c r="P491">
        <f>287.44</f>
        <v>287.44</v>
      </c>
      <c r="Q491">
        <f>3983.311</f>
        <v>3983.3110000000001</v>
      </c>
      <c r="R491">
        <f>9297.2</f>
        <v>9297.2000000000007</v>
      </c>
      <c r="S491">
        <f>3086.82</f>
        <v>3086.82</v>
      </c>
      <c r="T491">
        <f>3577.916</f>
        <v>3577.9160000000002</v>
      </c>
      <c r="U491">
        <f>69401.95</f>
        <v>69401.95</v>
      </c>
      <c r="V491">
        <f>574.88</f>
        <v>574.88</v>
      </c>
    </row>
    <row r="492" spans="1:22" x14ac:dyDescent="0.2">
      <c r="A492" s="1">
        <v>44419</v>
      </c>
      <c r="B492">
        <f>2444.46</f>
        <v>2444.46</v>
      </c>
      <c r="C492">
        <f>11473.1</f>
        <v>11473.1</v>
      </c>
      <c r="D492">
        <f>7044.07</f>
        <v>7044.07</v>
      </c>
      <c r="E492">
        <f>3113.537</f>
        <v>3113.5369999999998</v>
      </c>
      <c r="F492">
        <f>2219.16</f>
        <v>2219.16</v>
      </c>
      <c r="G492">
        <f>9638.406</f>
        <v>9638.4060000000009</v>
      </c>
      <c r="H492">
        <f>3801.09</f>
        <v>3801.09</v>
      </c>
      <c r="I492">
        <f>14695.55</f>
        <v>14695.55</v>
      </c>
      <c r="J492">
        <f>5515.53</f>
        <v>5515.53</v>
      </c>
      <c r="K492">
        <f>19629.63</f>
        <v>19629.63</v>
      </c>
      <c r="L492">
        <f>2690.45</f>
        <v>2690.45</v>
      </c>
      <c r="M492">
        <f>13595.36</f>
        <v>13595.36</v>
      </c>
      <c r="N492">
        <f>461.399</f>
        <v>461.399</v>
      </c>
      <c r="O492">
        <f>3941.92</f>
        <v>3941.92</v>
      </c>
      <c r="P492">
        <f>286.08</f>
        <v>286.08</v>
      </c>
      <c r="Q492">
        <f>3983.668</f>
        <v>3983.6680000000001</v>
      </c>
      <c r="R492">
        <f>9267.4</f>
        <v>9267.4</v>
      </c>
      <c r="S492">
        <f>3087.66</f>
        <v>3087.66</v>
      </c>
      <c r="T492">
        <f>3620.007</f>
        <v>3620.0070000000001</v>
      </c>
      <c r="U492">
        <f>69617.16</f>
        <v>69617.16</v>
      </c>
      <c r="V492">
        <f>576.33</f>
        <v>576.33000000000004</v>
      </c>
    </row>
    <row r="493" spans="1:22" x14ac:dyDescent="0.2">
      <c r="A493" s="1">
        <v>44418</v>
      </c>
      <c r="B493">
        <f>2427.87</f>
        <v>2427.87</v>
      </c>
      <c r="C493">
        <f>11402.35</f>
        <v>11402.35</v>
      </c>
      <c r="D493">
        <f>6986.41</f>
        <v>6986.41</v>
      </c>
      <c r="E493">
        <f>3119.543</f>
        <v>3119.5430000000001</v>
      </c>
      <c r="F493">
        <f>2201.77</f>
        <v>2201.77</v>
      </c>
      <c r="G493">
        <f>9547.15</f>
        <v>9547.15</v>
      </c>
      <c r="H493">
        <f>3751.8</f>
        <v>3751.8</v>
      </c>
      <c r="I493">
        <f>14625.53</f>
        <v>14625.53</v>
      </c>
      <c r="J493">
        <f>5489.84</f>
        <v>5489.84</v>
      </c>
      <c r="K493">
        <f>19590.07</f>
        <v>19590.07</v>
      </c>
      <c r="L493">
        <f>2675.62</f>
        <v>2675.62</v>
      </c>
      <c r="M493">
        <f>13549.24</f>
        <v>13549.24</v>
      </c>
      <c r="N493">
        <f>458.939</f>
        <v>458.93900000000002</v>
      </c>
      <c r="O493">
        <f>3923.95</f>
        <v>3923.95</v>
      </c>
      <c r="P493">
        <f>282.92</f>
        <v>282.92</v>
      </c>
      <c r="Q493">
        <f>3951.286</f>
        <v>3951.2860000000001</v>
      </c>
      <c r="R493">
        <f>9244.22</f>
        <v>9244.2199999999993</v>
      </c>
      <c r="S493">
        <f>3059.53</f>
        <v>3059.53</v>
      </c>
      <c r="T493">
        <f>3576.403</f>
        <v>3576.4029999999998</v>
      </c>
      <c r="U493">
        <f>69602.04</f>
        <v>69602.039999999994</v>
      </c>
      <c r="V493">
        <f>569.38</f>
        <v>569.38</v>
      </c>
    </row>
    <row r="494" spans="1:22" x14ac:dyDescent="0.2">
      <c r="A494" s="1">
        <v>44417</v>
      </c>
      <c r="B494">
        <f>2420.44</f>
        <v>2420.44</v>
      </c>
      <c r="C494">
        <f>11414.41</f>
        <v>11414.41</v>
      </c>
      <c r="D494">
        <f>6958.37</f>
        <v>6958.37</v>
      </c>
      <c r="E494">
        <f>3104.5</f>
        <v>3104.5</v>
      </c>
      <c r="F494">
        <f>2192.82</f>
        <v>2192.8200000000002</v>
      </c>
      <c r="G494">
        <f>9519.52</f>
        <v>9519.52</v>
      </c>
      <c r="H494">
        <f>3769.38</f>
        <v>3769.38</v>
      </c>
      <c r="I494">
        <f>14613.26</f>
        <v>14613.26</v>
      </c>
      <c r="J494">
        <f>5454.46</f>
        <v>5454.46</v>
      </c>
      <c r="K494">
        <f>19584.07</f>
        <v>19584.07</v>
      </c>
      <c r="L494">
        <f>2663.35</f>
        <v>2663.35</v>
      </c>
      <c r="M494">
        <f>13538.54</f>
        <v>13538.54</v>
      </c>
      <c r="N494">
        <f>458.203</f>
        <v>458.20299999999997</v>
      </c>
      <c r="O494">
        <f>3911.9</f>
        <v>3911.9</v>
      </c>
      <c r="P494" t="e">
        <f>NA()</f>
        <v>#N/A</v>
      </c>
      <c r="Q494">
        <f>3917.644</f>
        <v>3917.6439999999998</v>
      </c>
      <c r="R494">
        <f>9235.05</f>
        <v>9235.0499999999993</v>
      </c>
      <c r="S494" t="e">
        <f>NA()</f>
        <v>#N/A</v>
      </c>
      <c r="T494" t="e">
        <f>NA()</f>
        <v>#N/A</v>
      </c>
      <c r="U494" t="e">
        <f>NA()</f>
        <v>#N/A</v>
      </c>
      <c r="V494" t="e">
        <f>NA()</f>
        <v>#N/A</v>
      </c>
    </row>
    <row r="495" spans="1:22" x14ac:dyDescent="0.2">
      <c r="A495" s="1">
        <v>44414</v>
      </c>
      <c r="B495">
        <f>2412.63</f>
        <v>2412.63</v>
      </c>
      <c r="C495">
        <f>11412.68</f>
        <v>11412.68</v>
      </c>
      <c r="D495">
        <f>6949.26</f>
        <v>6949.26</v>
      </c>
      <c r="E495">
        <f>3100.256</f>
        <v>3100.2559999999999</v>
      </c>
      <c r="F495">
        <f>2192.79</f>
        <v>2192.79</v>
      </c>
      <c r="G495">
        <f>9518.715</f>
        <v>9518.7150000000001</v>
      </c>
      <c r="H495">
        <f>3768.18</f>
        <v>3768.18</v>
      </c>
      <c r="I495">
        <f>14601.89</f>
        <v>14601.89</v>
      </c>
      <c r="J495">
        <f>5456.48</f>
        <v>5456.48</v>
      </c>
      <c r="K495">
        <f>19593.65</f>
        <v>19593.650000000001</v>
      </c>
      <c r="L495">
        <f>2661.12</f>
        <v>2661.12</v>
      </c>
      <c r="M495">
        <f>13542.21</f>
        <v>13542.21</v>
      </c>
      <c r="N495">
        <f>457.046</f>
        <v>457.04599999999999</v>
      </c>
      <c r="O495">
        <f>3904.7</f>
        <v>3904.7</v>
      </c>
      <c r="P495">
        <f>283.18</f>
        <v>283.18</v>
      </c>
      <c r="Q495">
        <f>3923.038</f>
        <v>3923.038</v>
      </c>
      <c r="R495">
        <f>9243.03</f>
        <v>9243.0300000000007</v>
      </c>
      <c r="S495">
        <f>3048.57</f>
        <v>3048.57</v>
      </c>
      <c r="T495">
        <f>3592.86</f>
        <v>3592.86</v>
      </c>
      <c r="U495">
        <f>68673.95</f>
        <v>68673.95</v>
      </c>
      <c r="V495">
        <f>576.23</f>
        <v>576.23</v>
      </c>
    </row>
    <row r="496" spans="1:22" x14ac:dyDescent="0.2">
      <c r="A496" s="1">
        <v>44413</v>
      </c>
      <c r="B496">
        <f>2405.03</f>
        <v>2405.0300000000002</v>
      </c>
      <c r="C496">
        <f>11495.87</f>
        <v>11495.87</v>
      </c>
      <c r="D496">
        <f>6946.8</f>
        <v>6946.8</v>
      </c>
      <c r="E496">
        <f>3118.355</f>
        <v>3118.355</v>
      </c>
      <c r="F496">
        <f>2199.58</f>
        <v>2199.58</v>
      </c>
      <c r="G496">
        <f>9561.304</f>
        <v>9561.3040000000001</v>
      </c>
      <c r="H496">
        <f>3798.24</f>
        <v>3798.24</v>
      </c>
      <c r="I496">
        <f>14702.42</f>
        <v>14702.42</v>
      </c>
      <c r="J496">
        <f>5444.51</f>
        <v>5444.51</v>
      </c>
      <c r="K496">
        <f>19578.66</f>
        <v>19578.66</v>
      </c>
      <c r="L496">
        <f>2667.28</f>
        <v>2667.28</v>
      </c>
      <c r="M496">
        <f>13559.25</f>
        <v>13559.25</v>
      </c>
      <c r="N496">
        <f>459.694</f>
        <v>459.69400000000002</v>
      </c>
      <c r="O496">
        <f>3901.4</f>
        <v>3901.4</v>
      </c>
      <c r="P496">
        <f>283.62</f>
        <v>283.62</v>
      </c>
      <c r="Q496">
        <f>3905.375</f>
        <v>3905.375</v>
      </c>
      <c r="R496">
        <f>9226.49</f>
        <v>9226.49</v>
      </c>
      <c r="S496">
        <f>3048.01</f>
        <v>3048.01</v>
      </c>
      <c r="T496">
        <f>3627.425</f>
        <v>3627.4250000000002</v>
      </c>
      <c r="U496">
        <f>68371.23</f>
        <v>68371.23</v>
      </c>
      <c r="V496">
        <f>576.82</f>
        <v>576.82000000000005</v>
      </c>
    </row>
    <row r="497" spans="1:22" x14ac:dyDescent="0.2">
      <c r="A497" s="1">
        <v>44412</v>
      </c>
      <c r="B497">
        <f>2411.58</f>
        <v>2411.58</v>
      </c>
      <c r="C497">
        <f>11487.61</f>
        <v>11487.61</v>
      </c>
      <c r="D497">
        <f>6942.23</f>
        <v>6942.23</v>
      </c>
      <c r="E497">
        <f>3127.303</f>
        <v>3127.3029999999999</v>
      </c>
      <c r="F497">
        <f>2224.22</f>
        <v>2224.2199999999998</v>
      </c>
      <c r="G497">
        <f>9543.885</f>
        <v>9543.8850000000002</v>
      </c>
      <c r="H497">
        <f>3800.26</f>
        <v>3800.26</v>
      </c>
      <c r="I497">
        <f>14648.3</f>
        <v>14648.3</v>
      </c>
      <c r="J497">
        <f>5423.22</f>
        <v>5423.22</v>
      </c>
      <c r="K497">
        <f>19456.3</f>
        <v>19456.3</v>
      </c>
      <c r="L497">
        <f>2659.67</f>
        <v>2659.67</v>
      </c>
      <c r="M497">
        <f>13486.23</f>
        <v>13486.23</v>
      </c>
      <c r="N497">
        <f>457.791</f>
        <v>457.791</v>
      </c>
      <c r="O497">
        <f>3887.43</f>
        <v>3887.43</v>
      </c>
      <c r="P497">
        <f>283.77</f>
        <v>283.77</v>
      </c>
      <c r="Q497">
        <f>3896.11</f>
        <v>3896.11</v>
      </c>
      <c r="R497">
        <f>9170.76</f>
        <v>9170.76</v>
      </c>
      <c r="S497">
        <f>3036.07</f>
        <v>3036.07</v>
      </c>
      <c r="T497">
        <f>3715.708</f>
        <v>3715.7080000000001</v>
      </c>
      <c r="U497">
        <f>68898.04</f>
        <v>68898.039999999994</v>
      </c>
      <c r="V497">
        <f>577.46</f>
        <v>577.46</v>
      </c>
    </row>
    <row r="498" spans="1:22" x14ac:dyDescent="0.2">
      <c r="A498" s="1">
        <v>44411</v>
      </c>
      <c r="B498">
        <f>2406.24</f>
        <v>2406.2399999999998</v>
      </c>
      <c r="C498">
        <f>11452.74</f>
        <v>11452.74</v>
      </c>
      <c r="D498">
        <f>6924.56</f>
        <v>6924.56</v>
      </c>
      <c r="E498">
        <f>3103.736</f>
        <v>3103.7359999999999</v>
      </c>
      <c r="F498">
        <f>2229.72</f>
        <v>2229.7199999999998</v>
      </c>
      <c r="G498">
        <f>9511.832</f>
        <v>9511.8320000000003</v>
      </c>
      <c r="H498">
        <f>3851.87</f>
        <v>3851.87</v>
      </c>
      <c r="I498">
        <f>14575.89</f>
        <v>14575.89</v>
      </c>
      <c r="J498">
        <f>5473.72</f>
        <v>5473.72</v>
      </c>
      <c r="K498">
        <f>19530.47</f>
        <v>19530.47</v>
      </c>
      <c r="L498">
        <f>2677.68</f>
        <v>2677.68</v>
      </c>
      <c r="M498">
        <f>13515.21</f>
        <v>13515.21</v>
      </c>
      <c r="N498">
        <f>455.012</f>
        <v>455.012</v>
      </c>
      <c r="O498">
        <f>3865.12</f>
        <v>3865.12</v>
      </c>
      <c r="P498">
        <f>286.31</f>
        <v>286.31</v>
      </c>
      <c r="Q498">
        <f>3934.485</f>
        <v>3934.4850000000001</v>
      </c>
      <c r="R498">
        <f>9213.35</f>
        <v>9213.35</v>
      </c>
      <c r="S498">
        <f>3051.41</f>
        <v>3051.41</v>
      </c>
      <c r="T498">
        <f>3702.263</f>
        <v>3702.2629999999999</v>
      </c>
      <c r="U498">
        <f>68705.73</f>
        <v>68705.73</v>
      </c>
      <c r="V498">
        <f>579.37</f>
        <v>579.37</v>
      </c>
    </row>
    <row r="499" spans="1:22" x14ac:dyDescent="0.2">
      <c r="A499" s="1">
        <v>44410</v>
      </c>
      <c r="B499">
        <f>2392.82</f>
        <v>2392.8200000000002</v>
      </c>
      <c r="C499">
        <f>11414.32</f>
        <v>11414.32</v>
      </c>
      <c r="D499">
        <f>6901.17</f>
        <v>6901.17</v>
      </c>
      <c r="E499">
        <f>3101.141</f>
        <v>3101.1410000000001</v>
      </c>
      <c r="F499">
        <f>2219.31</f>
        <v>2219.31</v>
      </c>
      <c r="G499">
        <f>9470.737</f>
        <v>9470.7369999999992</v>
      </c>
      <c r="H499">
        <f>3859.52</f>
        <v>3859.52</v>
      </c>
      <c r="I499">
        <f>14585.58</f>
        <v>14585.58</v>
      </c>
      <c r="J499">
        <f>5421.71</f>
        <v>5421.71</v>
      </c>
      <c r="K499">
        <f>19381.22</f>
        <v>19381.22</v>
      </c>
      <c r="L499">
        <f>2664.61</f>
        <v>2664.61</v>
      </c>
      <c r="M499">
        <f>13447.88</f>
        <v>13447.88</v>
      </c>
      <c r="N499">
        <f>452.912</f>
        <v>452.91199999999998</v>
      </c>
      <c r="O499">
        <f>3854.57</f>
        <v>3854.57</v>
      </c>
      <c r="P499">
        <f>288.74</f>
        <v>288.74</v>
      </c>
      <c r="Q499">
        <f>3902.684</f>
        <v>3902.6840000000002</v>
      </c>
      <c r="R499">
        <f>9138.36</f>
        <v>9138.36</v>
      </c>
      <c r="S499">
        <f>3065.49</f>
        <v>3065.49</v>
      </c>
      <c r="T499">
        <f>3709.437</f>
        <v>3709.4369999999999</v>
      </c>
      <c r="U499">
        <f>68822.75</f>
        <v>68822.75</v>
      </c>
      <c r="V499">
        <f>573.08</f>
        <v>573.08000000000004</v>
      </c>
    </row>
    <row r="500" spans="1:22" x14ac:dyDescent="0.2">
      <c r="A500" s="1">
        <v>44407</v>
      </c>
      <c r="B500">
        <f>2370.12</f>
        <v>2370.12</v>
      </c>
      <c r="C500">
        <f>11254.27</f>
        <v>11254.27</v>
      </c>
      <c r="D500">
        <f>6853.01</f>
        <v>6853.01</v>
      </c>
      <c r="E500">
        <f>3064.004</f>
        <v>3064.0039999999999</v>
      </c>
      <c r="F500">
        <f>2196.72</f>
        <v>2196.7199999999998</v>
      </c>
      <c r="G500">
        <f>9409.198</f>
        <v>9409.1980000000003</v>
      </c>
      <c r="H500">
        <f>3751.79</f>
        <v>3751.79</v>
      </c>
      <c r="I500">
        <f>14469.84</f>
        <v>14469.84</v>
      </c>
      <c r="J500">
        <f>5425.19</f>
        <v>5425.19</v>
      </c>
      <c r="K500">
        <f>19409.05</f>
        <v>19409.05</v>
      </c>
      <c r="L500">
        <f>2656.5</f>
        <v>2656.5</v>
      </c>
      <c r="M500">
        <f>13413.45</f>
        <v>13413.45</v>
      </c>
      <c r="N500">
        <f>451.892</f>
        <v>451.892</v>
      </c>
      <c r="O500">
        <f>3833.84</f>
        <v>3833.84</v>
      </c>
      <c r="P500">
        <f>282.41</f>
        <v>282.41000000000003</v>
      </c>
      <c r="Q500">
        <f>3910.22821</f>
        <v>3910.2282100000002</v>
      </c>
      <c r="R500">
        <f>9155.21</f>
        <v>9155.2099999999991</v>
      </c>
      <c r="S500">
        <f>3003.91</f>
        <v>3003.91</v>
      </c>
      <c r="T500">
        <f>3728.209</f>
        <v>3728.2089999999998</v>
      </c>
      <c r="U500">
        <f>68970.78</f>
        <v>68970.78</v>
      </c>
      <c r="V500">
        <f>574.23</f>
        <v>574.23</v>
      </c>
    </row>
    <row r="501" spans="1:22" x14ac:dyDescent="0.2">
      <c r="A501" s="1">
        <v>44406</v>
      </c>
      <c r="B501">
        <f>2387.7</f>
        <v>2387.6999999999998</v>
      </c>
      <c r="C501">
        <f>11391.43</f>
        <v>11391.43</v>
      </c>
      <c r="D501">
        <f>6897.96</f>
        <v>6897.96</v>
      </c>
      <c r="E501">
        <f>3105.912</f>
        <v>3105.9119999999998</v>
      </c>
      <c r="F501">
        <f>2230.56</f>
        <v>2230.56</v>
      </c>
      <c r="G501">
        <f>9518.615</f>
        <v>9518.6149999999998</v>
      </c>
      <c r="H501">
        <f>3809.77</f>
        <v>3809.77</v>
      </c>
      <c r="I501">
        <f>14555.35</f>
        <v>14555.35</v>
      </c>
      <c r="J501">
        <f>5438.44</f>
        <v>5438.44</v>
      </c>
      <c r="K501">
        <f>19520.43</f>
        <v>19520.43</v>
      </c>
      <c r="L501">
        <f>2669.34</f>
        <v>2669.34</v>
      </c>
      <c r="M501">
        <f>13502.35</f>
        <v>13502.35</v>
      </c>
      <c r="N501">
        <f>453.67</f>
        <v>453.67</v>
      </c>
      <c r="O501">
        <f>3852.25</f>
        <v>3852.25</v>
      </c>
      <c r="P501">
        <f>286.86</f>
        <v>286.86</v>
      </c>
      <c r="Q501">
        <f>3922.421</f>
        <v>3922.4209999999998</v>
      </c>
      <c r="R501">
        <f>9204.25</f>
        <v>9204.25</v>
      </c>
      <c r="S501">
        <f>3045.52</f>
        <v>3045.52</v>
      </c>
      <c r="T501">
        <f>3748.761</f>
        <v>3748.761</v>
      </c>
      <c r="U501">
        <f>69565.23</f>
        <v>69565.23</v>
      </c>
      <c r="V501">
        <f>575.81</f>
        <v>575.80999999999995</v>
      </c>
    </row>
    <row r="502" spans="1:22" x14ac:dyDescent="0.2">
      <c r="A502" s="1">
        <v>44405</v>
      </c>
      <c r="B502">
        <f>2368.57</f>
        <v>2368.5700000000002</v>
      </c>
      <c r="C502">
        <f>11310.43</f>
        <v>11310.43</v>
      </c>
      <c r="D502">
        <f>6835.3</f>
        <v>6835.3</v>
      </c>
      <c r="E502">
        <f>3040.487</f>
        <v>3040.4870000000001</v>
      </c>
      <c r="F502">
        <f>2185.95</f>
        <v>2185.9499999999998</v>
      </c>
      <c r="G502">
        <f>9350.867</f>
        <v>9350.8670000000002</v>
      </c>
      <c r="H502">
        <f>3808.53</f>
        <v>3808.53</v>
      </c>
      <c r="I502">
        <f>14397.04</f>
        <v>14397.04</v>
      </c>
      <c r="J502">
        <f>5405.54</f>
        <v>5405.54</v>
      </c>
      <c r="K502">
        <f>19441.37</f>
        <v>19441.37</v>
      </c>
      <c r="L502">
        <f>2649.3</f>
        <v>2649.3</v>
      </c>
      <c r="M502">
        <f>13412.26</f>
        <v>13412.26</v>
      </c>
      <c r="N502">
        <f>451.647</f>
        <v>451.64699999999999</v>
      </c>
      <c r="O502">
        <f>3833.45</f>
        <v>3833.45</v>
      </c>
      <c r="P502">
        <f>287.33</f>
        <v>287.33</v>
      </c>
      <c r="Q502">
        <f>3880.058</f>
        <v>3880.058</v>
      </c>
      <c r="R502">
        <f>9164.62</f>
        <v>9164.6200000000008</v>
      </c>
      <c r="S502">
        <f>3033.03</f>
        <v>3033.03</v>
      </c>
      <c r="T502">
        <f>3695.18</f>
        <v>3695.18</v>
      </c>
      <c r="U502">
        <f>68525.54</f>
        <v>68525.539999999994</v>
      </c>
      <c r="V502">
        <f>569.63</f>
        <v>569.63</v>
      </c>
    </row>
    <row r="503" spans="1:22" x14ac:dyDescent="0.2">
      <c r="A503" s="1">
        <v>44404</v>
      </c>
      <c r="B503">
        <f>2362.23</f>
        <v>2362.23</v>
      </c>
      <c r="C503">
        <f>11301</f>
        <v>11301</v>
      </c>
      <c r="D503">
        <f>6815.28</f>
        <v>6815.28</v>
      </c>
      <c r="E503">
        <f>3002.334</f>
        <v>3002.3339999999998</v>
      </c>
      <c r="F503">
        <f>2184.52</f>
        <v>2184.52</v>
      </c>
      <c r="G503">
        <f>9341.576</f>
        <v>9341.5759999999991</v>
      </c>
      <c r="H503">
        <f>3836.2</f>
        <v>3836.2</v>
      </c>
      <c r="I503">
        <f>14321.64</f>
        <v>14321.64</v>
      </c>
      <c r="J503">
        <f>5422.17</f>
        <v>5422.17</v>
      </c>
      <c r="K503">
        <f>19430.92</f>
        <v>19430.919999999998</v>
      </c>
      <c r="L503">
        <f>2656.36</f>
        <v>2656.36</v>
      </c>
      <c r="M503">
        <f>13409.46</f>
        <v>13409.46</v>
      </c>
      <c r="N503">
        <f>448.29</f>
        <v>448.29</v>
      </c>
      <c r="O503">
        <f>3808.2</f>
        <v>3808.2</v>
      </c>
      <c r="P503">
        <f>288.61</f>
        <v>288.61</v>
      </c>
      <c r="Q503">
        <f>3897.513</f>
        <v>3897.5129999999999</v>
      </c>
      <c r="R503">
        <f>9166.27</f>
        <v>9166.27</v>
      </c>
      <c r="S503">
        <f>3062.09</f>
        <v>3062.09</v>
      </c>
      <c r="T503">
        <f>3638.195</f>
        <v>3638.1950000000002</v>
      </c>
      <c r="U503">
        <f>67340.72</f>
        <v>67340.72</v>
      </c>
      <c r="V503">
        <f>563.97</f>
        <v>563.97</v>
      </c>
    </row>
    <row r="504" spans="1:22" x14ac:dyDescent="0.2">
      <c r="A504" s="1">
        <v>44403</v>
      </c>
      <c r="B504">
        <f>2368.09</f>
        <v>2368.09</v>
      </c>
      <c r="C504">
        <f>11347.85</f>
        <v>11347.85</v>
      </c>
      <c r="D504">
        <f>6843.87</f>
        <v>6843.87</v>
      </c>
      <c r="E504">
        <f>3068.158</f>
        <v>3068.1579999999999</v>
      </c>
      <c r="F504">
        <f>2182.5</f>
        <v>2182.5</v>
      </c>
      <c r="G504">
        <f>9337.614</f>
        <v>9337.6139999999996</v>
      </c>
      <c r="H504">
        <f>3802.48</f>
        <v>3802.48</v>
      </c>
      <c r="I504">
        <f>14397.41</f>
        <v>14397.41</v>
      </c>
      <c r="J504">
        <f>5418.85</f>
        <v>5418.85</v>
      </c>
      <c r="K504">
        <f>19529.45</f>
        <v>19529.45</v>
      </c>
      <c r="L504">
        <f>2651.59</f>
        <v>2651.59</v>
      </c>
      <c r="M504">
        <f>13459.83</f>
        <v>13459.83</v>
      </c>
      <c r="N504">
        <f>446.036</f>
        <v>446.036</v>
      </c>
      <c r="O504">
        <f>3829.83</f>
        <v>3829.83</v>
      </c>
      <c r="P504">
        <f>285.98</f>
        <v>285.98</v>
      </c>
      <c r="Q504">
        <f>3890.7174</f>
        <v>3890.7174</v>
      </c>
      <c r="R504">
        <f>9209.63</f>
        <v>9209.6299999999992</v>
      </c>
      <c r="S504">
        <f>3042.47</f>
        <v>3042.47</v>
      </c>
      <c r="T504">
        <f>3644.362</f>
        <v>3644.3620000000001</v>
      </c>
      <c r="U504">
        <f>68051.05</f>
        <v>68051.05</v>
      </c>
      <c r="V504">
        <f>561.73</f>
        <v>561.73</v>
      </c>
    </row>
    <row r="505" spans="1:22" x14ac:dyDescent="0.2">
      <c r="A505" s="1">
        <v>44400</v>
      </c>
      <c r="B505">
        <f>2358.47</f>
        <v>2358.4699999999998</v>
      </c>
      <c r="C505">
        <f>11417.69</f>
        <v>11417.69</v>
      </c>
      <c r="D505">
        <f>6845.96</f>
        <v>6845.96</v>
      </c>
      <c r="E505">
        <f>3142.075</f>
        <v>3142.0749999999998</v>
      </c>
      <c r="F505">
        <f>2151.49</f>
        <v>2151.4899999999998</v>
      </c>
      <c r="G505">
        <f>9289.805</f>
        <v>9289.8050000000003</v>
      </c>
      <c r="H505">
        <f>3770.45</f>
        <v>3770.45</v>
      </c>
      <c r="I505">
        <f>14359.42</f>
        <v>14359.42</v>
      </c>
      <c r="J505">
        <f>5409.23</f>
        <v>5409.23</v>
      </c>
      <c r="K505">
        <f>19494.62</f>
        <v>19494.62</v>
      </c>
      <c r="L505">
        <f>2643.81</f>
        <v>2643.81</v>
      </c>
      <c r="M505">
        <f>13424.55</f>
        <v>13424.55</v>
      </c>
      <c r="N505">
        <f>448.818</f>
        <v>448.81799999999998</v>
      </c>
      <c r="O505">
        <f>3831.13</f>
        <v>3831.13</v>
      </c>
      <c r="P505" t="e">
        <f>NA()</f>
        <v>#N/A</v>
      </c>
      <c r="Q505">
        <f>3881.46</f>
        <v>3881.46</v>
      </c>
      <c r="R505">
        <f>9187.64</f>
        <v>9187.64</v>
      </c>
      <c r="S505" t="e">
        <f>NA()</f>
        <v>#N/A</v>
      </c>
      <c r="T505">
        <f>3638.691</f>
        <v>3638.6909999999998</v>
      </c>
      <c r="U505">
        <f>68063.7</f>
        <v>68063.7</v>
      </c>
      <c r="V505">
        <f>557.76</f>
        <v>557.76</v>
      </c>
    </row>
    <row r="506" spans="1:22" x14ac:dyDescent="0.2">
      <c r="A506" s="1">
        <v>44399</v>
      </c>
      <c r="B506">
        <f>2335.49</f>
        <v>2335.4899999999998</v>
      </c>
      <c r="C506">
        <f>11452.35</f>
        <v>11452.35</v>
      </c>
      <c r="D506">
        <f>6788.22</f>
        <v>6788.22</v>
      </c>
      <c r="E506">
        <f>3177.926</f>
        <v>3177.9259999999999</v>
      </c>
      <c r="F506">
        <f>2125.23</f>
        <v>2125.23</v>
      </c>
      <c r="G506">
        <f>9212.65</f>
        <v>9212.65</v>
      </c>
      <c r="H506">
        <f>3785.35</f>
        <v>3785.35</v>
      </c>
      <c r="I506">
        <f>14237.09</f>
        <v>14237.09</v>
      </c>
      <c r="J506">
        <f>5366.14</f>
        <v>5366.14</v>
      </c>
      <c r="K506">
        <f>19287.9</f>
        <v>19287.900000000001</v>
      </c>
      <c r="L506">
        <f>2628.52</f>
        <v>2628.52</v>
      </c>
      <c r="M506">
        <f>13310.94</f>
        <v>13310.94</v>
      </c>
      <c r="N506">
        <f>445.178</f>
        <v>445.178</v>
      </c>
      <c r="O506">
        <f>3790.42</f>
        <v>3790.42</v>
      </c>
      <c r="P506" t="e">
        <f>NA()</f>
        <v>#N/A</v>
      </c>
      <c r="Q506">
        <f>3846.203</f>
        <v>3846.203</v>
      </c>
      <c r="R506">
        <f>9094.95</f>
        <v>9094.9500000000007</v>
      </c>
      <c r="S506" t="e">
        <f>NA()</f>
        <v>#N/A</v>
      </c>
      <c r="T506">
        <f>3627.071</f>
        <v>3627.0709999999999</v>
      </c>
      <c r="U506">
        <f>67404.27</f>
        <v>67404.27</v>
      </c>
      <c r="V506">
        <f>553.59</f>
        <v>553.59</v>
      </c>
    </row>
    <row r="507" spans="1:22" x14ac:dyDescent="0.2">
      <c r="A507" s="1">
        <v>44398</v>
      </c>
      <c r="B507">
        <f>2345.77</f>
        <v>2345.77</v>
      </c>
      <c r="C507">
        <f>11309.83</f>
        <v>11309.83</v>
      </c>
      <c r="D507">
        <f>6816.17</f>
        <v>6816.17</v>
      </c>
      <c r="E507">
        <f>3142.834</f>
        <v>3142.8339999999998</v>
      </c>
      <c r="F507">
        <f>2120.16</f>
        <v>2120.16</v>
      </c>
      <c r="G507">
        <f>9208.181</f>
        <v>9208.1810000000005</v>
      </c>
      <c r="H507">
        <f>3778.48</f>
        <v>3778.48</v>
      </c>
      <c r="I507">
        <f>14147.45</f>
        <v>14147.45</v>
      </c>
      <c r="J507">
        <f>5381.62</f>
        <v>5381.62</v>
      </c>
      <c r="K507">
        <f>19240.94</f>
        <v>19240.939999999999</v>
      </c>
      <c r="L507">
        <f>2632.31</f>
        <v>2632.31</v>
      </c>
      <c r="M507">
        <f>13267.01</f>
        <v>13267.01</v>
      </c>
      <c r="N507">
        <f>441.556</f>
        <v>441.55599999999998</v>
      </c>
      <c r="O507">
        <f>3772.62</f>
        <v>3772.62</v>
      </c>
      <c r="P507">
        <f>283.32</f>
        <v>283.32</v>
      </c>
      <c r="Q507">
        <f>3862.156</f>
        <v>3862.1559999999999</v>
      </c>
      <c r="R507">
        <f>9075.97</f>
        <v>9075.9699999999993</v>
      </c>
      <c r="S507">
        <f>3008.95</f>
        <v>3008.95</v>
      </c>
      <c r="T507">
        <f>3589.592</f>
        <v>3589.5920000000001</v>
      </c>
      <c r="U507">
        <f>66558.46</f>
        <v>66558.460000000006</v>
      </c>
      <c r="V507">
        <f>546.85</f>
        <v>546.85</v>
      </c>
    </row>
    <row r="508" spans="1:22" x14ac:dyDescent="0.2">
      <c r="A508" s="1">
        <v>44397</v>
      </c>
      <c r="B508">
        <f>2306.14</f>
        <v>2306.14</v>
      </c>
      <c r="C508">
        <f>11313.14</f>
        <v>11313.14</v>
      </c>
      <c r="D508">
        <f>6702.08</f>
        <v>6702.08</v>
      </c>
      <c r="E508">
        <f>3139.95</f>
        <v>3139.95</v>
      </c>
      <c r="F508">
        <f>2074.14</f>
        <v>2074.14</v>
      </c>
      <c r="G508">
        <f>9012.832</f>
        <v>9012.8320000000003</v>
      </c>
      <c r="H508">
        <f>3766.93</f>
        <v>3766.93</v>
      </c>
      <c r="I508">
        <f>13901.85</f>
        <v>13901.85</v>
      </c>
      <c r="J508">
        <f>5350.13</f>
        <v>5350.13</v>
      </c>
      <c r="K508">
        <f>19085.55</f>
        <v>19085.55</v>
      </c>
      <c r="L508">
        <f>2612.4</f>
        <v>2612.4</v>
      </c>
      <c r="M508">
        <f>13132.16</f>
        <v>13132.16</v>
      </c>
      <c r="N508">
        <f>437.858</f>
        <v>437.858</v>
      </c>
      <c r="O508">
        <f>3710.38</f>
        <v>3710.38</v>
      </c>
      <c r="P508">
        <f>280.85</f>
        <v>280.85000000000002</v>
      </c>
      <c r="Q508">
        <f>3845.713</f>
        <v>3845.7130000000002</v>
      </c>
      <c r="R508">
        <f>9001.77</f>
        <v>9001.77</v>
      </c>
      <c r="S508">
        <f>2984.43</f>
        <v>2984.43</v>
      </c>
      <c r="T508">
        <f>3579.231</f>
        <v>3579.2310000000002</v>
      </c>
      <c r="U508">
        <f>65724.68</f>
        <v>65724.679999999993</v>
      </c>
      <c r="V508">
        <f>544.98</f>
        <v>544.98</v>
      </c>
    </row>
    <row r="509" spans="1:22" x14ac:dyDescent="0.2">
      <c r="A509" s="1">
        <v>44396</v>
      </c>
      <c r="B509">
        <f>2297.36</f>
        <v>2297.36</v>
      </c>
      <c r="C509">
        <f>11400.24</f>
        <v>11400.24</v>
      </c>
      <c r="D509">
        <f>6666.29</f>
        <v>6666.29</v>
      </c>
      <c r="E509">
        <f>3154.474</f>
        <v>3154.4740000000002</v>
      </c>
      <c r="F509">
        <f>2072.31</f>
        <v>2072.31</v>
      </c>
      <c r="G509">
        <f>9004.742</f>
        <v>9004.7420000000002</v>
      </c>
      <c r="H509">
        <f>3818.78</f>
        <v>3818.78</v>
      </c>
      <c r="I509">
        <f>13880.71</f>
        <v>13880.71</v>
      </c>
      <c r="J509">
        <f>5294.39</f>
        <v>5294.39</v>
      </c>
      <c r="K509">
        <f>18789.68</f>
        <v>18789.68</v>
      </c>
      <c r="L509">
        <f>2603.58</f>
        <v>2603.58</v>
      </c>
      <c r="M509">
        <f>12999.5</f>
        <v>12999.5</v>
      </c>
      <c r="N509">
        <f>436.619</f>
        <v>436.61900000000003</v>
      </c>
      <c r="O509">
        <f>3693.43</f>
        <v>3693.43</v>
      </c>
      <c r="P509">
        <f>284.29</f>
        <v>284.29000000000002</v>
      </c>
      <c r="Q509">
        <f>3789.941</f>
        <v>3789.9409999999998</v>
      </c>
      <c r="R509">
        <f>8867.07</f>
        <v>8867.07</v>
      </c>
      <c r="S509">
        <f>3013.24</f>
        <v>3013.24</v>
      </c>
      <c r="T509">
        <f>3544.811</f>
        <v>3544.8110000000001</v>
      </c>
      <c r="U509">
        <f>64804.74</f>
        <v>64804.74</v>
      </c>
      <c r="V509">
        <f>537.4</f>
        <v>537.4</v>
      </c>
    </row>
    <row r="510" spans="1:22" x14ac:dyDescent="0.2">
      <c r="A510" s="1">
        <v>44393</v>
      </c>
      <c r="B510">
        <f>2357.24</f>
        <v>2357.2399999999998</v>
      </c>
      <c r="C510">
        <f>11558.46</f>
        <v>11558.46</v>
      </c>
      <c r="D510">
        <f>6825.73</f>
        <v>6825.73</v>
      </c>
      <c r="E510">
        <f>3208.867</f>
        <v>3208.8670000000002</v>
      </c>
      <c r="F510">
        <f>2150.34</f>
        <v>2150.34</v>
      </c>
      <c r="G510">
        <f>9301.873</f>
        <v>9301.8729999999996</v>
      </c>
      <c r="H510">
        <f>3824.94</f>
        <v>3824.94</v>
      </c>
      <c r="I510">
        <f>14172.57</f>
        <v>14172.57</v>
      </c>
      <c r="J510">
        <f>5370.71</f>
        <v>5370.71</v>
      </c>
      <c r="K510">
        <f>19072.36</f>
        <v>19072.36</v>
      </c>
      <c r="L510">
        <f>2643.77</f>
        <v>2643.77</v>
      </c>
      <c r="M510">
        <f>13213.47</f>
        <v>13213.47</v>
      </c>
      <c r="N510">
        <f>443.209</f>
        <v>443.209</v>
      </c>
      <c r="O510">
        <f>3779.25</f>
        <v>3779.25</v>
      </c>
      <c r="P510">
        <f>287.88</f>
        <v>287.88</v>
      </c>
      <c r="Q510">
        <f>3848.713</f>
        <v>3848.7130000000002</v>
      </c>
      <c r="R510">
        <f>9009.89</f>
        <v>9009.89</v>
      </c>
      <c r="S510">
        <f>3052.83</f>
        <v>3052.83</v>
      </c>
      <c r="T510">
        <f>3629.999</f>
        <v>3629.9989999999998</v>
      </c>
      <c r="U510">
        <f>66529.53</f>
        <v>66529.53</v>
      </c>
      <c r="V510">
        <f>550.7</f>
        <v>550.70000000000005</v>
      </c>
    </row>
    <row r="511" spans="1:22" x14ac:dyDescent="0.2">
      <c r="A511" s="1">
        <v>44392</v>
      </c>
      <c r="B511">
        <f>2354.78</f>
        <v>2354.7800000000002</v>
      </c>
      <c r="C511">
        <f>11583.41</f>
        <v>11583.41</v>
      </c>
      <c r="D511">
        <f>6829.56</f>
        <v>6829.56</v>
      </c>
      <c r="E511">
        <f>3228.804</f>
        <v>3228.8040000000001</v>
      </c>
      <c r="F511">
        <f>2162.7</f>
        <v>2162.6999999999998</v>
      </c>
      <c r="G511">
        <f>9357.27</f>
        <v>9357.27</v>
      </c>
      <c r="H511">
        <f>3847.26</f>
        <v>3847.26</v>
      </c>
      <c r="I511">
        <f>14222.88</f>
        <v>14222.88</v>
      </c>
      <c r="J511">
        <f>5389.57</f>
        <v>5389.57</v>
      </c>
      <c r="K511">
        <f>19202.86</f>
        <v>19202.86</v>
      </c>
      <c r="L511">
        <f>2650.9</f>
        <v>2650.9</v>
      </c>
      <c r="M511">
        <f>13295.89</f>
        <v>13295.89</v>
      </c>
      <c r="N511">
        <f>442.113</f>
        <v>442.113</v>
      </c>
      <c r="O511">
        <f>3792.62</f>
        <v>3792.62</v>
      </c>
      <c r="P511">
        <f>288.21</f>
        <v>288.20999999999998</v>
      </c>
      <c r="Q511">
        <f>3864.753</f>
        <v>3864.7530000000002</v>
      </c>
      <c r="R511">
        <f>9078.33</f>
        <v>9078.33</v>
      </c>
      <c r="S511">
        <f>3064.56</f>
        <v>3064.56</v>
      </c>
      <c r="T511">
        <f>3670.637</f>
        <v>3670.6370000000002</v>
      </c>
      <c r="U511">
        <f>67538.61</f>
        <v>67538.61</v>
      </c>
      <c r="V511">
        <f>559.85</f>
        <v>559.85</v>
      </c>
    </row>
    <row r="512" spans="1:22" x14ac:dyDescent="0.2">
      <c r="A512" s="1">
        <v>44391</v>
      </c>
      <c r="B512">
        <f>2379.43</f>
        <v>2379.4299999999998</v>
      </c>
      <c r="C512">
        <f>11490.22</f>
        <v>11490.22</v>
      </c>
      <c r="D512">
        <f>6906.67</f>
        <v>6906.67</v>
      </c>
      <c r="E512">
        <f>3203.625</f>
        <v>3203.625</v>
      </c>
      <c r="F512">
        <f>2175.51</f>
        <v>2175.5100000000002</v>
      </c>
      <c r="G512">
        <f>9457.838</f>
        <v>9457.8379999999997</v>
      </c>
      <c r="H512">
        <f>3873.71</f>
        <v>3873.71</v>
      </c>
      <c r="I512">
        <f>14358.35</f>
        <v>14358.35</v>
      </c>
      <c r="J512">
        <f>5383.92</f>
        <v>5383.92</v>
      </c>
      <c r="K512">
        <f>19263.53</f>
        <v>19263.53</v>
      </c>
      <c r="L512">
        <f>2658.67</f>
        <v>2658.67</v>
      </c>
      <c r="M512">
        <f>13361.38</f>
        <v>13361.38</v>
      </c>
      <c r="N512">
        <f>443.882</f>
        <v>443.88200000000001</v>
      </c>
      <c r="O512">
        <f>3827.76</f>
        <v>3827.76</v>
      </c>
      <c r="P512">
        <f>291.49</f>
        <v>291.49</v>
      </c>
      <c r="Q512">
        <f>3858.328</f>
        <v>3858.328</v>
      </c>
      <c r="R512">
        <f>9107.85</f>
        <v>9107.85</v>
      </c>
      <c r="S512">
        <f>3101.77</f>
        <v>3101.77</v>
      </c>
      <c r="T512">
        <f>3670.01</f>
        <v>3670.01</v>
      </c>
      <c r="U512">
        <f>67897.6</f>
        <v>67897.600000000006</v>
      </c>
      <c r="V512">
        <f>562.21</f>
        <v>562.21</v>
      </c>
    </row>
    <row r="513" spans="1:22" x14ac:dyDescent="0.2">
      <c r="A513" s="1">
        <v>44390</v>
      </c>
      <c r="B513">
        <f>2389.85</f>
        <v>2389.85</v>
      </c>
      <c r="C513">
        <f>11508.03</f>
        <v>11508.03</v>
      </c>
      <c r="D513">
        <f>6939.32</f>
        <v>6939.32</v>
      </c>
      <c r="E513">
        <f>3205.988</f>
        <v>3205.9879999999998</v>
      </c>
      <c r="F513">
        <f>2165.23</f>
        <v>2165.23</v>
      </c>
      <c r="G513">
        <f>9486.702</f>
        <v>9486.7019999999993</v>
      </c>
      <c r="H513">
        <f>3856.69</f>
        <v>3856.69</v>
      </c>
      <c r="I513">
        <f>14365.36</f>
        <v>14365.36</v>
      </c>
      <c r="J513">
        <f>5364.04</f>
        <v>5364.04</v>
      </c>
      <c r="K513">
        <f>19255.62</f>
        <v>19255.62</v>
      </c>
      <c r="L513">
        <f>2654.97</f>
        <v>2654.97</v>
      </c>
      <c r="M513">
        <f>13363.31</f>
        <v>13363.31</v>
      </c>
      <c r="N513">
        <f>445.891</f>
        <v>445.89100000000002</v>
      </c>
      <c r="O513">
        <f>3833.23</f>
        <v>3833.23</v>
      </c>
      <c r="P513">
        <f>291.85</f>
        <v>291.85000000000002</v>
      </c>
      <c r="Q513">
        <f>3854.123</f>
        <v>3854.123</v>
      </c>
      <c r="R513">
        <f>9096.15</f>
        <v>9096.15</v>
      </c>
      <c r="S513">
        <f>3108.85</f>
        <v>3108.85</v>
      </c>
      <c r="T513">
        <f>3643.21</f>
        <v>3643.21</v>
      </c>
      <c r="U513">
        <f>67088.27</f>
        <v>67088.27</v>
      </c>
      <c r="V513">
        <f>554.44</f>
        <v>554.44000000000005</v>
      </c>
    </row>
    <row r="514" spans="1:22" x14ac:dyDescent="0.2">
      <c r="A514" s="1">
        <v>44389</v>
      </c>
      <c r="B514">
        <f>2389.37</f>
        <v>2389.37</v>
      </c>
      <c r="C514">
        <f>11439.69</f>
        <v>11439.69</v>
      </c>
      <c r="D514">
        <f>6940.01</f>
        <v>6940.01</v>
      </c>
      <c r="E514">
        <f>3175.29</f>
        <v>3175.29</v>
      </c>
      <c r="F514">
        <f>2172.55</f>
        <v>2172.5500000000002</v>
      </c>
      <c r="G514">
        <f>9524.022</f>
        <v>9524.0220000000008</v>
      </c>
      <c r="H514">
        <f>3815.39</f>
        <v>3815.39</v>
      </c>
      <c r="I514">
        <f>14410.1</f>
        <v>14410.1</v>
      </c>
      <c r="J514">
        <f>5390.56</f>
        <v>5390.56</v>
      </c>
      <c r="K514">
        <f>19331.54</f>
        <v>19331.54</v>
      </c>
      <c r="L514">
        <f>2660.83</f>
        <v>2660.83</v>
      </c>
      <c r="M514">
        <f>13402.56</f>
        <v>13402.56</v>
      </c>
      <c r="N514">
        <f>442.701</f>
        <v>442.70100000000002</v>
      </c>
      <c r="O514">
        <f>3830.75</f>
        <v>3830.75</v>
      </c>
      <c r="P514">
        <f>287.77</f>
        <v>287.77</v>
      </c>
      <c r="Q514">
        <f>3884.446</f>
        <v>3884.4459999999999</v>
      </c>
      <c r="R514">
        <f>9128.22</f>
        <v>9128.2199999999993</v>
      </c>
      <c r="S514">
        <f>3086.24</f>
        <v>3086.24</v>
      </c>
      <c r="T514">
        <f>3651.209</f>
        <v>3651.2089999999998</v>
      </c>
      <c r="U514">
        <f>67293.33</f>
        <v>67293.33</v>
      </c>
      <c r="V514">
        <f>560.03</f>
        <v>560.03</v>
      </c>
    </row>
    <row r="515" spans="1:22" x14ac:dyDescent="0.2">
      <c r="A515" s="1">
        <v>44386</v>
      </c>
      <c r="B515">
        <f>2385.59</f>
        <v>2385.59</v>
      </c>
      <c r="C515">
        <f>11404.01</f>
        <v>11404.01</v>
      </c>
      <c r="D515">
        <f>6936.56</f>
        <v>6936.56</v>
      </c>
      <c r="E515">
        <f>3154.476</f>
        <v>3154.4760000000001</v>
      </c>
      <c r="F515">
        <f>2159.98</f>
        <v>2159.98</v>
      </c>
      <c r="G515">
        <f>9472.6</f>
        <v>9472.6</v>
      </c>
      <c r="H515">
        <f>3748.94</f>
        <v>3748.94</v>
      </c>
      <c r="I515">
        <f>14300.36</f>
        <v>14300.36</v>
      </c>
      <c r="J515">
        <f>5379.43</f>
        <v>5379.43</v>
      </c>
      <c r="K515">
        <f>19276.41</f>
        <v>19276.41</v>
      </c>
      <c r="L515">
        <f>2646.85</f>
        <v>2646.85</v>
      </c>
      <c r="M515">
        <f>13336.39</f>
        <v>13336.39</v>
      </c>
      <c r="N515">
        <f>438.397</f>
        <v>438.39699999999999</v>
      </c>
      <c r="O515">
        <f>3805.96</f>
        <v>3805.96</v>
      </c>
      <c r="P515">
        <f>281.82</f>
        <v>281.82</v>
      </c>
      <c r="Q515">
        <f>3870.562</f>
        <v>3870.5619999999999</v>
      </c>
      <c r="R515">
        <f>9096.84</f>
        <v>9096.84</v>
      </c>
      <c r="S515">
        <f>3021.54</f>
        <v>3021.54</v>
      </c>
      <c r="T515">
        <f>3610.666</f>
        <v>3610.6660000000002</v>
      </c>
      <c r="U515">
        <f>66385.57</f>
        <v>66385.570000000007</v>
      </c>
      <c r="V515">
        <f>554.61</f>
        <v>554.61</v>
      </c>
    </row>
    <row r="516" spans="1:22" x14ac:dyDescent="0.2">
      <c r="A516" s="1">
        <v>44385</v>
      </c>
      <c r="B516">
        <f>2348.45</f>
        <v>2348.4499999999998</v>
      </c>
      <c r="C516">
        <f>11436.76</f>
        <v>11436.76</v>
      </c>
      <c r="D516">
        <f>6847.71</f>
        <v>6847.71</v>
      </c>
      <c r="E516">
        <f>3149.393</f>
        <v>3149.393</v>
      </c>
      <c r="F516">
        <f>2106</f>
        <v>2106</v>
      </c>
      <c r="G516">
        <f>9300.04</f>
        <v>9300.0400000000009</v>
      </c>
      <c r="H516">
        <f>3786.48</f>
        <v>3786.48</v>
      </c>
      <c r="I516">
        <f>14116.77</f>
        <v>14116.77</v>
      </c>
      <c r="J516">
        <f>5322.4</f>
        <v>5322.4</v>
      </c>
      <c r="K516">
        <f>19059.81</f>
        <v>19059.810000000001</v>
      </c>
      <c r="L516">
        <f>2622.8</f>
        <v>2622.8</v>
      </c>
      <c r="M516">
        <f>13201.36</f>
        <v>13201.36</v>
      </c>
      <c r="N516">
        <f>434.237</f>
        <v>434.23700000000002</v>
      </c>
      <c r="O516">
        <f>3755.03</f>
        <v>3755.03</v>
      </c>
      <c r="P516">
        <f>282.44</f>
        <v>282.44</v>
      </c>
      <c r="Q516">
        <f>3820.755</f>
        <v>3820.7550000000001</v>
      </c>
      <c r="R516">
        <f>8995.26</f>
        <v>8995.26</v>
      </c>
      <c r="S516">
        <f>3034.08</f>
        <v>3034.08</v>
      </c>
      <c r="T516">
        <f>3564.159</f>
        <v>3564.1590000000001</v>
      </c>
      <c r="U516">
        <f>65243.5</f>
        <v>65243.5</v>
      </c>
      <c r="V516">
        <f>543.25</f>
        <v>543.25</v>
      </c>
    </row>
    <row r="517" spans="1:22" x14ac:dyDescent="0.2">
      <c r="A517" s="1">
        <v>44384</v>
      </c>
      <c r="B517">
        <f>2385.41</f>
        <v>2385.41</v>
      </c>
      <c r="C517">
        <f>11547.87</f>
        <v>11547.87</v>
      </c>
      <c r="D517">
        <f>6959.86</f>
        <v>6959.86</v>
      </c>
      <c r="E517">
        <f>3207.383</f>
        <v>3207.3829999999998</v>
      </c>
      <c r="F517">
        <f>2140.01</f>
        <v>2140.0100000000002</v>
      </c>
      <c r="G517">
        <f>9456.317</f>
        <v>9456.3169999999991</v>
      </c>
      <c r="H517">
        <f>3778.33</f>
        <v>3778.33</v>
      </c>
      <c r="I517">
        <f>14272.25</f>
        <v>14272.25</v>
      </c>
      <c r="J517">
        <f>5360.25</f>
        <v>5360.25</v>
      </c>
      <c r="K517">
        <f>19223.66</f>
        <v>19223.66</v>
      </c>
      <c r="L517">
        <f>2639.87</f>
        <v>2639.87</v>
      </c>
      <c r="M517">
        <f>13318.75</f>
        <v>13318.75</v>
      </c>
      <c r="N517">
        <f>438.276</f>
        <v>438.27600000000001</v>
      </c>
      <c r="O517">
        <f>3818.37</f>
        <v>3818.37</v>
      </c>
      <c r="P517">
        <f>284.89</f>
        <v>284.89</v>
      </c>
      <c r="Q517">
        <f>3860.333</f>
        <v>3860.3330000000001</v>
      </c>
      <c r="R517">
        <f>9071.14</f>
        <v>9071.14</v>
      </c>
      <c r="S517">
        <f>3061.51</f>
        <v>3061.51</v>
      </c>
      <c r="T517">
        <f>3624.046</f>
        <v>3624.0459999999998</v>
      </c>
      <c r="U517">
        <f>66806.36</f>
        <v>66806.36</v>
      </c>
      <c r="V517">
        <f>550.1</f>
        <v>550.1</v>
      </c>
    </row>
    <row r="518" spans="1:22" x14ac:dyDescent="0.2">
      <c r="A518" s="1">
        <v>44383</v>
      </c>
      <c r="B518">
        <f>2362.31</f>
        <v>2362.31</v>
      </c>
      <c r="C518">
        <f>11587.88</f>
        <v>11587.88</v>
      </c>
      <c r="D518">
        <f>6911.06</f>
        <v>6911.06</v>
      </c>
      <c r="E518">
        <f>3218.893</f>
        <v>3218.893</v>
      </c>
      <c r="F518">
        <f>2113.5</f>
        <v>2113.5</v>
      </c>
      <c r="G518">
        <f>9408.557</f>
        <v>9408.5570000000007</v>
      </c>
      <c r="H518">
        <f>3820.62</f>
        <v>3820.62</v>
      </c>
      <c r="I518">
        <f>14197.26</f>
        <v>14197.26</v>
      </c>
      <c r="J518">
        <f>5330.77</f>
        <v>5330.77</v>
      </c>
      <c r="K518">
        <f>19170.33</f>
        <v>19170.330000000002</v>
      </c>
      <c r="L518">
        <f>2630.38</f>
        <v>2630.38</v>
      </c>
      <c r="M518">
        <f>13287.95</f>
        <v>13287.95</v>
      </c>
      <c r="N518">
        <f>432.862</f>
        <v>432.86200000000002</v>
      </c>
      <c r="O518">
        <f>3788.54</f>
        <v>3788.54</v>
      </c>
      <c r="P518">
        <f>289.44</f>
        <v>289.44</v>
      </c>
      <c r="Q518">
        <f>3828.25</f>
        <v>3828.25</v>
      </c>
      <c r="R518">
        <f>9040.76</f>
        <v>9040.76</v>
      </c>
      <c r="S518">
        <f>3088.08</f>
        <v>3088.08</v>
      </c>
      <c r="T518">
        <f>3577.297</f>
        <v>3577.297</v>
      </c>
      <c r="U518">
        <f>65849.75</f>
        <v>65849.75</v>
      </c>
      <c r="V518">
        <f>542.22</f>
        <v>542.22</v>
      </c>
    </row>
    <row r="519" spans="1:22" x14ac:dyDescent="0.2">
      <c r="A519" s="1">
        <v>44382</v>
      </c>
      <c r="B519">
        <f>2384.06</f>
        <v>2384.06</v>
      </c>
      <c r="C519">
        <f>11653.59</f>
        <v>11653.59</v>
      </c>
      <c r="D519">
        <f>6973.38</f>
        <v>6973.38</v>
      </c>
      <c r="E519">
        <f>3236.825</f>
        <v>3236.8249999999998</v>
      </c>
      <c r="F519">
        <f>2143.69</f>
        <v>2143.69</v>
      </c>
      <c r="G519">
        <f>9515.878</f>
        <v>9515.8780000000006</v>
      </c>
      <c r="H519">
        <f>3796.66</f>
        <v>3796.66</v>
      </c>
      <c r="I519">
        <f>14297.47</f>
        <v>14297.47</v>
      </c>
      <c r="J519">
        <f>5374.24</f>
        <v>5374.24</v>
      </c>
      <c r="K519">
        <f>19191.84</f>
        <v>19191.84</v>
      </c>
      <c r="L519">
        <f>2647.49</f>
        <v>2647.49</v>
      </c>
      <c r="M519">
        <f>13318.93</f>
        <v>13318.93</v>
      </c>
      <c r="N519">
        <f>432.606</f>
        <v>432.60599999999999</v>
      </c>
      <c r="O519">
        <f>3810.61</f>
        <v>3810.61</v>
      </c>
      <c r="P519">
        <f>288.01</f>
        <v>288.01</v>
      </c>
      <c r="Q519" t="e">
        <f>NA()</f>
        <v>#N/A</v>
      </c>
      <c r="R519" t="e">
        <f>NA()</f>
        <v>#N/A</v>
      </c>
      <c r="S519">
        <f>3079.39</f>
        <v>3079.39</v>
      </c>
      <c r="T519">
        <f>3585.25</f>
        <v>3585.25</v>
      </c>
      <c r="U519">
        <f>66166.86</f>
        <v>66166.86</v>
      </c>
      <c r="V519">
        <f>546.7</f>
        <v>546.70000000000005</v>
      </c>
    </row>
    <row r="520" spans="1:22" x14ac:dyDescent="0.2">
      <c r="A520" s="1">
        <v>44379</v>
      </c>
      <c r="B520">
        <f>2360.85</f>
        <v>2360.85</v>
      </c>
      <c r="C520">
        <f>11597.14</f>
        <v>11597.14</v>
      </c>
      <c r="D520">
        <f>6932.84</f>
        <v>6932.84</v>
      </c>
      <c r="E520">
        <f>3238.03</f>
        <v>3238.03</v>
      </c>
      <c r="F520">
        <f>2117.08</f>
        <v>2117.08</v>
      </c>
      <c r="G520">
        <f>9418.14</f>
        <v>9418.14</v>
      </c>
      <c r="H520">
        <f>3795.88</f>
        <v>3795.88</v>
      </c>
      <c r="I520">
        <f>14251.46</f>
        <v>14251.46</v>
      </c>
      <c r="J520">
        <f>5374.24</f>
        <v>5374.24</v>
      </c>
      <c r="K520">
        <f>19191.84</f>
        <v>19191.84</v>
      </c>
      <c r="L520">
        <f>2643.88</f>
        <v>2643.88</v>
      </c>
      <c r="M520">
        <f>13302.22</f>
        <v>13302.22</v>
      </c>
      <c r="N520">
        <f>432.407</f>
        <v>432.40699999999998</v>
      </c>
      <c r="O520">
        <f>3798</f>
        <v>3798</v>
      </c>
      <c r="P520">
        <f>288.89</f>
        <v>288.89</v>
      </c>
      <c r="Q520">
        <f>3854.158</f>
        <v>3854.1579999999999</v>
      </c>
      <c r="R520">
        <f>9058.66</f>
        <v>9058.66</v>
      </c>
      <c r="S520">
        <f>3090.95</f>
        <v>3090.95</v>
      </c>
      <c r="T520">
        <f>3581.267</f>
        <v>3581.2669999999998</v>
      </c>
      <c r="U520">
        <f>66323.76</f>
        <v>66323.759999999995</v>
      </c>
      <c r="V520">
        <f>542.77</f>
        <v>542.77</v>
      </c>
    </row>
    <row r="521" spans="1:22" x14ac:dyDescent="0.2">
      <c r="A521" s="1">
        <v>44378</v>
      </c>
      <c r="B521">
        <f>2358.12</f>
        <v>2358.12</v>
      </c>
      <c r="C521">
        <f>11609.06</f>
        <v>11609.06</v>
      </c>
      <c r="D521">
        <f>6934.69</f>
        <v>6934.69</v>
      </c>
      <c r="E521">
        <f>3268.104</f>
        <v>3268.1039999999998</v>
      </c>
      <c r="F521">
        <f>2117.77</f>
        <v>2117.77</v>
      </c>
      <c r="G521">
        <f>9417.549</f>
        <v>9417.5490000000009</v>
      </c>
      <c r="H521">
        <f>3757.1</f>
        <v>3757.1</v>
      </c>
      <c r="I521">
        <f>14249.11</f>
        <v>14249.11</v>
      </c>
      <c r="J521">
        <f>5351.02</f>
        <v>5351.02</v>
      </c>
      <c r="K521">
        <f>19049.28</f>
        <v>19049.28</v>
      </c>
      <c r="L521">
        <f>2635.1</f>
        <v>2635.1</v>
      </c>
      <c r="M521">
        <f>13222.94</f>
        <v>13222.94</v>
      </c>
      <c r="N521">
        <f>430.782</f>
        <v>430.78199999999998</v>
      </c>
      <c r="O521">
        <f>3789.72</f>
        <v>3789.72</v>
      </c>
      <c r="P521">
        <f>285.68</f>
        <v>285.68</v>
      </c>
      <c r="Q521">
        <f>3846.183</f>
        <v>3846.183</v>
      </c>
      <c r="R521">
        <f>8990.08</f>
        <v>8990.08</v>
      </c>
      <c r="S521">
        <f>3063.93</f>
        <v>3063.93</v>
      </c>
      <c r="T521">
        <f>3587.229</f>
        <v>3587.2289999999998</v>
      </c>
      <c r="U521">
        <f>66555.78</f>
        <v>66555.78</v>
      </c>
      <c r="V521">
        <f>544.87</f>
        <v>544.87</v>
      </c>
    </row>
    <row r="522" spans="1:22" x14ac:dyDescent="0.2">
      <c r="A522" s="1">
        <v>44377</v>
      </c>
      <c r="B522">
        <f>2334.85</f>
        <v>2334.85</v>
      </c>
      <c r="C522">
        <f>11645.49</f>
        <v>11645.49</v>
      </c>
      <c r="D522">
        <f>6848.31</f>
        <v>6848.31</v>
      </c>
      <c r="E522">
        <f>3283.023</f>
        <v>3283.0230000000001</v>
      </c>
      <c r="F522">
        <f>2107.6</f>
        <v>2107.6</v>
      </c>
      <c r="G522">
        <f>9324.344</f>
        <v>9324.3439999999991</v>
      </c>
      <c r="H522">
        <f>3780.35</f>
        <v>3780.35</v>
      </c>
      <c r="I522">
        <f>14167.16</f>
        <v>14167.16</v>
      </c>
      <c r="J522">
        <f>5320.94</f>
        <v>5320.94</v>
      </c>
      <c r="K522">
        <f>18960.7</f>
        <v>18960.7</v>
      </c>
      <c r="L522">
        <f>2626.42</f>
        <v>2626.42</v>
      </c>
      <c r="M522">
        <f>13174.25</f>
        <v>13174.25</v>
      </c>
      <c r="N522">
        <f>428.112</f>
        <v>428.11200000000002</v>
      </c>
      <c r="O522">
        <f>3766.63</f>
        <v>3766.63</v>
      </c>
      <c r="P522">
        <f>286.4</f>
        <v>286.39999999999998</v>
      </c>
      <c r="Q522">
        <f>3827.013</f>
        <v>3827.0129999999999</v>
      </c>
      <c r="R522">
        <f>8942.78</f>
        <v>8942.7800000000007</v>
      </c>
      <c r="S522">
        <f>3070.81</f>
        <v>3070.81</v>
      </c>
      <c r="T522">
        <f>3568.652</f>
        <v>3568.652</v>
      </c>
      <c r="U522">
        <f>66248.74</f>
        <v>66248.740000000005</v>
      </c>
      <c r="V522">
        <f>541.48</f>
        <v>541.48</v>
      </c>
    </row>
    <row r="523" spans="1:22" x14ac:dyDescent="0.2">
      <c r="A523" s="1">
        <v>44376</v>
      </c>
      <c r="B523">
        <f>2351.73</f>
        <v>2351.73</v>
      </c>
      <c r="C523">
        <f>11676.22</f>
        <v>11676.22</v>
      </c>
      <c r="D523">
        <f>6897.04</f>
        <v>6897.04</v>
      </c>
      <c r="E523">
        <f>3288.15</f>
        <v>3288.15</v>
      </c>
      <c r="F523">
        <f>2130.54</f>
        <v>2130.54</v>
      </c>
      <c r="G523">
        <f>9399.048</f>
        <v>9399.0480000000007</v>
      </c>
      <c r="H523">
        <f>3797.55</f>
        <v>3797.55</v>
      </c>
      <c r="I523">
        <f>14345.5</f>
        <v>14345.5</v>
      </c>
      <c r="J523">
        <f>5301.01</f>
        <v>5301.01</v>
      </c>
      <c r="K523">
        <f>18950.82</f>
        <v>18950.82</v>
      </c>
      <c r="L523">
        <f>2627.86</f>
        <v>2627.86</v>
      </c>
      <c r="M523">
        <f>13204.92</f>
        <v>13204.92</v>
      </c>
      <c r="N523">
        <f>430.337</f>
        <v>430.33699999999999</v>
      </c>
      <c r="O523">
        <f>3796.43</f>
        <v>3796.43</v>
      </c>
      <c r="P523">
        <f>286.44</f>
        <v>286.44</v>
      </c>
      <c r="Q523">
        <f>3816.352</f>
        <v>3816.3519999999999</v>
      </c>
      <c r="R523">
        <f>8930.67</f>
        <v>8930.67</v>
      </c>
      <c r="S523">
        <f>3079.91</f>
        <v>3079.91</v>
      </c>
      <c r="T523">
        <f>3573.934</f>
        <v>3573.9340000000002</v>
      </c>
      <c r="U523">
        <f>66548.71</f>
        <v>66548.710000000006</v>
      </c>
      <c r="V523">
        <f>540.26</f>
        <v>540.26</v>
      </c>
    </row>
    <row r="524" spans="1:22" x14ac:dyDescent="0.2">
      <c r="A524" s="1">
        <v>44375</v>
      </c>
      <c r="B524">
        <f>2349.3</f>
        <v>2349.3000000000002</v>
      </c>
      <c r="C524">
        <f>11714.21</f>
        <v>11714.21</v>
      </c>
      <c r="D524">
        <f>6882.86</f>
        <v>6882.86</v>
      </c>
      <c r="E524">
        <f>3296.091</f>
        <v>3296.0909999999999</v>
      </c>
      <c r="F524">
        <f>2132.75</f>
        <v>2132.75</v>
      </c>
      <c r="G524">
        <f>9421.836</f>
        <v>9421.8359999999993</v>
      </c>
      <c r="H524">
        <f>3830.09</f>
        <v>3830.09</v>
      </c>
      <c r="I524">
        <f>14310.15</f>
        <v>14310.15</v>
      </c>
      <c r="J524">
        <f>5312.58</f>
        <v>5312.58</v>
      </c>
      <c r="K524">
        <f>18939.75</f>
        <v>18939.75</v>
      </c>
      <c r="L524">
        <f>2638.04</f>
        <v>2638.04</v>
      </c>
      <c r="M524">
        <f>13205.42</f>
        <v>13205.42</v>
      </c>
      <c r="N524">
        <f>429.604</f>
        <v>429.60399999999998</v>
      </c>
      <c r="O524">
        <f>3782.69</f>
        <v>3782.69</v>
      </c>
      <c r="P524">
        <f>290.24</f>
        <v>290.24</v>
      </c>
      <c r="Q524">
        <f>3821.915</f>
        <v>3821.915</v>
      </c>
      <c r="R524">
        <f>8927.4</f>
        <v>8927.4</v>
      </c>
      <c r="S524">
        <f>3102.13</f>
        <v>3102.13</v>
      </c>
      <c r="T524">
        <f>3532.783</f>
        <v>3532.7829999999999</v>
      </c>
      <c r="U524">
        <f>65809.35</f>
        <v>65809.350000000006</v>
      </c>
      <c r="V524">
        <f>533.67</f>
        <v>533.66999999999996</v>
      </c>
    </row>
    <row r="525" spans="1:22" x14ac:dyDescent="0.2">
      <c r="A525" s="1">
        <v>44372</v>
      </c>
      <c r="B525">
        <f>2366.48</f>
        <v>2366.48</v>
      </c>
      <c r="C525">
        <f>11763.43</f>
        <v>11763.43</v>
      </c>
      <c r="D525">
        <f>6944.25</f>
        <v>6944.25</v>
      </c>
      <c r="E525">
        <f>3291.827</f>
        <v>3291.8270000000002</v>
      </c>
      <c r="F525">
        <f>2149.14</f>
        <v>2149.14</v>
      </c>
      <c r="G525">
        <f>9518.629</f>
        <v>9518.6290000000008</v>
      </c>
      <c r="H525">
        <f>3816.34</f>
        <v>3816.34</v>
      </c>
      <c r="I525">
        <f>14423.03</f>
        <v>14423.03</v>
      </c>
      <c r="J525">
        <f>5318.2</f>
        <v>5318.2</v>
      </c>
      <c r="K525">
        <f>18884.44</f>
        <v>18884.439999999999</v>
      </c>
      <c r="L525">
        <f>2641.77</f>
        <v>2641.77</v>
      </c>
      <c r="M525">
        <f>13204.23</f>
        <v>13204.23</v>
      </c>
      <c r="N525">
        <f>429.54</f>
        <v>429.54</v>
      </c>
      <c r="O525">
        <f>3806.51</f>
        <v>3806.51</v>
      </c>
      <c r="P525">
        <f>289.39</f>
        <v>289.39</v>
      </c>
      <c r="Q525">
        <f>3832.881</f>
        <v>3832.8809999999999</v>
      </c>
      <c r="R525">
        <f>8906.79</f>
        <v>8906.7900000000009</v>
      </c>
      <c r="S525">
        <f>3097.37</f>
        <v>3097.37</v>
      </c>
      <c r="T525">
        <f>3556.251</f>
        <v>3556.2510000000002</v>
      </c>
      <c r="U525">
        <f>66215.47</f>
        <v>66215.47</v>
      </c>
      <c r="V525">
        <f>539.98</f>
        <v>539.98</v>
      </c>
    </row>
    <row r="526" spans="1:22" x14ac:dyDescent="0.2">
      <c r="A526" s="1">
        <v>44371</v>
      </c>
      <c r="B526">
        <f>2359.44</f>
        <v>2359.44</v>
      </c>
      <c r="C526">
        <f>11697.69</f>
        <v>11697.69</v>
      </c>
      <c r="D526">
        <f>6918.86</f>
        <v>6918.86</v>
      </c>
      <c r="E526">
        <f>3262.542</f>
        <v>3262.5419999999999</v>
      </c>
      <c r="F526">
        <f>2136.28</f>
        <v>2136.2800000000002</v>
      </c>
      <c r="G526">
        <f>9466.808</f>
        <v>9466.8080000000009</v>
      </c>
      <c r="H526">
        <f>3792.53</f>
        <v>3792.53</v>
      </c>
      <c r="I526">
        <f>14381.57</f>
        <v>14381.57</v>
      </c>
      <c r="J526">
        <f>5289.97</f>
        <v>5289.97</v>
      </c>
      <c r="K526">
        <f>18822.84</f>
        <v>18822.84</v>
      </c>
      <c r="L526">
        <f>2627.38</f>
        <v>2627.38</v>
      </c>
      <c r="M526">
        <f>13153.39</f>
        <v>13153.39</v>
      </c>
      <c r="N526">
        <f>428.514</f>
        <v>428.51400000000001</v>
      </c>
      <c r="O526">
        <f>3802.98</f>
        <v>3802.98</v>
      </c>
      <c r="P526">
        <f>287.37</f>
        <v>287.37</v>
      </c>
      <c r="Q526">
        <f>3807.079</f>
        <v>3807.0790000000002</v>
      </c>
      <c r="R526">
        <f>8877.06</f>
        <v>8877.06</v>
      </c>
      <c r="S526">
        <f>3072.82</f>
        <v>3072.82</v>
      </c>
      <c r="T526">
        <f>3552.11</f>
        <v>3552.11</v>
      </c>
      <c r="U526">
        <f>66263.49</f>
        <v>66263.490000000005</v>
      </c>
      <c r="V526">
        <f>538.95</f>
        <v>538.95000000000005</v>
      </c>
    </row>
    <row r="527" spans="1:22" x14ac:dyDescent="0.2">
      <c r="A527" s="1">
        <v>44370</v>
      </c>
      <c r="B527">
        <f>2365.75</f>
        <v>2365.75</v>
      </c>
      <c r="C527">
        <f>11666.98</f>
        <v>11666.98</v>
      </c>
      <c r="D527">
        <f>6878.28</f>
        <v>6878.28</v>
      </c>
      <c r="E527">
        <f>3245.045</f>
        <v>3245.0450000000001</v>
      </c>
      <c r="F527">
        <f>2144.72</f>
        <v>2144.7199999999998</v>
      </c>
      <c r="G527">
        <f>9469.359</f>
        <v>9469.3590000000004</v>
      </c>
      <c r="H527">
        <f>3789.94</f>
        <v>3789.94</v>
      </c>
      <c r="I527">
        <f>14243.74</f>
        <v>14243.74</v>
      </c>
      <c r="J527">
        <f>5251.31</f>
        <v>5251.31</v>
      </c>
      <c r="K527">
        <f>18708.59</f>
        <v>18708.59</v>
      </c>
      <c r="L527">
        <f>2616.3</f>
        <v>2616.3000000000002</v>
      </c>
      <c r="M527">
        <f>13084.48</f>
        <v>13084.48</v>
      </c>
      <c r="N527">
        <f>425.598</f>
        <v>425.59800000000001</v>
      </c>
      <c r="O527">
        <f>3767.58</f>
        <v>3767.58</v>
      </c>
      <c r="P527">
        <f>286.91</f>
        <v>286.91000000000003</v>
      </c>
      <c r="Q527">
        <f>3790.133</f>
        <v>3790.1329999999998</v>
      </c>
      <c r="R527">
        <f>8825.01</f>
        <v>8825.01</v>
      </c>
      <c r="S527">
        <f>3076.04</f>
        <v>3076.04</v>
      </c>
      <c r="T527">
        <f>3534.205</f>
        <v>3534.2049999999999</v>
      </c>
      <c r="U527">
        <f>65819.63</f>
        <v>65819.63</v>
      </c>
      <c r="V527">
        <f>535.3</f>
        <v>535.29999999999995</v>
      </c>
    </row>
    <row r="528" spans="1:22" x14ac:dyDescent="0.2">
      <c r="A528" s="1">
        <v>44369</v>
      </c>
      <c r="B528">
        <f>2375.36</f>
        <v>2375.36</v>
      </c>
      <c r="C528">
        <f>11579.8</f>
        <v>11579.8</v>
      </c>
      <c r="D528">
        <f>6893.79</f>
        <v>6893.79</v>
      </c>
      <c r="E528">
        <f>3211.955</f>
        <v>3211.9549999999999</v>
      </c>
      <c r="F528">
        <f>2147.47</f>
        <v>2147.4699999999998</v>
      </c>
      <c r="G528">
        <f>9452.133</f>
        <v>9452.1329999999998</v>
      </c>
      <c r="H528">
        <f>3822.55</f>
        <v>3822.55</v>
      </c>
      <c r="I528">
        <f>14306.06</f>
        <v>14306.06</v>
      </c>
      <c r="J528">
        <f>5286.28</f>
        <v>5286.28</v>
      </c>
      <c r="K528">
        <f>18721.53</f>
        <v>18721.53</v>
      </c>
      <c r="L528">
        <f>2627.78</f>
        <v>2627.78</v>
      </c>
      <c r="M528">
        <f>13097.97</f>
        <v>13097.97</v>
      </c>
      <c r="N528">
        <f>427.816</f>
        <v>427.81599999999997</v>
      </c>
      <c r="O528">
        <f>3793.9</f>
        <v>3793.9</v>
      </c>
      <c r="P528">
        <f>288.88</f>
        <v>288.88</v>
      </c>
      <c r="Q528">
        <f>3804.965</f>
        <v>3804.9650000000001</v>
      </c>
      <c r="R528">
        <f>8834.56</f>
        <v>8834.56</v>
      </c>
      <c r="S528">
        <f>3092.44</f>
        <v>3092.44</v>
      </c>
      <c r="T528">
        <f>3501.938</f>
        <v>3501.9380000000001</v>
      </c>
      <c r="U528">
        <f>65551.73</f>
        <v>65551.73</v>
      </c>
      <c r="V528">
        <f>529.29</f>
        <v>529.29</v>
      </c>
    </row>
    <row r="529" spans="1:22" x14ac:dyDescent="0.2">
      <c r="A529" s="1">
        <v>44368</v>
      </c>
      <c r="B529">
        <f>2367.58</f>
        <v>2367.58</v>
      </c>
      <c r="C529">
        <f>11543.35</f>
        <v>11543.35</v>
      </c>
      <c r="D529">
        <f>6866.84</f>
        <v>6866.84</v>
      </c>
      <c r="E529">
        <f>3220.544</f>
        <v>3220.5439999999999</v>
      </c>
      <c r="F529">
        <f>2136.26</f>
        <v>2136.2600000000002</v>
      </c>
      <c r="G529">
        <f>9411.048</f>
        <v>9411.0480000000007</v>
      </c>
      <c r="H529">
        <f>3717.75</f>
        <v>3717.75</v>
      </c>
      <c r="I529">
        <f>14297.79</f>
        <v>14297.79</v>
      </c>
      <c r="J529">
        <f>5282.98</f>
        <v>5282.98</v>
      </c>
      <c r="K529">
        <f>18611.88</f>
        <v>18611.88</v>
      </c>
      <c r="L529">
        <f>2622.65</f>
        <v>2622.65</v>
      </c>
      <c r="M529">
        <f>13014.88</f>
        <v>13014.88</v>
      </c>
      <c r="N529">
        <f>426.676</f>
        <v>426.67599999999999</v>
      </c>
      <c r="O529">
        <f>3786.61</f>
        <v>3786.61</v>
      </c>
      <c r="P529">
        <f>279.49</f>
        <v>279.49</v>
      </c>
      <c r="Q529">
        <f>3798.132</f>
        <v>3798.1320000000001</v>
      </c>
      <c r="R529">
        <f>8789.52</f>
        <v>8789.52</v>
      </c>
      <c r="S529">
        <f>2997.62</f>
        <v>2997.62</v>
      </c>
      <c r="T529">
        <f>3501.424</f>
        <v>3501.424</v>
      </c>
      <c r="U529">
        <f>65563.48</f>
        <v>65563.48</v>
      </c>
      <c r="V529">
        <f>527.74</f>
        <v>527.74</v>
      </c>
    </row>
    <row r="530" spans="1:22" x14ac:dyDescent="0.2">
      <c r="A530" s="1">
        <v>44365</v>
      </c>
      <c r="B530">
        <f>2344.58</f>
        <v>2344.58</v>
      </c>
      <c r="C530">
        <f>11631.49</f>
        <v>11631.49</v>
      </c>
      <c r="D530">
        <f>6823.26</f>
        <v>6823.26</v>
      </c>
      <c r="E530">
        <f>3245.83</f>
        <v>3245.83</v>
      </c>
      <c r="F530">
        <f>2109.3</f>
        <v>2109.3000000000002</v>
      </c>
      <c r="G530">
        <f>9282.7</f>
        <v>9282.7000000000007</v>
      </c>
      <c r="H530">
        <f>3800.24</f>
        <v>3800.24</v>
      </c>
      <c r="I530">
        <f>14136.72</f>
        <v>14136.72</v>
      </c>
      <c r="J530">
        <f>5202.11</f>
        <v>5202.1099999999997</v>
      </c>
      <c r="K530">
        <f>18366.16</f>
        <v>18366.16</v>
      </c>
      <c r="L530">
        <f>2596.86</f>
        <v>2596.86</v>
      </c>
      <c r="M530">
        <f>12892.29</f>
        <v>12892.29</v>
      </c>
      <c r="N530">
        <f>422.992</f>
        <v>422.99200000000002</v>
      </c>
      <c r="O530">
        <f>3757.19</f>
        <v>3757.19</v>
      </c>
      <c r="P530">
        <f>286.59</f>
        <v>286.58999999999997</v>
      </c>
      <c r="Q530">
        <f>3728.382</f>
        <v>3728.3820000000001</v>
      </c>
      <c r="R530">
        <f>8667.76</f>
        <v>8667.76</v>
      </c>
      <c r="S530">
        <f>3071.98</f>
        <v>3071.98</v>
      </c>
      <c r="T530">
        <f>3525.607</f>
        <v>3525.607</v>
      </c>
      <c r="U530">
        <f>65635.23</f>
        <v>65635.23</v>
      </c>
      <c r="V530">
        <f>530.83</f>
        <v>530.83000000000004</v>
      </c>
    </row>
    <row r="531" spans="1:22" x14ac:dyDescent="0.2">
      <c r="A531" s="1">
        <v>44364</v>
      </c>
      <c r="B531">
        <f>2387.88</f>
        <v>2387.88</v>
      </c>
      <c r="C531">
        <f>11696.57</f>
        <v>11696.57</v>
      </c>
      <c r="D531">
        <f>6955.46</f>
        <v>6955.46</v>
      </c>
      <c r="E531">
        <f>3249.418</f>
        <v>3249.4180000000001</v>
      </c>
      <c r="F531">
        <f>2165.92</f>
        <v>2165.92</v>
      </c>
      <c r="G531">
        <f>9566.471</f>
        <v>9566.4709999999995</v>
      </c>
      <c r="H531">
        <f>3849.81</f>
        <v>3849.81</v>
      </c>
      <c r="I531">
        <f>14448.35</f>
        <v>14448.35</v>
      </c>
      <c r="J531">
        <f>5294.74</f>
        <v>5294.74</v>
      </c>
      <c r="K531">
        <f>18593.92</f>
        <v>18593.919999999998</v>
      </c>
      <c r="L531">
        <f>2644.56</f>
        <v>2644.56</v>
      </c>
      <c r="M531">
        <f>13076.58</f>
        <v>13076.58</v>
      </c>
      <c r="N531">
        <f>427.249</f>
        <v>427.24900000000002</v>
      </c>
      <c r="O531">
        <f>3820.79</f>
        <v>3820.79</v>
      </c>
      <c r="P531">
        <f>290.41</f>
        <v>290.41000000000003</v>
      </c>
      <c r="Q531">
        <f>3795.142</f>
        <v>3795.1419999999998</v>
      </c>
      <c r="R531">
        <f>8782.58</f>
        <v>8782.58</v>
      </c>
      <c r="S531">
        <f>3098.82</f>
        <v>3098.82</v>
      </c>
      <c r="T531">
        <f>3570.785</f>
        <v>3570.7849999999999</v>
      </c>
      <c r="U531">
        <f>66585.48</f>
        <v>66585.48</v>
      </c>
      <c r="V531">
        <f>537.45</f>
        <v>537.45000000000005</v>
      </c>
    </row>
    <row r="532" spans="1:22" x14ac:dyDescent="0.2">
      <c r="A532" s="1">
        <v>44363</v>
      </c>
      <c r="B532">
        <f>2404.44</f>
        <v>2404.44</v>
      </c>
      <c r="C532">
        <f>11806.47</f>
        <v>11806.47</v>
      </c>
      <c r="D532">
        <f>6984.75</f>
        <v>6984.75</v>
      </c>
      <c r="E532">
        <f>3265.24</f>
        <v>3265.24</v>
      </c>
      <c r="F532">
        <f>2206.7</f>
        <v>2206.6999999999998</v>
      </c>
      <c r="G532">
        <f>9711.506</f>
        <v>9711.5059999999994</v>
      </c>
      <c r="H532">
        <f>3877.11</f>
        <v>3877.11</v>
      </c>
      <c r="I532">
        <f>14673.17</f>
        <v>14673.17</v>
      </c>
      <c r="J532">
        <f>5330.35</f>
        <v>5330.35</v>
      </c>
      <c r="K532">
        <f>18574.99</f>
        <v>18574.990000000002</v>
      </c>
      <c r="L532">
        <f>2673.57</f>
        <v>2673.57</v>
      </c>
      <c r="M532">
        <f>13128.34</f>
        <v>13128.34</v>
      </c>
      <c r="N532">
        <f>428.299</f>
        <v>428.29899999999998</v>
      </c>
      <c r="O532">
        <f>3823.81</f>
        <v>3823.81</v>
      </c>
      <c r="P532">
        <f>291.93</f>
        <v>291.93</v>
      </c>
      <c r="Q532">
        <f>3835.895</f>
        <v>3835.895</v>
      </c>
      <c r="R532">
        <f>8786.18</f>
        <v>8786.18</v>
      </c>
      <c r="S532">
        <f>3118.21</f>
        <v>3118.21</v>
      </c>
      <c r="T532" t="e">
        <f>NA()</f>
        <v>#N/A</v>
      </c>
      <c r="U532" t="e">
        <f>NA()</f>
        <v>#N/A</v>
      </c>
      <c r="V532" t="e">
        <f>NA()</f>
        <v>#N/A</v>
      </c>
    </row>
    <row r="533" spans="1:22" x14ac:dyDescent="0.2">
      <c r="A533" s="1">
        <v>44362</v>
      </c>
      <c r="B533">
        <f>2405.19</f>
        <v>2405.19</v>
      </c>
      <c r="C533">
        <f>11837.77</f>
        <v>11837.77</v>
      </c>
      <c r="D533">
        <f>6972.63</f>
        <v>6972.63</v>
      </c>
      <c r="E533">
        <f>3284.708</f>
        <v>3284.7080000000001</v>
      </c>
      <c r="F533">
        <f>2201.28</f>
        <v>2201.2800000000002</v>
      </c>
      <c r="G533">
        <f>9687.682</f>
        <v>9687.6820000000007</v>
      </c>
      <c r="H533">
        <f>3866.12</f>
        <v>3866.12</v>
      </c>
      <c r="I533">
        <f>14654.64</f>
        <v>14654.64</v>
      </c>
      <c r="J533">
        <f>5371.95</f>
        <v>5371.95</v>
      </c>
      <c r="K533">
        <f>18669.22</f>
        <v>18669.22</v>
      </c>
      <c r="L533">
        <f>2681.43</f>
        <v>2681.43</v>
      </c>
      <c r="M533">
        <f>13166.54</f>
        <v>13166.54</v>
      </c>
      <c r="N533" t="e">
        <f>NA()</f>
        <v>#N/A</v>
      </c>
      <c r="O533">
        <f>3814.45</f>
        <v>3814.45</v>
      </c>
      <c r="P533">
        <f>290.91</f>
        <v>290.91000000000003</v>
      </c>
      <c r="Q533">
        <f>3873.049</f>
        <v>3873.049</v>
      </c>
      <c r="R533">
        <f>8833.68</f>
        <v>8833.68</v>
      </c>
      <c r="S533">
        <f>3117.6</f>
        <v>3117.6</v>
      </c>
      <c r="T533">
        <f>3621.589</f>
        <v>3621.5889999999999</v>
      </c>
      <c r="U533">
        <f>67310.57</f>
        <v>67310.570000000007</v>
      </c>
      <c r="V533">
        <f>545.9</f>
        <v>545.9</v>
      </c>
    </row>
    <row r="534" spans="1:22" x14ac:dyDescent="0.2">
      <c r="A534" s="1">
        <v>44361</v>
      </c>
      <c r="B534">
        <f>2398.99</f>
        <v>2398.9899999999998</v>
      </c>
      <c r="C534">
        <f>11924.36</f>
        <v>11924.36</v>
      </c>
      <c r="D534">
        <f>6947.55</f>
        <v>6947.55</v>
      </c>
      <c r="E534">
        <f>3296.335</f>
        <v>3296.335</v>
      </c>
      <c r="F534">
        <f>2202.49</f>
        <v>2202.4899999999998</v>
      </c>
      <c r="G534">
        <f>9666.265</f>
        <v>9666.2649999999994</v>
      </c>
      <c r="H534">
        <f>3846.5</f>
        <v>3846.5</v>
      </c>
      <c r="I534">
        <f>14624.8</f>
        <v>14624.8</v>
      </c>
      <c r="J534">
        <f>5371.4</f>
        <v>5371.4</v>
      </c>
      <c r="K534">
        <f>18720.47</f>
        <v>18720.47</v>
      </c>
      <c r="L534">
        <f>2675.28</f>
        <v>2675.28</v>
      </c>
      <c r="M534">
        <f>13177.2</f>
        <v>13177.2</v>
      </c>
      <c r="N534">
        <f>422.753</f>
        <v>422.75299999999999</v>
      </c>
      <c r="O534">
        <f>3807</f>
        <v>3807</v>
      </c>
      <c r="P534">
        <f>290.38</f>
        <v>290.38</v>
      </c>
      <c r="Q534">
        <f>3868.788</f>
        <v>3868.788</v>
      </c>
      <c r="R534">
        <f>8851.17</f>
        <v>8851.17</v>
      </c>
      <c r="S534">
        <f>3092.79</f>
        <v>3092.79</v>
      </c>
      <c r="T534">
        <f>3654.164</f>
        <v>3654.1640000000002</v>
      </c>
      <c r="U534">
        <f>67941.48</f>
        <v>67941.48</v>
      </c>
      <c r="V534">
        <f>553.53</f>
        <v>553.53</v>
      </c>
    </row>
    <row r="535" spans="1:22" x14ac:dyDescent="0.2">
      <c r="A535" s="1">
        <v>44358</v>
      </c>
      <c r="B535">
        <f>2393.78</f>
        <v>2393.7800000000002</v>
      </c>
      <c r="C535">
        <f>11913.28</f>
        <v>11913.28</v>
      </c>
      <c r="D535">
        <f>6935.28</f>
        <v>6935.28</v>
      </c>
      <c r="E535">
        <f>3293.348</f>
        <v>3293.348</v>
      </c>
      <c r="F535">
        <f>2206.2</f>
        <v>2206.1999999999998</v>
      </c>
      <c r="G535">
        <f>9646.085</f>
        <v>9646.0849999999991</v>
      </c>
      <c r="H535">
        <f>3867.8</f>
        <v>3867.8</v>
      </c>
      <c r="I535">
        <f>14576.8</f>
        <v>14576.8</v>
      </c>
      <c r="J535">
        <f>5386.69</f>
        <v>5386.69</v>
      </c>
      <c r="K535">
        <f>18673.96</f>
        <v>18673.96</v>
      </c>
      <c r="L535">
        <f>2680.49</f>
        <v>2680.49</v>
      </c>
      <c r="M535">
        <f>13143.63</f>
        <v>13143.63</v>
      </c>
      <c r="N535">
        <f>422.15</f>
        <v>422.15</v>
      </c>
      <c r="O535">
        <f>3800.73</f>
        <v>3800.73</v>
      </c>
      <c r="P535">
        <f>290.45</f>
        <v>290.45</v>
      </c>
      <c r="Q535">
        <f>3887.935</f>
        <v>3887.9349999999999</v>
      </c>
      <c r="R535">
        <f>8832.94</f>
        <v>8832.94</v>
      </c>
      <c r="S535">
        <f>3083.74</f>
        <v>3083.74</v>
      </c>
      <c r="T535">
        <f>3657.757</f>
        <v>3657.7570000000001</v>
      </c>
      <c r="U535">
        <f>67723.91</f>
        <v>67723.91</v>
      </c>
      <c r="V535">
        <f>553.36</f>
        <v>553.36</v>
      </c>
    </row>
    <row r="536" spans="1:22" x14ac:dyDescent="0.2">
      <c r="A536" s="1">
        <v>44357</v>
      </c>
      <c r="B536">
        <f>2376.8</f>
        <v>2376.8000000000002</v>
      </c>
      <c r="C536">
        <f>11883.28</f>
        <v>11883.28</v>
      </c>
      <c r="D536">
        <f>6890.67</f>
        <v>6890.67</v>
      </c>
      <c r="E536">
        <f>3285.421</f>
        <v>3285.4209999999998</v>
      </c>
      <c r="F536">
        <f>2199.07</f>
        <v>2199.0700000000002</v>
      </c>
      <c r="G536">
        <f>9599.249</f>
        <v>9599.2489999999998</v>
      </c>
      <c r="H536">
        <f>3890.57</f>
        <v>3890.57</v>
      </c>
      <c r="I536">
        <f>14566.9</f>
        <v>14566.9</v>
      </c>
      <c r="J536">
        <f>5386.04</f>
        <v>5386.04</v>
      </c>
      <c r="K536">
        <f>18627.51</f>
        <v>18627.509999999998</v>
      </c>
      <c r="L536">
        <f>2679.35</f>
        <v>2679.35</v>
      </c>
      <c r="M536">
        <f>13120.63</f>
        <v>13120.63</v>
      </c>
      <c r="N536">
        <f>419.669</f>
        <v>419.66899999999998</v>
      </c>
      <c r="O536">
        <f>3777.09</f>
        <v>3777.09</v>
      </c>
      <c r="P536">
        <f>292.39</f>
        <v>292.39</v>
      </c>
      <c r="Q536">
        <f>3878.246</f>
        <v>3878.2460000000001</v>
      </c>
      <c r="R536">
        <f>8815.56</f>
        <v>8815.56</v>
      </c>
      <c r="S536">
        <f>3088.02</f>
        <v>3088.02</v>
      </c>
      <c r="T536">
        <f>3660.938</f>
        <v>3660.9380000000001</v>
      </c>
      <c r="U536">
        <f>67542.84</f>
        <v>67542.84</v>
      </c>
      <c r="V536">
        <f>554.65</f>
        <v>554.65</v>
      </c>
    </row>
    <row r="537" spans="1:22" x14ac:dyDescent="0.2">
      <c r="A537" s="1">
        <v>44356</v>
      </c>
      <c r="B537">
        <f>2377.85</f>
        <v>2377.85</v>
      </c>
      <c r="C537">
        <f>11858.29</f>
        <v>11858.29</v>
      </c>
      <c r="D537">
        <f>6882.31</f>
        <v>6882.31</v>
      </c>
      <c r="E537">
        <f>3270.791</f>
        <v>3270.7910000000002</v>
      </c>
      <c r="F537">
        <f>2199.33</f>
        <v>2199.33</v>
      </c>
      <c r="G537">
        <f>9575.923</f>
        <v>9575.9230000000007</v>
      </c>
      <c r="H537">
        <f>3908.27</f>
        <v>3908.27</v>
      </c>
      <c r="I537">
        <f>14585.29</f>
        <v>14585.29</v>
      </c>
      <c r="J537">
        <f>5355.95</f>
        <v>5355.95</v>
      </c>
      <c r="K537">
        <f>18527.48</f>
        <v>18527.48</v>
      </c>
      <c r="L537">
        <f>2671.99</f>
        <v>2671.99</v>
      </c>
      <c r="M537">
        <f>13072.85</f>
        <v>13072.85</v>
      </c>
      <c r="N537">
        <f>418.364</f>
        <v>418.36399999999998</v>
      </c>
      <c r="O537">
        <f>3772.84</f>
        <v>3772.84</v>
      </c>
      <c r="P537">
        <f>293.25</f>
        <v>293.25</v>
      </c>
      <c r="Q537">
        <f>3874.385</f>
        <v>3874.3850000000002</v>
      </c>
      <c r="R537">
        <f>8774.31</f>
        <v>8774.31</v>
      </c>
      <c r="S537">
        <f>3088.67</f>
        <v>3088.67</v>
      </c>
      <c r="T537">
        <f>3663.622</f>
        <v>3663.6219999999998</v>
      </c>
      <c r="U537">
        <f>67681.47</f>
        <v>67681.47</v>
      </c>
      <c r="V537">
        <f>554.92</f>
        <v>554.91999999999996</v>
      </c>
    </row>
    <row r="538" spans="1:22" x14ac:dyDescent="0.2">
      <c r="A538" s="1">
        <v>44355</v>
      </c>
      <c r="B538">
        <f>2395.69</f>
        <v>2395.69</v>
      </c>
      <c r="C538">
        <f>11856.66</f>
        <v>11856.66</v>
      </c>
      <c r="D538">
        <f>6895.99</f>
        <v>6895.99</v>
      </c>
      <c r="E538">
        <f>3281.139</f>
        <v>3281.1390000000001</v>
      </c>
      <c r="F538">
        <f>2226.16</f>
        <v>2226.16</v>
      </c>
      <c r="G538">
        <f>9611.071</f>
        <v>9611.0709999999999</v>
      </c>
      <c r="H538">
        <f>3938.18</f>
        <v>3938.18</v>
      </c>
      <c r="I538">
        <f>14549.95</f>
        <v>14549.95</v>
      </c>
      <c r="J538">
        <f>5360.69</f>
        <v>5360.69</v>
      </c>
      <c r="K538">
        <f>18562.64</f>
        <v>18562.64</v>
      </c>
      <c r="L538">
        <f>2668.62</f>
        <v>2668.62</v>
      </c>
      <c r="M538">
        <f>13095.04</f>
        <v>13095.04</v>
      </c>
      <c r="N538">
        <f>417.245</f>
        <v>417.245</v>
      </c>
      <c r="O538">
        <f>3769.15</f>
        <v>3769.15</v>
      </c>
      <c r="P538">
        <f>293.52</f>
        <v>293.52</v>
      </c>
      <c r="Q538">
        <f>3892.715</f>
        <v>3892.7150000000001</v>
      </c>
      <c r="R538">
        <f>8790</f>
        <v>8790</v>
      </c>
      <c r="S538">
        <f>3097.36</f>
        <v>3097.36</v>
      </c>
      <c r="T538">
        <f>3643.433</f>
        <v>3643.433</v>
      </c>
      <c r="U538">
        <f>67644.84</f>
        <v>67644.84</v>
      </c>
      <c r="V538">
        <f>551.63</f>
        <v>551.63</v>
      </c>
    </row>
    <row r="539" spans="1:22" x14ac:dyDescent="0.2">
      <c r="A539" s="1">
        <v>44354</v>
      </c>
      <c r="B539">
        <f>2389.98</f>
        <v>2389.98</v>
      </c>
      <c r="C539">
        <f>11869.91</f>
        <v>11869.91</v>
      </c>
      <c r="D539">
        <f>6878.62</f>
        <v>6878.62</v>
      </c>
      <c r="E539">
        <f>3288.268</f>
        <v>3288.268</v>
      </c>
      <c r="F539">
        <f>2224.82</f>
        <v>2224.8200000000002</v>
      </c>
      <c r="G539">
        <f>9606.121</f>
        <v>9606.1209999999992</v>
      </c>
      <c r="H539">
        <f>3954.03</f>
        <v>3954.03</v>
      </c>
      <c r="I539">
        <f>14538.22</f>
        <v>14538.22</v>
      </c>
      <c r="J539">
        <f>5379.49</f>
        <v>5379.49</v>
      </c>
      <c r="K539">
        <f>18556.77</f>
        <v>18556.77</v>
      </c>
      <c r="L539">
        <f>2673.78</f>
        <v>2673.78</v>
      </c>
      <c r="M539">
        <f>13091.02</f>
        <v>13091.02</v>
      </c>
      <c r="N539">
        <f>416.208</f>
        <v>416.20800000000003</v>
      </c>
      <c r="O539">
        <f>3765.64</f>
        <v>3765.64</v>
      </c>
      <c r="P539">
        <f>293.2</f>
        <v>293.2</v>
      </c>
      <c r="Q539">
        <f>3890.667</f>
        <v>3890.6669999999999</v>
      </c>
      <c r="R539">
        <f>8788.28</f>
        <v>8788.2800000000007</v>
      </c>
      <c r="S539">
        <f>3094.51</f>
        <v>3094.51</v>
      </c>
      <c r="T539">
        <f>3659.878</f>
        <v>3659.8780000000002</v>
      </c>
      <c r="U539">
        <f>67575.42</f>
        <v>67575.42</v>
      </c>
      <c r="V539">
        <f>553.5</f>
        <v>553.5</v>
      </c>
    </row>
    <row r="540" spans="1:22" x14ac:dyDescent="0.2">
      <c r="A540" s="1">
        <v>44351</v>
      </c>
      <c r="B540">
        <f>2382.13</f>
        <v>2382.13</v>
      </c>
      <c r="C540">
        <f>11891.99</f>
        <v>11891.99</v>
      </c>
      <c r="D540">
        <f>6870.68</f>
        <v>6870.68</v>
      </c>
      <c r="E540">
        <f>3290.476</f>
        <v>3290.4760000000001</v>
      </c>
      <c r="F540">
        <f>2213.1</f>
        <v>2213.1</v>
      </c>
      <c r="G540">
        <f>9598.31</f>
        <v>9598.31</v>
      </c>
      <c r="H540">
        <f>3932.9</f>
        <v>3932.9</v>
      </c>
      <c r="I540">
        <f>14453.3</f>
        <v>14453.3</v>
      </c>
      <c r="J540">
        <f>5389.08</f>
        <v>5389.08</v>
      </c>
      <c r="K540">
        <f>18555.04</f>
        <v>18555.04</v>
      </c>
      <c r="L540">
        <f>2675.97</f>
        <v>2675.97</v>
      </c>
      <c r="M540">
        <f>13074.8</f>
        <v>13074.8</v>
      </c>
      <c r="N540">
        <f>415.635</f>
        <v>415.63499999999999</v>
      </c>
      <c r="O540">
        <f>3754.6</f>
        <v>3754.6</v>
      </c>
      <c r="P540">
        <f>292.79</f>
        <v>292.79000000000002</v>
      </c>
      <c r="Q540">
        <f>3907.366</f>
        <v>3907.366</v>
      </c>
      <c r="R540">
        <f>8795.08</f>
        <v>8795.08</v>
      </c>
      <c r="S540">
        <f>3091.9</f>
        <v>3091.9</v>
      </c>
      <c r="T540">
        <f>3682.758</f>
        <v>3682.7579999999998</v>
      </c>
      <c r="U540">
        <f>67825.02</f>
        <v>67825.02</v>
      </c>
      <c r="V540">
        <f>557.32</f>
        <v>557.32000000000005</v>
      </c>
    </row>
    <row r="541" spans="1:22" x14ac:dyDescent="0.2">
      <c r="A541" s="1">
        <v>44350</v>
      </c>
      <c r="B541">
        <f>2385.92</f>
        <v>2385.92</v>
      </c>
      <c r="C541">
        <f>11916.59</f>
        <v>11916.59</v>
      </c>
      <c r="D541">
        <f>6866.12</f>
        <v>6866.12</v>
      </c>
      <c r="E541">
        <f>3294.833</f>
        <v>3294.8330000000001</v>
      </c>
      <c r="F541">
        <f>2202.07</f>
        <v>2202.0700000000002</v>
      </c>
      <c r="G541">
        <f>9553.289</f>
        <v>9553.2890000000007</v>
      </c>
      <c r="H541">
        <f>3900.97</f>
        <v>3900.97</v>
      </c>
      <c r="I541">
        <f>14364.15</f>
        <v>14364.15</v>
      </c>
      <c r="J541">
        <f>5365.42</f>
        <v>5365.42</v>
      </c>
      <c r="K541">
        <f>18383.04</f>
        <v>18383.04</v>
      </c>
      <c r="L541">
        <f>2659.64</f>
        <v>2659.64</v>
      </c>
      <c r="M541">
        <f>12967.81</f>
        <v>12967.81</v>
      </c>
      <c r="N541">
        <f>413.914</f>
        <v>413.91399999999999</v>
      </c>
      <c r="O541">
        <f>3742.28</f>
        <v>3742.28</v>
      </c>
      <c r="P541">
        <f>292.6</f>
        <v>292.60000000000002</v>
      </c>
      <c r="Q541">
        <f>3892.59</f>
        <v>3892.59</v>
      </c>
      <c r="R541">
        <f>8717.97</f>
        <v>8717.9699999999993</v>
      </c>
      <c r="S541">
        <f>3091.12</f>
        <v>3091.12</v>
      </c>
      <c r="T541">
        <f>3695.609</f>
        <v>3695.6089999999999</v>
      </c>
      <c r="U541">
        <f>67791.38</f>
        <v>67791.38</v>
      </c>
      <c r="V541">
        <f>558.38</f>
        <v>558.38</v>
      </c>
    </row>
    <row r="542" spans="1:22" x14ac:dyDescent="0.2">
      <c r="A542" s="1">
        <v>44349</v>
      </c>
      <c r="B542">
        <f>2398.67</f>
        <v>2398.67</v>
      </c>
      <c r="C542">
        <f>11939.42</f>
        <v>11939.42</v>
      </c>
      <c r="D542">
        <f>6903.57</f>
        <v>6903.57</v>
      </c>
      <c r="E542">
        <f>3306.244</f>
        <v>3306.2440000000001</v>
      </c>
      <c r="F542">
        <f>2226.61</f>
        <v>2226.61</v>
      </c>
      <c r="G542">
        <f>9638.539</f>
        <v>9638.5390000000007</v>
      </c>
      <c r="H542">
        <f>3880.75</f>
        <v>3880.75</v>
      </c>
      <c r="I542">
        <f>14445.45</f>
        <v>14445.45</v>
      </c>
      <c r="J542">
        <f>5359.01</f>
        <v>5359.01</v>
      </c>
      <c r="K542">
        <f>18461.26</f>
        <v>18461.259999999998</v>
      </c>
      <c r="L542">
        <f>2659.08</f>
        <v>2659.08</v>
      </c>
      <c r="M542">
        <f>13022.93</f>
        <v>13022.93</v>
      </c>
      <c r="N542">
        <f>413.147</f>
        <v>413.14699999999999</v>
      </c>
      <c r="O542">
        <f>3744.56</f>
        <v>3744.56</v>
      </c>
      <c r="P542">
        <f>292.4</f>
        <v>292.39999999999998</v>
      </c>
      <c r="Q542">
        <f>3887.901</f>
        <v>3887.9009999999998</v>
      </c>
      <c r="R542">
        <f>8748.3</f>
        <v>8748.2999999999993</v>
      </c>
      <c r="S542">
        <f>3065.3</f>
        <v>3065.3</v>
      </c>
      <c r="T542">
        <f>3746.37</f>
        <v>3746.37</v>
      </c>
      <c r="U542">
        <f>69049.04</f>
        <v>69049.039999999994</v>
      </c>
      <c r="V542">
        <f>565.23</f>
        <v>565.23</v>
      </c>
    </row>
    <row r="543" spans="1:22" x14ac:dyDescent="0.2">
      <c r="A543" s="1">
        <v>44348</v>
      </c>
      <c r="B543">
        <f>2390.59</f>
        <v>2390.59</v>
      </c>
      <c r="C543">
        <f>11913.58</f>
        <v>11913.58</v>
      </c>
      <c r="D543">
        <f>6876.83</f>
        <v>6876.83</v>
      </c>
      <c r="E543">
        <f>3311.711</f>
        <v>3311.7109999999998</v>
      </c>
      <c r="F543">
        <f>2223.1</f>
        <v>2223.1</v>
      </c>
      <c r="G543">
        <f>9604.003</f>
        <v>9604.0030000000006</v>
      </c>
      <c r="H543">
        <f>3859.87</f>
        <v>3859.87</v>
      </c>
      <c r="I543">
        <f>14455.68</f>
        <v>14455.68</v>
      </c>
      <c r="J543">
        <f>5346.43</f>
        <v>5346.43</v>
      </c>
      <c r="K543">
        <f>18434.62</f>
        <v>18434.62</v>
      </c>
      <c r="L543">
        <f>2651.25</f>
        <v>2651.25</v>
      </c>
      <c r="M543">
        <f>13004.12</f>
        <v>13004.12</v>
      </c>
      <c r="N543">
        <f>412.267</f>
        <v>412.267</v>
      </c>
      <c r="O543">
        <f>3731.06</f>
        <v>3731.06</v>
      </c>
      <c r="P543">
        <f>290.7</f>
        <v>290.7</v>
      </c>
      <c r="Q543">
        <f>3880.50654</f>
        <v>3880.5065399999999</v>
      </c>
      <c r="R543">
        <f>8734.74</f>
        <v>8734.74</v>
      </c>
      <c r="S543">
        <f>3039.81</f>
        <v>3039.81</v>
      </c>
      <c r="T543">
        <f>3736.348</f>
        <v>3736.348</v>
      </c>
      <c r="U543">
        <f>68922.86</f>
        <v>68922.86</v>
      </c>
      <c r="V543">
        <f>561.97</f>
        <v>561.97</v>
      </c>
    </row>
    <row r="544" spans="1:22" x14ac:dyDescent="0.2">
      <c r="A544" s="1">
        <v>44347</v>
      </c>
      <c r="B544" t="e">
        <f>NA()</f>
        <v>#N/A</v>
      </c>
      <c r="C544">
        <f>11860.06</f>
        <v>11860.06</v>
      </c>
      <c r="D544" t="e">
        <f>NA()</f>
        <v>#N/A</v>
      </c>
      <c r="E544">
        <f>3276.27</f>
        <v>3276.27</v>
      </c>
      <c r="F544">
        <f>2193.19</f>
        <v>2193.19</v>
      </c>
      <c r="G544">
        <f>9553.46</f>
        <v>9553.4599999999991</v>
      </c>
      <c r="H544">
        <f>3863.51</f>
        <v>3863.51</v>
      </c>
      <c r="I544">
        <f>14312.88</f>
        <v>14312.88</v>
      </c>
      <c r="J544">
        <f>5360.89</f>
        <v>5360.89</v>
      </c>
      <c r="K544">
        <f>18447.11</f>
        <v>18447.11</v>
      </c>
      <c r="L544">
        <f>2647.84</f>
        <v>2647.84</v>
      </c>
      <c r="M544">
        <f>12976.58</f>
        <v>12976.58</v>
      </c>
      <c r="N544">
        <f>411.456</f>
        <v>411.45600000000002</v>
      </c>
      <c r="O544">
        <f>3703.01</f>
        <v>3703.01</v>
      </c>
      <c r="P544">
        <f>289.3</f>
        <v>289.3</v>
      </c>
      <c r="Q544" t="e">
        <f>NA()</f>
        <v>#N/A</v>
      </c>
      <c r="R544" t="e">
        <f>NA()</f>
        <v>#N/A</v>
      </c>
      <c r="S544">
        <f>3034.76</f>
        <v>3034.76</v>
      </c>
      <c r="T544">
        <f>3719.441</f>
        <v>3719.4409999999998</v>
      </c>
      <c r="U544">
        <f>67964.04</f>
        <v>67964.039999999994</v>
      </c>
      <c r="V544">
        <f>556.34</f>
        <v>556.34</v>
      </c>
    </row>
    <row r="545" spans="1:22" x14ac:dyDescent="0.2">
      <c r="A545" s="1">
        <v>44344</v>
      </c>
      <c r="B545">
        <f>2363.01</f>
        <v>2363.0100000000002</v>
      </c>
      <c r="C545">
        <f>11757.28</f>
        <v>11757.28</v>
      </c>
      <c r="D545">
        <f>6820.64</f>
        <v>6820.64</v>
      </c>
      <c r="E545">
        <f>3238.543</f>
        <v>3238.5430000000001</v>
      </c>
      <c r="F545">
        <f>2187.56</f>
        <v>2187.56</v>
      </c>
      <c r="G545">
        <f>9528.93</f>
        <v>9528.93</v>
      </c>
      <c r="H545">
        <f>3890.28</f>
        <v>3890.28</v>
      </c>
      <c r="I545">
        <f>14351.4</f>
        <v>14351.4</v>
      </c>
      <c r="J545">
        <f>5360.89</f>
        <v>5360.89</v>
      </c>
      <c r="K545">
        <f>18447.11</f>
        <v>18447.11</v>
      </c>
      <c r="L545">
        <f>2652.45</f>
        <v>2652.45</v>
      </c>
      <c r="M545">
        <f>12992.18</f>
        <v>12992.18</v>
      </c>
      <c r="N545">
        <f>413.342</f>
        <v>413.34199999999998</v>
      </c>
      <c r="O545">
        <f>3722.49</f>
        <v>3722.49</v>
      </c>
      <c r="P545">
        <f>294.9</f>
        <v>294.89999999999998</v>
      </c>
      <c r="Q545">
        <f>3872.63723</f>
        <v>3872.6372299999998</v>
      </c>
      <c r="R545">
        <f>8738.77</f>
        <v>8738.77</v>
      </c>
      <c r="S545">
        <f>3071.22</f>
        <v>3071.22</v>
      </c>
      <c r="T545">
        <f>3676.41</f>
        <v>3676.41</v>
      </c>
      <c r="U545">
        <f>67554.86</f>
        <v>67554.86</v>
      </c>
      <c r="V545">
        <f>551.75</f>
        <v>551.75</v>
      </c>
    </row>
    <row r="546" spans="1:22" x14ac:dyDescent="0.2">
      <c r="A546" s="1">
        <v>44343</v>
      </c>
      <c r="B546">
        <f>2363.28</f>
        <v>2363.2800000000002</v>
      </c>
      <c r="C546">
        <f>11694.66</f>
        <v>11694.66</v>
      </c>
      <c r="D546">
        <f>6817.79</f>
        <v>6817.79</v>
      </c>
      <c r="E546">
        <f>3222.784</f>
        <v>3222.7840000000001</v>
      </c>
      <c r="F546">
        <f>2193.18</f>
        <v>2193.1799999999998</v>
      </c>
      <c r="G546">
        <f>9533.001</f>
        <v>9533.0010000000002</v>
      </c>
      <c r="H546">
        <f>3834.6</f>
        <v>3834.6</v>
      </c>
      <c r="I546">
        <f>14272.01</f>
        <v>14272.01</v>
      </c>
      <c r="J546">
        <f>5357.08</f>
        <v>5357.08</v>
      </c>
      <c r="K546">
        <f>18425.39</f>
        <v>18425.39</v>
      </c>
      <c r="L546">
        <f>2646.63</f>
        <v>2646.63</v>
      </c>
      <c r="M546">
        <f>12952.86</f>
        <v>12952.86</v>
      </c>
      <c r="N546">
        <f>411.95</f>
        <v>411.95</v>
      </c>
      <c r="O546">
        <f>3701.16</f>
        <v>3701.16</v>
      </c>
      <c r="P546">
        <f>288.81</f>
        <v>288.81</v>
      </c>
      <c r="Q546">
        <f>3865.782</f>
        <v>3865.7820000000002</v>
      </c>
      <c r="R546">
        <f>8730.97</f>
        <v>8730.9699999999993</v>
      </c>
      <c r="S546">
        <f>3013.65</f>
        <v>3013.65</v>
      </c>
      <c r="T546">
        <f>3655.181</f>
        <v>3655.181</v>
      </c>
      <c r="U546">
        <f>66940.25</f>
        <v>66940.25</v>
      </c>
      <c r="V546">
        <f>545.75</f>
        <v>545.75</v>
      </c>
    </row>
    <row r="547" spans="1:22" x14ac:dyDescent="0.2">
      <c r="A547" s="1">
        <v>44342</v>
      </c>
      <c r="B547">
        <f>2366.34</f>
        <v>2366.34</v>
      </c>
      <c r="C547">
        <f>11654.4</f>
        <v>11654.4</v>
      </c>
      <c r="D547">
        <f>6822.24</f>
        <v>6822.24</v>
      </c>
      <c r="E547">
        <f>3216.037</f>
        <v>3216.0369999999998</v>
      </c>
      <c r="F547">
        <f>2172.48</f>
        <v>2172.48</v>
      </c>
      <c r="G547">
        <f>9494.543</f>
        <v>9494.5429999999997</v>
      </c>
      <c r="H547">
        <f>3885.79</f>
        <v>3885.79</v>
      </c>
      <c r="I547">
        <f>14270.87</f>
        <v>14270.87</v>
      </c>
      <c r="J547">
        <f>5352.56</f>
        <v>5352.56</v>
      </c>
      <c r="K547">
        <f>18404.65</f>
        <v>18404.650000000001</v>
      </c>
      <c r="L547">
        <f>2650.39</f>
        <v>2650.39</v>
      </c>
      <c r="M547">
        <f>12946.81</f>
        <v>12946.81</v>
      </c>
      <c r="N547">
        <f>412.996</f>
        <v>412.99599999999998</v>
      </c>
      <c r="O547">
        <f>3694.79</f>
        <v>3694.79</v>
      </c>
      <c r="P547">
        <f>293.15</f>
        <v>293.14999999999998</v>
      </c>
      <c r="Q547">
        <f>3853.03</f>
        <v>3853.03</v>
      </c>
      <c r="R547">
        <f>8720.04</f>
        <v>8720.0400000000009</v>
      </c>
      <c r="S547">
        <f>3028.87</f>
        <v>3028.87</v>
      </c>
      <c r="T547">
        <f>3617.309</f>
        <v>3617.3090000000002</v>
      </c>
      <c r="U547">
        <f>66108.23</f>
        <v>66108.23</v>
      </c>
      <c r="V547">
        <f>533.38</f>
        <v>533.38</v>
      </c>
    </row>
    <row r="548" spans="1:22" x14ac:dyDescent="0.2">
      <c r="A548" s="1">
        <v>44341</v>
      </c>
      <c r="B548">
        <f>2363.8</f>
        <v>2363.8000000000002</v>
      </c>
      <c r="C548">
        <f>11601.14</f>
        <v>11601.14</v>
      </c>
      <c r="D548">
        <f>6825.02</f>
        <v>6825.02</v>
      </c>
      <c r="E548">
        <f>3200.558</f>
        <v>3200.558</v>
      </c>
      <c r="F548">
        <f>2170.84</f>
        <v>2170.84</v>
      </c>
      <c r="G548">
        <f>9507.777</f>
        <v>9507.777</v>
      </c>
      <c r="H548">
        <f>3888.66</f>
        <v>3888.66</v>
      </c>
      <c r="I548">
        <f>14303.42</f>
        <v>14303.42</v>
      </c>
      <c r="J548">
        <f>5354.58</f>
        <v>5354.58</v>
      </c>
      <c r="K548">
        <f>18362.48</f>
        <v>18362.48</v>
      </c>
      <c r="L548">
        <f>2650.66</f>
        <v>2650.66</v>
      </c>
      <c r="M548">
        <f>12929.13</f>
        <v>12929.13</v>
      </c>
      <c r="N548">
        <f>412.385</f>
        <v>412.38499999999999</v>
      </c>
      <c r="O548">
        <f>3692.9</f>
        <v>3692.9</v>
      </c>
      <c r="P548">
        <f>295.71</f>
        <v>295.70999999999998</v>
      </c>
      <c r="Q548">
        <f>3851.694</f>
        <v>3851.694</v>
      </c>
      <c r="R548">
        <f>8703.59</f>
        <v>8703.59</v>
      </c>
      <c r="S548">
        <f>3027.06</f>
        <v>3027.06</v>
      </c>
      <c r="T548">
        <f>3650.577</f>
        <v>3650.5770000000002</v>
      </c>
      <c r="U548">
        <f>66076.68</f>
        <v>66076.679999999993</v>
      </c>
      <c r="V548">
        <f>534.57</f>
        <v>534.57000000000005</v>
      </c>
    </row>
    <row r="549" spans="1:22" x14ac:dyDescent="0.2">
      <c r="A549" s="1">
        <v>44340</v>
      </c>
      <c r="B549">
        <f>2377.98</f>
        <v>2377.98</v>
      </c>
      <c r="C549">
        <f>11506.05</f>
        <v>11506.05</v>
      </c>
      <c r="D549">
        <f>6846.18</f>
        <v>6846.18</v>
      </c>
      <c r="E549">
        <f>3155.503</f>
        <v>3155.5030000000002</v>
      </c>
      <c r="F549">
        <f>2183.3</f>
        <v>2183.3000000000002</v>
      </c>
      <c r="G549">
        <f>9562.297</f>
        <v>9562.2970000000005</v>
      </c>
      <c r="H549">
        <f>3885.94</f>
        <v>3885.94</v>
      </c>
      <c r="I549">
        <f>14240.7</f>
        <v>14240.7</v>
      </c>
      <c r="J549">
        <f>5387.68</f>
        <v>5387.68</v>
      </c>
      <c r="K549">
        <f>18399.68</f>
        <v>18399.68</v>
      </c>
      <c r="L549">
        <f>2661.54</f>
        <v>2661.54</v>
      </c>
      <c r="M549">
        <f>12932.22</f>
        <v>12932.22</v>
      </c>
      <c r="N549">
        <f>412.447</f>
        <v>412.447</v>
      </c>
      <c r="O549">
        <f>3692.51</f>
        <v>3692.51</v>
      </c>
      <c r="P549">
        <f>295.74</f>
        <v>295.74</v>
      </c>
      <c r="Q549">
        <f>3864.28</f>
        <v>3864.28</v>
      </c>
      <c r="R549">
        <f>8722</f>
        <v>8722</v>
      </c>
      <c r="S549">
        <f>3016.84</f>
        <v>3016.84</v>
      </c>
      <c r="T549">
        <f>3629.894</f>
        <v>3629.8939999999998</v>
      </c>
      <c r="U549">
        <f>66054.92</f>
        <v>66054.92</v>
      </c>
      <c r="V549">
        <f>533.71</f>
        <v>533.71</v>
      </c>
    </row>
    <row r="550" spans="1:22" x14ac:dyDescent="0.2">
      <c r="A550" s="1">
        <v>44337</v>
      </c>
      <c r="B550">
        <f>2371.82</f>
        <v>2371.8200000000002</v>
      </c>
      <c r="C550">
        <f>11512.81</f>
        <v>11512.81</v>
      </c>
      <c r="D550">
        <f>6813.63</f>
        <v>6813.63</v>
      </c>
      <c r="E550">
        <f>3162.837</f>
        <v>3162.837</v>
      </c>
      <c r="F550">
        <f>2186.81</f>
        <v>2186.81</v>
      </c>
      <c r="G550">
        <f>9524.165</f>
        <v>9524.1650000000009</v>
      </c>
      <c r="H550">
        <f>3856.03</f>
        <v>3856.03</v>
      </c>
      <c r="I550">
        <f>14176.04</f>
        <v>14176.04</v>
      </c>
      <c r="J550">
        <f>5374.17</f>
        <v>5374.17</v>
      </c>
      <c r="K550">
        <f>18212.95</f>
        <v>18212.95</v>
      </c>
      <c r="L550">
        <f>2655.65</f>
        <v>2655.65</v>
      </c>
      <c r="M550">
        <f>12828.31</f>
        <v>12828.31</v>
      </c>
      <c r="N550">
        <f>412.164</f>
        <v>412.16399999999999</v>
      </c>
      <c r="O550">
        <f>3686.18</f>
        <v>3686.18</v>
      </c>
      <c r="P550">
        <f>292.8</f>
        <v>292.8</v>
      </c>
      <c r="Q550">
        <f>3854.12733</f>
        <v>3854.1273299999998</v>
      </c>
      <c r="R550">
        <f>8635.55</f>
        <v>8635.5499999999993</v>
      </c>
      <c r="S550">
        <f>3003.66</f>
        <v>3003.66</v>
      </c>
      <c r="T550">
        <f>3659.66</f>
        <v>3659.66</v>
      </c>
      <c r="U550">
        <f>66238.93</f>
        <v>66238.929999999993</v>
      </c>
      <c r="V550">
        <f>537.28</f>
        <v>537.28</v>
      </c>
    </row>
    <row r="551" spans="1:22" x14ac:dyDescent="0.2">
      <c r="A551" s="1">
        <v>44336</v>
      </c>
      <c r="B551">
        <f>2372.4</f>
        <v>2372.4</v>
      </c>
      <c r="C551">
        <f>11478.97</f>
        <v>11478.97</v>
      </c>
      <c r="D551">
        <f>6815.31</f>
        <v>6815.31</v>
      </c>
      <c r="E551">
        <f>3160.972</f>
        <v>3160.9720000000002</v>
      </c>
      <c r="F551">
        <f>2187.83</f>
        <v>2187.83</v>
      </c>
      <c r="G551">
        <f>9525.995</f>
        <v>9525.9950000000008</v>
      </c>
      <c r="H551">
        <f>3854.86</f>
        <v>3854.86</v>
      </c>
      <c r="I551">
        <f>14108.36</f>
        <v>14108.36</v>
      </c>
      <c r="J551">
        <f>5362.81</f>
        <v>5362.81</v>
      </c>
      <c r="K551">
        <f>18229.58</f>
        <v>18229.580000000002</v>
      </c>
      <c r="L551">
        <f>2650.2</f>
        <v>2650.2</v>
      </c>
      <c r="M551">
        <f>12823.8</f>
        <v>12823.8</v>
      </c>
      <c r="N551">
        <f>410.337</f>
        <v>410.33699999999999</v>
      </c>
      <c r="O551">
        <f>3664.9</f>
        <v>3664.9</v>
      </c>
      <c r="P551">
        <f>292.79</f>
        <v>292.79000000000002</v>
      </c>
      <c r="Q551">
        <f>3849.355</f>
        <v>3849.355</v>
      </c>
      <c r="R551">
        <f>8641.98</f>
        <v>8641.98</v>
      </c>
      <c r="S551">
        <f>2989.84</f>
        <v>2989.84</v>
      </c>
      <c r="T551">
        <f>3682.837</f>
        <v>3682.837</v>
      </c>
      <c r="U551">
        <f>66124.44</f>
        <v>66124.44</v>
      </c>
      <c r="V551">
        <f>539.66</f>
        <v>539.66</v>
      </c>
    </row>
    <row r="552" spans="1:22" x14ac:dyDescent="0.2">
      <c r="A552" s="1">
        <v>44335</v>
      </c>
      <c r="B552">
        <f>2356.23</f>
        <v>2356.23</v>
      </c>
      <c r="C552">
        <f>11531.51</f>
        <v>11531.51</v>
      </c>
      <c r="D552">
        <f>6738.75</f>
        <v>6738.75</v>
      </c>
      <c r="E552">
        <f>3156.556</f>
        <v>3156.556</v>
      </c>
      <c r="F552">
        <f>2172.93</f>
        <v>2172.9299999999998</v>
      </c>
      <c r="G552">
        <f>9415.587</f>
        <v>9415.5869999999995</v>
      </c>
      <c r="H552">
        <f>3886.21</f>
        <v>3886.21</v>
      </c>
      <c r="I552">
        <f>13915.75</f>
        <v>13915.75</v>
      </c>
      <c r="J552">
        <f>5324.9</f>
        <v>5324.9</v>
      </c>
      <c r="K552">
        <f>18017.11</f>
        <v>18017.11</v>
      </c>
      <c r="L552">
        <f>2633.41</f>
        <v>2633.41</v>
      </c>
      <c r="M552">
        <f>12684.86</f>
        <v>12684.86</v>
      </c>
      <c r="N552">
        <f>403.731</f>
        <v>403.73099999999999</v>
      </c>
      <c r="O552">
        <f>3617.05</f>
        <v>3617.05</v>
      </c>
      <c r="P552">
        <f>293.24</f>
        <v>293.24</v>
      </c>
      <c r="Q552">
        <f>3820.921</f>
        <v>3820.9209999999998</v>
      </c>
      <c r="R552">
        <f>8550.95</f>
        <v>8550.9500000000007</v>
      </c>
      <c r="S552">
        <f>2988.76</f>
        <v>2988.76</v>
      </c>
      <c r="T552">
        <f>3674.345</f>
        <v>3674.3449999999998</v>
      </c>
      <c r="U552">
        <f>65855.81</f>
        <v>65855.81</v>
      </c>
      <c r="V552">
        <f>539.7</f>
        <v>539.70000000000005</v>
      </c>
    </row>
    <row r="553" spans="1:22" x14ac:dyDescent="0.2">
      <c r="A553" s="1">
        <v>44334</v>
      </c>
      <c r="B553">
        <f>2383.82</f>
        <v>2383.8200000000002</v>
      </c>
      <c r="C553">
        <f>11624.48</f>
        <v>11624.48</v>
      </c>
      <c r="D553">
        <f>6820.24</f>
        <v>6820.24</v>
      </c>
      <c r="E553">
        <f>3169.972</f>
        <v>3169.9720000000002</v>
      </c>
      <c r="F553">
        <f>2198.51</f>
        <v>2198.5100000000002</v>
      </c>
      <c r="G553">
        <f>9569.375</f>
        <v>9569.375</v>
      </c>
      <c r="H553">
        <f>3887.86</f>
        <v>3887.86</v>
      </c>
      <c r="I553">
        <f>14133.87</f>
        <v>14133.87</v>
      </c>
      <c r="J553">
        <f>5341.75</f>
        <v>5341.75</v>
      </c>
      <c r="K553">
        <f>18063.33</f>
        <v>18063.330000000002</v>
      </c>
      <c r="L553">
        <f>2654.19</f>
        <v>2654.19</v>
      </c>
      <c r="M553">
        <f>12760.83</f>
        <v>12760.83</v>
      </c>
      <c r="N553">
        <f>407.032</f>
        <v>407.03199999999998</v>
      </c>
      <c r="O553">
        <f>3671.53</f>
        <v>3671.53</v>
      </c>
      <c r="P553">
        <f>295.98</f>
        <v>295.98</v>
      </c>
      <c r="Q553">
        <f>3842.82396</f>
        <v>3842.8239600000002</v>
      </c>
      <c r="R553">
        <f>8574.98</f>
        <v>8574.98</v>
      </c>
      <c r="S553">
        <f>3008.46</f>
        <v>3008.46</v>
      </c>
      <c r="T553">
        <f>3712.504</f>
        <v>3712.5039999999999</v>
      </c>
      <c r="U553">
        <f>67254.92</f>
        <v>67254.92</v>
      </c>
      <c r="V553">
        <f>548.85</f>
        <v>548.85</v>
      </c>
    </row>
    <row r="554" spans="1:22" x14ac:dyDescent="0.2">
      <c r="A554" s="1">
        <v>44333</v>
      </c>
      <c r="B554">
        <f>2391.56</f>
        <v>2391.56</v>
      </c>
      <c r="C554">
        <f>11436.34</f>
        <v>11436.34</v>
      </c>
      <c r="D554">
        <f>6818.88</f>
        <v>6818.88</v>
      </c>
      <c r="E554">
        <f>3118.139</f>
        <v>3118.1390000000001</v>
      </c>
      <c r="F554">
        <f>2182.53</f>
        <v>2182.5300000000002</v>
      </c>
      <c r="G554">
        <f>9513.305</f>
        <v>9513.3050000000003</v>
      </c>
      <c r="H554">
        <f>3827.93</f>
        <v>3827.93</v>
      </c>
      <c r="I554">
        <f>14021.78</f>
        <v>14021.78</v>
      </c>
      <c r="J554">
        <f>5387.59</f>
        <v>5387.59</v>
      </c>
      <c r="K554">
        <f>18202.94</f>
        <v>18202.939999999999</v>
      </c>
      <c r="L554">
        <f>2659.04</f>
        <v>2659.04</v>
      </c>
      <c r="M554">
        <f>12783.09</f>
        <v>12783.09</v>
      </c>
      <c r="N554">
        <f>407.239</f>
        <v>407.23899999999998</v>
      </c>
      <c r="O554">
        <f>3665.6</f>
        <v>3665.6</v>
      </c>
      <c r="P554">
        <f>291.32</f>
        <v>291.32</v>
      </c>
      <c r="Q554">
        <f>3877.387</f>
        <v>3877.3870000000002</v>
      </c>
      <c r="R554">
        <f>8647.57</f>
        <v>8647.57</v>
      </c>
      <c r="S554">
        <f>2962.92</f>
        <v>2962.92</v>
      </c>
      <c r="T554">
        <f>3706.673</f>
        <v>3706.6729999999998</v>
      </c>
      <c r="U554">
        <f>67217.11</f>
        <v>67217.11</v>
      </c>
      <c r="V554">
        <f>547</f>
        <v>547</v>
      </c>
    </row>
    <row r="555" spans="1:22" x14ac:dyDescent="0.2">
      <c r="A555" s="1">
        <v>44330</v>
      </c>
      <c r="B555">
        <f>2391.74</f>
        <v>2391.7399999999998</v>
      </c>
      <c r="C555">
        <f>11486.81</f>
        <v>11486.81</v>
      </c>
      <c r="D555">
        <f>6829.32</f>
        <v>6829.32</v>
      </c>
      <c r="E555">
        <f>3108.542</f>
        <v>3108.5419999999999</v>
      </c>
      <c r="F555">
        <f>2177.68</f>
        <v>2177.6799999999998</v>
      </c>
      <c r="G555">
        <f>9501.836</f>
        <v>9501.8359999999993</v>
      </c>
      <c r="H555">
        <f>3838.82</f>
        <v>3838.82</v>
      </c>
      <c r="I555">
        <f>14006.37</f>
        <v>14006.37</v>
      </c>
      <c r="J555">
        <f>5394.68</f>
        <v>5394.68</v>
      </c>
      <c r="K555">
        <f>18255.73</f>
        <v>18255.73</v>
      </c>
      <c r="L555">
        <f>2656.9</f>
        <v>2656.9</v>
      </c>
      <c r="M555">
        <f>12801.36</f>
        <v>12801.36</v>
      </c>
      <c r="N555">
        <f>406.428</f>
        <v>406.428</v>
      </c>
      <c r="O555">
        <f>3666.57</f>
        <v>3666.57</v>
      </c>
      <c r="P555">
        <f>291.94</f>
        <v>291.94</v>
      </c>
      <c r="Q555">
        <f>3886.861</f>
        <v>3886.8609999999999</v>
      </c>
      <c r="R555">
        <f>8669.49</f>
        <v>8669.49</v>
      </c>
      <c r="S555">
        <f>2970.12</f>
        <v>2970.12</v>
      </c>
      <c r="T555">
        <f>3663.38</f>
        <v>3663.38</v>
      </c>
      <c r="U555">
        <f>66598.13</f>
        <v>66598.13</v>
      </c>
      <c r="V555">
        <f>543.27</f>
        <v>543.27</v>
      </c>
    </row>
    <row r="556" spans="1:22" x14ac:dyDescent="0.2">
      <c r="A556" s="1">
        <v>44329</v>
      </c>
      <c r="B556">
        <f>2362.5</f>
        <v>2362.5</v>
      </c>
      <c r="C556">
        <f>11418.94</f>
        <v>11418.94</v>
      </c>
      <c r="D556">
        <f>6751.48</f>
        <v>6751.48</v>
      </c>
      <c r="E556">
        <f>3073.442</f>
        <v>3073.442</v>
      </c>
      <c r="F556">
        <f>2145.2</f>
        <v>2145.1999999999998</v>
      </c>
      <c r="G556">
        <f>9368.596</f>
        <v>9368.5959999999995</v>
      </c>
      <c r="H556">
        <f>3754.4</f>
        <v>3754.4</v>
      </c>
      <c r="I556">
        <f>13757.86</f>
        <v>13757.86</v>
      </c>
      <c r="J556">
        <f>5358.38</f>
        <v>5358.38</v>
      </c>
      <c r="K556">
        <f>17973.11</f>
        <v>17973.11</v>
      </c>
      <c r="L556">
        <f>2632.25</f>
        <v>2632.25</v>
      </c>
      <c r="M556">
        <f>12599.46</f>
        <v>12599.46</v>
      </c>
      <c r="N556">
        <f>402.331</f>
        <v>402.33100000000002</v>
      </c>
      <c r="O556">
        <f>3621.31</f>
        <v>3621.31</v>
      </c>
      <c r="P556">
        <f>287.42</f>
        <v>287.42</v>
      </c>
      <c r="Q556">
        <f>3859.738</f>
        <v>3859.7379999999998</v>
      </c>
      <c r="R556">
        <f>8541.39</f>
        <v>8541.39</v>
      </c>
      <c r="S556">
        <f>2915.9</f>
        <v>2915.9</v>
      </c>
      <c r="T556">
        <f>3624.425</f>
        <v>3624.4250000000002</v>
      </c>
      <c r="U556">
        <f>66168.65</f>
        <v>66168.649999999994</v>
      </c>
      <c r="V556">
        <f>538.19</f>
        <v>538.19000000000005</v>
      </c>
    </row>
    <row r="557" spans="1:22" x14ac:dyDescent="0.2">
      <c r="A557" s="1">
        <v>44328</v>
      </c>
      <c r="B557">
        <f>2375.37</f>
        <v>2375.37</v>
      </c>
      <c r="C557">
        <f>11512.12</f>
        <v>11512.12</v>
      </c>
      <c r="D557">
        <f>6788.15</f>
        <v>6788.15</v>
      </c>
      <c r="E557">
        <f>3126.657</f>
        <v>3126.6570000000002</v>
      </c>
      <c r="F557">
        <f>2157.08</f>
        <v>2157.08</v>
      </c>
      <c r="G557">
        <f>9456.601</f>
        <v>9456.6010000000006</v>
      </c>
      <c r="H557">
        <f>3767.74</f>
        <v>3767.74</v>
      </c>
      <c r="I557">
        <f>13739.4</f>
        <v>13739.4</v>
      </c>
      <c r="J557">
        <f>5273.88</f>
        <v>5273.88</v>
      </c>
      <c r="K557">
        <f>17768.17</f>
        <v>17768.169999999998</v>
      </c>
      <c r="L557">
        <f>2612.92</f>
        <v>2612.92</v>
      </c>
      <c r="M557">
        <f>12527.45</f>
        <v>12527.45</v>
      </c>
      <c r="N557">
        <f>402.274</f>
        <v>402.274</v>
      </c>
      <c r="O557">
        <f>3624.49</f>
        <v>3624.49</v>
      </c>
      <c r="P557">
        <f>289.2</f>
        <v>289.2</v>
      </c>
      <c r="Q557">
        <f>3790.134</f>
        <v>3790.134</v>
      </c>
      <c r="R557">
        <f>8437.24</f>
        <v>8437.24</v>
      </c>
      <c r="S557">
        <f>2961.47</f>
        <v>2961.47</v>
      </c>
      <c r="T557">
        <f>3694.615</f>
        <v>3694.6149999999998</v>
      </c>
      <c r="U557">
        <f>67424.27</f>
        <v>67424.27</v>
      </c>
      <c r="V557">
        <f>545.28</f>
        <v>545.28</v>
      </c>
    </row>
    <row r="558" spans="1:22" x14ac:dyDescent="0.2">
      <c r="A558" s="1">
        <v>44327</v>
      </c>
      <c r="B558">
        <f>2353.04</f>
        <v>2353.04</v>
      </c>
      <c r="C558">
        <f>11665.19</f>
        <v>11665.19</v>
      </c>
      <c r="D558">
        <f>6733.26</f>
        <v>6733.26</v>
      </c>
      <c r="E558">
        <f>3159.49</f>
        <v>3159.49</v>
      </c>
      <c r="F558">
        <f>2146.62</f>
        <v>2146.62</v>
      </c>
      <c r="G558">
        <f>9395.434</f>
        <v>9395.4339999999993</v>
      </c>
      <c r="H558">
        <f>3841.46</f>
        <v>3841.46</v>
      </c>
      <c r="I558">
        <f>13823.14</f>
        <v>13823.14</v>
      </c>
      <c r="J558">
        <f>5362.16</f>
        <v>5362.16</v>
      </c>
      <c r="K558">
        <f>18167.54</f>
        <v>18167.54</v>
      </c>
      <c r="L558">
        <f>2637.54</f>
        <v>2637.54</v>
      </c>
      <c r="M558">
        <f>12750.62</f>
        <v>12750.62</v>
      </c>
      <c r="N558">
        <f>399.958</f>
        <v>399.95800000000003</v>
      </c>
      <c r="O558">
        <f>3610.79</f>
        <v>3610.79</v>
      </c>
      <c r="P558">
        <f>293.59</f>
        <v>293.58999999999997</v>
      </c>
      <c r="Q558">
        <f>3869.908</f>
        <v>3869.9079999999999</v>
      </c>
      <c r="R558">
        <f>8620.98</f>
        <v>8620.98</v>
      </c>
      <c r="S558">
        <f>3005.57</f>
        <v>3005.57</v>
      </c>
      <c r="T558">
        <f>3662.508</f>
        <v>3662.5079999999998</v>
      </c>
      <c r="U558">
        <f>67241.2</f>
        <v>67241.2</v>
      </c>
      <c r="V558">
        <f>543.42</f>
        <v>543.41999999999996</v>
      </c>
    </row>
    <row r="559" spans="1:22" x14ac:dyDescent="0.2">
      <c r="A559" s="1">
        <v>44326</v>
      </c>
      <c r="B559">
        <f>2409.85</f>
        <v>2409.85</v>
      </c>
      <c r="C559">
        <f>11784.92</f>
        <v>11784.92</v>
      </c>
      <c r="D559">
        <f>6903.52</f>
        <v>6903.52</v>
      </c>
      <c r="E559">
        <f>3199.454</f>
        <v>3199.4540000000002</v>
      </c>
      <c r="F559">
        <f>2190.41</f>
        <v>2190.41</v>
      </c>
      <c r="G559">
        <f>9622.652</f>
        <v>9622.652</v>
      </c>
      <c r="H559">
        <f>3901.53</f>
        <v>3901.53</v>
      </c>
      <c r="I559">
        <f>14084.03</f>
        <v>14084.03</v>
      </c>
      <c r="J559">
        <f>5422.31</f>
        <v>5422.31</v>
      </c>
      <c r="K559">
        <f>18305.74</f>
        <v>18305.740000000002</v>
      </c>
      <c r="L559">
        <f>2672.31</f>
        <v>2672.31</v>
      </c>
      <c r="M559">
        <f>12895.12</f>
        <v>12895.12</v>
      </c>
      <c r="N559">
        <f>407.254</f>
        <v>407.25400000000002</v>
      </c>
      <c r="O559">
        <f>3685.24</f>
        <v>3685.24</v>
      </c>
      <c r="P559">
        <f>298.58</f>
        <v>298.58</v>
      </c>
      <c r="Q559">
        <f>3922.213</f>
        <v>3922.2130000000002</v>
      </c>
      <c r="R559">
        <f>8696.29</f>
        <v>8696.2900000000009</v>
      </c>
      <c r="S559">
        <f>3078.66</f>
        <v>3078.66</v>
      </c>
      <c r="T559">
        <f>3717.113</f>
        <v>3717.1129999999998</v>
      </c>
      <c r="U559">
        <f>68377.23</f>
        <v>68377.23</v>
      </c>
      <c r="V559">
        <f>550.96</f>
        <v>550.96</v>
      </c>
    </row>
    <row r="560" spans="1:22" x14ac:dyDescent="0.2">
      <c r="A560" s="1">
        <v>44323</v>
      </c>
      <c r="B560">
        <f>2399.77</f>
        <v>2399.77</v>
      </c>
      <c r="C560">
        <f>11729.4</f>
        <v>11729.4</v>
      </c>
      <c r="D560">
        <f>6909.36</f>
        <v>6909.36</v>
      </c>
      <c r="E560">
        <f>3204.405</f>
        <v>3204.4050000000002</v>
      </c>
      <c r="F560">
        <f>2150.34</f>
        <v>2150.34</v>
      </c>
      <c r="G560">
        <f>9504.411</f>
        <v>9504.4110000000001</v>
      </c>
      <c r="H560">
        <f>3877.58</f>
        <v>3877.58</v>
      </c>
      <c r="I560">
        <f>14079.52</f>
        <v>14079.52</v>
      </c>
      <c r="J560">
        <f>5404.7</f>
        <v>5404.7</v>
      </c>
      <c r="K560">
        <f>18514.38</f>
        <v>18514.38</v>
      </c>
      <c r="L560">
        <f>2658.47</f>
        <v>2658.47</v>
      </c>
      <c r="M560">
        <f>12970.77</f>
        <v>12970.77</v>
      </c>
      <c r="N560">
        <f>406.231</f>
        <v>406.23099999999999</v>
      </c>
      <c r="O560">
        <f>3678.21</f>
        <v>3678.21</v>
      </c>
      <c r="P560">
        <f>297.08</f>
        <v>297.08</v>
      </c>
      <c r="Q560">
        <f>3900.244</f>
        <v>3900.2440000000001</v>
      </c>
      <c r="R560">
        <f>8787.82</f>
        <v>8787.82</v>
      </c>
      <c r="S560">
        <f>3048.36</f>
        <v>3048.36</v>
      </c>
      <c r="T560">
        <f>3719.457</f>
        <v>3719.4569999999999</v>
      </c>
      <c r="U560">
        <f>68519.53</f>
        <v>68519.53</v>
      </c>
      <c r="V560">
        <f>548.61</f>
        <v>548.61</v>
      </c>
    </row>
    <row r="561" spans="1:22" x14ac:dyDescent="0.2">
      <c r="A561" s="1">
        <v>44322</v>
      </c>
      <c r="B561">
        <f>2382.52</f>
        <v>2382.52</v>
      </c>
      <c r="C561">
        <f>11602.8</f>
        <v>11602.8</v>
      </c>
      <c r="D561">
        <f>6857.48</f>
        <v>6857.48</v>
      </c>
      <c r="E561">
        <f>3185.901</f>
        <v>3185.9009999999998</v>
      </c>
      <c r="F561">
        <f>2121.47</f>
        <v>2121.4699999999998</v>
      </c>
      <c r="G561">
        <f>9375.161</f>
        <v>9375.1610000000001</v>
      </c>
      <c r="H561">
        <f>3823.37</f>
        <v>3823.37</v>
      </c>
      <c r="I561">
        <f>13849.95</f>
        <v>13849.95</v>
      </c>
      <c r="J561">
        <f>5381.49</f>
        <v>5381.49</v>
      </c>
      <c r="K561">
        <f>18370.08</f>
        <v>18370.080000000002</v>
      </c>
      <c r="L561">
        <f>2635.95</f>
        <v>2635.95</v>
      </c>
      <c r="M561">
        <f>12848.51</f>
        <v>12848.51</v>
      </c>
      <c r="N561">
        <f>403.97</f>
        <v>403.97</v>
      </c>
      <c r="O561">
        <f>3645.73</f>
        <v>3645.73</v>
      </c>
      <c r="P561">
        <f>293.8</f>
        <v>293.8</v>
      </c>
      <c r="Q561">
        <f>3877.269</f>
        <v>3877.2689999999998</v>
      </c>
      <c r="R561">
        <f>8722.04</f>
        <v>8722.0400000000009</v>
      </c>
      <c r="S561">
        <f>3039.45</f>
        <v>3039.45</v>
      </c>
      <c r="T561">
        <f>3672.439</f>
        <v>3672.4389999999999</v>
      </c>
      <c r="U561">
        <f>67608.89</f>
        <v>67608.89</v>
      </c>
      <c r="V561">
        <f>542.07</f>
        <v>542.07000000000005</v>
      </c>
    </row>
    <row r="562" spans="1:22" x14ac:dyDescent="0.2">
      <c r="A562" s="1">
        <v>44321</v>
      </c>
      <c r="B562">
        <f>2354.36</f>
        <v>2354.36</v>
      </c>
      <c r="C562">
        <f>11489.53</f>
        <v>11489.53</v>
      </c>
      <c r="D562">
        <f>6815.15</f>
        <v>6815.15</v>
      </c>
      <c r="E562">
        <f>3167.185</f>
        <v>3167.1849999999999</v>
      </c>
      <c r="F562">
        <f>2102.16</f>
        <v>2102.16</v>
      </c>
      <c r="G562">
        <f>9324.946</f>
        <v>9324.9459999999999</v>
      </c>
      <c r="H562">
        <f>3746.75</f>
        <v>3746.75</v>
      </c>
      <c r="I562">
        <f>13794.25</f>
        <v>13794.25</v>
      </c>
      <c r="J562">
        <f>5330.67</f>
        <v>5330.67</v>
      </c>
      <c r="K562">
        <f>18246.42</f>
        <v>18246.419999999998</v>
      </c>
      <c r="L562">
        <f>2611</f>
        <v>2611</v>
      </c>
      <c r="M562">
        <f>12761.28</f>
        <v>12761.28</v>
      </c>
      <c r="N562">
        <f>404.596</f>
        <v>404.596</v>
      </c>
      <c r="O562">
        <f>3647</f>
        <v>3647</v>
      </c>
      <c r="P562" t="e">
        <f>NA()</f>
        <v>#N/A</v>
      </c>
      <c r="Q562">
        <f>3854.856</f>
        <v>3854.8560000000002</v>
      </c>
      <c r="R562">
        <f>8650.04</f>
        <v>8650.0400000000009</v>
      </c>
      <c r="S562" t="e">
        <f>NA()</f>
        <v>#N/A</v>
      </c>
      <c r="T562">
        <f>3626.006</f>
        <v>3626.0059999999999</v>
      </c>
      <c r="U562">
        <f>67346.19</f>
        <v>67346.19</v>
      </c>
      <c r="V562">
        <f>536.28</f>
        <v>536.28</v>
      </c>
    </row>
    <row r="563" spans="1:22" x14ac:dyDescent="0.2">
      <c r="A563" s="1">
        <v>44320</v>
      </c>
      <c r="B563">
        <f>2321.98</f>
        <v>2321.98</v>
      </c>
      <c r="C563">
        <f>11417.94</f>
        <v>11417.94</v>
      </c>
      <c r="D563">
        <f>6702.72</f>
        <v>6702.72</v>
      </c>
      <c r="E563">
        <f>3171.585</f>
        <v>3171.585</v>
      </c>
      <c r="F563">
        <f>2077.4</f>
        <v>2077.4</v>
      </c>
      <c r="G563">
        <f>9158.534</f>
        <v>9158.5339999999997</v>
      </c>
      <c r="H563">
        <f>3747.26</f>
        <v>3747.26</v>
      </c>
      <c r="I563">
        <f>13572.76</f>
        <v>13572.76</v>
      </c>
      <c r="J563">
        <f>5314.93</f>
        <v>5314.93</v>
      </c>
      <c r="K563">
        <f>18249</f>
        <v>18249</v>
      </c>
      <c r="L563">
        <f>2593.5</f>
        <v>2593.5</v>
      </c>
      <c r="M563">
        <f>12715.17</f>
        <v>12715.17</v>
      </c>
      <c r="N563">
        <f>398.355</f>
        <v>398.35500000000002</v>
      </c>
      <c r="O563">
        <f>3577.55</f>
        <v>3577.55</v>
      </c>
      <c r="P563" t="e">
        <f>NA()</f>
        <v>#N/A</v>
      </c>
      <c r="Q563">
        <f>3842.635</f>
        <v>3842.6350000000002</v>
      </c>
      <c r="R563">
        <f>8643.91</f>
        <v>8643.91</v>
      </c>
      <c r="S563" t="e">
        <f>NA()</f>
        <v>#N/A</v>
      </c>
      <c r="T563">
        <f>3576.354</f>
        <v>3576.3539999999998</v>
      </c>
      <c r="U563">
        <f>66173.97</f>
        <v>66173.97</v>
      </c>
      <c r="V563">
        <f>523.87</f>
        <v>523.87</v>
      </c>
    </row>
    <row r="564" spans="1:22" x14ac:dyDescent="0.2">
      <c r="A564" s="1">
        <v>44319</v>
      </c>
      <c r="B564" t="e">
        <f>NA()</f>
        <v>#N/A</v>
      </c>
      <c r="C564">
        <f>11437.27</f>
        <v>11437.27</v>
      </c>
      <c r="D564" t="e">
        <f>NA()</f>
        <v>#N/A</v>
      </c>
      <c r="E564">
        <f>3180.794</f>
        <v>3180.7939999999999</v>
      </c>
      <c r="F564">
        <f>2088.57</f>
        <v>2088.5700000000002</v>
      </c>
      <c r="G564">
        <f>9238.838</f>
        <v>9238.8379999999997</v>
      </c>
      <c r="H564">
        <f>3756.72</f>
        <v>3756.72</v>
      </c>
      <c r="I564">
        <f>13842.35</f>
        <v>13842.35</v>
      </c>
      <c r="J564">
        <f>5297.4</f>
        <v>5297.4</v>
      </c>
      <c r="K564">
        <f>18393.36</f>
        <v>18393.36</v>
      </c>
      <c r="L564">
        <f>2596.14</f>
        <v>2596.14</v>
      </c>
      <c r="M564">
        <f>12828.39</f>
        <v>12828.39</v>
      </c>
      <c r="N564">
        <f>401.584</f>
        <v>401.584</v>
      </c>
      <c r="O564">
        <f>3626.53</f>
        <v>3626.53</v>
      </c>
      <c r="P564" t="e">
        <f>NA()</f>
        <v>#N/A</v>
      </c>
      <c r="Q564">
        <f>3818.434</f>
        <v>3818.4340000000002</v>
      </c>
      <c r="R564">
        <f>8702.02</f>
        <v>8702.02</v>
      </c>
      <c r="S564" t="e">
        <f>NA()</f>
        <v>#N/A</v>
      </c>
      <c r="T564">
        <f>3585.605</f>
        <v>3585.605</v>
      </c>
      <c r="U564">
        <f>66586.24</f>
        <v>66586.240000000005</v>
      </c>
      <c r="V564">
        <f>524.76</f>
        <v>524.76</v>
      </c>
    </row>
    <row r="565" spans="1:22" x14ac:dyDescent="0.2">
      <c r="A565" s="1">
        <v>44316</v>
      </c>
      <c r="B565">
        <f>2323.61</f>
        <v>2323.61</v>
      </c>
      <c r="C565">
        <f>11492.34</f>
        <v>11492.34</v>
      </c>
      <c r="D565">
        <f>6747.87</f>
        <v>6747.87</v>
      </c>
      <c r="E565">
        <f>3201.29</f>
        <v>3201.29</v>
      </c>
      <c r="F565">
        <f>2076.28</f>
        <v>2076.2800000000002</v>
      </c>
      <c r="G565">
        <f>9184.444</f>
        <v>9184.4439999999995</v>
      </c>
      <c r="H565">
        <f>3743.66</f>
        <v>3743.66</v>
      </c>
      <c r="I565">
        <f>13709.76</f>
        <v>13709.76</v>
      </c>
      <c r="J565">
        <f>5241.33</f>
        <v>5241.33</v>
      </c>
      <c r="K565">
        <f>18358.84</f>
        <v>18358.84</v>
      </c>
      <c r="L565">
        <f>2571.68</f>
        <v>2571.6799999999998</v>
      </c>
      <c r="M565">
        <f>12784.97</f>
        <v>12784.97</v>
      </c>
      <c r="N565">
        <f>399.564</f>
        <v>399.56400000000002</v>
      </c>
      <c r="O565">
        <f>3605.83</f>
        <v>3605.83</v>
      </c>
      <c r="P565">
        <f>287.2</f>
        <v>287.2</v>
      </c>
      <c r="Q565">
        <f>3776.56</f>
        <v>3776.56</v>
      </c>
      <c r="R565">
        <f>8678.16</f>
        <v>8678.16</v>
      </c>
      <c r="S565">
        <f>2993.46</f>
        <v>2993.46</v>
      </c>
      <c r="T565">
        <f>3609.933</f>
        <v>3609.933</v>
      </c>
      <c r="U565">
        <f>66937</f>
        <v>66937</v>
      </c>
      <c r="V565">
        <f>529.72</f>
        <v>529.72</v>
      </c>
    </row>
    <row r="566" spans="1:22" x14ac:dyDescent="0.2">
      <c r="A566" s="1">
        <v>44315</v>
      </c>
      <c r="B566">
        <f>2308.68</f>
        <v>2308.6799999999998</v>
      </c>
      <c r="C566">
        <f>11639.53</f>
        <v>11639.53</v>
      </c>
      <c r="D566">
        <f>6739.81</f>
        <v>6739.81</v>
      </c>
      <c r="E566">
        <f>3241.265</f>
        <v>3241.2649999999999</v>
      </c>
      <c r="F566">
        <f>2074.22</f>
        <v>2074.2199999999998</v>
      </c>
      <c r="G566">
        <f>9234.735</f>
        <v>9234.7350000000006</v>
      </c>
      <c r="H566">
        <f>3787.83</f>
        <v>3787.83</v>
      </c>
      <c r="I566">
        <f>13848.65</f>
        <v>13848.65</v>
      </c>
      <c r="J566">
        <f>5258.74</f>
        <v>5258.74</v>
      </c>
      <c r="K566">
        <f>18493.76</f>
        <v>18493.759999999998</v>
      </c>
      <c r="L566">
        <f>2583.8</f>
        <v>2583.8000000000002</v>
      </c>
      <c r="M566">
        <f>12889.72</f>
        <v>12889.72</v>
      </c>
      <c r="N566">
        <f>400.029</f>
        <v>400.029</v>
      </c>
      <c r="O566">
        <f>3617.17</f>
        <v>3617.17</v>
      </c>
      <c r="P566" t="e">
        <f>NA()</f>
        <v>#N/A</v>
      </c>
      <c r="Q566">
        <f>3796.183</f>
        <v>3796.183</v>
      </c>
      <c r="R566">
        <f>8740.35</f>
        <v>8740.35</v>
      </c>
      <c r="S566" t="e">
        <f>NA()</f>
        <v>#N/A</v>
      </c>
      <c r="T566">
        <f>3643.552</f>
        <v>3643.5520000000001</v>
      </c>
      <c r="U566">
        <f>67392.73</f>
        <v>67392.73</v>
      </c>
      <c r="V566">
        <f>538.1</f>
        <v>538.1</v>
      </c>
    </row>
    <row r="567" spans="1:22" x14ac:dyDescent="0.2">
      <c r="A567" s="1">
        <v>44314</v>
      </c>
      <c r="B567">
        <f>2315.24</f>
        <v>2315.2399999999998</v>
      </c>
      <c r="C567">
        <f>11652.77</f>
        <v>11652.77</v>
      </c>
      <c r="D567">
        <f>6738.86</f>
        <v>6738.86</v>
      </c>
      <c r="E567">
        <f>3242.008</f>
        <v>3242.0079999999998</v>
      </c>
      <c r="F567">
        <f>2073.53</f>
        <v>2073.5300000000002</v>
      </c>
      <c r="G567">
        <f>9202.833</f>
        <v>9202.8330000000005</v>
      </c>
      <c r="H567">
        <f>3789.23</f>
        <v>3789.23</v>
      </c>
      <c r="I567">
        <f>13869.83</f>
        <v>13869.83</v>
      </c>
      <c r="J567">
        <f>5214.83</f>
        <v>5214.83</v>
      </c>
      <c r="K567">
        <f>18387.28</f>
        <v>18387.28</v>
      </c>
      <c r="L567">
        <f>2572.25</f>
        <v>2572.25</v>
      </c>
      <c r="M567">
        <f>12838.4</f>
        <v>12838.4</v>
      </c>
      <c r="N567">
        <f>400.13</f>
        <v>400.13</v>
      </c>
      <c r="O567">
        <f>3623.76</f>
        <v>3623.76</v>
      </c>
      <c r="P567">
        <f>289.14</f>
        <v>289.14</v>
      </c>
      <c r="Q567">
        <f>3753.901</f>
        <v>3753.9009999999998</v>
      </c>
      <c r="R567">
        <f>8681.17</f>
        <v>8681.17</v>
      </c>
      <c r="S567">
        <f>3010.06</f>
        <v>3010.06</v>
      </c>
      <c r="T567">
        <f>3657.346</f>
        <v>3657.346</v>
      </c>
      <c r="U567">
        <f>67740.11</f>
        <v>67740.11</v>
      </c>
      <c r="V567">
        <f>540.17</f>
        <v>540.16999999999996</v>
      </c>
    </row>
    <row r="568" spans="1:22" x14ac:dyDescent="0.2">
      <c r="A568" s="1">
        <v>44313</v>
      </c>
      <c r="B568">
        <f>2312.13</f>
        <v>2312.13</v>
      </c>
      <c r="C568">
        <f>11611.31</f>
        <v>11611.31</v>
      </c>
      <c r="D568">
        <f>6720.76</f>
        <v>6720.76</v>
      </c>
      <c r="E568">
        <f>3234.626</f>
        <v>3234.6260000000002</v>
      </c>
      <c r="F568">
        <f>2084.77</f>
        <v>2084.77</v>
      </c>
      <c r="G568">
        <f>9185.663</f>
        <v>9185.6630000000005</v>
      </c>
      <c r="H568">
        <f>3780.43</f>
        <v>3780.43</v>
      </c>
      <c r="I568">
        <f>13855.94</f>
        <v>13855.94</v>
      </c>
      <c r="J568">
        <f>5227.7</f>
        <v>5227.7</v>
      </c>
      <c r="K568">
        <f>18407.06</f>
        <v>18407.060000000001</v>
      </c>
      <c r="L568">
        <f>2574.08</f>
        <v>2574.08</v>
      </c>
      <c r="M568">
        <f>12837.87</f>
        <v>12837.87</v>
      </c>
      <c r="N568">
        <f>401.242</f>
        <v>401.24200000000002</v>
      </c>
      <c r="O568">
        <f>3620.9</f>
        <v>3620.9</v>
      </c>
      <c r="P568">
        <f>288.26</f>
        <v>288.26</v>
      </c>
      <c r="Q568">
        <f>3758.342</f>
        <v>3758.3420000000001</v>
      </c>
      <c r="R568">
        <f>8688.45</f>
        <v>8688.4500000000007</v>
      </c>
      <c r="S568">
        <f>3001.33</f>
        <v>3001.33</v>
      </c>
      <c r="T568" t="e">
        <f>NA()</f>
        <v>#N/A</v>
      </c>
      <c r="U568" t="e">
        <f>NA()</f>
        <v>#N/A</v>
      </c>
      <c r="V568" t="e">
        <f>NA()</f>
        <v>#N/A</v>
      </c>
    </row>
    <row r="569" spans="1:22" x14ac:dyDescent="0.2">
      <c r="A569" s="1">
        <v>44312</v>
      </c>
      <c r="B569">
        <f>2325.49</f>
        <v>2325.4899999999998</v>
      </c>
      <c r="C569">
        <f>11606</f>
        <v>11606</v>
      </c>
      <c r="D569">
        <f>6738.32</f>
        <v>6738.32</v>
      </c>
      <c r="E569">
        <f>3231.347</f>
        <v>3231.3470000000002</v>
      </c>
      <c r="F569">
        <f>2099.51</f>
        <v>2099.5100000000002</v>
      </c>
      <c r="G569">
        <f>9193.881</f>
        <v>9193.8809999999994</v>
      </c>
      <c r="H569">
        <f>3823.79</f>
        <v>3823.79</v>
      </c>
      <c r="I569">
        <f>13859.78</f>
        <v>13859.78</v>
      </c>
      <c r="J569">
        <f>5228.18</f>
        <v>5228.18</v>
      </c>
      <c r="K569">
        <f>18414.27</f>
        <v>18414.27</v>
      </c>
      <c r="L569">
        <f>2578.55</f>
        <v>2578.5500000000002</v>
      </c>
      <c r="M569">
        <f>12855.14</f>
        <v>12855.14</v>
      </c>
      <c r="N569">
        <f>401.039</f>
        <v>401.03899999999999</v>
      </c>
      <c r="O569">
        <f>3622.3</f>
        <v>3622.3</v>
      </c>
      <c r="P569">
        <f>288.99</f>
        <v>288.99</v>
      </c>
      <c r="Q569">
        <f>3755.938</f>
        <v>3755.9380000000001</v>
      </c>
      <c r="R569">
        <f>8690.26</f>
        <v>8690.26</v>
      </c>
      <c r="S569">
        <f>3024.34</f>
        <v>3024.34</v>
      </c>
      <c r="T569">
        <f>3662.896</f>
        <v>3662.8960000000002</v>
      </c>
      <c r="U569">
        <f>67572.58</f>
        <v>67572.58</v>
      </c>
      <c r="V569">
        <f>540.2</f>
        <v>540.20000000000005</v>
      </c>
    </row>
    <row r="570" spans="1:22" x14ac:dyDescent="0.2">
      <c r="A570" s="1">
        <v>44309</v>
      </c>
      <c r="B570">
        <f>2316.57</f>
        <v>2316.5700000000002</v>
      </c>
      <c r="C570">
        <f>11587.73</f>
        <v>11587.73</v>
      </c>
      <c r="D570">
        <f>6714.56</f>
        <v>6714.56</v>
      </c>
      <c r="E570">
        <f>3213.178</f>
        <v>3213.1779999999999</v>
      </c>
      <c r="F570">
        <f>2083.21</f>
        <v>2083.21</v>
      </c>
      <c r="G570">
        <f>9128.706</f>
        <v>9128.7060000000001</v>
      </c>
      <c r="H570">
        <f>3828.07</f>
        <v>3828.07</v>
      </c>
      <c r="I570">
        <f>13798.35</f>
        <v>13798.35</v>
      </c>
      <c r="J570">
        <f>5256.4</f>
        <v>5256.4</v>
      </c>
      <c r="K570">
        <f>18370.26</f>
        <v>18370.259999999998</v>
      </c>
      <c r="L570">
        <f>2583.05</f>
        <v>2583.0500000000002</v>
      </c>
      <c r="M570">
        <f>12811.24</f>
        <v>12811.24</v>
      </c>
      <c r="N570">
        <f>401.237</f>
        <v>401.23700000000002</v>
      </c>
      <c r="O570">
        <f>3612.94</f>
        <v>3612.94</v>
      </c>
      <c r="P570">
        <f>289.75</f>
        <v>289.75</v>
      </c>
      <c r="Q570">
        <f>3771.541</f>
        <v>3771.5410000000002</v>
      </c>
      <c r="R570">
        <f>8674.8</f>
        <v>8674.7999999999993</v>
      </c>
      <c r="S570">
        <f>3019.34</f>
        <v>3019.34</v>
      </c>
      <c r="T570">
        <f>3651.026</f>
        <v>3651.0259999999998</v>
      </c>
      <c r="U570">
        <f>67295.74</f>
        <v>67295.740000000005</v>
      </c>
      <c r="V570">
        <f>535.32</f>
        <v>535.32000000000005</v>
      </c>
    </row>
    <row r="571" spans="1:22" x14ac:dyDescent="0.2">
      <c r="A571" s="1">
        <v>44308</v>
      </c>
      <c r="B571">
        <f>2318.96</f>
        <v>2318.96</v>
      </c>
      <c r="C571">
        <f>11536.47</f>
        <v>11536.47</v>
      </c>
      <c r="D571">
        <f>6714.25</f>
        <v>6714.25</v>
      </c>
      <c r="E571">
        <f>3185.482</f>
        <v>3185.482</v>
      </c>
      <c r="F571">
        <f>2083.32</f>
        <v>2083.3200000000002</v>
      </c>
      <c r="G571">
        <f>9138.132</f>
        <v>9138.1319999999996</v>
      </c>
      <c r="H571">
        <f>3852.19</f>
        <v>3852.19</v>
      </c>
      <c r="I571">
        <f>13778.84</f>
        <v>13778.84</v>
      </c>
      <c r="J571">
        <f>5235.15</f>
        <v>5235.1499999999996</v>
      </c>
      <c r="K571">
        <f>18163.46</f>
        <v>18163.46</v>
      </c>
      <c r="L571">
        <f>2579.77</f>
        <v>2579.77</v>
      </c>
      <c r="M571">
        <f>12714.31</f>
        <v>12714.31</v>
      </c>
      <c r="N571">
        <f>403.169</f>
        <v>403.16899999999998</v>
      </c>
      <c r="O571">
        <f>3619.41</f>
        <v>3619.41</v>
      </c>
      <c r="P571">
        <f>291.49</f>
        <v>291.49</v>
      </c>
      <c r="Q571">
        <f>3746.673</f>
        <v>3746.6729999999998</v>
      </c>
      <c r="R571">
        <f>8580.73</f>
        <v>8580.73</v>
      </c>
      <c r="S571">
        <f>3031.2</f>
        <v>3031.2</v>
      </c>
      <c r="T571">
        <f>3658.84</f>
        <v>3658.84</v>
      </c>
      <c r="U571">
        <f>66971.59</f>
        <v>66971.59</v>
      </c>
      <c r="V571">
        <f>536.52</f>
        <v>536.52</v>
      </c>
    </row>
    <row r="572" spans="1:22" x14ac:dyDescent="0.2">
      <c r="A572" s="1">
        <v>44307</v>
      </c>
      <c r="B572">
        <f>2312.53</f>
        <v>2312.5300000000002</v>
      </c>
      <c r="C572">
        <f>11516.31</f>
        <v>11516.31</v>
      </c>
      <c r="D572">
        <f>6668.56</f>
        <v>6668.56</v>
      </c>
      <c r="E572">
        <f>3174.065</f>
        <v>3174.0650000000001</v>
      </c>
      <c r="F572">
        <f>2103.27</f>
        <v>2103.27</v>
      </c>
      <c r="G572">
        <f>9137.636</f>
        <v>9137.6360000000004</v>
      </c>
      <c r="H572">
        <f>3790.36</f>
        <v>3790.36</v>
      </c>
      <c r="I572">
        <f>13670.6</f>
        <v>13670.6</v>
      </c>
      <c r="J572">
        <f>5281.63</f>
        <v>5281.63</v>
      </c>
      <c r="K572">
        <f>18317.39</f>
        <v>18317.39</v>
      </c>
      <c r="L572">
        <f>2588.14</f>
        <v>2588.14</v>
      </c>
      <c r="M572">
        <f>12752.39</f>
        <v>12752.39</v>
      </c>
      <c r="N572">
        <f>401.224</f>
        <v>401.22399999999999</v>
      </c>
      <c r="O572">
        <f>3595.17</f>
        <v>3595.17</v>
      </c>
      <c r="P572">
        <f>288.4</f>
        <v>288.39999999999998</v>
      </c>
      <c r="Q572">
        <f>3773.759</f>
        <v>3773.759</v>
      </c>
      <c r="R572">
        <f>8659.8</f>
        <v>8659.7999999999993</v>
      </c>
      <c r="S572">
        <f>2977.1</f>
        <v>2977.1</v>
      </c>
      <c r="T572">
        <f>3668.411</f>
        <v>3668.4110000000001</v>
      </c>
      <c r="U572">
        <f>67145.75</f>
        <v>67145.75</v>
      </c>
      <c r="V572">
        <f>539.5</f>
        <v>539.5</v>
      </c>
    </row>
    <row r="573" spans="1:22" x14ac:dyDescent="0.2">
      <c r="A573" s="1">
        <v>44306</v>
      </c>
      <c r="B573">
        <f>2305.42</f>
        <v>2305.42</v>
      </c>
      <c r="C573">
        <f>11589.04</f>
        <v>11589.04</v>
      </c>
      <c r="D573">
        <f>6634.3</f>
        <v>6634.3</v>
      </c>
      <c r="E573">
        <f>3199.529</f>
        <v>3199.529</v>
      </c>
      <c r="F573">
        <f>2090.11</f>
        <v>2090.11</v>
      </c>
      <c r="G573">
        <f>9101.085</f>
        <v>9101.0849999999991</v>
      </c>
      <c r="H573">
        <f>3867.53</f>
        <v>3867.53</v>
      </c>
      <c r="I573">
        <f>13589.95</f>
        <v>13589.95</v>
      </c>
      <c r="J573">
        <f>5242.05</f>
        <v>5242.05</v>
      </c>
      <c r="K573">
        <f>18148.98</f>
        <v>18148.98</v>
      </c>
      <c r="L573">
        <f>2575.82</f>
        <v>2575.8200000000002</v>
      </c>
      <c r="M573">
        <f>12677.26</f>
        <v>12677.26</v>
      </c>
      <c r="N573">
        <f>398.632</f>
        <v>398.63200000000001</v>
      </c>
      <c r="O573">
        <f>3569.38</f>
        <v>3569.38</v>
      </c>
      <c r="P573">
        <f>293.82</f>
        <v>293.82</v>
      </c>
      <c r="Q573">
        <f>3727.03</f>
        <v>3727.03</v>
      </c>
      <c r="R573">
        <f>8579.95</f>
        <v>8579.9500000000007</v>
      </c>
      <c r="S573">
        <f>3037.11</f>
        <v>3037.11</v>
      </c>
      <c r="T573">
        <f>3653.344</f>
        <v>3653.3440000000001</v>
      </c>
      <c r="U573">
        <f>66835.52</f>
        <v>66835.520000000004</v>
      </c>
      <c r="V573">
        <f>534.79</f>
        <v>534.79</v>
      </c>
    </row>
    <row r="574" spans="1:22" x14ac:dyDescent="0.2">
      <c r="A574" s="1">
        <v>44305</v>
      </c>
      <c r="B574">
        <f>2360.02</f>
        <v>2360.02</v>
      </c>
      <c r="C574">
        <f>11581.51</f>
        <v>11581.51</v>
      </c>
      <c r="D574">
        <f>6769.9</f>
        <v>6769.9</v>
      </c>
      <c r="E574">
        <f>3201.621</f>
        <v>3201.6210000000001</v>
      </c>
      <c r="F574">
        <f>2160.06</f>
        <v>2160.06</v>
      </c>
      <c r="G574">
        <f>9310.534</f>
        <v>9310.5339999999997</v>
      </c>
      <c r="H574">
        <f>3929.41</f>
        <v>3929.41</v>
      </c>
      <c r="I574">
        <f>13791.69</f>
        <v>13791.69</v>
      </c>
      <c r="J574">
        <f>5243.29</f>
        <v>5243.29</v>
      </c>
      <c r="K574">
        <f>18274.04</f>
        <v>18274.04</v>
      </c>
      <c r="L574">
        <f>2589.65</f>
        <v>2589.65</v>
      </c>
      <c r="M574">
        <f>12798.84</f>
        <v>12798.84</v>
      </c>
      <c r="N574">
        <f>402.772</f>
        <v>402.77199999999999</v>
      </c>
      <c r="O574">
        <f>3636.69</f>
        <v>3636.69</v>
      </c>
      <c r="P574">
        <f>299.01</f>
        <v>299.01</v>
      </c>
      <c r="Q574">
        <f>3727.612</f>
        <v>3727.6120000000001</v>
      </c>
      <c r="R574">
        <f>8638.42</f>
        <v>8638.42</v>
      </c>
      <c r="S574">
        <f>3084.91</f>
        <v>3084.91</v>
      </c>
      <c r="T574">
        <f>3702.984</f>
        <v>3702.9839999999999</v>
      </c>
      <c r="U574">
        <f>68094.28</f>
        <v>68094.28</v>
      </c>
      <c r="V574">
        <f>543.58</f>
        <v>543.58000000000004</v>
      </c>
    </row>
    <row r="575" spans="1:22" x14ac:dyDescent="0.2">
      <c r="A575" s="1">
        <v>44302</v>
      </c>
      <c r="B575">
        <f>2362.84</f>
        <v>2362.84</v>
      </c>
      <c r="C575">
        <f>11568.53</f>
        <v>11568.53</v>
      </c>
      <c r="D575">
        <f>6788.71</f>
        <v>6788.71</v>
      </c>
      <c r="E575">
        <f>3201.926</f>
        <v>3201.9259999999999</v>
      </c>
      <c r="F575">
        <f>2134.65</f>
        <v>2134.65</v>
      </c>
      <c r="G575">
        <f>9217.535</f>
        <v>9217.5349999999999</v>
      </c>
      <c r="H575">
        <f>3899.12</f>
        <v>3899.12</v>
      </c>
      <c r="I575">
        <f>13766.69</f>
        <v>13766.69</v>
      </c>
      <c r="J575">
        <f>5259.25</f>
        <v>5259.25</v>
      </c>
      <c r="K575">
        <f>18380.89</f>
        <v>18380.89</v>
      </c>
      <c r="L575">
        <f>2586.97</f>
        <v>2586.9699999999998</v>
      </c>
      <c r="M575">
        <f>12836.46</f>
        <v>12836.46</v>
      </c>
      <c r="N575">
        <f>401.513</f>
        <v>401.51299999999998</v>
      </c>
      <c r="O575">
        <f>3637.23</f>
        <v>3637.23</v>
      </c>
      <c r="P575">
        <f>299.23</f>
        <v>299.23</v>
      </c>
      <c r="Q575">
        <f>3730.453</f>
        <v>3730.453</v>
      </c>
      <c r="R575">
        <f>8684.51</f>
        <v>8684.51</v>
      </c>
      <c r="S575">
        <f>3091.7</f>
        <v>3091.7</v>
      </c>
      <c r="T575">
        <f>3722.091</f>
        <v>3722.0909999999999</v>
      </c>
      <c r="U575">
        <f>68698.78</f>
        <v>68698.78</v>
      </c>
      <c r="V575">
        <f>546.28</f>
        <v>546.28</v>
      </c>
    </row>
    <row r="576" spans="1:22" x14ac:dyDescent="0.2">
      <c r="A576" s="1">
        <v>44301</v>
      </c>
      <c r="B576">
        <f>2347.04</f>
        <v>2347.04</v>
      </c>
      <c r="C576">
        <f>11489.7</f>
        <v>11489.7</v>
      </c>
      <c r="D576">
        <f>6753.86</f>
        <v>6753.86</v>
      </c>
      <c r="E576">
        <f>3183.731</f>
        <v>3183.7310000000002</v>
      </c>
      <c r="F576">
        <f>2112.54</f>
        <v>2112.54</v>
      </c>
      <c r="G576">
        <f>9154.443</f>
        <v>9154.4429999999993</v>
      </c>
      <c r="H576">
        <f>3888.97</f>
        <v>3888.97</v>
      </c>
      <c r="I576">
        <f>13615.3</f>
        <v>13615.3</v>
      </c>
      <c r="J576">
        <f>5221.92</f>
        <v>5221.92</v>
      </c>
      <c r="K576">
        <f>18327.67</f>
        <v>18327.669999999998</v>
      </c>
      <c r="L576">
        <f>2568.01</f>
        <v>2568.0100000000002</v>
      </c>
      <c r="M576">
        <f>12785.49</f>
        <v>12785.49</v>
      </c>
      <c r="N576">
        <f>398.211</f>
        <v>398.21100000000001</v>
      </c>
      <c r="O576">
        <f>3602.82</f>
        <v>3602.82</v>
      </c>
      <c r="P576">
        <f>299.25</f>
        <v>299.25</v>
      </c>
      <c r="Q576">
        <f>3702.824</f>
        <v>3702.8240000000001</v>
      </c>
      <c r="R576">
        <f>8653.29</f>
        <v>8653.2900000000009</v>
      </c>
      <c r="S576">
        <f>3088.95</f>
        <v>3088.95</v>
      </c>
      <c r="T576">
        <f>3671.112</f>
        <v>3671.1120000000001</v>
      </c>
      <c r="U576">
        <f>67823.09</f>
        <v>67823.09</v>
      </c>
      <c r="V576">
        <f>539.34</f>
        <v>539.34</v>
      </c>
    </row>
    <row r="577" spans="1:22" x14ac:dyDescent="0.2">
      <c r="A577" s="1">
        <v>44300</v>
      </c>
      <c r="B577">
        <f>2336.75</f>
        <v>2336.75</v>
      </c>
      <c r="C577">
        <f>11417.59</f>
        <v>11417.59</v>
      </c>
      <c r="D577">
        <f>6705.64</f>
        <v>6705.64</v>
      </c>
      <c r="E577">
        <f>3172.573</f>
        <v>3172.5729999999999</v>
      </c>
      <c r="F577">
        <f>2091.78</f>
        <v>2091.7800000000002</v>
      </c>
      <c r="G577">
        <f>9081.866</f>
        <v>9081.866</v>
      </c>
      <c r="H577">
        <f>3844.83</f>
        <v>3844.83</v>
      </c>
      <c r="I577">
        <f>13559.04</f>
        <v>13559.04</v>
      </c>
      <c r="J577">
        <f>5191.58</f>
        <v>5191.58</v>
      </c>
      <c r="K577">
        <f>18114.82</f>
        <v>18114.82</v>
      </c>
      <c r="L577">
        <f>2552.71</f>
        <v>2552.71</v>
      </c>
      <c r="M577">
        <f>12662.16</f>
        <v>12662.16</v>
      </c>
      <c r="N577">
        <f>395.595</f>
        <v>395.59500000000003</v>
      </c>
      <c r="O577">
        <f>3585.63</f>
        <v>3585.63</v>
      </c>
      <c r="P577">
        <f>297.22</f>
        <v>297.22000000000003</v>
      </c>
      <c r="Q577">
        <f>3675.946</f>
        <v>3675.9459999999999</v>
      </c>
      <c r="R577">
        <f>8558.16</f>
        <v>8558.16</v>
      </c>
      <c r="S577">
        <f>3077.99</f>
        <v>3077.99</v>
      </c>
      <c r="T577">
        <f>3663.667</f>
        <v>3663.6669999999999</v>
      </c>
      <c r="U577">
        <f>67812.15</f>
        <v>67812.149999999994</v>
      </c>
      <c r="V577">
        <f>538.69</f>
        <v>538.69000000000005</v>
      </c>
    </row>
    <row r="578" spans="1:22" x14ac:dyDescent="0.2">
      <c r="A578" s="1">
        <v>44299</v>
      </c>
      <c r="B578">
        <f>2325.71</f>
        <v>2325.71</v>
      </c>
      <c r="C578">
        <f>11296.4</f>
        <v>11296.4</v>
      </c>
      <c r="D578">
        <f>6658.21</f>
        <v>6658.21</v>
      </c>
      <c r="E578">
        <f>3142.182</f>
        <v>3142.1819999999998</v>
      </c>
      <c r="F578">
        <f>2072.24</f>
        <v>2072.2399999999998</v>
      </c>
      <c r="G578">
        <f>8983.593</f>
        <v>8983.5930000000008</v>
      </c>
      <c r="H578">
        <f>3858.09</f>
        <v>3858.09</v>
      </c>
      <c r="I578">
        <f>13504.73</f>
        <v>13504.73</v>
      </c>
      <c r="J578">
        <f>5184.93</f>
        <v>5184.93</v>
      </c>
      <c r="K578">
        <f>18196.37</f>
        <v>18196.37</v>
      </c>
      <c r="L578">
        <f>2547.64</f>
        <v>2547.64</v>
      </c>
      <c r="M578">
        <f>12681.25</f>
        <v>12681.25</v>
      </c>
      <c r="N578">
        <f>396.513</f>
        <v>396.51299999999998</v>
      </c>
      <c r="O578">
        <f>3577.85</f>
        <v>3577.85</v>
      </c>
      <c r="P578">
        <f>299.48</f>
        <v>299.48</v>
      </c>
      <c r="Q578">
        <f>3670.811</f>
        <v>3670.8110000000001</v>
      </c>
      <c r="R578">
        <f>8592.25</f>
        <v>8592.25</v>
      </c>
      <c r="S578">
        <f>3088.05</f>
        <v>3088.05</v>
      </c>
      <c r="T578">
        <f>3652.452</f>
        <v>3652.4520000000002</v>
      </c>
      <c r="U578">
        <f>67072.49</f>
        <v>67072.490000000005</v>
      </c>
      <c r="V578">
        <f>533.87</f>
        <v>533.87</v>
      </c>
    </row>
    <row r="579" spans="1:22" x14ac:dyDescent="0.2">
      <c r="A579" s="1">
        <v>44298</v>
      </c>
      <c r="B579">
        <f>2327.36</f>
        <v>2327.36</v>
      </c>
      <c r="C579">
        <f>11292.61</f>
        <v>11292.61</v>
      </c>
      <c r="D579">
        <f>6656.88</f>
        <v>6656.88</v>
      </c>
      <c r="E579">
        <f>3138.278</f>
        <v>3138.2779999999998</v>
      </c>
      <c r="F579">
        <f>2080.35</f>
        <v>2080.35</v>
      </c>
      <c r="G579">
        <f>9000.612</f>
        <v>9000.6119999999992</v>
      </c>
      <c r="H579">
        <f>3834.66</f>
        <v>3834.66</v>
      </c>
      <c r="I579">
        <f>13460.2</f>
        <v>13460.2</v>
      </c>
      <c r="J579">
        <f>5200.19</f>
        <v>5200.1899999999996</v>
      </c>
      <c r="K579">
        <f>18116.14</f>
        <v>18116.14</v>
      </c>
      <c r="L579">
        <f>2553.14</f>
        <v>2553.14</v>
      </c>
      <c r="M579">
        <f>12633.3</f>
        <v>12633.3</v>
      </c>
      <c r="N579">
        <f>395.58</f>
        <v>395.58</v>
      </c>
      <c r="O579">
        <f>3576.13</f>
        <v>3576.13</v>
      </c>
      <c r="P579">
        <f>298.76</f>
        <v>298.76</v>
      </c>
      <c r="Q579">
        <f>3688.638</f>
        <v>3688.6379999999999</v>
      </c>
      <c r="R579">
        <f>8564.03</f>
        <v>8564.0300000000007</v>
      </c>
      <c r="S579">
        <f>3081.8</f>
        <v>3081.8</v>
      </c>
      <c r="T579">
        <f>3620.546</f>
        <v>3620.5459999999998</v>
      </c>
      <c r="U579">
        <f>66390.02</f>
        <v>66390.02</v>
      </c>
      <c r="V579">
        <f>528.9</f>
        <v>528.9</v>
      </c>
    </row>
    <row r="580" spans="1:22" x14ac:dyDescent="0.2">
      <c r="A580" s="1">
        <v>44295</v>
      </c>
      <c r="B580">
        <f>2335.88</f>
        <v>2335.88</v>
      </c>
      <c r="C580">
        <f>11352.28</f>
        <v>11352.28</v>
      </c>
      <c r="D580">
        <f>6682.61</f>
        <v>6682.61</v>
      </c>
      <c r="E580">
        <f>3157.288</f>
        <v>3157.288</v>
      </c>
      <c r="F580">
        <f>2084.28</f>
        <v>2084.2800000000002</v>
      </c>
      <c r="G580">
        <f>9022.285</f>
        <v>9022.2849999999999</v>
      </c>
      <c r="H580">
        <f>3834.57</f>
        <v>3834.57</v>
      </c>
      <c r="I580">
        <f>13500.11</f>
        <v>13500.11</v>
      </c>
      <c r="J580">
        <f>5196.07</f>
        <v>5196.07</v>
      </c>
      <c r="K580">
        <f>18117.3</f>
        <v>18117.3</v>
      </c>
      <c r="L580">
        <f>2553.83</f>
        <v>2553.83</v>
      </c>
      <c r="M580">
        <f>12645.52</f>
        <v>12645.52</v>
      </c>
      <c r="N580">
        <f>398.008</f>
        <v>398.00799999999998</v>
      </c>
      <c r="O580">
        <f>3592.31</f>
        <v>3592.31</v>
      </c>
      <c r="P580">
        <f>298.26</f>
        <v>298.26</v>
      </c>
      <c r="Q580">
        <f>3671.372</f>
        <v>3671.3719999999998</v>
      </c>
      <c r="R580">
        <f>8565.57</f>
        <v>8565.57</v>
      </c>
      <c r="S580">
        <f>3089.49</f>
        <v>3089.49</v>
      </c>
      <c r="T580">
        <f>3660.102</f>
        <v>3660.1019999999999</v>
      </c>
      <c r="U580">
        <f>67191.27</f>
        <v>67191.27</v>
      </c>
      <c r="V580">
        <f>531.72</f>
        <v>531.72</v>
      </c>
    </row>
    <row r="581" spans="1:22" x14ac:dyDescent="0.2">
      <c r="A581" s="1">
        <v>44294</v>
      </c>
      <c r="B581">
        <f>2348.6</f>
        <v>2348.6</v>
      </c>
      <c r="C581">
        <f>11437.83</f>
        <v>11437.83</v>
      </c>
      <c r="D581">
        <f>6708.19</f>
        <v>6708.19</v>
      </c>
      <c r="E581">
        <f>3188.069</f>
        <v>3188.069</v>
      </c>
      <c r="F581">
        <f>2108.15</f>
        <v>2108.15</v>
      </c>
      <c r="G581">
        <f>9058.591</f>
        <v>9058.5910000000003</v>
      </c>
      <c r="H581">
        <f>3840.78</f>
        <v>3840.78</v>
      </c>
      <c r="I581">
        <f>13476.06</f>
        <v>13476.06</v>
      </c>
      <c r="J581">
        <f>5166</f>
        <v>5166</v>
      </c>
      <c r="K581">
        <f>17983.7</f>
        <v>17983.7</v>
      </c>
      <c r="L581">
        <f>2547.75</f>
        <v>2547.75</v>
      </c>
      <c r="M581">
        <f>12581.62</f>
        <v>12581.62</v>
      </c>
      <c r="N581">
        <f>396.03</f>
        <v>396.03</v>
      </c>
      <c r="O581">
        <f>3588.82</f>
        <v>3588.82</v>
      </c>
      <c r="P581">
        <f>297.89</f>
        <v>297.89</v>
      </c>
      <c r="Q581">
        <f>3648.52</f>
        <v>3648.52</v>
      </c>
      <c r="R581">
        <f>8499.85</f>
        <v>8499.85</v>
      </c>
      <c r="S581">
        <f>3077.5</f>
        <v>3077.5</v>
      </c>
      <c r="T581">
        <f>3665.554</f>
        <v>3665.5540000000001</v>
      </c>
      <c r="U581">
        <f>67053.97</f>
        <v>67053.97</v>
      </c>
      <c r="V581">
        <f>533.8</f>
        <v>533.79999999999995</v>
      </c>
    </row>
    <row r="582" spans="1:22" x14ac:dyDescent="0.2">
      <c r="A582" s="1">
        <v>44293</v>
      </c>
      <c r="B582">
        <f>2334.83</f>
        <v>2334.83</v>
      </c>
      <c r="C582">
        <f>11417.92</f>
        <v>11417.92</v>
      </c>
      <c r="D582">
        <f>6649.19</f>
        <v>6649.19</v>
      </c>
      <c r="E582">
        <f>3176.855</f>
        <v>3176.855</v>
      </c>
      <c r="F582">
        <f>2096.91</f>
        <v>2096.91</v>
      </c>
      <c r="G582">
        <f>9012.79</f>
        <v>9012.7900000000009</v>
      </c>
      <c r="H582">
        <f>3868.65</f>
        <v>3868.65</v>
      </c>
      <c r="I582">
        <f>13392.95</f>
        <v>13392.95</v>
      </c>
      <c r="J582">
        <f>5167.8</f>
        <v>5167.8</v>
      </c>
      <c r="K582">
        <f>17886.94</f>
        <v>17886.939999999999</v>
      </c>
      <c r="L582">
        <f>2544.91</f>
        <v>2544.91</v>
      </c>
      <c r="M582">
        <f>12516.28</f>
        <v>12516.28</v>
      </c>
      <c r="N582">
        <f>390.7</f>
        <v>390.7</v>
      </c>
      <c r="O582">
        <f>3566.71</f>
        <v>3566.71</v>
      </c>
      <c r="P582">
        <f>301.03</f>
        <v>301.02999999999997</v>
      </c>
      <c r="Q582">
        <f>3654.772</f>
        <v>3654.7719999999999</v>
      </c>
      <c r="R582">
        <f>8462.18</f>
        <v>8462.18</v>
      </c>
      <c r="S582">
        <f>3102.05</f>
        <v>3102.05</v>
      </c>
      <c r="T582">
        <f>3671.209</f>
        <v>3671.2089999999998</v>
      </c>
      <c r="U582">
        <f>67160.42</f>
        <v>67160.42</v>
      </c>
      <c r="V582">
        <f>534.47</f>
        <v>534.47</v>
      </c>
    </row>
    <row r="583" spans="1:22" x14ac:dyDescent="0.2">
      <c r="A583" s="1">
        <v>44292</v>
      </c>
      <c r="B583">
        <f>2306.36</f>
        <v>2306.36</v>
      </c>
      <c r="C583">
        <f>11397.06</f>
        <v>11397.06</v>
      </c>
      <c r="D583">
        <f>6589.53</f>
        <v>6589.53</v>
      </c>
      <c r="E583">
        <f>3195.92</f>
        <v>3195.92</v>
      </c>
      <c r="F583">
        <f>2085.74</f>
        <v>2085.7399999999998</v>
      </c>
      <c r="G583">
        <f>8979.458</f>
        <v>8979.4580000000005</v>
      </c>
      <c r="H583">
        <f>3823.46</f>
        <v>3823.46</v>
      </c>
      <c r="I583">
        <f>13355.77</f>
        <v>13355.77</v>
      </c>
      <c r="J583">
        <f>5175.69</f>
        <v>5175.6899999999996</v>
      </c>
      <c r="K583">
        <f>17866.78</f>
        <v>17866.78</v>
      </c>
      <c r="L583">
        <f>2540.92</f>
        <v>2540.92</v>
      </c>
      <c r="M583">
        <f>12494.68</f>
        <v>12494.68</v>
      </c>
      <c r="N583">
        <f>391.936</f>
        <v>391.93599999999998</v>
      </c>
      <c r="O583">
        <f>3573.27</f>
        <v>3573.27</v>
      </c>
      <c r="P583">
        <f>296.53</f>
        <v>296.52999999999997</v>
      </c>
      <c r="Q583">
        <f>3675.726</f>
        <v>3675.7260000000001</v>
      </c>
      <c r="R583">
        <f>8449.54</f>
        <v>8449.5400000000009</v>
      </c>
      <c r="S583">
        <f>3081.4</f>
        <v>3081.4</v>
      </c>
      <c r="T583">
        <f>3707.52</f>
        <v>3707.52</v>
      </c>
      <c r="U583">
        <f>68063.89</f>
        <v>68063.89</v>
      </c>
      <c r="V583">
        <f>536.47</f>
        <v>536.47</v>
      </c>
    </row>
    <row r="584" spans="1:22" x14ac:dyDescent="0.2">
      <c r="A584" s="1">
        <v>44291</v>
      </c>
      <c r="B584" t="e">
        <f>NA()</f>
        <v>#N/A</v>
      </c>
      <c r="C584">
        <f>11395.49</f>
        <v>11395.49</v>
      </c>
      <c r="D584" t="e">
        <f>NA()</f>
        <v>#N/A</v>
      </c>
      <c r="E584">
        <f>3176.479</f>
        <v>3176.4789999999998</v>
      </c>
      <c r="F584">
        <f>2056.96</f>
        <v>2056.96</v>
      </c>
      <c r="G584">
        <f>8887.889</f>
        <v>8887.8889999999992</v>
      </c>
      <c r="H584">
        <f>3866.17</f>
        <v>3866.17</v>
      </c>
      <c r="I584">
        <f>13228.53</f>
        <v>13228.53</v>
      </c>
      <c r="J584">
        <f>5184.99</f>
        <v>5184.99</v>
      </c>
      <c r="K584">
        <f>17865.76</f>
        <v>17865.759999999998</v>
      </c>
      <c r="L584">
        <f>2539.01</f>
        <v>2539.0100000000002</v>
      </c>
      <c r="M584">
        <f>12479.47</f>
        <v>12479.47</v>
      </c>
      <c r="N584" t="e">
        <f>NA()</f>
        <v>#N/A</v>
      </c>
      <c r="O584" t="e">
        <f>NA()</f>
        <v>#N/A</v>
      </c>
      <c r="P584">
        <f>300.98</f>
        <v>300.98</v>
      </c>
      <c r="Q584">
        <f>3673.65</f>
        <v>3673.65</v>
      </c>
      <c r="R584">
        <f>8457.4</f>
        <v>8457.4</v>
      </c>
      <c r="S584">
        <f>3127.45</f>
        <v>3127.45</v>
      </c>
      <c r="T584" t="e">
        <f>NA()</f>
        <v>#N/A</v>
      </c>
      <c r="U584" t="e">
        <f>NA()</f>
        <v>#N/A</v>
      </c>
      <c r="V584" t="e">
        <f>NA()</f>
        <v>#N/A</v>
      </c>
    </row>
    <row r="585" spans="1:22" x14ac:dyDescent="0.2">
      <c r="A585" s="1">
        <v>44288</v>
      </c>
      <c r="B585" t="e">
        <f>NA()</f>
        <v>#N/A</v>
      </c>
      <c r="C585">
        <f>11360.73</f>
        <v>11360.73</v>
      </c>
      <c r="D585" t="e">
        <f>NA()</f>
        <v>#N/A</v>
      </c>
      <c r="E585">
        <f>3175.094</f>
        <v>3175.0940000000001</v>
      </c>
      <c r="F585">
        <f>2046.22</f>
        <v>2046.22</v>
      </c>
      <c r="G585">
        <f>8841.509</f>
        <v>8841.509</v>
      </c>
      <c r="H585">
        <f>3825.18</f>
        <v>3825.18</v>
      </c>
      <c r="I585">
        <f>13179.11</f>
        <v>13179.11</v>
      </c>
      <c r="J585">
        <f>5130.43</f>
        <v>5130.43</v>
      </c>
      <c r="K585">
        <f>17625.54</f>
        <v>17625.54</v>
      </c>
      <c r="L585">
        <f>2519.62</f>
        <v>2519.62</v>
      </c>
      <c r="M585">
        <f>12343.25</f>
        <v>12343.25</v>
      </c>
      <c r="N585" t="e">
        <f>NA()</f>
        <v>#N/A</v>
      </c>
      <c r="O585" t="e">
        <f>NA()</f>
        <v>#N/A</v>
      </c>
      <c r="P585">
        <f>297.49</f>
        <v>297.49</v>
      </c>
      <c r="Q585" t="e">
        <f>NA()</f>
        <v>#N/A</v>
      </c>
      <c r="R585" t="e">
        <f>NA()</f>
        <v>#N/A</v>
      </c>
      <c r="S585">
        <f>3108.65</f>
        <v>3108.65</v>
      </c>
      <c r="T585" t="e">
        <f>NA()</f>
        <v>#N/A</v>
      </c>
      <c r="U585" t="e">
        <f>NA()</f>
        <v>#N/A</v>
      </c>
      <c r="V585" t="e">
        <f>NA()</f>
        <v>#N/A</v>
      </c>
    </row>
    <row r="586" spans="1:22" x14ac:dyDescent="0.2">
      <c r="A586" s="1">
        <v>44287</v>
      </c>
      <c r="B586">
        <f>2269.13</f>
        <v>2269.13</v>
      </c>
      <c r="C586">
        <f>11345.18</f>
        <v>11345.18</v>
      </c>
      <c r="D586">
        <f>6506.24</f>
        <v>6506.24</v>
      </c>
      <c r="E586">
        <f>3167.986</f>
        <v>3167.9859999999999</v>
      </c>
      <c r="F586">
        <f>2046.22</f>
        <v>2046.22</v>
      </c>
      <c r="G586">
        <f>8841.509</f>
        <v>8841.509</v>
      </c>
      <c r="H586">
        <f>3822.12</f>
        <v>3822.12</v>
      </c>
      <c r="I586">
        <f>13179.11</f>
        <v>13179.11</v>
      </c>
      <c r="J586">
        <f>5130.43</f>
        <v>5130.43</v>
      </c>
      <c r="K586">
        <f>17625.54</f>
        <v>17625.54</v>
      </c>
      <c r="L586">
        <f>2518.82</f>
        <v>2518.8200000000002</v>
      </c>
      <c r="M586">
        <f>12335.87</f>
        <v>12335.87</v>
      </c>
      <c r="N586">
        <f>389.477</f>
        <v>389.47699999999998</v>
      </c>
      <c r="O586">
        <f>3550.05</f>
        <v>3550.05</v>
      </c>
      <c r="P586">
        <f>298.98</f>
        <v>298.98</v>
      </c>
      <c r="Q586">
        <f>3637.604</f>
        <v>3637.6039999999998</v>
      </c>
      <c r="R586">
        <f>8335.91</f>
        <v>8335.91</v>
      </c>
      <c r="S586">
        <f>3086.61</f>
        <v>3086.61</v>
      </c>
      <c r="T586">
        <f>3683.363</f>
        <v>3683.3629999999998</v>
      </c>
      <c r="U586">
        <f>67236.31</f>
        <v>67236.31</v>
      </c>
      <c r="V586">
        <f>529.01</f>
        <v>529.01</v>
      </c>
    </row>
    <row r="587" spans="1:22" x14ac:dyDescent="0.2">
      <c r="A587" s="1">
        <v>44286</v>
      </c>
      <c r="B587">
        <f>2266.9</f>
        <v>2266.9</v>
      </c>
      <c r="C587">
        <f>11367.01</f>
        <v>11367.01</v>
      </c>
      <c r="D587">
        <f>6481.71</f>
        <v>6481.71</v>
      </c>
      <c r="E587">
        <f>3123.11</f>
        <v>3123.11</v>
      </c>
      <c r="F587">
        <f>2048.14</f>
        <v>2048.14</v>
      </c>
      <c r="G587">
        <f>8798.737</f>
        <v>8798.7369999999992</v>
      </c>
      <c r="H587">
        <f>3840.49</f>
        <v>3840.49</v>
      </c>
      <c r="I587">
        <f>13086.29</f>
        <v>13086.29</v>
      </c>
      <c r="J587">
        <f>5116.09</f>
        <v>5116.09</v>
      </c>
      <c r="K587">
        <f>17411.23</f>
        <v>17411.23</v>
      </c>
      <c r="L587">
        <f>2515.52</f>
        <v>2515.52</v>
      </c>
      <c r="M587">
        <f>12211.12</f>
        <v>12211.12</v>
      </c>
      <c r="N587">
        <f>386.527</f>
        <v>386.52699999999999</v>
      </c>
      <c r="O587">
        <f>3529.2</f>
        <v>3529.2</v>
      </c>
      <c r="P587">
        <f>300.66</f>
        <v>300.66000000000003</v>
      </c>
      <c r="Q587">
        <f>3617.239</f>
        <v>3617.239</v>
      </c>
      <c r="R587">
        <f>8238.48</f>
        <v>8238.48</v>
      </c>
      <c r="S587">
        <f>3080.87</f>
        <v>3080.87</v>
      </c>
      <c r="T587">
        <f>3646.795</f>
        <v>3646.7950000000001</v>
      </c>
      <c r="U587">
        <f>66485.29</f>
        <v>66485.289999999994</v>
      </c>
      <c r="V587">
        <f>528.51</f>
        <v>528.51</v>
      </c>
    </row>
    <row r="588" spans="1:22" x14ac:dyDescent="0.2">
      <c r="A588" s="1">
        <v>44285</v>
      </c>
      <c r="B588">
        <f>2281.56</f>
        <v>2281.56</v>
      </c>
      <c r="C588">
        <f>11359.88</f>
        <v>11359.88</v>
      </c>
      <c r="D588">
        <f>6538.18</f>
        <v>6538.18</v>
      </c>
      <c r="E588">
        <f>3130.353</f>
        <v>3130.3530000000001</v>
      </c>
      <c r="F588">
        <f>2041.88</f>
        <v>2041.88</v>
      </c>
      <c r="G588">
        <f>8825.383</f>
        <v>8825.3829999999998</v>
      </c>
      <c r="H588">
        <f>3915.83</f>
        <v>3915.83</v>
      </c>
      <c r="I588">
        <f>13081.41</f>
        <v>13081.41</v>
      </c>
      <c r="J588">
        <f>5131.71</f>
        <v>5131.71</v>
      </c>
      <c r="K588">
        <f>17324.07</f>
        <v>17324.07</v>
      </c>
      <c r="L588">
        <f>2524.66</f>
        <v>2524.66</v>
      </c>
      <c r="M588">
        <f>12181.27</f>
        <v>12181.27</v>
      </c>
      <c r="N588">
        <f>386.579</f>
        <v>386.57900000000001</v>
      </c>
      <c r="O588">
        <f>3540.59</f>
        <v>3540.59</v>
      </c>
      <c r="P588">
        <f>306.72</f>
        <v>306.72000000000003</v>
      </c>
      <c r="Q588">
        <f>3634.207</f>
        <v>3634.2069999999999</v>
      </c>
      <c r="R588">
        <f>8208.1</f>
        <v>8208.1</v>
      </c>
      <c r="S588">
        <f>3118.48</f>
        <v>3118.48</v>
      </c>
      <c r="T588">
        <f>3692.931</f>
        <v>3692.931</v>
      </c>
      <c r="U588">
        <f>67291.66</f>
        <v>67291.66</v>
      </c>
      <c r="V588">
        <f>535.8</f>
        <v>535.79999999999995</v>
      </c>
    </row>
    <row r="589" spans="1:22" x14ac:dyDescent="0.2">
      <c r="A589" s="1">
        <v>44284</v>
      </c>
      <c r="B589">
        <f>2270.28</f>
        <v>2270.2800000000002</v>
      </c>
      <c r="C589">
        <f>11325.18</f>
        <v>11325.18</v>
      </c>
      <c r="D589">
        <f>6503.46</f>
        <v>6503.46</v>
      </c>
      <c r="E589">
        <f>3106.839</f>
        <v>3106.8389999999999</v>
      </c>
      <c r="F589">
        <f>2031.25</f>
        <v>2031.25</v>
      </c>
      <c r="G589">
        <f>8815.642</f>
        <v>8815.6419999999998</v>
      </c>
      <c r="H589">
        <f>3923.81</f>
        <v>3923.81</v>
      </c>
      <c r="I589">
        <f>13020.54</f>
        <v>13020.54</v>
      </c>
      <c r="J589">
        <f>5155.32</f>
        <v>5155.32</v>
      </c>
      <c r="K589">
        <f>17371.68</f>
        <v>17371.68</v>
      </c>
      <c r="L589">
        <f>2531.98</f>
        <v>2531.98</v>
      </c>
      <c r="M589">
        <f>12199.99</f>
        <v>12199.99</v>
      </c>
      <c r="N589">
        <f>385.9</f>
        <v>385.9</v>
      </c>
      <c r="O589">
        <f>3513.82</f>
        <v>3513.82</v>
      </c>
      <c r="P589">
        <f>305.07</f>
        <v>305.07</v>
      </c>
      <c r="Q589">
        <f>3645.589</f>
        <v>3645.5889999999999</v>
      </c>
      <c r="R589">
        <f>8233.24</f>
        <v>8233.24</v>
      </c>
      <c r="S589">
        <f>3116.15</f>
        <v>3116.15</v>
      </c>
      <c r="T589">
        <f>3685.551</f>
        <v>3685.5509999999999</v>
      </c>
      <c r="U589">
        <f>67089.37</f>
        <v>67089.37</v>
      </c>
      <c r="V589">
        <f>533.43</f>
        <v>533.42999999999995</v>
      </c>
    </row>
    <row r="590" spans="1:22" x14ac:dyDescent="0.2">
      <c r="A590" s="1">
        <v>44281</v>
      </c>
      <c r="B590">
        <f>2272.15</f>
        <v>2272.15</v>
      </c>
      <c r="C590">
        <f>11200</f>
        <v>11200</v>
      </c>
      <c r="D590">
        <f>6507.74</f>
        <v>6507.74</v>
      </c>
      <c r="E590">
        <f>3100.556</f>
        <v>3100.556</v>
      </c>
      <c r="F590">
        <f>2042.36</f>
        <v>2042.36</v>
      </c>
      <c r="G590">
        <f>8825.926</f>
        <v>8825.9259999999995</v>
      </c>
      <c r="H590">
        <f>3908.54</f>
        <v>3908.54</v>
      </c>
      <c r="I590">
        <f>13030.42</f>
        <v>13030.42</v>
      </c>
      <c r="J590">
        <f>5144.46</f>
        <v>5144.46</v>
      </c>
      <c r="K590">
        <f>17401.6</f>
        <v>17401.599999999999</v>
      </c>
      <c r="L590">
        <f>2523.38</f>
        <v>2523.38</v>
      </c>
      <c r="M590">
        <f>12213.9</f>
        <v>12213.9</v>
      </c>
      <c r="N590">
        <f>383.761</f>
        <v>383.76100000000002</v>
      </c>
      <c r="O590">
        <f>3506.8</f>
        <v>3506.8</v>
      </c>
      <c r="P590">
        <f>306.22</f>
        <v>306.22000000000003</v>
      </c>
      <c r="Q590">
        <f>3647.381</f>
        <v>3647.3809999999999</v>
      </c>
      <c r="R590">
        <f>8240.38</f>
        <v>8240.3799999999992</v>
      </c>
      <c r="S590">
        <f>3101.81</f>
        <v>3101.81</v>
      </c>
      <c r="T590">
        <f>3649.01</f>
        <v>3649.01</v>
      </c>
      <c r="U590">
        <f>66833.99</f>
        <v>66833.990000000005</v>
      </c>
      <c r="V590">
        <f>529.29</f>
        <v>529.29</v>
      </c>
    </row>
    <row r="591" spans="1:22" x14ac:dyDescent="0.2">
      <c r="A591" s="1">
        <v>44280</v>
      </c>
      <c r="B591">
        <f>2253.61</f>
        <v>2253.61</v>
      </c>
      <c r="C591">
        <f>11047.83</f>
        <v>11047.83</v>
      </c>
      <c r="D591">
        <f>6444.25</f>
        <v>6444.25</v>
      </c>
      <c r="E591">
        <f>3055.325</f>
        <v>3055.3249999999998</v>
      </c>
      <c r="F591">
        <f>2014.35</f>
        <v>2014.35</v>
      </c>
      <c r="G591">
        <f>8696.963</f>
        <v>8696.9629999999997</v>
      </c>
      <c r="H591">
        <f>3884.8</f>
        <v>3884.8</v>
      </c>
      <c r="I591">
        <f>12900.05</f>
        <v>12900.05</v>
      </c>
      <c r="J591">
        <f>5047.91</f>
        <v>5047.91</v>
      </c>
      <c r="K591">
        <f>17122.74</f>
        <v>17122.740000000002</v>
      </c>
      <c r="L591">
        <f>2489.31</f>
        <v>2489.31</v>
      </c>
      <c r="M591">
        <f>12040.32</f>
        <v>12040.32</v>
      </c>
      <c r="N591">
        <f>381.563</f>
        <v>381.56299999999999</v>
      </c>
      <c r="O591">
        <f>3476.43</f>
        <v>3476.43</v>
      </c>
      <c r="P591">
        <f>303.02</f>
        <v>303.02</v>
      </c>
      <c r="Q591">
        <f>3579.061</f>
        <v>3579.0610000000001</v>
      </c>
      <c r="R591">
        <f>8105.51</f>
        <v>8105.51</v>
      </c>
      <c r="S591">
        <f>3057.07</f>
        <v>3057.07</v>
      </c>
      <c r="T591">
        <f>3547.364</f>
        <v>3547.364</v>
      </c>
      <c r="U591">
        <f>64783.62</f>
        <v>64783.62</v>
      </c>
      <c r="V591">
        <f>514.94</f>
        <v>514.94000000000005</v>
      </c>
    </row>
    <row r="592" spans="1:22" x14ac:dyDescent="0.2">
      <c r="A592" s="1">
        <v>44279</v>
      </c>
      <c r="B592">
        <f>2259.07</f>
        <v>2259.0700000000002</v>
      </c>
      <c r="C592">
        <f>11100.36</f>
        <v>11100.36</v>
      </c>
      <c r="D592">
        <f>6474.19</f>
        <v>6474.19</v>
      </c>
      <c r="E592">
        <f>3078.681</f>
        <v>3078.681</v>
      </c>
      <c r="F592">
        <f>2017.32</f>
        <v>2017.32</v>
      </c>
      <c r="G592">
        <f>8735.617</f>
        <v>8735.6170000000002</v>
      </c>
      <c r="H592">
        <f>3820.99</f>
        <v>3820.99</v>
      </c>
      <c r="I592">
        <f>12959.74</f>
        <v>12959.74</v>
      </c>
      <c r="J592">
        <f>4994.56</f>
        <v>4994.5600000000004</v>
      </c>
      <c r="K592">
        <f>17040.18</f>
        <v>17040.18</v>
      </c>
      <c r="L592">
        <f>2473.62</f>
        <v>2473.62</v>
      </c>
      <c r="M592">
        <f>12004.42</f>
        <v>12004.42</v>
      </c>
      <c r="N592">
        <f>379.577</f>
        <v>379.577</v>
      </c>
      <c r="O592">
        <f>3474.01</f>
        <v>3474.01</v>
      </c>
      <c r="P592">
        <f>296.43</f>
        <v>296.43</v>
      </c>
      <c r="Q592">
        <f>3535.917</f>
        <v>3535.9169999999999</v>
      </c>
      <c r="R592">
        <f>8063</f>
        <v>8063</v>
      </c>
      <c r="S592">
        <f>3014.91</f>
        <v>3014.91</v>
      </c>
      <c r="T592">
        <f>3545.696</f>
        <v>3545.6959999999999</v>
      </c>
      <c r="U592">
        <f>65257.09</f>
        <v>65257.09</v>
      </c>
      <c r="V592">
        <f>514.76</f>
        <v>514.76</v>
      </c>
    </row>
    <row r="593" spans="1:22" x14ac:dyDescent="0.2">
      <c r="A593" s="1">
        <v>44278</v>
      </c>
      <c r="B593">
        <f>2255.33</f>
        <v>2255.33</v>
      </c>
      <c r="C593">
        <f>11184.67</f>
        <v>11184.67</v>
      </c>
      <c r="D593">
        <f>6460.98</f>
        <v>6460.98</v>
      </c>
      <c r="E593">
        <f>3138.304</f>
        <v>3138.3040000000001</v>
      </c>
      <c r="F593">
        <f>2027.96</f>
        <v>2027.96</v>
      </c>
      <c r="G593">
        <f>8760.193</f>
        <v>8760.1929999999993</v>
      </c>
      <c r="H593">
        <f>3910.55</f>
        <v>3910.55</v>
      </c>
      <c r="I593">
        <f>13004.17</f>
        <v>13004.17</v>
      </c>
      <c r="J593">
        <f>4995.19</f>
        <v>4995.1899999999996</v>
      </c>
      <c r="K593">
        <f>17161.26</f>
        <v>17161.259999999998</v>
      </c>
      <c r="L593">
        <f>2482.3</f>
        <v>2482.3000000000002</v>
      </c>
      <c r="M593">
        <f>12093.79</f>
        <v>12093.79</v>
      </c>
      <c r="N593">
        <f>379.535</f>
        <v>379.53500000000003</v>
      </c>
      <c r="O593">
        <f>3471.89</f>
        <v>3471.89</v>
      </c>
      <c r="P593">
        <f>305.27</f>
        <v>305.27</v>
      </c>
      <c r="Q593">
        <f>3522.661</f>
        <v>3522.6610000000001</v>
      </c>
      <c r="R593">
        <f>8106.83</f>
        <v>8106.83</v>
      </c>
      <c r="S593">
        <f>3081.98</f>
        <v>3081.98</v>
      </c>
      <c r="T593">
        <f>3553.08</f>
        <v>3553.08</v>
      </c>
      <c r="U593">
        <f>65318.52</f>
        <v>65318.52</v>
      </c>
      <c r="V593">
        <f>513.08</f>
        <v>513.08000000000004</v>
      </c>
    </row>
    <row r="594" spans="1:22" x14ac:dyDescent="0.2">
      <c r="A594" s="1">
        <v>44277</v>
      </c>
      <c r="B594">
        <f>2252.52</f>
        <v>2252.52</v>
      </c>
      <c r="C594">
        <f>11278.04</f>
        <v>11278.04</v>
      </c>
      <c r="D594">
        <f>6486.94</f>
        <v>6486.94</v>
      </c>
      <c r="E594">
        <f>3167.539</f>
        <v>3167.5390000000002</v>
      </c>
      <c r="F594">
        <f>2023.76</f>
        <v>2023.76</v>
      </c>
      <c r="G594">
        <f>8829.198</f>
        <v>8829.1980000000003</v>
      </c>
      <c r="H594">
        <f>3922.7</f>
        <v>3922.7</v>
      </c>
      <c r="I594">
        <f>13098.53</f>
        <v>13098.53</v>
      </c>
      <c r="J594">
        <f>5033.93</f>
        <v>5033.93</v>
      </c>
      <c r="K594">
        <f>17297.31</f>
        <v>17297.310000000001</v>
      </c>
      <c r="L594">
        <f>2499.82</f>
        <v>2499.8200000000002</v>
      </c>
      <c r="M594">
        <f>12187.63</f>
        <v>12187.63</v>
      </c>
      <c r="N594">
        <f>378.059</f>
        <v>378.05900000000003</v>
      </c>
      <c r="O594">
        <f>3480.79</f>
        <v>3480.79</v>
      </c>
      <c r="P594">
        <f>309</f>
        <v>309</v>
      </c>
      <c r="Q594">
        <f>3550.246</f>
        <v>3550.2460000000001</v>
      </c>
      <c r="R594">
        <f>8169.14</f>
        <v>8169.14</v>
      </c>
      <c r="S594">
        <f>3111.2</f>
        <v>3111.2</v>
      </c>
      <c r="T594" t="e">
        <f>NA()</f>
        <v>#N/A</v>
      </c>
      <c r="U594" t="e">
        <f>NA()</f>
        <v>#N/A</v>
      </c>
      <c r="V594" t="e">
        <f>NA()</f>
        <v>#N/A</v>
      </c>
    </row>
    <row r="595" spans="1:22" x14ac:dyDescent="0.2">
      <c r="A595" s="1">
        <v>44274</v>
      </c>
      <c r="B595">
        <f>2249.78</f>
        <v>2249.7800000000002</v>
      </c>
      <c r="C595">
        <f>11260.17</f>
        <v>11260.17</v>
      </c>
      <c r="D595">
        <f>6470.16</f>
        <v>6470.16</v>
      </c>
      <c r="E595">
        <f>3168.793</f>
        <v>3168.7930000000001</v>
      </c>
      <c r="F595">
        <f>2018.97</f>
        <v>2018.97</v>
      </c>
      <c r="G595">
        <f>8819.335</f>
        <v>8819.3349999999991</v>
      </c>
      <c r="H595">
        <f>3961.48</f>
        <v>3961.48</v>
      </c>
      <c r="I595">
        <f>13034.03</f>
        <v>13034.03</v>
      </c>
      <c r="J595">
        <f>5006.2</f>
        <v>5006.2</v>
      </c>
      <c r="K595">
        <f>17168.15</f>
        <v>17168.150000000001</v>
      </c>
      <c r="L595">
        <f>2490.75</f>
        <v>2490.75</v>
      </c>
      <c r="M595">
        <f>12128.91</f>
        <v>12128.91</v>
      </c>
      <c r="N595">
        <f>375.698</f>
        <v>375.69799999999998</v>
      </c>
      <c r="O595">
        <f>3475.13</f>
        <v>3475.13</v>
      </c>
      <c r="P595">
        <f>310.04</f>
        <v>310.04000000000002</v>
      </c>
      <c r="Q595">
        <f>3540.591</f>
        <v>3540.5909999999999</v>
      </c>
      <c r="R595">
        <f>8112.13</f>
        <v>8112.13</v>
      </c>
      <c r="S595">
        <f>3145.64</f>
        <v>3145.64</v>
      </c>
      <c r="T595">
        <f>3609.504</f>
        <v>3609.5039999999999</v>
      </c>
      <c r="U595">
        <f>65911.27</f>
        <v>65911.27</v>
      </c>
      <c r="V595">
        <f>523.49</f>
        <v>523.49</v>
      </c>
    </row>
    <row r="596" spans="1:22" x14ac:dyDescent="0.2">
      <c r="A596" s="1">
        <v>44273</v>
      </c>
      <c r="B596">
        <f>2266.04</f>
        <v>2266.04</v>
      </c>
      <c r="C596">
        <f>11377.99</f>
        <v>11377.99</v>
      </c>
      <c r="D596">
        <f>6538.61</f>
        <v>6538.61</v>
      </c>
      <c r="E596">
        <f>3193.647</f>
        <v>3193.6469999999999</v>
      </c>
      <c r="F596">
        <f>2036</f>
        <v>2036</v>
      </c>
      <c r="G596">
        <f>8952.567</f>
        <v>8952.5669999999991</v>
      </c>
      <c r="H596">
        <f>3929.4</f>
        <v>3929.4</v>
      </c>
      <c r="I596">
        <f>13133.53</f>
        <v>13133.53</v>
      </c>
      <c r="J596">
        <f>5015.35</f>
        <v>5015.3500000000004</v>
      </c>
      <c r="K596">
        <f>17163.27</f>
        <v>17163.27</v>
      </c>
      <c r="L596">
        <f>2497.48</f>
        <v>2497.48</v>
      </c>
      <c r="M596">
        <f>12154.7</f>
        <v>12154.7</v>
      </c>
      <c r="N596">
        <f>376.974</f>
        <v>376.97399999999999</v>
      </c>
      <c r="O596">
        <f>3503.28</f>
        <v>3503.28</v>
      </c>
      <c r="P596">
        <f>305.46</f>
        <v>305.45999999999998</v>
      </c>
      <c r="Q596">
        <f>3556.005</f>
        <v>3556.0050000000001</v>
      </c>
      <c r="R596">
        <f>8116.17</f>
        <v>8116.17</v>
      </c>
      <c r="S596">
        <f>3139.87</f>
        <v>3139.87</v>
      </c>
      <c r="T596">
        <f>3655.482</f>
        <v>3655.482</v>
      </c>
      <c r="U596">
        <f>66739.74</f>
        <v>66739.740000000005</v>
      </c>
      <c r="V596">
        <f>535.25</f>
        <v>535.25</v>
      </c>
    </row>
    <row r="597" spans="1:22" x14ac:dyDescent="0.2">
      <c r="A597" s="1">
        <v>44272</v>
      </c>
      <c r="B597">
        <f>2240.95</f>
        <v>2240.9499999999998</v>
      </c>
      <c r="C597">
        <f>11340.65</f>
        <v>11340.65</v>
      </c>
      <c r="D597">
        <f>6516.03</f>
        <v>6516.03</v>
      </c>
      <c r="E597">
        <f>3182.855</f>
        <v>3182.855</v>
      </c>
      <c r="F597">
        <f>2014.65</f>
        <v>2014.65</v>
      </c>
      <c r="G597">
        <f>8892.804</f>
        <v>8892.8040000000001</v>
      </c>
      <c r="H597">
        <f>3866.07</f>
        <v>3866.07</v>
      </c>
      <c r="I597">
        <f>13045.48</f>
        <v>13045.48</v>
      </c>
      <c r="J597">
        <f>5025.36</f>
        <v>5025.3599999999997</v>
      </c>
      <c r="K597">
        <f>17450.9</f>
        <v>17450.900000000001</v>
      </c>
      <c r="L597">
        <f>2489.39</f>
        <v>2489.39</v>
      </c>
      <c r="M597">
        <f>12258.3</f>
        <v>12258.3</v>
      </c>
      <c r="N597">
        <f>376.912</f>
        <v>376.91199999999998</v>
      </c>
      <c r="O597">
        <f>3485.18</f>
        <v>3485.18</v>
      </c>
      <c r="P597">
        <f>300.17</f>
        <v>300.17</v>
      </c>
      <c r="Q597">
        <f>3570.97</f>
        <v>3570.97</v>
      </c>
      <c r="R597">
        <f>8237.35</f>
        <v>8237.35</v>
      </c>
      <c r="S597">
        <f>3101.48</f>
        <v>3101.48</v>
      </c>
      <c r="T597">
        <f>3640.879</f>
        <v>3640.8789999999999</v>
      </c>
      <c r="U597">
        <f>66494.49</f>
        <v>66494.490000000005</v>
      </c>
      <c r="V597">
        <f>534.29</f>
        <v>534.29</v>
      </c>
    </row>
    <row r="598" spans="1:22" x14ac:dyDescent="0.2">
      <c r="A598" s="1">
        <v>44271</v>
      </c>
      <c r="B598">
        <f>2267.82</f>
        <v>2267.8200000000002</v>
      </c>
      <c r="C598">
        <f>11421.46</f>
        <v>11421.46</v>
      </c>
      <c r="D598">
        <f>6555.48</f>
        <v>6555.48</v>
      </c>
      <c r="E598">
        <f>3196.394</f>
        <v>3196.3939999999998</v>
      </c>
      <c r="F598">
        <f>2034.45</f>
        <v>2034.45</v>
      </c>
      <c r="G598">
        <f>8945.749</f>
        <v>8945.7489999999998</v>
      </c>
      <c r="H598">
        <f>3867.62</f>
        <v>3867.62</v>
      </c>
      <c r="I598">
        <f>13070.9</f>
        <v>13070.9</v>
      </c>
      <c r="J598">
        <f>5023.9</f>
        <v>5023.8999999999996</v>
      </c>
      <c r="K598">
        <f>17403.21</f>
        <v>17403.21</v>
      </c>
      <c r="L598">
        <f>2490.96</f>
        <v>2490.96</v>
      </c>
      <c r="M598">
        <f>12244.66</f>
        <v>12244.66</v>
      </c>
      <c r="N598">
        <f>379.196</f>
        <v>379.19600000000003</v>
      </c>
      <c r="O598">
        <f>3497.78</f>
        <v>3497.78</v>
      </c>
      <c r="P598">
        <f>299.09</f>
        <v>299.08999999999997</v>
      </c>
      <c r="Q598">
        <f>3563.883</f>
        <v>3563.8829999999998</v>
      </c>
      <c r="R598">
        <f>8213.63</f>
        <v>8213.6299999999992</v>
      </c>
      <c r="S598">
        <f>3097.5</f>
        <v>3097.5</v>
      </c>
      <c r="T598">
        <f>3668.164</f>
        <v>3668.1640000000002</v>
      </c>
      <c r="U598">
        <f>67289.37</f>
        <v>67289.37</v>
      </c>
      <c r="V598">
        <f>535.63</f>
        <v>535.63</v>
      </c>
    </row>
    <row r="599" spans="1:22" x14ac:dyDescent="0.2">
      <c r="A599" s="1">
        <v>44270</v>
      </c>
      <c r="B599">
        <f>2238.64</f>
        <v>2238.64</v>
      </c>
      <c r="C599">
        <f>11385.1</f>
        <v>11385.1</v>
      </c>
      <c r="D599">
        <f>6503.53</f>
        <v>6503.53</v>
      </c>
      <c r="E599">
        <f>3175.468</f>
        <v>3175.4679999999998</v>
      </c>
      <c r="F599">
        <f>2008.01</f>
        <v>2008.01</v>
      </c>
      <c r="G599">
        <f>8850.535</f>
        <v>8850.5349999999999</v>
      </c>
      <c r="H599">
        <f>3847.43</f>
        <v>3847.43</v>
      </c>
      <c r="I599">
        <f>13001.36</f>
        <v>13001.36</v>
      </c>
      <c r="J599">
        <f>5024.75</f>
        <v>5024.75</v>
      </c>
      <c r="K599">
        <f>17436.83</f>
        <v>17436.830000000002</v>
      </c>
      <c r="L599">
        <f>2486.38</f>
        <v>2486.38</v>
      </c>
      <c r="M599">
        <f>12236.33</f>
        <v>12236.33</v>
      </c>
      <c r="N599">
        <f>374.901</f>
        <v>374.90100000000001</v>
      </c>
      <c r="O599">
        <f>3469.57</f>
        <v>3469.57</v>
      </c>
      <c r="P599">
        <f>299.14</f>
        <v>299.14</v>
      </c>
      <c r="Q599">
        <f>3593.038</f>
        <v>3593.038</v>
      </c>
      <c r="R599">
        <f>8226.32</f>
        <v>8226.32</v>
      </c>
      <c r="S599">
        <f>3077.52</f>
        <v>3077.52</v>
      </c>
      <c r="T599">
        <f>3680.878</f>
        <v>3680.8780000000002</v>
      </c>
      <c r="U599">
        <f>67566.42</f>
        <v>67566.42</v>
      </c>
      <c r="V599">
        <f>537.85</f>
        <v>537.85</v>
      </c>
    </row>
    <row r="600" spans="1:22" x14ac:dyDescent="0.2">
      <c r="A600" s="1">
        <v>44267</v>
      </c>
      <c r="B600">
        <f>2246.03</f>
        <v>2246.0300000000002</v>
      </c>
      <c r="C600">
        <f>11351.28</f>
        <v>11351.28</v>
      </c>
      <c r="D600">
        <f>6514.87</f>
        <v>6514.87</v>
      </c>
      <c r="E600">
        <f>3194.248</f>
        <v>3194.248</v>
      </c>
      <c r="F600">
        <f>2031.87</f>
        <v>2031.87</v>
      </c>
      <c r="G600">
        <f>8893.817</f>
        <v>8893.8169999999991</v>
      </c>
      <c r="H600">
        <f>3813.19</f>
        <v>3813.19</v>
      </c>
      <c r="I600">
        <f>13016.56</f>
        <v>13016.56</v>
      </c>
      <c r="J600">
        <f>4992.48</f>
        <v>4992.4799999999996</v>
      </c>
      <c r="K600">
        <f>17311.02</f>
        <v>17311.02</v>
      </c>
      <c r="L600">
        <f>2472.37</f>
        <v>2472.37</v>
      </c>
      <c r="M600">
        <f>12172.43</f>
        <v>12172.43</v>
      </c>
      <c r="N600">
        <f>374.02</f>
        <v>374.02</v>
      </c>
      <c r="O600">
        <f>3469.96</f>
        <v>3469.96</v>
      </c>
      <c r="P600">
        <f>295.34</f>
        <v>295.33999999999997</v>
      </c>
      <c r="Q600">
        <f>3567.058</f>
        <v>3567.058</v>
      </c>
      <c r="R600">
        <f>8172.9</f>
        <v>8172.9</v>
      </c>
      <c r="S600">
        <f>3049.91</f>
        <v>3049.91</v>
      </c>
      <c r="T600">
        <f>3697.897</f>
        <v>3697.8969999999999</v>
      </c>
      <c r="U600">
        <f>68209.86</f>
        <v>68209.86</v>
      </c>
      <c r="V600">
        <f>539.55</f>
        <v>539.54999999999995</v>
      </c>
    </row>
    <row r="601" spans="1:22" x14ac:dyDescent="0.2">
      <c r="A601" s="1">
        <v>44266</v>
      </c>
      <c r="B601">
        <f>2246.93</f>
        <v>2246.9299999999998</v>
      </c>
      <c r="C601">
        <f>11357.8</f>
        <v>11357.8</v>
      </c>
      <c r="D601">
        <f>6491.25</f>
        <v>6491.25</v>
      </c>
      <c r="E601">
        <f>3216.386</f>
        <v>3216.386</v>
      </c>
      <c r="F601">
        <f>2030.08</f>
        <v>2030.08</v>
      </c>
      <c r="G601">
        <f>8903.537</f>
        <v>8903.5370000000003</v>
      </c>
      <c r="H601">
        <f>3802.42</f>
        <v>3802.42</v>
      </c>
      <c r="I601">
        <f>13082.49</f>
        <v>13082.49</v>
      </c>
      <c r="J601">
        <f>4953.99</f>
        <v>4953.99</v>
      </c>
      <c r="K601">
        <f>17297.71</f>
        <v>17297.71</v>
      </c>
      <c r="L601">
        <f>2463.73</f>
        <v>2463.73</v>
      </c>
      <c r="M601">
        <f>12165.47</f>
        <v>12165.47</v>
      </c>
      <c r="N601">
        <f>375.894</f>
        <v>375.89400000000001</v>
      </c>
      <c r="O601">
        <f>3475.41</f>
        <v>3475.41</v>
      </c>
      <c r="P601">
        <f>293.38</f>
        <v>293.38</v>
      </c>
      <c r="Q601">
        <f>3535.944</f>
        <v>3535.944</v>
      </c>
      <c r="R601">
        <f>8162.58</f>
        <v>8162.58</v>
      </c>
      <c r="S601">
        <f>3009.05</f>
        <v>3009.05</v>
      </c>
      <c r="T601">
        <f>3727.347</f>
        <v>3727.3470000000002</v>
      </c>
      <c r="U601">
        <f>68775.06</f>
        <v>68775.06</v>
      </c>
      <c r="V601">
        <f>537.84</f>
        <v>537.84</v>
      </c>
    </row>
    <row r="602" spans="1:22" x14ac:dyDescent="0.2">
      <c r="A602" s="1">
        <v>44265</v>
      </c>
      <c r="B602">
        <f>2234.87</f>
        <v>2234.87</v>
      </c>
      <c r="C602">
        <f>11184.04</f>
        <v>11184.04</v>
      </c>
      <c r="D602">
        <f>6470.45</f>
        <v>6470.45</v>
      </c>
      <c r="E602">
        <f>3138.677</f>
        <v>3138.6770000000001</v>
      </c>
      <c r="F602">
        <f>2019.18</f>
        <v>2019.18</v>
      </c>
      <c r="G602">
        <f>8846.619</f>
        <v>8846.6190000000006</v>
      </c>
      <c r="H602">
        <f>3797.72</f>
        <v>3797.72</v>
      </c>
      <c r="I602">
        <f>12934.04</f>
        <v>12934.04</v>
      </c>
      <c r="J602">
        <f>4958.25</f>
        <v>4958.25</v>
      </c>
      <c r="K602">
        <f>17086.8</f>
        <v>17086.8</v>
      </c>
      <c r="L602">
        <f>2459.04</f>
        <v>2459.04</v>
      </c>
      <c r="M602">
        <f>12031.15</f>
        <v>12031.15</v>
      </c>
      <c r="N602">
        <f>374.898</f>
        <v>374.89800000000002</v>
      </c>
      <c r="O602">
        <f>3459.14</f>
        <v>3459.14</v>
      </c>
      <c r="P602">
        <f>291.8</f>
        <v>291.8</v>
      </c>
      <c r="Q602">
        <f>3539.217</f>
        <v>3539.2170000000001</v>
      </c>
      <c r="R602">
        <f>8078.05</f>
        <v>8078.05</v>
      </c>
      <c r="S602">
        <f>3000.94</f>
        <v>3000.94</v>
      </c>
      <c r="T602">
        <f>3728.476</f>
        <v>3728.4760000000001</v>
      </c>
      <c r="U602">
        <f>68516.99</f>
        <v>68516.990000000005</v>
      </c>
      <c r="V602">
        <f>536.24</f>
        <v>536.24</v>
      </c>
    </row>
    <row r="603" spans="1:22" x14ac:dyDescent="0.2">
      <c r="A603" s="1">
        <v>44264</v>
      </c>
      <c r="B603">
        <f>2234.52</f>
        <v>2234.52</v>
      </c>
      <c r="C603">
        <f>11100.18</f>
        <v>11100.18</v>
      </c>
      <c r="D603">
        <f>6475.01</f>
        <v>6475.01</v>
      </c>
      <c r="E603">
        <f>3121.601</f>
        <v>3121.6010000000001</v>
      </c>
      <c r="F603">
        <f>2021.06</f>
        <v>2021.06</v>
      </c>
      <c r="G603">
        <f>8849.524</f>
        <v>8849.5239999999994</v>
      </c>
      <c r="H603">
        <f>3778.4</f>
        <v>3778.4</v>
      </c>
      <c r="I603">
        <f>12843.73</f>
        <v>12843.73</v>
      </c>
      <c r="J603">
        <f>4903.77</f>
        <v>4903.7700000000004</v>
      </c>
      <c r="K603">
        <f>16991.16</f>
        <v>16991.16</v>
      </c>
      <c r="L603">
        <f>2439.69</f>
        <v>2439.69</v>
      </c>
      <c r="M603">
        <f>11971.97</f>
        <v>11971.97</v>
      </c>
      <c r="N603">
        <f>372.695</f>
        <v>372.69499999999999</v>
      </c>
      <c r="O603">
        <f>3445.55</f>
        <v>3445.55</v>
      </c>
      <c r="P603">
        <f>291.9</f>
        <v>291.89999999999998</v>
      </c>
      <c r="Q603">
        <f>3485.761</f>
        <v>3485.761</v>
      </c>
      <c r="R603">
        <f>8029.2</f>
        <v>8029.2</v>
      </c>
      <c r="S603">
        <f>2997.72</f>
        <v>2997.72</v>
      </c>
      <c r="T603">
        <f>3715.207</f>
        <v>3715.2069999999999</v>
      </c>
      <c r="U603">
        <f>68655.96</f>
        <v>68655.960000000006</v>
      </c>
      <c r="V603">
        <f>533.7</f>
        <v>533.70000000000005</v>
      </c>
    </row>
    <row r="604" spans="1:22" x14ac:dyDescent="0.2">
      <c r="A604" s="1">
        <v>44263</v>
      </c>
      <c r="B604">
        <f>2242.41</f>
        <v>2242.41</v>
      </c>
      <c r="C604">
        <f>11072.77</f>
        <v>11072.77</v>
      </c>
      <c r="D604">
        <f>6464.22</f>
        <v>6464.22</v>
      </c>
      <c r="E604">
        <f>3098.215</f>
        <v>3098.2150000000001</v>
      </c>
      <c r="F604">
        <f>2016.8</f>
        <v>2016.8</v>
      </c>
      <c r="G604">
        <f>8795.561</f>
        <v>8795.5609999999997</v>
      </c>
      <c r="H604">
        <f>3721.86</f>
        <v>3721.86</v>
      </c>
      <c r="I604">
        <f>12713.46</f>
        <v>12713.46</v>
      </c>
      <c r="J604">
        <f>4897.95</f>
        <v>4897.95</v>
      </c>
      <c r="K604">
        <f>16711.98</f>
        <v>16711.98</v>
      </c>
      <c r="L604">
        <f>2432.44</f>
        <v>2432.44</v>
      </c>
      <c r="M604">
        <f>11800.83</f>
        <v>11800.83</v>
      </c>
      <c r="N604">
        <f>367.997</f>
        <v>367.99700000000001</v>
      </c>
      <c r="O604">
        <f>3422.97</f>
        <v>3422.97</v>
      </c>
      <c r="P604">
        <f>286.55</f>
        <v>286.55</v>
      </c>
      <c r="Q604">
        <f>3498.689</f>
        <v>3498.6889999999999</v>
      </c>
      <c r="R604">
        <f>7916.41</f>
        <v>7916.41</v>
      </c>
      <c r="S604">
        <f>2960.04</f>
        <v>2960.04</v>
      </c>
      <c r="T604">
        <f>3673.653</f>
        <v>3673.6529999999998</v>
      </c>
      <c r="U604">
        <f>68426.17</f>
        <v>68426.17</v>
      </c>
      <c r="V604">
        <f>532.76</f>
        <v>532.76</v>
      </c>
    </row>
    <row r="605" spans="1:22" x14ac:dyDescent="0.2">
      <c r="A605" s="1">
        <v>44260</v>
      </c>
      <c r="B605">
        <f>2204.69</f>
        <v>2204.69</v>
      </c>
      <c r="C605">
        <f>11105.94</f>
        <v>11105.94</v>
      </c>
      <c r="D605">
        <f>6378.98</f>
        <v>6378.98</v>
      </c>
      <c r="E605">
        <f>3171.997</f>
        <v>3171.9969999999998</v>
      </c>
      <c r="F605">
        <f>2005.71</f>
        <v>2005.71</v>
      </c>
      <c r="G605">
        <f>8686.829</f>
        <v>8686.8289999999997</v>
      </c>
      <c r="H605">
        <f>3716.69</f>
        <v>3716.69</v>
      </c>
      <c r="I605">
        <f>12499.15</f>
        <v>12499.15</v>
      </c>
      <c r="J605">
        <f>4855.98</f>
        <v>4855.9799999999996</v>
      </c>
      <c r="K605">
        <f>16833.98</f>
        <v>16833.98</v>
      </c>
      <c r="L605">
        <f>2408.2</f>
        <v>2408.1999999999998</v>
      </c>
      <c r="M605">
        <f>11826.37</f>
        <v>11826.37</v>
      </c>
      <c r="N605">
        <f>361.848</f>
        <v>361.84800000000001</v>
      </c>
      <c r="O605">
        <f>3351.46</f>
        <v>3351.46</v>
      </c>
      <c r="P605">
        <f>283.2</f>
        <v>283.2</v>
      </c>
      <c r="Q605">
        <f>3457.113</f>
        <v>3457.1129999999998</v>
      </c>
      <c r="R605">
        <f>7958.98</f>
        <v>7958.98</v>
      </c>
      <c r="S605">
        <f>2964.12</f>
        <v>2964.12</v>
      </c>
      <c r="T605">
        <f>3664.206</f>
        <v>3664.2060000000001</v>
      </c>
      <c r="U605">
        <f>68271.19</f>
        <v>68271.19</v>
      </c>
      <c r="V605">
        <f>530.11</f>
        <v>530.11</v>
      </c>
    </row>
    <row r="606" spans="1:22" x14ac:dyDescent="0.2">
      <c r="A606" s="1">
        <v>44259</v>
      </c>
      <c r="B606">
        <f>2223.63</f>
        <v>2223.63</v>
      </c>
      <c r="C606">
        <f>11087.74</f>
        <v>11087.74</v>
      </c>
      <c r="D606">
        <f>6398.56</f>
        <v>6398.56</v>
      </c>
      <c r="E606">
        <f>3187.534</f>
        <v>3187.5340000000001</v>
      </c>
      <c r="F606">
        <f>2043.52</f>
        <v>2043.52</v>
      </c>
      <c r="G606">
        <f>8804.675</f>
        <v>8804.6749999999993</v>
      </c>
      <c r="H606">
        <f>3703.36</f>
        <v>3703.36</v>
      </c>
      <c r="I606">
        <f>12748.1</f>
        <v>12748.1</v>
      </c>
      <c r="J606">
        <f>4744.56</f>
        <v>4744.5600000000004</v>
      </c>
      <c r="K606">
        <f>16527.01</f>
        <v>16527.009999999998</v>
      </c>
      <c r="L606">
        <f>2385.4</f>
        <v>2385.4</v>
      </c>
      <c r="M606">
        <f>11730.27</f>
        <v>11730.27</v>
      </c>
      <c r="N606">
        <f>365.708</f>
        <v>365.70800000000003</v>
      </c>
      <c r="O606">
        <f>3376.06</f>
        <v>3376.06</v>
      </c>
      <c r="P606">
        <f>279.94</f>
        <v>279.94</v>
      </c>
      <c r="Q606">
        <f>3365.58543</f>
        <v>3365.5854300000001</v>
      </c>
      <c r="R606">
        <f>7806.45</f>
        <v>7806.45</v>
      </c>
      <c r="S606">
        <f>2946.24</f>
        <v>2946.24</v>
      </c>
      <c r="T606">
        <f>3604.641</f>
        <v>3604.6410000000001</v>
      </c>
      <c r="U606">
        <f>67743.54</f>
        <v>67743.539999999994</v>
      </c>
      <c r="V606">
        <f>524.13</f>
        <v>524.13</v>
      </c>
    </row>
    <row r="607" spans="1:22" x14ac:dyDescent="0.2">
      <c r="A607" s="1">
        <v>44258</v>
      </c>
      <c r="B607">
        <f>2228.19</f>
        <v>2228.19</v>
      </c>
      <c r="C607">
        <f>11176.07</f>
        <v>11176.07</v>
      </c>
      <c r="D607">
        <f>6407.2</f>
        <v>6407.2</v>
      </c>
      <c r="E607">
        <f>3262.276</f>
        <v>3262.2759999999998</v>
      </c>
      <c r="F607">
        <f>2057.94</f>
        <v>2057.94</v>
      </c>
      <c r="G607">
        <f>8802.014</f>
        <v>8802.0139999999992</v>
      </c>
      <c r="H607">
        <f>3745.95</f>
        <v>3745.95</v>
      </c>
      <c r="I607">
        <f>12822.39</f>
        <v>12822.39</v>
      </c>
      <c r="J607">
        <f>4802.42</f>
        <v>4802.42</v>
      </c>
      <c r="K607">
        <f>16773.09</f>
        <v>16773.09</v>
      </c>
      <c r="L607">
        <f>2401.91</f>
        <v>2401.91</v>
      </c>
      <c r="M607">
        <f>11876.95</f>
        <v>11876.95</v>
      </c>
      <c r="N607">
        <f>364.53</f>
        <v>364.53</v>
      </c>
      <c r="O607">
        <f>3382.06</f>
        <v>3382.06</v>
      </c>
      <c r="P607">
        <f>279.37</f>
        <v>279.37</v>
      </c>
      <c r="Q607">
        <f>3414.917</f>
        <v>3414.9169999999999</v>
      </c>
      <c r="R607">
        <f>7911.21</f>
        <v>7911.21</v>
      </c>
      <c r="S607">
        <f>2977.18</f>
        <v>2977.18</v>
      </c>
      <c r="T607">
        <f>3609.524</f>
        <v>3609.5239999999999</v>
      </c>
      <c r="U607">
        <f>68326.79</f>
        <v>68326.789999999994</v>
      </c>
      <c r="V607">
        <f>523.21</f>
        <v>523.21</v>
      </c>
    </row>
    <row r="608" spans="1:22" x14ac:dyDescent="0.2">
      <c r="A608" s="1">
        <v>44257</v>
      </c>
      <c r="B608">
        <f>2182.31</f>
        <v>2182.31</v>
      </c>
      <c r="C608">
        <f>11039.79</f>
        <v>11039.79</v>
      </c>
      <c r="D608">
        <f>6347.96</f>
        <v>6347.96</v>
      </c>
      <c r="E608">
        <f>3218.735</f>
        <v>3218.7350000000001</v>
      </c>
      <c r="F608">
        <f>2041.25</f>
        <v>2041.25</v>
      </c>
      <c r="G608">
        <f>8708.41</f>
        <v>8708.41</v>
      </c>
      <c r="H608">
        <f>3716.57</f>
        <v>3716.57</v>
      </c>
      <c r="I608">
        <f>12834.13</f>
        <v>12834.13</v>
      </c>
      <c r="J608">
        <f>4817.53</f>
        <v>4817.53</v>
      </c>
      <c r="K608">
        <f>17036.12</f>
        <v>17036.12</v>
      </c>
      <c r="L608">
        <f>2401.12</f>
        <v>2401.12</v>
      </c>
      <c r="M608">
        <f>11991.22</f>
        <v>11991.22</v>
      </c>
      <c r="N608">
        <f>365.472</f>
        <v>365.47199999999998</v>
      </c>
      <c r="O608">
        <f>3376.99</f>
        <v>3376.99</v>
      </c>
      <c r="P608">
        <f>277.64</f>
        <v>277.64</v>
      </c>
      <c r="Q608">
        <f>3424.122</f>
        <v>3424.1219999999998</v>
      </c>
      <c r="R608">
        <f>8015.54</f>
        <v>8015.54</v>
      </c>
      <c r="S608">
        <f>2962.04</f>
        <v>2962.04</v>
      </c>
      <c r="T608">
        <f>3621.711</f>
        <v>3621.7109999999998</v>
      </c>
      <c r="U608">
        <f>68510.75</f>
        <v>68510.75</v>
      </c>
      <c r="V608">
        <f>525.67</f>
        <v>525.66999999999996</v>
      </c>
    </row>
    <row r="609" spans="1:22" x14ac:dyDescent="0.2">
      <c r="A609" s="1">
        <v>44256</v>
      </c>
      <c r="B609">
        <f>2171</f>
        <v>2171</v>
      </c>
      <c r="C609">
        <f>11005.41</f>
        <v>11005.41</v>
      </c>
      <c r="D609">
        <f>6323.76</f>
        <v>6323.76</v>
      </c>
      <c r="E609">
        <f>3225.224</f>
        <v>3225.2240000000002</v>
      </c>
      <c r="F609">
        <f>2022.19</f>
        <v>2022.19</v>
      </c>
      <c r="G609">
        <f>8666.26</f>
        <v>8666.26</v>
      </c>
      <c r="H609">
        <f>3738.94</f>
        <v>3738.94</v>
      </c>
      <c r="I609">
        <f>12799.99</f>
        <v>12799.99</v>
      </c>
      <c r="J609">
        <f>4834.16</f>
        <v>4834.16</v>
      </c>
      <c r="K609">
        <f>17190.49</f>
        <v>17190.490000000002</v>
      </c>
      <c r="L609">
        <f>2400.91</f>
        <v>2400.91</v>
      </c>
      <c r="M609">
        <f>12057.99</f>
        <v>12057.99</v>
      </c>
      <c r="N609">
        <f>363.595</f>
        <v>363.59500000000003</v>
      </c>
      <c r="O609">
        <f>3369.88</f>
        <v>3369.88</v>
      </c>
      <c r="P609">
        <f>278.89</f>
        <v>278.89</v>
      </c>
      <c r="Q609">
        <f>3427.7152</f>
        <v>3427.7152000000001</v>
      </c>
      <c r="R609">
        <f>8080.78</f>
        <v>8080.78</v>
      </c>
      <c r="S609">
        <f>2973.96</f>
        <v>2973.96</v>
      </c>
      <c r="T609">
        <f>3595.806</f>
        <v>3595.806</v>
      </c>
      <c r="U609">
        <f>67536.96</f>
        <v>67536.960000000006</v>
      </c>
      <c r="V609">
        <f>521.87</f>
        <v>521.87</v>
      </c>
    </row>
    <row r="610" spans="1:22" x14ac:dyDescent="0.2">
      <c r="A610" s="1">
        <v>44253</v>
      </c>
      <c r="B610">
        <f>2128.86</f>
        <v>2128.86</v>
      </c>
      <c r="C610">
        <f>10916.37</f>
        <v>10916.37</v>
      </c>
      <c r="D610">
        <f>6222.88</f>
        <v>6222.88</v>
      </c>
      <c r="E610">
        <f>3170.208</f>
        <v>3170.2080000000001</v>
      </c>
      <c r="F610">
        <f>1992.16</f>
        <v>1992.16</v>
      </c>
      <c r="G610">
        <f>8562.934</f>
        <v>8562.9339999999993</v>
      </c>
      <c r="H610">
        <f>3668.89</f>
        <v>3668.89</v>
      </c>
      <c r="I610">
        <f>12666.05</f>
        <v>12666.05</v>
      </c>
      <c r="J610">
        <f>4752.16</f>
        <v>4752.16</v>
      </c>
      <c r="K610">
        <f>16779.96</f>
        <v>16779.96</v>
      </c>
      <c r="L610">
        <f>2366.36</f>
        <v>2366.36</v>
      </c>
      <c r="M610">
        <f>11811.31</f>
        <v>11811.31</v>
      </c>
      <c r="N610">
        <f>357.118</f>
        <v>357.11799999999999</v>
      </c>
      <c r="O610">
        <f>3310.72</f>
        <v>3310.72</v>
      </c>
      <c r="P610">
        <f>274.43</f>
        <v>274.43</v>
      </c>
      <c r="Q610">
        <f>3363.61566</f>
        <v>3363.6156599999999</v>
      </c>
      <c r="R610">
        <f>7892.81</f>
        <v>7892.81</v>
      </c>
      <c r="S610">
        <f>2914.58</f>
        <v>2914.58</v>
      </c>
      <c r="T610">
        <f>3543.169</f>
        <v>3543.1689999999999</v>
      </c>
      <c r="U610">
        <f>66138.05</f>
        <v>66138.05</v>
      </c>
      <c r="V610">
        <f>511.9</f>
        <v>511.9</v>
      </c>
    </row>
    <row r="611" spans="1:22" x14ac:dyDescent="0.2">
      <c r="A611" s="1">
        <v>44252</v>
      </c>
      <c r="B611">
        <f>2185.08</f>
        <v>2185.08</v>
      </c>
      <c r="C611">
        <f>11175.91</f>
        <v>11175.91</v>
      </c>
      <c r="D611">
        <f>6384.64</f>
        <v>6384.64</v>
      </c>
      <c r="E611">
        <f>3275.554</f>
        <v>3275.5540000000001</v>
      </c>
      <c r="F611">
        <f>2069.12</f>
        <v>2069.12</v>
      </c>
      <c r="G611">
        <f>8879.731</f>
        <v>8879.7309999999998</v>
      </c>
      <c r="H611">
        <f>3782.92</f>
        <v>3782.92</v>
      </c>
      <c r="I611">
        <f>12926.65</f>
        <v>12926.65</v>
      </c>
      <c r="J611">
        <f>4815.4</f>
        <v>4815.3999999999996</v>
      </c>
      <c r="K611">
        <f>16838.6</f>
        <v>16838.599999999999</v>
      </c>
      <c r="L611">
        <f>2414.18</f>
        <v>2414.1799999999998</v>
      </c>
      <c r="M611">
        <f>11954.61</f>
        <v>11954.61</v>
      </c>
      <c r="N611">
        <f>362.418</f>
        <v>362.41800000000001</v>
      </c>
      <c r="O611">
        <f>3363.84</f>
        <v>3363.84</v>
      </c>
      <c r="P611">
        <f>282.67</f>
        <v>282.67</v>
      </c>
      <c r="Q611">
        <f>3407.648</f>
        <v>3407.6480000000001</v>
      </c>
      <c r="R611">
        <f>7929.56</f>
        <v>7929.56</v>
      </c>
      <c r="S611">
        <f>3010.84</f>
        <v>3010.84</v>
      </c>
      <c r="T611">
        <f>3591.09</f>
        <v>3591.09</v>
      </c>
      <c r="U611">
        <f>67483.76</f>
        <v>67483.759999999995</v>
      </c>
      <c r="V611">
        <f>520.27</f>
        <v>520.27</v>
      </c>
    </row>
    <row r="612" spans="1:22" x14ac:dyDescent="0.2">
      <c r="A612" s="1">
        <v>44251</v>
      </c>
      <c r="B612">
        <f>2186.75</f>
        <v>2186.75</v>
      </c>
      <c r="C612">
        <f>11051.41</f>
        <v>11051.41</v>
      </c>
      <c r="D612">
        <f>6378.31</f>
        <v>6378.31</v>
      </c>
      <c r="E612">
        <f>3258.828</f>
        <v>3258.828</v>
      </c>
      <c r="F612">
        <f>2057.82</f>
        <v>2057.8200000000002</v>
      </c>
      <c r="G612">
        <f>8844.647</f>
        <v>8844.6470000000008</v>
      </c>
      <c r="H612">
        <f>3746.53</f>
        <v>3746.53</v>
      </c>
      <c r="I612">
        <f>12844.13</f>
        <v>12844.13</v>
      </c>
      <c r="J612">
        <f>4887.14</f>
        <v>4887.1400000000003</v>
      </c>
      <c r="K612">
        <f>17276.83</f>
        <v>17276.830000000002</v>
      </c>
      <c r="L612">
        <f>2429.02</f>
        <v>2429.02</v>
      </c>
      <c r="M612">
        <f>12134.4</f>
        <v>12134.4</v>
      </c>
      <c r="N612">
        <f>363.567</f>
        <v>363.56700000000001</v>
      </c>
      <c r="O612">
        <f>3374.71</f>
        <v>3374.71</v>
      </c>
      <c r="P612">
        <f>278.61</f>
        <v>278.61</v>
      </c>
      <c r="Q612">
        <f>3455.01</f>
        <v>3455.01</v>
      </c>
      <c r="R612">
        <f>8127.38</f>
        <v>8127.38</v>
      </c>
      <c r="S612">
        <f>2973.9</f>
        <v>2973.9</v>
      </c>
      <c r="T612">
        <f>3558.991</f>
        <v>3558.991</v>
      </c>
      <c r="U612">
        <f>66200.76</f>
        <v>66200.759999999995</v>
      </c>
      <c r="V612">
        <f>513</f>
        <v>513</v>
      </c>
    </row>
    <row r="613" spans="1:22" x14ac:dyDescent="0.2">
      <c r="A613" s="1">
        <v>44250</v>
      </c>
      <c r="B613">
        <f>2163.47</f>
        <v>2163.4699999999998</v>
      </c>
      <c r="C613">
        <f>11144.11</f>
        <v>11144.11</v>
      </c>
      <c r="D613">
        <f>6346.67</f>
        <v>6346.67</v>
      </c>
      <c r="E613">
        <f>3309.474</f>
        <v>3309.4740000000002</v>
      </c>
      <c r="F613">
        <f>2047.46</f>
        <v>2047.46</v>
      </c>
      <c r="G613">
        <f>8810.45</f>
        <v>8810.4500000000007</v>
      </c>
      <c r="H613">
        <f>3816.76</f>
        <v>3816.76</v>
      </c>
      <c r="I613">
        <f>12833.04</f>
        <v>12833.04</v>
      </c>
      <c r="J613">
        <f>4844.72</f>
        <v>4844.72</v>
      </c>
      <c r="K613">
        <f>17103.84</f>
        <v>17103.84</v>
      </c>
      <c r="L613">
        <f>2416.22</f>
        <v>2416.2199999999998</v>
      </c>
      <c r="M613">
        <f>12076.88</f>
        <v>12076.88</v>
      </c>
      <c r="N613">
        <f>363.772</f>
        <v>363.77199999999999</v>
      </c>
      <c r="O613">
        <f>3359.08</f>
        <v>3359.08</v>
      </c>
      <c r="P613" t="e">
        <f>NA()</f>
        <v>#N/A</v>
      </c>
      <c r="Q613">
        <f>3422.736</f>
        <v>3422.7359999999999</v>
      </c>
      <c r="R613">
        <f>8036.06</f>
        <v>8036.06</v>
      </c>
      <c r="S613" t="e">
        <f>NA()</f>
        <v>#N/A</v>
      </c>
      <c r="T613">
        <f>3550.85</f>
        <v>3550.85</v>
      </c>
      <c r="U613">
        <f>65921.6</f>
        <v>65921.600000000006</v>
      </c>
      <c r="V613">
        <f>511.58</f>
        <v>511.58</v>
      </c>
    </row>
    <row r="614" spans="1:22" x14ac:dyDescent="0.2">
      <c r="A614" s="1">
        <v>44249</v>
      </c>
      <c r="B614">
        <f>2158.67</f>
        <v>2158.67</v>
      </c>
      <c r="C614">
        <f>11047.23</f>
        <v>11047.23</v>
      </c>
      <c r="D614">
        <f>6333.55</f>
        <v>6333.55</v>
      </c>
      <c r="E614">
        <f>3308.127</f>
        <v>3308.127</v>
      </c>
      <c r="F614">
        <f>2030.53</f>
        <v>2030.53</v>
      </c>
      <c r="G614">
        <f>8745.187</f>
        <v>8745.1869999999999</v>
      </c>
      <c r="H614">
        <f>3818.03</f>
        <v>3818.03</v>
      </c>
      <c r="I614">
        <f>12900.39</f>
        <v>12900.39</v>
      </c>
      <c r="J614">
        <f>4841.72</f>
        <v>4841.72</v>
      </c>
      <c r="K614">
        <f>17093.49</f>
        <v>17093.490000000002</v>
      </c>
      <c r="L614">
        <f>2414.19</f>
        <v>2414.19</v>
      </c>
      <c r="M614">
        <f>12071.74</f>
        <v>12071.74</v>
      </c>
      <c r="N614">
        <f>365.657</f>
        <v>365.65699999999998</v>
      </c>
      <c r="O614">
        <f>3372.73</f>
        <v>3372.73</v>
      </c>
      <c r="P614">
        <f>279.62</f>
        <v>279.62</v>
      </c>
      <c r="Q614">
        <f>3415.978</f>
        <v>3415.9780000000001</v>
      </c>
      <c r="R614">
        <f>8025.81</f>
        <v>8025.81</v>
      </c>
      <c r="S614">
        <f>3029.02</f>
        <v>3029.02</v>
      </c>
      <c r="T614">
        <f>3614.988</f>
        <v>3614.9879999999998</v>
      </c>
      <c r="U614">
        <f>67362.82</f>
        <v>67362.820000000007</v>
      </c>
      <c r="V614">
        <f>518.87</f>
        <v>518.87</v>
      </c>
    </row>
    <row r="615" spans="1:22" x14ac:dyDescent="0.2">
      <c r="A615" s="1">
        <v>44246</v>
      </c>
      <c r="B615">
        <f>2158.21</f>
        <v>2158.21</v>
      </c>
      <c r="C615">
        <f>11121.63</f>
        <v>11121.63</v>
      </c>
      <c r="D615">
        <f>6344.83</f>
        <v>6344.83</v>
      </c>
      <c r="E615">
        <f>3384.573</f>
        <v>3384.5729999999999</v>
      </c>
      <c r="F615">
        <f>2025.35</f>
        <v>2025.35</v>
      </c>
      <c r="G615">
        <f>8733.822</f>
        <v>8733.8220000000001</v>
      </c>
      <c r="H615">
        <f>3783.03</f>
        <v>3783.03</v>
      </c>
      <c r="I615">
        <f>12960.55</f>
        <v>12960.55</v>
      </c>
      <c r="J615">
        <f>4838.5</f>
        <v>4838.5</v>
      </c>
      <c r="K615">
        <f>17267.92</f>
        <v>17267.919999999998</v>
      </c>
      <c r="L615">
        <f>2409.74</f>
        <v>2409.7399999999998</v>
      </c>
      <c r="M615">
        <f>12150.49</f>
        <v>12150.49</v>
      </c>
      <c r="N615">
        <f>368.605</f>
        <v>368.60500000000002</v>
      </c>
      <c r="O615">
        <f>3384.88</f>
        <v>3384.88</v>
      </c>
      <c r="P615">
        <f>276.2</f>
        <v>276.2</v>
      </c>
      <c r="Q615">
        <f>3398.823</f>
        <v>3398.8229999999999</v>
      </c>
      <c r="R615">
        <f>8087.68</f>
        <v>8087.68</v>
      </c>
      <c r="S615">
        <f>3014.34</f>
        <v>3014.34</v>
      </c>
      <c r="T615">
        <f>3610.495</f>
        <v>3610.4949999999999</v>
      </c>
      <c r="U615">
        <f>67464.86</f>
        <v>67464.86</v>
      </c>
      <c r="V615">
        <f>516.98</f>
        <v>516.98</v>
      </c>
    </row>
    <row r="616" spans="1:22" x14ac:dyDescent="0.2">
      <c r="A616" s="1">
        <v>44245</v>
      </c>
      <c r="B616">
        <f>2142.73</f>
        <v>2142.73</v>
      </c>
      <c r="C616">
        <f>11056.21</f>
        <v>11056.21</v>
      </c>
      <c r="D616">
        <f>6338.25</f>
        <v>6338.25</v>
      </c>
      <c r="E616">
        <f>3372.9</f>
        <v>3372.9</v>
      </c>
      <c r="F616">
        <f>2012.22</f>
        <v>2012.22</v>
      </c>
      <c r="G616">
        <f>8686.286</f>
        <v>8686.2860000000001</v>
      </c>
      <c r="H616">
        <f>3801.39</f>
        <v>3801.39</v>
      </c>
      <c r="I616">
        <f>12823.36</f>
        <v>12823.36</v>
      </c>
      <c r="J616">
        <f>4855.9</f>
        <v>4855.8999999999996</v>
      </c>
      <c r="K616">
        <f>17283.93</f>
        <v>17283.93</v>
      </c>
      <c r="L616">
        <f>2409.8</f>
        <v>2409.8000000000002</v>
      </c>
      <c r="M616">
        <f>12134.6</f>
        <v>12134.6</v>
      </c>
      <c r="N616">
        <f>371.156</f>
        <v>371.15600000000001</v>
      </c>
      <c r="O616">
        <f>3367.66</f>
        <v>3367.66</v>
      </c>
      <c r="P616">
        <f>278.35</f>
        <v>278.35000000000002</v>
      </c>
      <c r="Q616">
        <f>3397.537</f>
        <v>3397.5369999999998</v>
      </c>
      <c r="R616">
        <f>8102.24</f>
        <v>8102.24</v>
      </c>
      <c r="S616">
        <f>3034.59</f>
        <v>3034.59</v>
      </c>
      <c r="T616">
        <f>3577.256</f>
        <v>3577.2559999999999</v>
      </c>
      <c r="U616">
        <f>66575.45</f>
        <v>66575.45</v>
      </c>
      <c r="V616">
        <f>513.32</f>
        <v>513.32000000000005</v>
      </c>
    </row>
    <row r="617" spans="1:22" x14ac:dyDescent="0.2">
      <c r="A617" s="1">
        <v>44244</v>
      </c>
      <c r="B617">
        <f>2168.14</f>
        <v>2168.14</v>
      </c>
      <c r="C617">
        <f>11123.23</f>
        <v>11123.23</v>
      </c>
      <c r="D617">
        <f>6416.47</f>
        <v>6416.47</v>
      </c>
      <c r="E617">
        <f>3419.78</f>
        <v>3419.78</v>
      </c>
      <c r="F617">
        <f>2018.48</f>
        <v>2018.48</v>
      </c>
      <c r="G617">
        <f>8731.991</f>
        <v>8731.991</v>
      </c>
      <c r="H617">
        <f>3857.31</f>
        <v>3857.31</v>
      </c>
      <c r="I617">
        <f>12874.1</f>
        <v>12874.1</v>
      </c>
      <c r="J617">
        <f>4858.27</f>
        <v>4858.2700000000004</v>
      </c>
      <c r="K617">
        <f>17359.56</f>
        <v>17359.560000000001</v>
      </c>
      <c r="L617">
        <f>2416.56</f>
        <v>2416.56</v>
      </c>
      <c r="M617">
        <f>12189.62</f>
        <v>12189.62</v>
      </c>
      <c r="N617">
        <f>373.451</f>
        <v>373.45100000000002</v>
      </c>
      <c r="O617">
        <f>3391.1</f>
        <v>3391.1</v>
      </c>
      <c r="P617">
        <f>282.82</f>
        <v>282.82</v>
      </c>
      <c r="Q617">
        <f>3404.459</f>
        <v>3404.4589999999998</v>
      </c>
      <c r="R617">
        <f>8137.88</f>
        <v>8137.88</v>
      </c>
      <c r="S617">
        <f>3065.14</f>
        <v>3065.14</v>
      </c>
      <c r="T617">
        <f>3590.291</f>
        <v>3590.2910000000002</v>
      </c>
      <c r="U617">
        <f>67110.07</f>
        <v>67110.070000000007</v>
      </c>
      <c r="V617">
        <f>514.11</f>
        <v>514.11</v>
      </c>
    </row>
    <row r="618" spans="1:22" x14ac:dyDescent="0.2">
      <c r="A618" s="1">
        <v>44243</v>
      </c>
      <c r="B618">
        <f>2194.24</f>
        <v>2194.2399999999998</v>
      </c>
      <c r="C618">
        <f>11122.07</f>
        <v>11122.07</v>
      </c>
      <c r="D618">
        <f>6452.76</f>
        <v>6452.76</v>
      </c>
      <c r="E618">
        <f>3413.146</f>
        <v>3413.1460000000002</v>
      </c>
      <c r="F618">
        <f>2057.63</f>
        <v>2057.63</v>
      </c>
      <c r="G618">
        <f>8820.396</f>
        <v>8820.3960000000006</v>
      </c>
      <c r="H618">
        <f>3885.34</f>
        <v>3885.34</v>
      </c>
      <c r="I618">
        <f>13069.45</f>
        <v>13069.45</v>
      </c>
      <c r="J618">
        <f>4835.39</f>
        <v>4835.3900000000003</v>
      </c>
      <c r="K618">
        <f>17378.54</f>
        <v>17378.54</v>
      </c>
      <c r="L618">
        <f>2419.57</f>
        <v>2419.5700000000002</v>
      </c>
      <c r="M618">
        <f>12241.15</f>
        <v>12241.15</v>
      </c>
      <c r="N618">
        <f>377.216</f>
        <v>377.21600000000001</v>
      </c>
      <c r="O618">
        <f>3415.42</f>
        <v>3415.42</v>
      </c>
      <c r="P618">
        <f>282.06</f>
        <v>282.06</v>
      </c>
      <c r="Q618">
        <f>3400.91</f>
        <v>3400.91</v>
      </c>
      <c r="R618">
        <f>8139.16</f>
        <v>8139.16</v>
      </c>
      <c r="S618">
        <f>3070.74</f>
        <v>3070.74</v>
      </c>
      <c r="T618">
        <f>3642.833</f>
        <v>3642.8330000000001</v>
      </c>
      <c r="U618">
        <f>67227.06</f>
        <v>67227.06</v>
      </c>
      <c r="V618">
        <f>522.91</f>
        <v>522.91</v>
      </c>
    </row>
    <row r="619" spans="1:22" x14ac:dyDescent="0.2">
      <c r="A619" s="1">
        <v>44242</v>
      </c>
      <c r="B619">
        <f>2206.43</f>
        <v>2206.4299999999998</v>
      </c>
      <c r="C619">
        <f>11081.72</f>
        <v>11081.72</v>
      </c>
      <c r="D619">
        <f>6459.69</f>
        <v>6459.69</v>
      </c>
      <c r="E619">
        <f>3402.617</f>
        <v>3402.6170000000002</v>
      </c>
      <c r="F619">
        <f>2057.88</f>
        <v>2057.88</v>
      </c>
      <c r="G619">
        <f>8814.661</f>
        <v>8814.6610000000001</v>
      </c>
      <c r="H619">
        <f>3882.38</f>
        <v>3882.38</v>
      </c>
      <c r="I619">
        <f>13102.63</f>
        <v>13102.63</v>
      </c>
      <c r="J619">
        <f>4847.25</f>
        <v>4847.25</v>
      </c>
      <c r="K619">
        <f>17397.7</f>
        <v>17397.7</v>
      </c>
      <c r="L619">
        <f>2424.8</f>
        <v>2424.8000000000002</v>
      </c>
      <c r="M619">
        <f>12246</f>
        <v>12246</v>
      </c>
      <c r="N619">
        <f>378.818</f>
        <v>378.81799999999998</v>
      </c>
      <c r="O619">
        <f>3417.77</f>
        <v>3417.77</v>
      </c>
      <c r="P619">
        <f>280.18</f>
        <v>280.18</v>
      </c>
      <c r="Q619" t="e">
        <f>NA()</f>
        <v>#N/A</v>
      </c>
      <c r="R619" t="e">
        <f>NA()</f>
        <v>#N/A</v>
      </c>
      <c r="S619">
        <f>3053.35</f>
        <v>3053.35</v>
      </c>
      <c r="T619">
        <f>3681.757</f>
        <v>3681.7570000000001</v>
      </c>
      <c r="U619">
        <f>67124.83</f>
        <v>67124.83</v>
      </c>
      <c r="V619">
        <f>525.88</f>
        <v>525.88</v>
      </c>
    </row>
    <row r="620" spans="1:22" x14ac:dyDescent="0.2">
      <c r="A620" s="1">
        <v>44239</v>
      </c>
      <c r="B620">
        <f>2153.72</f>
        <v>2153.7199999999998</v>
      </c>
      <c r="C620">
        <f>11003.08</f>
        <v>11003.08</v>
      </c>
      <c r="D620">
        <f>6300.67</f>
        <v>6300.67</v>
      </c>
      <c r="E620">
        <f>3381.555</f>
        <v>3381.5549999999998</v>
      </c>
      <c r="F620">
        <f>1995.57</f>
        <v>1995.57</v>
      </c>
      <c r="G620">
        <f>8555.623</f>
        <v>8555.6229999999996</v>
      </c>
      <c r="H620">
        <f>3862.68</f>
        <v>3862.68</v>
      </c>
      <c r="I620">
        <f>12970.42</f>
        <v>12970.42</v>
      </c>
      <c r="J620">
        <f>4847.25</f>
        <v>4847.25</v>
      </c>
      <c r="K620">
        <f>17397.7</f>
        <v>17397.7</v>
      </c>
      <c r="L620">
        <f>2414.95</f>
        <v>2414.9499999999998</v>
      </c>
      <c r="M620">
        <f>12199.04</f>
        <v>12199.04</v>
      </c>
      <c r="N620">
        <f>376.028</f>
        <v>376.02800000000002</v>
      </c>
      <c r="O620">
        <f>3371.58</f>
        <v>3371.58</v>
      </c>
      <c r="P620">
        <f>277.51</f>
        <v>277.51</v>
      </c>
      <c r="Q620">
        <f>3415.059</f>
        <v>3415.0590000000002</v>
      </c>
      <c r="R620">
        <f>8142.79</f>
        <v>8142.79</v>
      </c>
      <c r="S620">
        <f>3021.99</f>
        <v>3021.99</v>
      </c>
      <c r="T620">
        <f>3615.505</f>
        <v>3615.5050000000001</v>
      </c>
      <c r="U620">
        <f>66132.24</f>
        <v>66132.240000000005</v>
      </c>
      <c r="V620">
        <f>517.05</f>
        <v>517.04999999999995</v>
      </c>
    </row>
    <row r="621" spans="1:22" x14ac:dyDescent="0.2">
      <c r="A621" s="1">
        <v>44238</v>
      </c>
      <c r="B621">
        <f>2147.68</f>
        <v>2147.6799999999998</v>
      </c>
      <c r="C621">
        <f>10990.88</f>
        <v>10990.88</v>
      </c>
      <c r="D621">
        <f>6242.28</f>
        <v>6242.28</v>
      </c>
      <c r="E621">
        <f>3379.202</f>
        <v>3379.2020000000002</v>
      </c>
      <c r="F621">
        <f>1981.69</f>
        <v>1981.69</v>
      </c>
      <c r="G621">
        <f>8456.967</f>
        <v>8456.9670000000006</v>
      </c>
      <c r="H621">
        <f>3876.14</f>
        <v>3876.14</v>
      </c>
      <c r="I621">
        <f>12918.99</f>
        <v>12918.99</v>
      </c>
      <c r="J621">
        <f>4831.73</f>
        <v>4831.7299999999996</v>
      </c>
      <c r="K621">
        <f>17312.62</f>
        <v>17312.62</v>
      </c>
      <c r="L621">
        <f>2406.97</f>
        <v>2406.9699999999998</v>
      </c>
      <c r="M621">
        <f>12147.9</f>
        <v>12147.9</v>
      </c>
      <c r="N621">
        <f>372.04</f>
        <v>372.04</v>
      </c>
      <c r="O621">
        <f>3348.38</f>
        <v>3348.38</v>
      </c>
      <c r="P621" t="e">
        <f>NA()</f>
        <v>#N/A</v>
      </c>
      <c r="Q621">
        <f>3403.867</f>
        <v>3403.8670000000002</v>
      </c>
      <c r="R621">
        <f>8104.19</f>
        <v>8104.19</v>
      </c>
      <c r="S621" t="e">
        <f>NA()</f>
        <v>#N/A</v>
      </c>
      <c r="T621">
        <f>3587.563</f>
        <v>3587.5630000000001</v>
      </c>
      <c r="U621">
        <f>65882.72</f>
        <v>65882.720000000001</v>
      </c>
      <c r="V621">
        <f>509.89</f>
        <v>509.89</v>
      </c>
    </row>
    <row r="622" spans="1:22" x14ac:dyDescent="0.2">
      <c r="A622" s="1">
        <v>44237</v>
      </c>
      <c r="B622">
        <f>2152.4</f>
        <v>2152.4</v>
      </c>
      <c r="C622">
        <f>10963.16</f>
        <v>10963.16</v>
      </c>
      <c r="D622">
        <f>6237.96</f>
        <v>6237.96</v>
      </c>
      <c r="E622">
        <f>3367.415</f>
        <v>3367.415</v>
      </c>
      <c r="F622">
        <f>1985.9</f>
        <v>1985.9</v>
      </c>
      <c r="G622">
        <f>8473.767</f>
        <v>8473.7669999999998</v>
      </c>
      <c r="H622">
        <f>3878.36</f>
        <v>3878.36</v>
      </c>
      <c r="I622">
        <f>12842.42</f>
        <v>12842.42</v>
      </c>
      <c r="J622">
        <f>4838.02</f>
        <v>4838.0200000000004</v>
      </c>
      <c r="K622">
        <f>17269.91</f>
        <v>17269.91</v>
      </c>
      <c r="L622">
        <f>2408.39</f>
        <v>2408.39</v>
      </c>
      <c r="M622">
        <f>12117.97</f>
        <v>12117.97</v>
      </c>
      <c r="N622">
        <f>370.336</f>
        <v>370.33600000000001</v>
      </c>
      <c r="O622">
        <f>3336.05</f>
        <v>3336.05</v>
      </c>
      <c r="P622">
        <f>278.1</f>
        <v>278.10000000000002</v>
      </c>
      <c r="Q622">
        <f>3413.007</f>
        <v>3413.0070000000001</v>
      </c>
      <c r="R622">
        <f>8089.11</f>
        <v>8089.11</v>
      </c>
      <c r="S622">
        <f>3017.21</f>
        <v>3017.21</v>
      </c>
      <c r="T622">
        <f>3596.654</f>
        <v>3596.654</v>
      </c>
      <c r="U622">
        <f>66150.82</f>
        <v>66150.820000000007</v>
      </c>
      <c r="V622">
        <f>513.46</f>
        <v>513.46</v>
      </c>
    </row>
    <row r="623" spans="1:22" x14ac:dyDescent="0.2">
      <c r="A623" s="1">
        <v>44236</v>
      </c>
      <c r="B623">
        <f>2162.33</f>
        <v>2162.33</v>
      </c>
      <c r="C623">
        <f>10915.82</f>
        <v>10915.82</v>
      </c>
      <c r="D623">
        <f>6244.84</f>
        <v>6244.84</v>
      </c>
      <c r="E623">
        <f>3334.737</f>
        <v>3334.7370000000001</v>
      </c>
      <c r="F623">
        <f>1975.7</f>
        <v>1975.7</v>
      </c>
      <c r="G623">
        <f>8451.129</f>
        <v>8451.1290000000008</v>
      </c>
      <c r="H623">
        <f>3868.79</f>
        <v>3868.79</v>
      </c>
      <c r="I623">
        <f>12842.01</f>
        <v>12842.01</v>
      </c>
      <c r="J623">
        <f>4839.27</f>
        <v>4839.2700000000004</v>
      </c>
      <c r="K623">
        <f>17270.15</f>
        <v>17270.150000000001</v>
      </c>
      <c r="L623">
        <f>2404.53</f>
        <v>2404.5300000000002</v>
      </c>
      <c r="M623">
        <f>12108.55</f>
        <v>12108.55</v>
      </c>
      <c r="N623">
        <f>370.459</f>
        <v>370.459</v>
      </c>
      <c r="O623">
        <f>3339.99</f>
        <v>3339.99</v>
      </c>
      <c r="P623">
        <f>279.09</f>
        <v>279.08999999999997</v>
      </c>
      <c r="Q623">
        <f>3401.851</f>
        <v>3401.8510000000001</v>
      </c>
      <c r="R623">
        <f>8091.7</f>
        <v>8091.7</v>
      </c>
      <c r="S623">
        <f>3008.96</f>
        <v>3008.96</v>
      </c>
      <c r="T623">
        <f>3554.174</f>
        <v>3554.174</v>
      </c>
      <c r="U623">
        <f>65162.69</f>
        <v>65162.69</v>
      </c>
      <c r="V623">
        <f>507.22</f>
        <v>507.22</v>
      </c>
    </row>
    <row r="624" spans="1:22" x14ac:dyDescent="0.2">
      <c r="A624" s="1">
        <v>44235</v>
      </c>
      <c r="B624">
        <f>2146.59</f>
        <v>2146.59</v>
      </c>
      <c r="C624">
        <f>10897.51</f>
        <v>10897.51</v>
      </c>
      <c r="D624">
        <f>6237.17</f>
        <v>6237.17</v>
      </c>
      <c r="E624">
        <f>3312.549</f>
        <v>3312.549</v>
      </c>
      <c r="F624">
        <f>1949.78</f>
        <v>1949.78</v>
      </c>
      <c r="G624">
        <f>8406.052</f>
        <v>8406.0519999999997</v>
      </c>
      <c r="H624">
        <f>3850.76</f>
        <v>3850.76</v>
      </c>
      <c r="I624">
        <f>12800.19</f>
        <v>12800.19</v>
      </c>
      <c r="J624">
        <f>4844.59</f>
        <v>4844.59</v>
      </c>
      <c r="K624">
        <f>17278.56</f>
        <v>17278.560000000001</v>
      </c>
      <c r="L624">
        <f>2402.14</f>
        <v>2402.14</v>
      </c>
      <c r="M624">
        <f>12095.73</f>
        <v>12095.73</v>
      </c>
      <c r="N624">
        <f>370.59</f>
        <v>370.59</v>
      </c>
      <c r="O624">
        <f>3342.61</f>
        <v>3342.61</v>
      </c>
      <c r="P624">
        <f>279.45</f>
        <v>279.45</v>
      </c>
      <c r="Q624">
        <f>3406.65</f>
        <v>3406.65</v>
      </c>
      <c r="R624">
        <f>8099.33</f>
        <v>8099.33</v>
      </c>
      <c r="S624">
        <f>3006.47</f>
        <v>3006.47</v>
      </c>
      <c r="T624">
        <f>3543.113</f>
        <v>3543.1129999999998</v>
      </c>
      <c r="U624">
        <f>65059.16</f>
        <v>65059.16</v>
      </c>
      <c r="V624">
        <f>503.42</f>
        <v>503.42</v>
      </c>
    </row>
    <row r="625" spans="1:22" x14ac:dyDescent="0.2">
      <c r="A625" s="1">
        <v>44232</v>
      </c>
      <c r="B625">
        <f>2139.54</f>
        <v>2139.54</v>
      </c>
      <c r="C625">
        <f>10833.02</f>
        <v>10833.02</v>
      </c>
      <c r="D625">
        <f>6204.46</f>
        <v>6204.46</v>
      </c>
      <c r="E625">
        <f>3302.04</f>
        <v>3302.04</v>
      </c>
      <c r="F625">
        <f>1945.87</f>
        <v>1945.87</v>
      </c>
      <c r="G625">
        <f>8349.93</f>
        <v>8349.93</v>
      </c>
      <c r="H625">
        <f>3772.67</f>
        <v>3772.67</v>
      </c>
      <c r="I625">
        <f>12746.54</f>
        <v>12746.54</v>
      </c>
      <c r="J625">
        <f>4823.83</f>
        <v>4823.83</v>
      </c>
      <c r="K625">
        <f>17151.97</f>
        <v>17151.97</v>
      </c>
      <c r="L625">
        <f>2389.94</f>
        <v>2389.94</v>
      </c>
      <c r="M625">
        <f>11998.47</f>
        <v>11998.47</v>
      </c>
      <c r="N625">
        <f>369.059</f>
        <v>369.05900000000003</v>
      </c>
      <c r="O625">
        <f>3330.67</f>
        <v>3330.67</v>
      </c>
      <c r="P625">
        <f>273.39</f>
        <v>273.39</v>
      </c>
      <c r="Q625">
        <f>3378.547</f>
        <v>3378.547</v>
      </c>
      <c r="R625">
        <f>8039.67</f>
        <v>8039.67</v>
      </c>
      <c r="S625">
        <f>2954.91</f>
        <v>2954.91</v>
      </c>
      <c r="T625">
        <f>3531.922</f>
        <v>3531.922</v>
      </c>
      <c r="U625">
        <f>64289.48</f>
        <v>64289.48</v>
      </c>
      <c r="V625">
        <f>503.37</f>
        <v>503.37</v>
      </c>
    </row>
    <row r="626" spans="1:22" x14ac:dyDescent="0.2">
      <c r="A626" s="1">
        <v>44231</v>
      </c>
      <c r="B626">
        <f>2129.56</f>
        <v>2129.56</v>
      </c>
      <c r="C626">
        <f>10720.28</f>
        <v>10720.28</v>
      </c>
      <c r="D626">
        <f>6218.22</f>
        <v>6218.22</v>
      </c>
      <c r="E626">
        <f>3283.713</f>
        <v>3283.7130000000002</v>
      </c>
      <c r="F626">
        <f>1943.88</f>
        <v>1943.88</v>
      </c>
      <c r="G626">
        <f>8330.434</f>
        <v>8330.4339999999993</v>
      </c>
      <c r="H626">
        <f>3738.41</f>
        <v>3738.41</v>
      </c>
      <c r="I626">
        <f>12694.99</f>
        <v>12694.99</v>
      </c>
      <c r="J626">
        <f>4806.15</f>
        <v>4806.1499999999996</v>
      </c>
      <c r="K626">
        <f>17070.52</f>
        <v>17070.52</v>
      </c>
      <c r="L626">
        <f>2382.74</f>
        <v>2382.7399999999998</v>
      </c>
      <c r="M626">
        <f>11929.16</f>
        <v>11929.16</v>
      </c>
      <c r="N626">
        <f>371.694</f>
        <v>371.69400000000002</v>
      </c>
      <c r="O626">
        <f>3334.54</f>
        <v>3334.54</v>
      </c>
      <c r="P626">
        <f>269.89</f>
        <v>269.89</v>
      </c>
      <c r="Q626">
        <f>3351.053</f>
        <v>3351.0529999999999</v>
      </c>
      <c r="R626">
        <f>8007.62</f>
        <v>8007.62</v>
      </c>
      <c r="S626">
        <f>2914.54</f>
        <v>2914.54</v>
      </c>
      <c r="T626">
        <f>3497.029</f>
        <v>3497.029</v>
      </c>
      <c r="U626">
        <f>63786.21</f>
        <v>63786.21</v>
      </c>
      <c r="V626">
        <f>494.39</f>
        <v>494.39</v>
      </c>
    </row>
    <row r="627" spans="1:22" x14ac:dyDescent="0.2">
      <c r="A627" s="1">
        <v>44230</v>
      </c>
      <c r="B627">
        <f>2126.91</f>
        <v>2126.91</v>
      </c>
      <c r="C627">
        <f>10727.67</f>
        <v>10727.67</v>
      </c>
      <c r="D627">
        <f>6222.14</f>
        <v>6222.14</v>
      </c>
      <c r="E627">
        <f>3295.538</f>
        <v>3295.538</v>
      </c>
      <c r="F627">
        <f>1942.53</f>
        <v>1942.53</v>
      </c>
      <c r="G627">
        <f>8329.72</f>
        <v>8329.7199999999993</v>
      </c>
      <c r="H627">
        <f>3747.85</f>
        <v>3747.85</v>
      </c>
      <c r="I627">
        <f>12646.87</f>
        <v>12646.87</v>
      </c>
      <c r="J627">
        <f>4750.65</f>
        <v>4750.6499999999996</v>
      </c>
      <c r="K627">
        <f>16879.05</f>
        <v>16879.05</v>
      </c>
      <c r="L627">
        <f>2368.11</f>
        <v>2368.11</v>
      </c>
      <c r="M627">
        <f>11842.34</f>
        <v>11842.34</v>
      </c>
      <c r="N627">
        <f>369.673</f>
        <v>369.673</v>
      </c>
      <c r="O627">
        <f>3312.82</f>
        <v>3312.82</v>
      </c>
      <c r="P627">
        <f>269.09</f>
        <v>269.08999999999997</v>
      </c>
      <c r="Q627">
        <f>3327.054</f>
        <v>3327.0540000000001</v>
      </c>
      <c r="R627">
        <f>7920.85</f>
        <v>7920.85</v>
      </c>
      <c r="S627">
        <f>2923.87</f>
        <v>2923.87</v>
      </c>
      <c r="T627">
        <f>3450.282</f>
        <v>3450.2820000000002</v>
      </c>
      <c r="U627">
        <f>63010.61</f>
        <v>63010.61</v>
      </c>
      <c r="V627">
        <f>483.84</f>
        <v>483.84</v>
      </c>
    </row>
    <row r="628" spans="1:22" x14ac:dyDescent="0.2">
      <c r="A628" s="1">
        <v>44229</v>
      </c>
      <c r="B628">
        <f>2115.46</f>
        <v>2115.46</v>
      </c>
      <c r="C628">
        <f>10709.88</f>
        <v>10709.88</v>
      </c>
      <c r="D628">
        <f>6230.58</f>
        <v>6230.58</v>
      </c>
      <c r="E628">
        <f>3268.417</f>
        <v>3268.4169999999999</v>
      </c>
      <c r="F628">
        <f>1947.41</f>
        <v>1947.41</v>
      </c>
      <c r="G628">
        <f>8332.566</f>
        <v>8332.5660000000007</v>
      </c>
      <c r="H628">
        <f>3663.26</f>
        <v>3663.26</v>
      </c>
      <c r="I628">
        <f>12609.85</f>
        <v>12609.85</v>
      </c>
      <c r="J628">
        <f>4748.16</f>
        <v>4748.16</v>
      </c>
      <c r="K628">
        <f>16870.58</f>
        <v>16870.580000000002</v>
      </c>
      <c r="L628">
        <f>2362.58</f>
        <v>2362.58</v>
      </c>
      <c r="M628">
        <f>11816.46</f>
        <v>11816.46</v>
      </c>
      <c r="N628">
        <f>370.897</f>
        <v>370.89699999999999</v>
      </c>
      <c r="O628">
        <f>3303.43</f>
        <v>3303.43</v>
      </c>
      <c r="P628">
        <f>264.54</f>
        <v>264.54000000000002</v>
      </c>
      <c r="Q628">
        <f>3321.302</f>
        <v>3321.3020000000001</v>
      </c>
      <c r="R628">
        <f>7912.87</f>
        <v>7912.87</v>
      </c>
      <c r="S628">
        <f>2886.27</f>
        <v>2886.27</v>
      </c>
      <c r="T628">
        <f>3434.143</f>
        <v>3434.143</v>
      </c>
      <c r="U628">
        <f>62733.65</f>
        <v>62733.65</v>
      </c>
      <c r="V628">
        <f>481.43</f>
        <v>481.43</v>
      </c>
    </row>
    <row r="629" spans="1:22" x14ac:dyDescent="0.2">
      <c r="A629" s="1">
        <v>44228</v>
      </c>
      <c r="B629">
        <f>2098.25</f>
        <v>2098.25</v>
      </c>
      <c r="C629">
        <f>10589.66</f>
        <v>10589.66</v>
      </c>
      <c r="D629">
        <f>6182.56</f>
        <v>6182.56</v>
      </c>
      <c r="E629">
        <f>3220.851</f>
        <v>3220.8510000000001</v>
      </c>
      <c r="F629">
        <f>1941.58</f>
        <v>1941.58</v>
      </c>
      <c r="G629">
        <f>8293.508</f>
        <v>8293.5079999999998</v>
      </c>
      <c r="H629">
        <f>3642.77</f>
        <v>3642.77</v>
      </c>
      <c r="I629">
        <f>12498.12</f>
        <v>12498.12</v>
      </c>
      <c r="J629">
        <f>4711.84</f>
        <v>4711.84</v>
      </c>
      <c r="K629">
        <f>16623.94</f>
        <v>16623.939999999999</v>
      </c>
      <c r="L629">
        <f>2348.71</f>
        <v>2348.71</v>
      </c>
      <c r="M629">
        <f>11669</f>
        <v>11669</v>
      </c>
      <c r="N629">
        <f>366.929</f>
        <v>366.92899999999997</v>
      </c>
      <c r="O629">
        <f>3263.12</f>
        <v>3263.12</v>
      </c>
      <c r="P629">
        <f>262.9</f>
        <v>262.89999999999998</v>
      </c>
      <c r="Q629">
        <f>3292.892</f>
        <v>3292.8919999999998</v>
      </c>
      <c r="R629">
        <f>7804.31</f>
        <v>7804.31</v>
      </c>
      <c r="S629">
        <f>2859.42</f>
        <v>2859.42</v>
      </c>
      <c r="T629">
        <f>3455.823</f>
        <v>3455.8229999999999</v>
      </c>
      <c r="U629">
        <f>62796.65</f>
        <v>62796.65</v>
      </c>
      <c r="V629">
        <f>481.55</f>
        <v>481.55</v>
      </c>
    </row>
    <row r="630" spans="1:22" x14ac:dyDescent="0.2">
      <c r="A630" s="1">
        <v>44225</v>
      </c>
      <c r="B630">
        <f>2083.9</f>
        <v>2083.9</v>
      </c>
      <c r="C630">
        <f>10515.33</f>
        <v>10515.33</v>
      </c>
      <c r="D630">
        <f>6126.19</f>
        <v>6126.19</v>
      </c>
      <c r="E630">
        <f>3145.973</f>
        <v>3145.973</v>
      </c>
      <c r="F630">
        <f>1934.95</f>
        <v>1934.95</v>
      </c>
      <c r="G630">
        <f>8265.408</f>
        <v>8265.4079999999994</v>
      </c>
      <c r="H630">
        <f>3623.88</f>
        <v>3623.88</v>
      </c>
      <c r="I630">
        <f>12402.61</f>
        <v>12402.61</v>
      </c>
      <c r="J630">
        <f>4688.24</f>
        <v>4688.24</v>
      </c>
      <c r="K630">
        <f>16352.89</f>
        <v>16352.89</v>
      </c>
      <c r="L630">
        <f>2335.05</f>
        <v>2335.0500000000002</v>
      </c>
      <c r="M630">
        <f>11512.43</f>
        <v>11512.43</v>
      </c>
      <c r="N630">
        <f>362.858</f>
        <v>362.858</v>
      </c>
      <c r="O630">
        <f>3222.88</f>
        <v>3222.88</v>
      </c>
      <c r="P630">
        <f>259.43</f>
        <v>259.43</v>
      </c>
      <c r="Q630">
        <f>3271.713</f>
        <v>3271.7130000000002</v>
      </c>
      <c r="R630">
        <f>7681.01</f>
        <v>7681.01</v>
      </c>
      <c r="S630">
        <f>2826.5</f>
        <v>2826.5</v>
      </c>
      <c r="T630">
        <f>3453.187</f>
        <v>3453.1869999999999</v>
      </c>
      <c r="U630">
        <f>62472.1</f>
        <v>62472.1</v>
      </c>
      <c r="V630">
        <f>481.97</f>
        <v>481.97</v>
      </c>
    </row>
    <row r="631" spans="1:22" x14ac:dyDescent="0.2">
      <c r="A631" s="1">
        <v>44224</v>
      </c>
      <c r="B631">
        <f>2111.92</f>
        <v>2111.92</v>
      </c>
      <c r="C631">
        <f>10725.16</f>
        <v>10725.16</v>
      </c>
      <c r="D631">
        <f>6239.67</f>
        <v>6239.67</v>
      </c>
      <c r="E631">
        <f>3192.411</f>
        <v>3192.4110000000001</v>
      </c>
      <c r="F631">
        <f>1981.59</f>
        <v>1981.59</v>
      </c>
      <c r="G631">
        <f>8416.21</f>
        <v>8416.2099999999991</v>
      </c>
      <c r="H631">
        <f>3706.77</f>
        <v>3706.77</v>
      </c>
      <c r="I631">
        <f>12612.41</f>
        <v>12612.41</v>
      </c>
      <c r="J631">
        <f>4772.69</f>
        <v>4772.6899999999996</v>
      </c>
      <c r="K631">
        <f>16664.95</f>
        <v>16664.95</v>
      </c>
      <c r="L631">
        <f>2379.32</f>
        <v>2379.3200000000002</v>
      </c>
      <c r="M631">
        <f>11722.89</f>
        <v>11722.89</v>
      </c>
      <c r="N631">
        <f>371.077</f>
        <v>371.077</v>
      </c>
      <c r="O631">
        <f>3286.49</f>
        <v>3286.49</v>
      </c>
      <c r="P631">
        <f>261.79</f>
        <v>261.79000000000002</v>
      </c>
      <c r="Q631">
        <f>3339.696</f>
        <v>3339.6959999999999</v>
      </c>
      <c r="R631">
        <f>7831.22</f>
        <v>7831.22</v>
      </c>
      <c r="S631">
        <f>2873.5</f>
        <v>2873.5</v>
      </c>
      <c r="T631">
        <f>3505.934</f>
        <v>3505.9340000000002</v>
      </c>
      <c r="U631">
        <f>63206.72</f>
        <v>63206.720000000001</v>
      </c>
      <c r="V631">
        <f>486.81</f>
        <v>486.81</v>
      </c>
    </row>
    <row r="632" spans="1:22" x14ac:dyDescent="0.2">
      <c r="A632" s="1">
        <v>44223</v>
      </c>
      <c r="B632">
        <f>2113.67</f>
        <v>2113.67</v>
      </c>
      <c r="C632">
        <f>10842.8</f>
        <v>10842.8</v>
      </c>
      <c r="D632">
        <f>6278.98</f>
        <v>6278.98</v>
      </c>
      <c r="E632">
        <f>3241.636</f>
        <v>3241.636</v>
      </c>
      <c r="F632">
        <f>1993.58</f>
        <v>1993.58</v>
      </c>
      <c r="G632">
        <f>8467.021</f>
        <v>8467.0210000000006</v>
      </c>
      <c r="H632">
        <f>3759.38</f>
        <v>3759.38</v>
      </c>
      <c r="I632">
        <f>12546.97</f>
        <v>12546.97</v>
      </c>
      <c r="J632">
        <f>4732.94</f>
        <v>4732.9399999999996</v>
      </c>
      <c r="K632">
        <f>16483.65</f>
        <v>16483.650000000001</v>
      </c>
      <c r="L632">
        <f>2375.81</f>
        <v>2375.81</v>
      </c>
      <c r="M632">
        <f>11652.11</f>
        <v>11652.11</v>
      </c>
      <c r="N632">
        <f>371.8</f>
        <v>371.8</v>
      </c>
      <c r="O632">
        <f>3284.34</f>
        <v>3284.34</v>
      </c>
      <c r="P632">
        <f>262.54</f>
        <v>262.54000000000002</v>
      </c>
      <c r="Q632">
        <f>3313.879</f>
        <v>3313.8789999999999</v>
      </c>
      <c r="R632">
        <f>7754.74</f>
        <v>7754.74</v>
      </c>
      <c r="S632">
        <f>2906.49</f>
        <v>2906.49</v>
      </c>
      <c r="T632">
        <f>3511.081</f>
        <v>3511.0810000000001</v>
      </c>
      <c r="U632">
        <f>62784.52</f>
        <v>62784.52</v>
      </c>
      <c r="V632">
        <f>486.2</f>
        <v>486.2</v>
      </c>
    </row>
    <row r="633" spans="1:22" x14ac:dyDescent="0.2">
      <c r="A633" s="1">
        <v>44222</v>
      </c>
      <c r="B633">
        <f>2131.44</f>
        <v>2131.44</v>
      </c>
      <c r="C633">
        <f>10890.2</f>
        <v>10890.2</v>
      </c>
      <c r="D633">
        <f>6361.81</f>
        <v>6361.81</v>
      </c>
      <c r="E633">
        <f>3282.607</f>
        <v>3282.607</v>
      </c>
      <c r="F633">
        <f>2013.72</f>
        <v>2013.72</v>
      </c>
      <c r="G633">
        <f>8595.626</f>
        <v>8595.6260000000002</v>
      </c>
      <c r="H633">
        <f>3735.7</f>
        <v>3735.7</v>
      </c>
      <c r="I633">
        <f>12774.42</f>
        <v>12774.42</v>
      </c>
      <c r="J633">
        <f>4844.09</f>
        <v>4844.09</v>
      </c>
      <c r="K633">
        <f>16930.48</f>
        <v>16930.48</v>
      </c>
      <c r="L633">
        <f>2414.78</f>
        <v>2414.7800000000002</v>
      </c>
      <c r="M633">
        <f>11910.22</f>
        <v>11910.22</v>
      </c>
      <c r="N633">
        <f>374.388</f>
        <v>374.38799999999998</v>
      </c>
      <c r="O633">
        <f>3324.33</f>
        <v>3324.33</v>
      </c>
      <c r="P633">
        <f>261.8</f>
        <v>261.8</v>
      </c>
      <c r="Q633">
        <f>3371.527</f>
        <v>3371.527</v>
      </c>
      <c r="R633">
        <f>7959.1</f>
        <v>7959.1</v>
      </c>
      <c r="S633">
        <f>2887.62</f>
        <v>2887.62</v>
      </c>
      <c r="T633">
        <f>3555.635</f>
        <v>3555.6350000000002</v>
      </c>
      <c r="U633">
        <f>63923.63</f>
        <v>63923.63</v>
      </c>
      <c r="V633">
        <f>493.5</f>
        <v>493.5</v>
      </c>
    </row>
    <row r="634" spans="1:22" x14ac:dyDescent="0.2">
      <c r="A634" s="1">
        <v>44221</v>
      </c>
      <c r="B634">
        <f>2121.87</f>
        <v>2121.87</v>
      </c>
      <c r="C634">
        <f>10940.55</f>
        <v>10940.55</v>
      </c>
      <c r="D634">
        <f>6347.32</f>
        <v>6347.32</v>
      </c>
      <c r="E634">
        <f>3333.262</f>
        <v>3333.2620000000002</v>
      </c>
      <c r="F634">
        <f>2012.53</f>
        <v>2012.53</v>
      </c>
      <c r="G634">
        <f>8529.468</f>
        <v>8529.4680000000008</v>
      </c>
      <c r="H634">
        <f>3747.46</f>
        <v>3747.46</v>
      </c>
      <c r="I634">
        <f>12659.08</f>
        <v>12659.08</v>
      </c>
      <c r="J634">
        <f>4843.19</f>
        <v>4843.1899999999996</v>
      </c>
      <c r="K634">
        <f>16978.6</f>
        <v>16978.599999999999</v>
      </c>
      <c r="L634">
        <f>2409.66</f>
        <v>2409.66</v>
      </c>
      <c r="M634">
        <f>11922.09</f>
        <v>11922.09</v>
      </c>
      <c r="N634">
        <f>373.643</f>
        <v>373.64299999999997</v>
      </c>
      <c r="O634">
        <f>3303.1</f>
        <v>3303.1</v>
      </c>
      <c r="P634">
        <f>264.22</f>
        <v>264.22000000000003</v>
      </c>
      <c r="Q634">
        <f>3372.059</f>
        <v>3372.0590000000002</v>
      </c>
      <c r="R634">
        <f>7970.92</f>
        <v>7970.92</v>
      </c>
      <c r="S634">
        <f>2909.49</f>
        <v>2909.49</v>
      </c>
      <c r="T634">
        <f>3545.763</f>
        <v>3545.7629999999999</v>
      </c>
      <c r="U634">
        <f>64559.85</f>
        <v>64559.85</v>
      </c>
      <c r="V634">
        <f>490.08</f>
        <v>490.08</v>
      </c>
    </row>
    <row r="635" spans="1:22" x14ac:dyDescent="0.2">
      <c r="A635" s="1">
        <v>44218</v>
      </c>
      <c r="B635">
        <f>2146.35</f>
        <v>2146.35</v>
      </c>
      <c r="C635">
        <f>10925.66</f>
        <v>10925.66</v>
      </c>
      <c r="D635">
        <f>6401.06</f>
        <v>6401.06</v>
      </c>
      <c r="E635">
        <f>3292.241</f>
        <v>3292.241</v>
      </c>
      <c r="F635">
        <f>2025.12</f>
        <v>2025.12</v>
      </c>
      <c r="G635">
        <f>8596.707</f>
        <v>8596.7070000000003</v>
      </c>
      <c r="H635">
        <f>3738.5</f>
        <v>3738.5</v>
      </c>
      <c r="I635">
        <f>12818.12</f>
        <v>12818.12</v>
      </c>
      <c r="J635">
        <f>4817.36</f>
        <v>4817.3599999999997</v>
      </c>
      <c r="K635">
        <f>16922.44</f>
        <v>16922.439999999999</v>
      </c>
      <c r="L635">
        <f>2405.4</f>
        <v>2405.4</v>
      </c>
      <c r="M635">
        <f>11916.61</f>
        <v>11916.61</v>
      </c>
      <c r="N635" t="e">
        <f>NA()</f>
        <v>#N/A</v>
      </c>
      <c r="O635">
        <f>3331.74</f>
        <v>3331.74</v>
      </c>
      <c r="P635">
        <f>262.43</f>
        <v>262.43</v>
      </c>
      <c r="Q635">
        <f>3364.523</f>
        <v>3364.5230000000001</v>
      </c>
      <c r="R635">
        <f>7942.2</f>
        <v>7942.2</v>
      </c>
      <c r="S635">
        <f>2901.12</f>
        <v>2901.12</v>
      </c>
      <c r="T635">
        <f>3558.092</f>
        <v>3558.0920000000001</v>
      </c>
      <c r="U635">
        <f>63987.92</f>
        <v>63987.92</v>
      </c>
      <c r="V635">
        <f>492.26</f>
        <v>492.26</v>
      </c>
    </row>
    <row r="636" spans="1:22" x14ac:dyDescent="0.2">
      <c r="A636" s="1">
        <v>44217</v>
      </c>
      <c r="B636">
        <f>2159.01</f>
        <v>2159.0100000000002</v>
      </c>
      <c r="C636">
        <f>11066.57</f>
        <v>11066.57</v>
      </c>
      <c r="D636">
        <f>6420.53</f>
        <v>6420.53</v>
      </c>
      <c r="E636">
        <f>3323.464</f>
        <v>3323.4639999999999</v>
      </c>
      <c r="F636">
        <f>2035.08</f>
        <v>2035.08</v>
      </c>
      <c r="G636">
        <f>8656.518</f>
        <v>8656.518</v>
      </c>
      <c r="H636">
        <f>3747.39</f>
        <v>3747.39</v>
      </c>
      <c r="I636">
        <f>12852.76</f>
        <v>12852.76</v>
      </c>
      <c r="J636">
        <f>4844.78</f>
        <v>4844.78</v>
      </c>
      <c r="K636">
        <f>16968.84</f>
        <v>16968.84</v>
      </c>
      <c r="L636">
        <f>2418.26</f>
        <v>2418.2600000000002</v>
      </c>
      <c r="M636">
        <f>11959.33</f>
        <v>11959.33</v>
      </c>
      <c r="N636">
        <f>374.204</f>
        <v>374.20400000000001</v>
      </c>
      <c r="O636">
        <f>3349.81</f>
        <v>3349.81</v>
      </c>
      <c r="P636">
        <f>263.49</f>
        <v>263.49</v>
      </c>
      <c r="Q636">
        <f>3374.727</f>
        <v>3374.7269999999999</v>
      </c>
      <c r="R636">
        <f>7966.11</f>
        <v>7966.11</v>
      </c>
      <c r="S636">
        <f>2907.38</f>
        <v>2907.38</v>
      </c>
      <c r="T636">
        <f>3593.073</f>
        <v>3593.0729999999999</v>
      </c>
      <c r="U636">
        <f>64174.88</f>
        <v>64174.879999999997</v>
      </c>
      <c r="V636">
        <f>500.52</f>
        <v>500.52</v>
      </c>
    </row>
    <row r="637" spans="1:22" x14ac:dyDescent="0.2">
      <c r="A637" s="1">
        <v>44216</v>
      </c>
      <c r="B637">
        <f>2171.23</f>
        <v>2171.23</v>
      </c>
      <c r="C637">
        <f>11083.61</f>
        <v>11083.61</v>
      </c>
      <c r="D637">
        <f>6444.4</f>
        <v>6444.4</v>
      </c>
      <c r="E637">
        <f>3311.37</f>
        <v>3311.37</v>
      </c>
      <c r="F637">
        <f>2023.03</f>
        <v>2023.03</v>
      </c>
      <c r="G637">
        <f>8634.66</f>
        <v>8634.66</v>
      </c>
      <c r="H637">
        <f>3718.32</f>
        <v>3718.32</v>
      </c>
      <c r="I637">
        <f>12799.18</f>
        <v>12799.18</v>
      </c>
      <c r="J637">
        <f>4851.05</f>
        <v>4851.05</v>
      </c>
      <c r="K637">
        <f>16964.25</f>
        <v>16964.25</v>
      </c>
      <c r="L637">
        <f>2417.37</f>
        <v>2417.37</v>
      </c>
      <c r="M637">
        <f>11941.06</f>
        <v>11941.06</v>
      </c>
      <c r="N637">
        <f>373.103</f>
        <v>373.10300000000001</v>
      </c>
      <c r="O637">
        <f>3351.74</f>
        <v>3351.74</v>
      </c>
      <c r="P637">
        <f>262.58</f>
        <v>262.58</v>
      </c>
      <c r="Q637">
        <f>3399.248</f>
        <v>3399.248</v>
      </c>
      <c r="R637">
        <f>7962.92</f>
        <v>7962.92</v>
      </c>
      <c r="S637">
        <f>2890.1</f>
        <v>2890.1</v>
      </c>
      <c r="T637">
        <f>3574.704</f>
        <v>3574.7040000000002</v>
      </c>
      <c r="U637">
        <f>64108.51</f>
        <v>64108.51</v>
      </c>
      <c r="V637">
        <f>496.24</f>
        <v>496.24</v>
      </c>
    </row>
    <row r="638" spans="1:22" x14ac:dyDescent="0.2">
      <c r="A638" s="1">
        <v>44215</v>
      </c>
      <c r="B638">
        <f>2149.27</f>
        <v>2149.27</v>
      </c>
      <c r="C638">
        <f>11095.11</f>
        <v>11095.11</v>
      </c>
      <c r="D638">
        <f>6418.16</f>
        <v>6418.16</v>
      </c>
      <c r="E638">
        <f>3264.862</f>
        <v>3264.8620000000001</v>
      </c>
      <c r="F638">
        <f>2002.44</f>
        <v>2002.44</v>
      </c>
      <c r="G638">
        <f>8593.928</f>
        <v>8593.9279999999999</v>
      </c>
      <c r="H638">
        <f>3696.04</f>
        <v>3696.04</v>
      </c>
      <c r="I638">
        <f>12732.36</f>
        <v>12732.36</v>
      </c>
      <c r="J638">
        <f>4843.76</f>
        <v>4843.76</v>
      </c>
      <c r="K638">
        <f>16729.38</f>
        <v>16729.38</v>
      </c>
      <c r="L638">
        <f>2414.29</f>
        <v>2414.29</v>
      </c>
      <c r="M638">
        <f>11815.58</f>
        <v>11815.58</v>
      </c>
      <c r="N638">
        <f>371.707</f>
        <v>371.70699999999999</v>
      </c>
      <c r="O638">
        <f>3327.25</f>
        <v>3327.25</v>
      </c>
      <c r="P638">
        <f>262.35</f>
        <v>262.35000000000002</v>
      </c>
      <c r="Q638">
        <f>3388.077</f>
        <v>3388.0770000000002</v>
      </c>
      <c r="R638">
        <f>7853.47</f>
        <v>7853.47</v>
      </c>
      <c r="S638">
        <f>2899.87</f>
        <v>2899.87</v>
      </c>
      <c r="T638">
        <f>3558.879</f>
        <v>3558.8789999999999</v>
      </c>
      <c r="U638">
        <f>63603.26</f>
        <v>63603.26</v>
      </c>
      <c r="V638">
        <f>496.78</f>
        <v>496.78</v>
      </c>
    </row>
    <row r="639" spans="1:22" x14ac:dyDescent="0.2">
      <c r="A639" s="1">
        <v>44214</v>
      </c>
      <c r="B639">
        <f>2168.03</f>
        <v>2168.0300000000002</v>
      </c>
      <c r="C639">
        <f>11029.03</f>
        <v>11029.03</v>
      </c>
      <c r="D639">
        <f>6425.52</f>
        <v>6425.52</v>
      </c>
      <c r="E639">
        <f>3212.067</f>
        <v>3212.067</v>
      </c>
      <c r="F639">
        <f>2008.63</f>
        <v>2008.63</v>
      </c>
      <c r="G639">
        <f>8576.82</f>
        <v>8576.82</v>
      </c>
      <c r="H639">
        <f>3692.81</f>
        <v>3692.81</v>
      </c>
      <c r="I639">
        <f>12696.96</f>
        <v>12696.96</v>
      </c>
      <c r="J639">
        <f>4830.49</f>
        <v>4830.49</v>
      </c>
      <c r="K639">
        <f>16592.65</f>
        <v>16592.650000000001</v>
      </c>
      <c r="L639">
        <f>2404.72</f>
        <v>2404.7199999999998</v>
      </c>
      <c r="M639">
        <f>11733.11</f>
        <v>11733.11</v>
      </c>
      <c r="N639">
        <f>372.251</f>
        <v>372.25099999999998</v>
      </c>
      <c r="O639">
        <f>3333.16</f>
        <v>3333.16</v>
      </c>
      <c r="P639">
        <f>262.18</f>
        <v>262.18</v>
      </c>
      <c r="Q639" t="e">
        <f>NA()</f>
        <v>#N/A</v>
      </c>
      <c r="R639" t="e">
        <f>NA()</f>
        <v>#N/A</v>
      </c>
      <c r="S639">
        <f>2883.7</f>
        <v>2883.7</v>
      </c>
      <c r="T639">
        <f>3539.033</f>
        <v>3539.0329999999999</v>
      </c>
      <c r="U639">
        <f>63713.87</f>
        <v>63713.87</v>
      </c>
      <c r="V639">
        <f>494.56</f>
        <v>494.56</v>
      </c>
    </row>
    <row r="640" spans="1:22" x14ac:dyDescent="0.2">
      <c r="A640" s="1">
        <v>44211</v>
      </c>
      <c r="B640">
        <f>2174.23</f>
        <v>2174.23</v>
      </c>
      <c r="C640">
        <f>11008.05</f>
        <v>11008.05</v>
      </c>
      <c r="D640">
        <f>6439.93</f>
        <v>6439.93</v>
      </c>
      <c r="E640">
        <f>3209.826</f>
        <v>3209.826</v>
      </c>
      <c r="F640">
        <f>2023.51</f>
        <v>2023.51</v>
      </c>
      <c r="G640">
        <f>8597.953</f>
        <v>8597.9529999999995</v>
      </c>
      <c r="H640">
        <f>3728.6</f>
        <v>3728.6</v>
      </c>
      <c r="I640">
        <f>12683.27</f>
        <v>12683.27</v>
      </c>
      <c r="J640">
        <f>4830.49</f>
        <v>4830.49</v>
      </c>
      <c r="K640">
        <f>16592.65</f>
        <v>16592.650000000001</v>
      </c>
      <c r="L640">
        <f>2409.07</f>
        <v>2409.0700000000002</v>
      </c>
      <c r="M640">
        <f>11738.4</f>
        <v>11738.4</v>
      </c>
      <c r="N640">
        <f>373.229</f>
        <v>373.22899999999998</v>
      </c>
      <c r="O640">
        <f>3328.54</f>
        <v>3328.54</v>
      </c>
      <c r="P640">
        <f>264.44</f>
        <v>264.44</v>
      </c>
      <c r="Q640">
        <f>3379.476</f>
        <v>3379.4760000000001</v>
      </c>
      <c r="R640">
        <f>7789.79</f>
        <v>7789.79</v>
      </c>
      <c r="S640">
        <f>2901.07</f>
        <v>2901.07</v>
      </c>
      <c r="T640">
        <f>3520.656</f>
        <v>3520.6559999999999</v>
      </c>
      <c r="U640">
        <f>63549.75</f>
        <v>63549.75</v>
      </c>
      <c r="V640">
        <f>492.42</f>
        <v>492.42</v>
      </c>
    </row>
    <row r="641" spans="1:22" x14ac:dyDescent="0.2">
      <c r="A641" s="1">
        <v>44210</v>
      </c>
      <c r="B641">
        <f>2192.33</f>
        <v>2192.33</v>
      </c>
      <c r="C641">
        <f>11111.74</f>
        <v>11111.74</v>
      </c>
      <c r="D641">
        <f>6503.27</f>
        <v>6503.27</v>
      </c>
      <c r="E641">
        <f>3239.906</f>
        <v>3239.9059999999999</v>
      </c>
      <c r="F641">
        <f>2058.52</f>
        <v>2058.52</v>
      </c>
      <c r="G641">
        <f>8744.232</f>
        <v>8744.232</v>
      </c>
      <c r="H641">
        <f>3752.29</f>
        <v>3752.29</v>
      </c>
      <c r="I641">
        <f>12842.21</f>
        <v>12842.21</v>
      </c>
      <c r="J641">
        <f>4846.46</f>
        <v>4846.46</v>
      </c>
      <c r="K641">
        <f>16712.7</f>
        <v>16712.7</v>
      </c>
      <c r="L641">
        <f>2421.3</f>
        <v>2421.3000000000002</v>
      </c>
      <c r="M641">
        <f>11838.92</f>
        <v>11838.92</v>
      </c>
      <c r="N641">
        <f>375.517</f>
        <v>375.517</v>
      </c>
      <c r="O641">
        <f>3359.94</f>
        <v>3359.94</v>
      </c>
      <c r="P641">
        <f>267.93</f>
        <v>267.93</v>
      </c>
      <c r="Q641">
        <f>3400.552</f>
        <v>3400.5520000000001</v>
      </c>
      <c r="R641">
        <f>7846.1</f>
        <v>7846.1</v>
      </c>
      <c r="S641">
        <f>2927.12</f>
        <v>2927.12</v>
      </c>
      <c r="T641">
        <f>3545.396</f>
        <v>3545.3960000000002</v>
      </c>
      <c r="U641">
        <f>63884.77</f>
        <v>63884.77</v>
      </c>
      <c r="V641">
        <f>495.4</f>
        <v>495.4</v>
      </c>
    </row>
    <row r="642" spans="1:22" x14ac:dyDescent="0.2">
      <c r="A642" s="1">
        <v>44209</v>
      </c>
      <c r="B642">
        <f>2166.14</f>
        <v>2166.14</v>
      </c>
      <c r="C642">
        <f>11037.42</f>
        <v>11037.42</v>
      </c>
      <c r="D642">
        <f>6447.84</f>
        <v>6447.84</v>
      </c>
      <c r="E642">
        <f>3224.049</f>
        <v>3224.049</v>
      </c>
      <c r="F642">
        <f>2032.83</f>
        <v>2032.83</v>
      </c>
      <c r="G642">
        <f>8635.221</f>
        <v>8635.2209999999995</v>
      </c>
      <c r="H642">
        <f>3721.88</f>
        <v>3721.88</v>
      </c>
      <c r="I642">
        <f>12802.97</f>
        <v>12802.97</v>
      </c>
      <c r="J642">
        <f>4837.75</f>
        <v>4837.75</v>
      </c>
      <c r="K642">
        <f>16774.98</f>
        <v>16774.98</v>
      </c>
      <c r="L642">
        <f>2410.12</f>
        <v>2410.12</v>
      </c>
      <c r="M642">
        <f>11845.61</f>
        <v>11845.61</v>
      </c>
      <c r="N642">
        <f>374.181</f>
        <v>374.18099999999998</v>
      </c>
      <c r="O642">
        <f>3335.08</f>
        <v>3335.08</v>
      </c>
      <c r="P642">
        <f>266.72</f>
        <v>266.72000000000003</v>
      </c>
      <c r="Q642">
        <f>3401.329</f>
        <v>3401.3290000000002</v>
      </c>
      <c r="R642">
        <f>7874.75</f>
        <v>7874.75</v>
      </c>
      <c r="S642">
        <f>2913.25</f>
        <v>2913.25</v>
      </c>
      <c r="T642">
        <f>3526.638</f>
        <v>3526.6379999999999</v>
      </c>
      <c r="U642">
        <f>63474.53</f>
        <v>63474.53</v>
      </c>
      <c r="V642">
        <f>496.26</f>
        <v>496.26</v>
      </c>
    </row>
    <row r="643" spans="1:22" x14ac:dyDescent="0.2">
      <c r="A643" s="1">
        <v>44208</v>
      </c>
      <c r="B643">
        <f>2173.15</f>
        <v>2173.15</v>
      </c>
      <c r="C643">
        <f>10956.78</f>
        <v>10956.78</v>
      </c>
      <c r="D643">
        <f>6456.05</f>
        <v>6456.05</v>
      </c>
      <c r="E643">
        <f>3199.205</f>
        <v>3199.2049999999999</v>
      </c>
      <c r="F643">
        <f>2026.31</f>
        <v>2026.31</v>
      </c>
      <c r="G643">
        <f>8632.703</f>
        <v>8632.7029999999995</v>
      </c>
      <c r="H643">
        <f>3692.01</f>
        <v>3692.01</v>
      </c>
      <c r="I643">
        <f>12787.99</f>
        <v>12787.99</v>
      </c>
      <c r="J643">
        <f>4831</f>
        <v>4831</v>
      </c>
      <c r="K643">
        <f>16741.55</f>
        <v>16741.55</v>
      </c>
      <c r="L643">
        <f>2405.05</f>
        <v>2405.0500000000002</v>
      </c>
      <c r="M643">
        <f>11821.83</f>
        <v>11821.83</v>
      </c>
      <c r="N643">
        <f>371.87</f>
        <v>371.87</v>
      </c>
      <c r="O643">
        <f>3333.09</f>
        <v>3333.09</v>
      </c>
      <c r="P643">
        <f>264.87</f>
        <v>264.87</v>
      </c>
      <c r="Q643">
        <f>3417.369</f>
        <v>3417.3690000000001</v>
      </c>
      <c r="R643">
        <f>7856.72</f>
        <v>7856.72</v>
      </c>
      <c r="S643">
        <f>2903.15</f>
        <v>2903.15</v>
      </c>
      <c r="T643">
        <f>3526.27</f>
        <v>3526.27</v>
      </c>
      <c r="U643">
        <f>63535.1</f>
        <v>63535.1</v>
      </c>
      <c r="V643">
        <f>492.42</f>
        <v>492.42</v>
      </c>
    </row>
    <row r="644" spans="1:22" x14ac:dyDescent="0.2">
      <c r="A644" s="1">
        <v>44207</v>
      </c>
      <c r="B644">
        <f>2179.64</f>
        <v>2179.64</v>
      </c>
      <c r="C644">
        <f>10923.65</f>
        <v>10923.65</v>
      </c>
      <c r="D644">
        <f>6498.46</f>
        <v>6498.46</v>
      </c>
      <c r="E644">
        <f>3189.807</f>
        <v>3189.8069999999998</v>
      </c>
      <c r="F644">
        <f>2020.6</f>
        <v>2020.6</v>
      </c>
      <c r="G644">
        <f>8604.929</f>
        <v>8604.9290000000001</v>
      </c>
      <c r="H644">
        <f>3688.63</f>
        <v>3688.63</v>
      </c>
      <c r="I644">
        <f>12778.93</f>
        <v>12778.93</v>
      </c>
      <c r="J644">
        <f>4818.54</f>
        <v>4818.54</v>
      </c>
      <c r="K644">
        <f>16722.42</f>
        <v>16722.419999999998</v>
      </c>
      <c r="L644">
        <f>2401.72</f>
        <v>2401.7199999999998</v>
      </c>
      <c r="M644">
        <f>11803.02</f>
        <v>11803.02</v>
      </c>
      <c r="N644">
        <f>374.112</f>
        <v>374.11200000000002</v>
      </c>
      <c r="O644">
        <f>3331.38</f>
        <v>3331.38</v>
      </c>
      <c r="P644" t="e">
        <f>NA()</f>
        <v>#N/A</v>
      </c>
      <c r="Q644">
        <f>3388.641</f>
        <v>3388.6410000000001</v>
      </c>
      <c r="R644">
        <f>7853.45</f>
        <v>7853.45</v>
      </c>
      <c r="S644" t="e">
        <f>NA()</f>
        <v>#N/A</v>
      </c>
      <c r="T644">
        <f>3557.186</f>
        <v>3557.1860000000001</v>
      </c>
      <c r="U644">
        <f>63759.93</f>
        <v>63759.93</v>
      </c>
      <c r="V644">
        <f>494.99</f>
        <v>494.99</v>
      </c>
    </row>
    <row r="645" spans="1:22" x14ac:dyDescent="0.2">
      <c r="A645" s="1">
        <v>44204</v>
      </c>
      <c r="B645">
        <f>2216</f>
        <v>2216</v>
      </c>
      <c r="C645">
        <f>10908.62</f>
        <v>10908.62</v>
      </c>
      <c r="D645">
        <f>6569.94</f>
        <v>6569.94</v>
      </c>
      <c r="E645">
        <f>3199.103</f>
        <v>3199.1030000000001</v>
      </c>
      <c r="F645">
        <f>2053.39</f>
        <v>2053.39</v>
      </c>
      <c r="G645">
        <f>8765.2</f>
        <v>8765.2000000000007</v>
      </c>
      <c r="H645">
        <f>3706.4</f>
        <v>3706.4</v>
      </c>
      <c r="I645">
        <f>12959.15</f>
        <v>12959.15</v>
      </c>
      <c r="J645">
        <f>4807.03</f>
        <v>4807.03</v>
      </c>
      <c r="K645">
        <f>16828.83</f>
        <v>16828.830000000002</v>
      </c>
      <c r="L645">
        <f>2411.31</f>
        <v>2411.31</v>
      </c>
      <c r="M645">
        <f>11903.57</f>
        <v>11903.57</v>
      </c>
      <c r="N645">
        <f>375.754</f>
        <v>375.75400000000002</v>
      </c>
      <c r="O645">
        <f>3350.26</f>
        <v>3350.26</v>
      </c>
      <c r="P645">
        <f>263.83</f>
        <v>263.83</v>
      </c>
      <c r="Q645">
        <f>3394.777</f>
        <v>3394.777</v>
      </c>
      <c r="R645">
        <f>7905.28</f>
        <v>7905.28</v>
      </c>
      <c r="S645">
        <f>2898.46</f>
        <v>2898.46</v>
      </c>
      <c r="T645">
        <f>3577.967</f>
        <v>3577.9670000000001</v>
      </c>
      <c r="U645">
        <f>63519.18</f>
        <v>63519.18</v>
      </c>
      <c r="V645">
        <f>500.28</f>
        <v>500.28</v>
      </c>
    </row>
    <row r="646" spans="1:22" x14ac:dyDescent="0.2">
      <c r="A646" s="1">
        <v>44203</v>
      </c>
      <c r="B646">
        <f>2213.12</f>
        <v>2213.12</v>
      </c>
      <c r="C646">
        <f>10767.91</f>
        <v>10767.91</v>
      </c>
      <c r="D646">
        <f>6554.36</f>
        <v>6554.36</v>
      </c>
      <c r="E646">
        <f>3125.23</f>
        <v>3125.23</v>
      </c>
      <c r="F646">
        <f>2046.55</f>
        <v>2046.55</v>
      </c>
      <c r="G646">
        <f>8711.791</f>
        <v>8711.7909999999993</v>
      </c>
      <c r="H646">
        <f>3633.64</f>
        <v>3633.64</v>
      </c>
      <c r="I646">
        <f>12876.58</f>
        <v>12876.58</v>
      </c>
      <c r="J646">
        <f>4802.22</f>
        <v>4802.22</v>
      </c>
      <c r="K646">
        <f>16732.31</f>
        <v>16732.310000000001</v>
      </c>
      <c r="L646">
        <f>2404.44</f>
        <v>2404.44</v>
      </c>
      <c r="M646">
        <f>11819.98</f>
        <v>11819.98</v>
      </c>
      <c r="N646">
        <f>372.798</f>
        <v>372.798</v>
      </c>
      <c r="O646">
        <f>3329.93</f>
        <v>3329.93</v>
      </c>
      <c r="P646">
        <f>260.06</f>
        <v>260.06</v>
      </c>
      <c r="Q646">
        <f>3394.814</f>
        <v>3394.8139999999999</v>
      </c>
      <c r="R646">
        <f>7861.1</f>
        <v>7861.1</v>
      </c>
      <c r="S646">
        <f>2853.72</f>
        <v>2853.72</v>
      </c>
      <c r="T646">
        <f>3511.817</f>
        <v>3511.817</v>
      </c>
      <c r="U646">
        <f>63042.88</f>
        <v>63042.879999999997</v>
      </c>
      <c r="V646">
        <f>493.1</f>
        <v>493.1</v>
      </c>
    </row>
    <row r="647" spans="1:22" x14ac:dyDescent="0.2">
      <c r="A647" s="1">
        <v>44202</v>
      </c>
      <c r="B647">
        <f>2204.09</f>
        <v>2204.09</v>
      </c>
      <c r="C647">
        <f>10703.26</f>
        <v>10703.26</v>
      </c>
      <c r="D647">
        <f>6539.25</f>
        <v>6539.25</v>
      </c>
      <c r="E647">
        <f>3108.636</f>
        <v>3108.636</v>
      </c>
      <c r="F647">
        <f>2046.15</f>
        <v>2046.15</v>
      </c>
      <c r="G647">
        <f>8701.846</f>
        <v>8701.8459999999995</v>
      </c>
      <c r="H647">
        <f>3584.43</f>
        <v>3584.43</v>
      </c>
      <c r="I647">
        <f>12824.58</f>
        <v>12824.58</v>
      </c>
      <c r="J647">
        <f>4786.94</f>
        <v>4786.9399999999996</v>
      </c>
      <c r="K647">
        <f>16465.63</f>
        <v>16465.63</v>
      </c>
      <c r="L647">
        <f>2396.69</f>
        <v>2396.69</v>
      </c>
      <c r="M647">
        <f>11668.2</f>
        <v>11668.2</v>
      </c>
      <c r="N647">
        <f>373.936</f>
        <v>373.93599999999998</v>
      </c>
      <c r="O647">
        <f>3314.19</f>
        <v>3314.19</v>
      </c>
      <c r="P647">
        <f>254.1</f>
        <v>254.1</v>
      </c>
      <c r="Q647">
        <f>3382.878</f>
        <v>3382.8780000000002</v>
      </c>
      <c r="R647">
        <f>7744.43</f>
        <v>7744.43</v>
      </c>
      <c r="S647">
        <f>2806.64</f>
        <v>2806.64</v>
      </c>
      <c r="T647">
        <f>3442.239</f>
        <v>3442.239</v>
      </c>
      <c r="U647">
        <f>61857.42</f>
        <v>61857.42</v>
      </c>
      <c r="V647">
        <f>481.56</f>
        <v>481.56</v>
      </c>
    </row>
    <row r="648" spans="1:22" x14ac:dyDescent="0.2">
      <c r="A648" s="1">
        <v>44201</v>
      </c>
      <c r="B648">
        <f>2132.4</f>
        <v>2132.4</v>
      </c>
      <c r="C648">
        <f>10658.91</f>
        <v>10658.91</v>
      </c>
      <c r="D648">
        <f>6319.8</f>
        <v>6319.8</v>
      </c>
      <c r="E648">
        <f>3119.61</f>
        <v>3119.61</v>
      </c>
      <c r="F648">
        <f>2000.95</f>
        <v>2000.95</v>
      </c>
      <c r="G648">
        <f>8436.854</f>
        <v>8436.8539999999994</v>
      </c>
      <c r="H648">
        <f>3563.44</f>
        <v>3563.44</v>
      </c>
      <c r="I648">
        <f>12703.54</f>
        <v>12703.54</v>
      </c>
      <c r="J648">
        <f>4709.06</f>
        <v>4709.0600000000004</v>
      </c>
      <c r="K648">
        <f>16385.64</f>
        <v>16385.64</v>
      </c>
      <c r="L648">
        <f>2362.95</f>
        <v>2362.9499999999998</v>
      </c>
      <c r="M648">
        <f>11601.81</f>
        <v>11601.81</v>
      </c>
      <c r="N648">
        <f>370.95</f>
        <v>370.95</v>
      </c>
      <c r="O648">
        <f>3264.53</f>
        <v>3264.53</v>
      </c>
      <c r="P648">
        <f>250.41</f>
        <v>250.41</v>
      </c>
      <c r="Q648">
        <f>3304.986</f>
        <v>3304.9859999999999</v>
      </c>
      <c r="R648">
        <f>7700.34</f>
        <v>7700.34</v>
      </c>
      <c r="S648">
        <f>2798.9</f>
        <v>2798.9</v>
      </c>
      <c r="T648">
        <f>3406.767</f>
        <v>3406.7669999999998</v>
      </c>
      <c r="U648">
        <f>60921.37</f>
        <v>60921.37</v>
      </c>
      <c r="V648">
        <f>473.91</f>
        <v>473.91</v>
      </c>
    </row>
    <row r="649" spans="1:22" x14ac:dyDescent="0.2">
      <c r="A649" s="1">
        <v>44200</v>
      </c>
      <c r="B649">
        <f>2115.09</f>
        <v>2115.09</v>
      </c>
      <c r="C649">
        <f>10629.99</f>
        <v>10629.99</v>
      </c>
      <c r="D649">
        <f>6281.21</f>
        <v>6281.21</v>
      </c>
      <c r="E649">
        <f>3082.85</f>
        <v>3082.85</v>
      </c>
      <c r="F649">
        <f>1987.75</f>
        <v>1987.75</v>
      </c>
      <c r="G649">
        <f>8370.272</f>
        <v>8370.2720000000008</v>
      </c>
      <c r="H649">
        <f>3564.99</f>
        <v>3564.99</v>
      </c>
      <c r="I649">
        <f>12754.28</f>
        <v>12754.28</v>
      </c>
      <c r="J649">
        <f>4683.56</f>
        <v>4683.5600000000004</v>
      </c>
      <c r="K649">
        <f>16264.78</f>
        <v>16264.78</v>
      </c>
      <c r="L649">
        <f>2356.56</f>
        <v>2356.56</v>
      </c>
      <c r="M649">
        <f>11539.81</f>
        <v>11539.81</v>
      </c>
      <c r="N649">
        <f>373.084</f>
        <v>373.084</v>
      </c>
      <c r="O649">
        <f>3269.1</f>
        <v>3269.1</v>
      </c>
      <c r="P649">
        <f>251.43</f>
        <v>251.43</v>
      </c>
      <c r="Q649">
        <f>3282.38</f>
        <v>3282.38</v>
      </c>
      <c r="R649">
        <f>7645.27</f>
        <v>7645.27</v>
      </c>
      <c r="S649">
        <f>2804.16</f>
        <v>2804.16</v>
      </c>
      <c r="T649">
        <f>3423.731</f>
        <v>3423.7310000000002</v>
      </c>
      <c r="U649">
        <f>60479.42</f>
        <v>60479.42</v>
      </c>
      <c r="V649">
        <f>477.26</f>
        <v>477.26</v>
      </c>
    </row>
    <row r="650" spans="1:22" x14ac:dyDescent="0.2">
      <c r="A650" s="1">
        <v>44197</v>
      </c>
      <c r="B650" t="e">
        <f>NA()</f>
        <v>#N/A</v>
      </c>
      <c r="C650">
        <f>10546.81</f>
        <v>10546.81</v>
      </c>
      <c r="D650" t="e">
        <f>NA()</f>
        <v>#N/A</v>
      </c>
      <c r="E650">
        <f>3052.773</f>
        <v>3052.7730000000001</v>
      </c>
      <c r="F650">
        <f>1960.12</f>
        <v>1960.12</v>
      </c>
      <c r="G650">
        <f>8285.221</f>
        <v>8285.2209999999995</v>
      </c>
      <c r="H650">
        <f>3583.84</f>
        <v>3583.84</v>
      </c>
      <c r="I650">
        <f>12627.78</f>
        <v>12627.78</v>
      </c>
      <c r="J650">
        <f>4746.67</f>
        <v>4746.67</v>
      </c>
      <c r="K650">
        <f>16506</f>
        <v>16506</v>
      </c>
      <c r="L650">
        <f>2364.43</f>
        <v>2364.4299999999998</v>
      </c>
      <c r="M650">
        <f>11625.2</f>
        <v>11625.2</v>
      </c>
      <c r="N650" t="e">
        <f>NA()</f>
        <v>#N/A</v>
      </c>
      <c r="O650" t="e">
        <f>NA()</f>
        <v>#N/A</v>
      </c>
      <c r="P650" t="e">
        <f>NA()</f>
        <v>#N/A</v>
      </c>
      <c r="Q650" t="e">
        <f>NA()</f>
        <v>#N/A</v>
      </c>
      <c r="R650" t="e">
        <f>NA()</f>
        <v>#N/A</v>
      </c>
      <c r="S650" t="e">
        <f>NA()</f>
        <v>#N/A</v>
      </c>
      <c r="T650" t="e">
        <f>NA()</f>
        <v>#N/A</v>
      </c>
      <c r="U650" t="e">
        <f>NA()</f>
        <v>#N/A</v>
      </c>
      <c r="V650" t="e">
        <f>NA()</f>
        <v>#N/A</v>
      </c>
    </row>
    <row r="651" spans="1:22" x14ac:dyDescent="0.2">
      <c r="A651" s="1">
        <v>44196</v>
      </c>
      <c r="B651">
        <f>2091.36</f>
        <v>2091.36</v>
      </c>
      <c r="C651">
        <f>10544.34</f>
        <v>10544.34</v>
      </c>
      <c r="D651">
        <f>6174.77</f>
        <v>6174.77</v>
      </c>
      <c r="E651">
        <f>3051.617</f>
        <v>3051.6170000000002</v>
      </c>
      <c r="F651">
        <f>1960.12</f>
        <v>1960.12</v>
      </c>
      <c r="G651">
        <f>8285.221</f>
        <v>8285.2209999999995</v>
      </c>
      <c r="H651">
        <f>3583.84</f>
        <v>3583.84</v>
      </c>
      <c r="I651">
        <f>12627.78</f>
        <v>12627.78</v>
      </c>
      <c r="J651">
        <f>4746.67</f>
        <v>4746.67</v>
      </c>
      <c r="K651">
        <f>16506</f>
        <v>16506</v>
      </c>
      <c r="L651">
        <f>2364.43</f>
        <v>2364.4299999999998</v>
      </c>
      <c r="M651">
        <f>11625.2</f>
        <v>11625.2</v>
      </c>
      <c r="N651">
        <f>369.573</f>
        <v>369.57299999999998</v>
      </c>
      <c r="O651">
        <f>3247.94</f>
        <v>3247.94</v>
      </c>
      <c r="P651" t="e">
        <f>NA()</f>
        <v>#N/A</v>
      </c>
      <c r="Q651">
        <f>3333.739</f>
        <v>3333.739</v>
      </c>
      <c r="R651">
        <f>7759.35</f>
        <v>7759.35</v>
      </c>
      <c r="S651" t="e">
        <f>NA()</f>
        <v>#N/A</v>
      </c>
      <c r="T651">
        <f>3394.458</f>
        <v>3394.4580000000001</v>
      </c>
      <c r="U651">
        <f>59408.68</f>
        <v>59408.68</v>
      </c>
      <c r="V651">
        <f>469.69</f>
        <v>469.69</v>
      </c>
    </row>
    <row r="652" spans="1:22" x14ac:dyDescent="0.2">
      <c r="A652" s="1">
        <v>44195</v>
      </c>
      <c r="B652">
        <f>2119.76</f>
        <v>2119.7600000000002</v>
      </c>
      <c r="C652">
        <f>10547.45</f>
        <v>10547.45</v>
      </c>
      <c r="D652">
        <f>6265.86</f>
        <v>6265.86</v>
      </c>
      <c r="E652">
        <f>3046.342</f>
        <v>3046.3420000000001</v>
      </c>
      <c r="F652">
        <f>1979.74</f>
        <v>1979.74</v>
      </c>
      <c r="G652">
        <f>8372.267</f>
        <v>8372.2669999999998</v>
      </c>
      <c r="H652">
        <f>3583.84</f>
        <v>3583.84</v>
      </c>
      <c r="I652">
        <f>12726.69</f>
        <v>12726.69</v>
      </c>
      <c r="J652">
        <f>4698.06</f>
        <v>4698.0600000000004</v>
      </c>
      <c r="K652">
        <f>16413.76</f>
        <v>16413.759999999998</v>
      </c>
      <c r="L652">
        <f>2355.87</f>
        <v>2355.87</v>
      </c>
      <c r="M652">
        <f>11607.42</f>
        <v>11607.42</v>
      </c>
      <c r="N652">
        <f>371.564</f>
        <v>371.56400000000002</v>
      </c>
      <c r="O652">
        <f>3259.89</f>
        <v>3259.89</v>
      </c>
      <c r="P652">
        <f>253.51</f>
        <v>253.51</v>
      </c>
      <c r="Q652">
        <f>3308.977</f>
        <v>3308.9769999999999</v>
      </c>
      <c r="R652">
        <f>7709.1</f>
        <v>7709.1</v>
      </c>
      <c r="S652">
        <f>2819.93</f>
        <v>2819.93</v>
      </c>
      <c r="T652">
        <f>3408.405</f>
        <v>3408.4050000000002</v>
      </c>
      <c r="U652">
        <f>59634.93</f>
        <v>59634.93</v>
      </c>
      <c r="V652">
        <f>471.52</f>
        <v>471.52</v>
      </c>
    </row>
    <row r="653" spans="1:22" x14ac:dyDescent="0.2">
      <c r="A653" s="1">
        <v>44194</v>
      </c>
      <c r="B653">
        <f>2140.36</f>
        <v>2140.36</v>
      </c>
      <c r="C653">
        <f>10491.2</f>
        <v>10491.2</v>
      </c>
      <c r="D653">
        <f>6310.62</f>
        <v>6310.62</v>
      </c>
      <c r="E653">
        <f>2993.714</f>
        <v>2993.7139999999999</v>
      </c>
      <c r="F653">
        <f>1982.16</f>
        <v>1982.16</v>
      </c>
      <c r="G653">
        <f>8359.997</f>
        <v>8359.9969999999994</v>
      </c>
      <c r="H653">
        <f>3598.6</f>
        <v>3598.6</v>
      </c>
      <c r="I653">
        <f>12706.88</f>
        <v>12706.88</v>
      </c>
      <c r="J653">
        <f>4690.55</f>
        <v>4690.55</v>
      </c>
      <c r="K653">
        <f>16385.49</f>
        <v>16385.490000000002</v>
      </c>
      <c r="L653">
        <f>2351.61</f>
        <v>2351.61</v>
      </c>
      <c r="M653">
        <f>11588.98</f>
        <v>11588.98</v>
      </c>
      <c r="N653">
        <f>372.898</f>
        <v>372.89800000000002</v>
      </c>
      <c r="O653">
        <f>3270.05</f>
        <v>3270.05</v>
      </c>
      <c r="P653">
        <f>254.98</f>
        <v>254.98</v>
      </c>
      <c r="Q653">
        <f>3289.722</f>
        <v>3289.7220000000002</v>
      </c>
      <c r="R653">
        <f>7697.93</f>
        <v>7697.93</v>
      </c>
      <c r="S653">
        <f>2842.58</f>
        <v>2842.58</v>
      </c>
      <c r="T653">
        <f>3390.422</f>
        <v>3390.422</v>
      </c>
      <c r="U653">
        <f>59246.4</f>
        <v>59246.400000000001</v>
      </c>
      <c r="V653">
        <f>470.92</f>
        <v>470.92</v>
      </c>
    </row>
    <row r="654" spans="1:22" x14ac:dyDescent="0.2">
      <c r="A654" s="1">
        <v>44193</v>
      </c>
      <c r="B654" t="e">
        <f>NA()</f>
        <v>#N/A</v>
      </c>
      <c r="C654">
        <f>10441.91</f>
        <v>10441.91</v>
      </c>
      <c r="D654" t="e">
        <f>NA()</f>
        <v>#N/A</v>
      </c>
      <c r="E654">
        <f>2955.297</f>
        <v>2955.297</v>
      </c>
      <c r="F654">
        <f>1947.04</f>
        <v>1947.04</v>
      </c>
      <c r="G654">
        <f>8206.542</f>
        <v>8206.5419999999995</v>
      </c>
      <c r="H654">
        <f>3532.15</f>
        <v>3532.15</v>
      </c>
      <c r="I654">
        <f>12621.27</f>
        <v>12621.27</v>
      </c>
      <c r="J654">
        <f>4695.76</f>
        <v>4695.76</v>
      </c>
      <c r="K654">
        <f>16427.06</f>
        <v>16427.060000000001</v>
      </c>
      <c r="L654">
        <f>2338.87</f>
        <v>2338.87</v>
      </c>
      <c r="M654">
        <f>11564.6</f>
        <v>11564.6</v>
      </c>
      <c r="N654">
        <f>367.47</f>
        <v>367.47</v>
      </c>
      <c r="O654">
        <f>3245.25</f>
        <v>3245.25</v>
      </c>
      <c r="P654">
        <f>251.93</f>
        <v>251.93</v>
      </c>
      <c r="Q654">
        <f>3308.773</f>
        <v>3308.7730000000001</v>
      </c>
      <c r="R654">
        <f>7715.1</f>
        <v>7715.1</v>
      </c>
      <c r="S654">
        <f>2790.4</f>
        <v>2790.4</v>
      </c>
      <c r="T654">
        <f>3388.205</f>
        <v>3388.2049999999999</v>
      </c>
      <c r="U654">
        <f>59006.07</f>
        <v>59006.07</v>
      </c>
      <c r="V654">
        <f>472.86</f>
        <v>472.86</v>
      </c>
    </row>
    <row r="655" spans="1:22" x14ac:dyDescent="0.2">
      <c r="A655" s="1">
        <v>44190</v>
      </c>
      <c r="B655" t="e">
        <f>NA()</f>
        <v>#N/A</v>
      </c>
      <c r="C655">
        <f>10382.21</f>
        <v>10382.209999999999</v>
      </c>
      <c r="D655" t="e">
        <f>NA()</f>
        <v>#N/A</v>
      </c>
      <c r="E655">
        <f>2962.023</f>
        <v>2962.0230000000001</v>
      </c>
      <c r="F655">
        <f>1960.29</f>
        <v>1960.29</v>
      </c>
      <c r="G655">
        <f>8262.391</f>
        <v>8262.3909999999996</v>
      </c>
      <c r="H655">
        <f>3522.2</f>
        <v>3522.2</v>
      </c>
      <c r="I655">
        <f>12450.93</f>
        <v>12450.93</v>
      </c>
      <c r="J655">
        <f>4683.7</f>
        <v>4683.7</v>
      </c>
      <c r="K655">
        <f>16317.41</f>
        <v>16317.41</v>
      </c>
      <c r="L655">
        <f>2327.16</f>
        <v>2327.16</v>
      </c>
      <c r="M655">
        <f>11488.87</f>
        <v>11488.87</v>
      </c>
      <c r="N655" t="e">
        <f>NA()</f>
        <v>#N/A</v>
      </c>
      <c r="O655" t="e">
        <f>NA()</f>
        <v>#N/A</v>
      </c>
      <c r="P655">
        <f>251.51</f>
        <v>251.51</v>
      </c>
      <c r="Q655" t="e">
        <f>NA()</f>
        <v>#N/A</v>
      </c>
      <c r="R655" t="e">
        <f>NA()</f>
        <v>#N/A</v>
      </c>
      <c r="S655">
        <f>2775.38</f>
        <v>2775.38</v>
      </c>
      <c r="T655" t="e">
        <f>NA()</f>
        <v>#N/A</v>
      </c>
      <c r="U655" t="e">
        <f>NA()</f>
        <v>#N/A</v>
      </c>
      <c r="V655" t="e">
        <f>NA()</f>
        <v>#N/A</v>
      </c>
    </row>
    <row r="656" spans="1:22" x14ac:dyDescent="0.2">
      <c r="A656" s="1">
        <v>44189</v>
      </c>
      <c r="B656">
        <f>2126.58</f>
        <v>2126.58</v>
      </c>
      <c r="C656">
        <f>10363.02</f>
        <v>10363.02</v>
      </c>
      <c r="D656">
        <f>6214.52</f>
        <v>6214.52</v>
      </c>
      <c r="E656">
        <f>2958.08</f>
        <v>2958.08</v>
      </c>
      <c r="F656">
        <f>1960.29</f>
        <v>1960.29</v>
      </c>
      <c r="G656">
        <f>8262.391</f>
        <v>8262.3909999999996</v>
      </c>
      <c r="H656">
        <f>3494.25</f>
        <v>3494.25</v>
      </c>
      <c r="I656">
        <f>12450.93</f>
        <v>12450.93</v>
      </c>
      <c r="J656">
        <f>4683.7</f>
        <v>4683.7</v>
      </c>
      <c r="K656">
        <f>16317.41</f>
        <v>16317.41</v>
      </c>
      <c r="L656">
        <f>2326.1</f>
        <v>2326.1</v>
      </c>
      <c r="M656">
        <f>11487.87</f>
        <v>11487.87</v>
      </c>
      <c r="N656">
        <f>366.323</f>
        <v>366.32299999999998</v>
      </c>
      <c r="O656">
        <f>3225.43</f>
        <v>3225.43</v>
      </c>
      <c r="P656">
        <f>248.83</f>
        <v>248.83</v>
      </c>
      <c r="Q656">
        <f>3295.838</f>
        <v>3295.8380000000002</v>
      </c>
      <c r="R656">
        <f>7648.39</f>
        <v>7648.39</v>
      </c>
      <c r="S656">
        <f>2768.91</f>
        <v>2768.91</v>
      </c>
      <c r="T656">
        <f>3389.587</f>
        <v>3389.587</v>
      </c>
      <c r="U656">
        <f>59175.8</f>
        <v>59175.8</v>
      </c>
      <c r="V656">
        <f>468.57</f>
        <v>468.57</v>
      </c>
    </row>
    <row r="657" spans="1:22" x14ac:dyDescent="0.2">
      <c r="A657" s="1">
        <v>44188</v>
      </c>
      <c r="B657">
        <f>2109.56</f>
        <v>2109.56</v>
      </c>
      <c r="C657">
        <f>10288.45</f>
        <v>10288.450000000001</v>
      </c>
      <c r="D657">
        <f>6208.35</f>
        <v>6208.35</v>
      </c>
      <c r="E657">
        <f>2968.742</f>
        <v>2968.7420000000002</v>
      </c>
      <c r="F657">
        <f>1952.08</f>
        <v>1952.08</v>
      </c>
      <c r="G657">
        <f>8243.675</f>
        <v>8243.6749999999993</v>
      </c>
      <c r="H657">
        <f>3478.86</f>
        <v>3478.86</v>
      </c>
      <c r="I657">
        <f>12447.22</f>
        <v>12447.22</v>
      </c>
      <c r="J657">
        <f>4670.38</f>
        <v>4670.38</v>
      </c>
      <c r="K657">
        <f>16263.93</f>
        <v>16263.93</v>
      </c>
      <c r="L657">
        <f>2321.31</f>
        <v>2321.31</v>
      </c>
      <c r="M657">
        <f>11454.05</f>
        <v>11454.05</v>
      </c>
      <c r="N657">
        <f>365.938</f>
        <v>365.93799999999999</v>
      </c>
      <c r="O657">
        <f>3220.95</f>
        <v>3220.95</v>
      </c>
      <c r="P657">
        <f>246.76</f>
        <v>246.76</v>
      </c>
      <c r="Q657">
        <f>3285.325</f>
        <v>3285.3249999999998</v>
      </c>
      <c r="R657">
        <f>7620.63</f>
        <v>7620.63</v>
      </c>
      <c r="S657">
        <f>2754.77</f>
        <v>2754.77</v>
      </c>
      <c r="T657">
        <f>3391.479</f>
        <v>3391.4789999999998</v>
      </c>
      <c r="U657">
        <f>58986.72</f>
        <v>58986.720000000001</v>
      </c>
      <c r="V657">
        <f>468.13</f>
        <v>468.13</v>
      </c>
    </row>
    <row r="658" spans="1:22" x14ac:dyDescent="0.2">
      <c r="A658" s="1">
        <v>44187</v>
      </c>
      <c r="B658">
        <f>2070.11</f>
        <v>2070.11</v>
      </c>
      <c r="C658">
        <f>10264.73</f>
        <v>10264.73</v>
      </c>
      <c r="D658">
        <f>6167.65</f>
        <v>6167.65</v>
      </c>
      <c r="E658">
        <f>2946.353</f>
        <v>2946.3530000000001</v>
      </c>
      <c r="F658">
        <f>1908.87</f>
        <v>1908.87</v>
      </c>
      <c r="G658">
        <f>8064.251</f>
        <v>8064.2510000000002</v>
      </c>
      <c r="H658">
        <f>3489.55</f>
        <v>3489.55</v>
      </c>
      <c r="I658">
        <f>12335.22</f>
        <v>12335.22</v>
      </c>
      <c r="J658">
        <f>4654.46</f>
        <v>4654.46</v>
      </c>
      <c r="K658">
        <f>16266.71</f>
        <v>16266.71</v>
      </c>
      <c r="L658">
        <f>2309.08</f>
        <v>2309.08</v>
      </c>
      <c r="M658">
        <f>11417.77</f>
        <v>11417.77</v>
      </c>
      <c r="N658">
        <f>364.067</f>
        <v>364.06700000000001</v>
      </c>
      <c r="O658">
        <f>3189.34</f>
        <v>3189.34</v>
      </c>
      <c r="P658">
        <f>248.41</f>
        <v>248.41</v>
      </c>
      <c r="Q658">
        <f>3274.738</f>
        <v>3274.7379999999998</v>
      </c>
      <c r="R658">
        <f>7614.83</f>
        <v>7614.83</v>
      </c>
      <c r="S658">
        <f>2748.4</f>
        <v>2748.4</v>
      </c>
      <c r="T658">
        <f>3360.107</f>
        <v>3360.107</v>
      </c>
      <c r="U658">
        <f>58619.75</f>
        <v>58619.75</v>
      </c>
      <c r="V658">
        <f>463.78</f>
        <v>463.78</v>
      </c>
    </row>
    <row r="659" spans="1:22" x14ac:dyDescent="0.2">
      <c r="A659" s="1">
        <v>44186</v>
      </c>
      <c r="B659">
        <f>2047.42</f>
        <v>2047.42</v>
      </c>
      <c r="C659">
        <f>10281.46</f>
        <v>10281.459999999999</v>
      </c>
      <c r="D659">
        <f>6132.44</f>
        <v>6132.44</v>
      </c>
      <c r="E659">
        <f>2965.902</f>
        <v>2965.902</v>
      </c>
      <c r="F659">
        <f>1899.03</f>
        <v>1899.03</v>
      </c>
      <c r="G659">
        <f>8022.506</f>
        <v>8022.5060000000003</v>
      </c>
      <c r="H659">
        <f>3532.17</f>
        <v>3532.17</v>
      </c>
      <c r="I659">
        <f>12232.06</f>
        <v>12232.06</v>
      </c>
      <c r="J659">
        <f>4682.68</f>
        <v>4682.68</v>
      </c>
      <c r="K659">
        <f>16276.33</f>
        <v>16276.33</v>
      </c>
      <c r="L659">
        <f>2318.46</f>
        <v>2318.46</v>
      </c>
      <c r="M659">
        <f>11425.39</f>
        <v>11425.39</v>
      </c>
      <c r="N659">
        <f>359.769</f>
        <v>359.76900000000001</v>
      </c>
      <c r="O659">
        <f>3151.5</f>
        <v>3151.5</v>
      </c>
      <c r="P659">
        <f>252.31</f>
        <v>252.31</v>
      </c>
      <c r="Q659">
        <f>3294.82</f>
        <v>3294.82</v>
      </c>
      <c r="R659">
        <f>7630.07</f>
        <v>7630.07</v>
      </c>
      <c r="S659">
        <f>2791.98</f>
        <v>2791.98</v>
      </c>
      <c r="T659">
        <f>3360.488</f>
        <v>3360.4879999999998</v>
      </c>
      <c r="U659">
        <f>58714.87</f>
        <v>58714.87</v>
      </c>
      <c r="V659">
        <f>462.04</f>
        <v>462.04</v>
      </c>
    </row>
    <row r="660" spans="1:22" x14ac:dyDescent="0.2">
      <c r="A660" s="1">
        <v>44183</v>
      </c>
      <c r="B660">
        <f>2094.12</f>
        <v>2094.12</v>
      </c>
      <c r="C660">
        <f>10459.2</f>
        <v>10459.200000000001</v>
      </c>
      <c r="D660">
        <f>6240.3</f>
        <v>6240.3</v>
      </c>
      <c r="E660">
        <f>2992.658</f>
        <v>2992.6579999999999</v>
      </c>
      <c r="F660">
        <f>1952.17</f>
        <v>1952.17</v>
      </c>
      <c r="G660">
        <f>8266.336</f>
        <v>8266.3359999999993</v>
      </c>
      <c r="H660">
        <f>3547.91</f>
        <v>3547.91</v>
      </c>
      <c r="I660">
        <f>12535.37</f>
        <v>12535.37</v>
      </c>
      <c r="J660">
        <f>4725.11</f>
        <v>4725.1099999999997</v>
      </c>
      <c r="K660">
        <f>16332.65</f>
        <v>16332.65</v>
      </c>
      <c r="L660">
        <f>2351.08</f>
        <v>2351.08</v>
      </c>
      <c r="M660">
        <f>11517.25</f>
        <v>11517.25</v>
      </c>
      <c r="N660">
        <f>367.245</f>
        <v>367.245</v>
      </c>
      <c r="O660">
        <f>3229.49</f>
        <v>3229.49</v>
      </c>
      <c r="P660">
        <f>252.31</f>
        <v>252.31</v>
      </c>
      <c r="Q660">
        <f>3315.659</f>
        <v>3315.6590000000001</v>
      </c>
      <c r="R660">
        <f>7659.75</f>
        <v>7659.75</v>
      </c>
      <c r="S660">
        <f>2798.51</f>
        <v>2798.51</v>
      </c>
      <c r="T660">
        <f>3442.542</f>
        <v>3442.5419999999999</v>
      </c>
      <c r="U660">
        <f>59788.12</f>
        <v>59788.12</v>
      </c>
      <c r="V660">
        <f>474.98</f>
        <v>474.98</v>
      </c>
    </row>
    <row r="661" spans="1:22" x14ac:dyDescent="0.2">
      <c r="A661" s="1">
        <v>44182</v>
      </c>
      <c r="B661">
        <f>2111.03</f>
        <v>2111.0300000000002</v>
      </c>
      <c r="C661">
        <f>10463.69</f>
        <v>10463.69</v>
      </c>
      <c r="D661">
        <f>6261.21</f>
        <v>6261.21</v>
      </c>
      <c r="E661">
        <f>3003.345</f>
        <v>3003.3449999999998</v>
      </c>
      <c r="F661">
        <f>1976.84</f>
        <v>1976.84</v>
      </c>
      <c r="G661">
        <f>8362.321</f>
        <v>8362.3209999999999</v>
      </c>
      <c r="H661">
        <f>3551.29</f>
        <v>3551.29</v>
      </c>
      <c r="I661">
        <f>12558.98</f>
        <v>12558.98</v>
      </c>
      <c r="J661">
        <f>4735.5</f>
        <v>4735.5</v>
      </c>
      <c r="K661">
        <f>16368.02</f>
        <v>16368.02</v>
      </c>
      <c r="L661">
        <f>2356.93</f>
        <v>2356.9299999999998</v>
      </c>
      <c r="M661">
        <f>11553.63</f>
        <v>11553.63</v>
      </c>
      <c r="N661">
        <f>367.339</f>
        <v>367.339</v>
      </c>
      <c r="O661">
        <f>3239.75</f>
        <v>3239.75</v>
      </c>
      <c r="P661">
        <f>251.51</f>
        <v>251.51</v>
      </c>
      <c r="Q661">
        <f>3326.023</f>
        <v>3326.0230000000001</v>
      </c>
      <c r="R661">
        <f>7686.18</f>
        <v>7686.18</v>
      </c>
      <c r="S661">
        <f>2797.48</f>
        <v>2797.48</v>
      </c>
      <c r="T661">
        <f>3445.253</f>
        <v>3445.2530000000002</v>
      </c>
      <c r="U661">
        <f>60544.3</f>
        <v>60544.3</v>
      </c>
      <c r="V661">
        <f>471.79</f>
        <v>471.79</v>
      </c>
    </row>
    <row r="662" spans="1:22" x14ac:dyDescent="0.2">
      <c r="A662" s="1">
        <v>44181</v>
      </c>
      <c r="B662">
        <f>2102.41</f>
        <v>2102.41</v>
      </c>
      <c r="C662">
        <f>10411.04</f>
        <v>10411.040000000001</v>
      </c>
      <c r="D662">
        <f>6271.63</f>
        <v>6271.63</v>
      </c>
      <c r="E662">
        <f>2980.628</f>
        <v>2980.6280000000002</v>
      </c>
      <c r="F662">
        <f>1961.79</f>
        <v>1961.79</v>
      </c>
      <c r="G662">
        <f>8323.473</f>
        <v>8323.473</v>
      </c>
      <c r="H662">
        <f>3554.18</f>
        <v>3554.18</v>
      </c>
      <c r="I662">
        <f>12455.01</f>
        <v>12455.01</v>
      </c>
      <c r="J662">
        <f>4713.07</f>
        <v>4713.07</v>
      </c>
      <c r="K662">
        <f>16250.71</f>
        <v>16250.71</v>
      </c>
      <c r="L662">
        <f>2344.92</f>
        <v>2344.92</v>
      </c>
      <c r="M662">
        <f>11465.8</f>
        <v>11465.8</v>
      </c>
      <c r="N662">
        <f>367.505</f>
        <v>367.505</v>
      </c>
      <c r="O662">
        <f>3232.64</f>
        <v>3232.64</v>
      </c>
      <c r="P662">
        <f>253.02</f>
        <v>253.02</v>
      </c>
      <c r="Q662">
        <f>3306.858</f>
        <v>3306.8580000000002</v>
      </c>
      <c r="R662">
        <f>7641.82</f>
        <v>7641.82</v>
      </c>
      <c r="S662">
        <f>2788.51</f>
        <v>2788.51</v>
      </c>
      <c r="T662" t="e">
        <f>NA()</f>
        <v>#N/A</v>
      </c>
      <c r="U662" t="e">
        <f>NA()</f>
        <v>#N/A</v>
      </c>
      <c r="V662" t="e">
        <f>NA()</f>
        <v>#N/A</v>
      </c>
    </row>
    <row r="663" spans="1:22" x14ac:dyDescent="0.2">
      <c r="A663" s="1">
        <v>44180</v>
      </c>
      <c r="B663">
        <f>2077.5</f>
        <v>2077.5</v>
      </c>
      <c r="C663">
        <f>10334.95</f>
        <v>10334.950000000001</v>
      </c>
      <c r="D663">
        <f>6216.66</f>
        <v>6216.66</v>
      </c>
      <c r="E663">
        <f>2948.53</f>
        <v>2948.53</v>
      </c>
      <c r="F663">
        <f>1918.86</f>
        <v>1918.86</v>
      </c>
      <c r="G663">
        <f>8191.24</f>
        <v>8191.24</v>
      </c>
      <c r="H663">
        <f>3540.39</f>
        <v>3540.39</v>
      </c>
      <c r="I663">
        <f>12333.71</f>
        <v>12333.71</v>
      </c>
      <c r="J663">
        <f>4722.64</f>
        <v>4722.6400000000003</v>
      </c>
      <c r="K663">
        <f>16221.5</f>
        <v>16221.5</v>
      </c>
      <c r="L663">
        <f>2337.58</f>
        <v>2337.58</v>
      </c>
      <c r="M663">
        <f>11417.98</f>
        <v>11417.98</v>
      </c>
      <c r="N663">
        <f>363.266</f>
        <v>363.26600000000002</v>
      </c>
      <c r="O663">
        <f>3206.23</f>
        <v>3206.23</v>
      </c>
      <c r="P663">
        <f>252.39</f>
        <v>252.39</v>
      </c>
      <c r="Q663">
        <f>3318.855</f>
        <v>3318.855</v>
      </c>
      <c r="R663">
        <f>7628.28</f>
        <v>7628.28</v>
      </c>
      <c r="S663">
        <f>2781.06</f>
        <v>2781.06</v>
      </c>
      <c r="T663">
        <f>3420.423</f>
        <v>3420.4229999999998</v>
      </c>
      <c r="U663">
        <f>59478.26</f>
        <v>59478.26</v>
      </c>
      <c r="V663">
        <f>469.28</f>
        <v>469.28</v>
      </c>
    </row>
    <row r="664" spans="1:22" x14ac:dyDescent="0.2">
      <c r="A664" s="1">
        <v>44179</v>
      </c>
      <c r="B664">
        <f>2061.16</f>
        <v>2061.16</v>
      </c>
      <c r="C664">
        <f>10344.15</f>
        <v>10344.15</v>
      </c>
      <c r="D664">
        <f>6234.33</f>
        <v>6234.33</v>
      </c>
      <c r="E664">
        <f>2949.059</f>
        <v>2949.0590000000002</v>
      </c>
      <c r="F664">
        <f>1909.89</f>
        <v>1909.89</v>
      </c>
      <c r="G664">
        <f>8167.113</f>
        <v>8167.1130000000003</v>
      </c>
      <c r="H664">
        <f>3554.68</f>
        <v>3554.68</v>
      </c>
      <c r="I664">
        <f>12271.06</f>
        <v>12271.06</v>
      </c>
      <c r="J664">
        <f>4673.04</f>
        <v>4673.04</v>
      </c>
      <c r="K664">
        <f>16017.05</f>
        <v>16017.05</v>
      </c>
      <c r="L664">
        <f>2326.66</f>
        <v>2326.66</v>
      </c>
      <c r="M664">
        <f>11312.87</f>
        <v>11312.87</v>
      </c>
      <c r="N664">
        <f>363.784</f>
        <v>363.78399999999999</v>
      </c>
      <c r="O664">
        <f>3195.43</f>
        <v>3195.43</v>
      </c>
      <c r="P664">
        <f>254.02</f>
        <v>254.02</v>
      </c>
      <c r="Q664">
        <f>3273.224</f>
        <v>3273.2240000000002</v>
      </c>
      <c r="R664">
        <f>7530.87</f>
        <v>7530.87</v>
      </c>
      <c r="S664">
        <f>2794.27</f>
        <v>2794.27</v>
      </c>
      <c r="T664">
        <f>3422.83</f>
        <v>3422.83</v>
      </c>
      <c r="U664">
        <f>59508.8</f>
        <v>59508.800000000003</v>
      </c>
      <c r="V664">
        <f>467.59</f>
        <v>467.59</v>
      </c>
    </row>
    <row r="665" spans="1:22" x14ac:dyDescent="0.2">
      <c r="A665" s="1">
        <v>44176</v>
      </c>
      <c r="B665">
        <f>2049.34</f>
        <v>2049.34</v>
      </c>
      <c r="C665">
        <f>10368.02</f>
        <v>10368.02</v>
      </c>
      <c r="D665">
        <f>6248.57</f>
        <v>6248.57</v>
      </c>
      <c r="E665">
        <f>2965.968</f>
        <v>2965.9679999999998</v>
      </c>
      <c r="F665">
        <f>1892.42</f>
        <v>1892.42</v>
      </c>
      <c r="G665">
        <f>8126.856</f>
        <v>8126.8559999999998</v>
      </c>
      <c r="H665">
        <f>3539.14</f>
        <v>3539.14</v>
      </c>
      <c r="I665">
        <f>12204.09</f>
        <v>12204.09</v>
      </c>
      <c r="J665">
        <f>4716.64</f>
        <v>4716.6400000000003</v>
      </c>
      <c r="K665">
        <f>16063.6</f>
        <v>16063.6</v>
      </c>
      <c r="L665">
        <f>2340.41</f>
        <v>2340.41</v>
      </c>
      <c r="M665">
        <f>11322.17</f>
        <v>11322.17</v>
      </c>
      <c r="N665">
        <f>361.665</f>
        <v>361.66500000000002</v>
      </c>
      <c r="O665">
        <f>3182.88</f>
        <v>3182.88</v>
      </c>
      <c r="P665">
        <f>252.59</f>
        <v>252.59</v>
      </c>
      <c r="Q665">
        <f>3308.105</f>
        <v>3308.105</v>
      </c>
      <c r="R665">
        <f>7562.46</f>
        <v>7562.46</v>
      </c>
      <c r="S665">
        <f>2780.98</f>
        <v>2780.98</v>
      </c>
      <c r="T665">
        <f>3409.094</f>
        <v>3409.0940000000001</v>
      </c>
      <c r="U665">
        <f>59412.61</f>
        <v>59412.61</v>
      </c>
      <c r="V665">
        <f>461.38</f>
        <v>461.38</v>
      </c>
    </row>
    <row r="666" spans="1:22" x14ac:dyDescent="0.2">
      <c r="A666" s="1">
        <v>44175</v>
      </c>
      <c r="B666">
        <f>2078.93</f>
        <v>2078.9299999999998</v>
      </c>
      <c r="C666">
        <f>10313.66</f>
        <v>10313.66</v>
      </c>
      <c r="D666">
        <f>6299.16</f>
        <v>6299.16</v>
      </c>
      <c r="E666">
        <f>2959.664</f>
        <v>2959.6640000000002</v>
      </c>
      <c r="F666">
        <f>1913</f>
        <v>1913</v>
      </c>
      <c r="G666">
        <f>8234.082</f>
        <v>8234.0820000000003</v>
      </c>
      <c r="H666">
        <f>3517</f>
        <v>3517</v>
      </c>
      <c r="I666">
        <f>12311.35</f>
        <v>12311.35</v>
      </c>
      <c r="J666">
        <f>4718.45</f>
        <v>4718.45</v>
      </c>
      <c r="K666">
        <f>16084.22</f>
        <v>16084.22</v>
      </c>
      <c r="L666">
        <f>2345.16</f>
        <v>2345.16</v>
      </c>
      <c r="M666">
        <f>11350.82</f>
        <v>11350.82</v>
      </c>
      <c r="N666">
        <f>363.801</f>
        <v>363.80099999999999</v>
      </c>
      <c r="O666">
        <f>3212.11</f>
        <v>3212.11</v>
      </c>
      <c r="P666">
        <f>252.66</f>
        <v>252.66</v>
      </c>
      <c r="Q666">
        <f>3313.041</f>
        <v>3313.0410000000002</v>
      </c>
      <c r="R666">
        <f>7571.87</f>
        <v>7571.87</v>
      </c>
      <c r="S666">
        <f>2771.94</f>
        <v>2771.94</v>
      </c>
      <c r="T666">
        <f>3399.31</f>
        <v>3399.31</v>
      </c>
      <c r="U666">
        <f>59282.77</f>
        <v>59282.77</v>
      </c>
      <c r="V666">
        <f>466.59</f>
        <v>466.59</v>
      </c>
    </row>
    <row r="667" spans="1:22" x14ac:dyDescent="0.2">
      <c r="A667" s="1">
        <v>44174</v>
      </c>
      <c r="B667">
        <f>2089.42</f>
        <v>2089.42</v>
      </c>
      <c r="C667">
        <f>10276.93</f>
        <v>10276.93</v>
      </c>
      <c r="D667">
        <f>6264.09</f>
        <v>6264.09</v>
      </c>
      <c r="E667">
        <f>2961.597</f>
        <v>2961.5970000000002</v>
      </c>
      <c r="F667">
        <f>1919.02</f>
        <v>1919.02</v>
      </c>
      <c r="G667">
        <f>8260.227</f>
        <v>8260.2270000000008</v>
      </c>
      <c r="H667">
        <f>3539.54</f>
        <v>3539.54</v>
      </c>
      <c r="I667">
        <f>12300.01</f>
        <v>12300.01</v>
      </c>
      <c r="J667">
        <f>4747.25</f>
        <v>4747.25</v>
      </c>
      <c r="K667">
        <f>16074.55</f>
        <v>16074.55</v>
      </c>
      <c r="L667">
        <f>2352.52</f>
        <v>2352.52</v>
      </c>
      <c r="M667">
        <f>11345.62</f>
        <v>11345.62</v>
      </c>
      <c r="N667">
        <f>365.873</f>
        <v>365.87299999999999</v>
      </c>
      <c r="O667">
        <f>3223.56</f>
        <v>3223.56</v>
      </c>
      <c r="P667">
        <f>254.04</f>
        <v>254.04</v>
      </c>
      <c r="Q667">
        <f>3331.372</f>
        <v>3331.3719999999998</v>
      </c>
      <c r="R667">
        <f>7581.06</f>
        <v>7581.06</v>
      </c>
      <c r="S667">
        <f>2776.94</f>
        <v>2776.94</v>
      </c>
      <c r="T667">
        <f>3414.19</f>
        <v>3414.19</v>
      </c>
      <c r="U667">
        <f>59291.75</f>
        <v>59291.75</v>
      </c>
      <c r="V667">
        <f>467.77</f>
        <v>467.77</v>
      </c>
    </row>
    <row r="668" spans="1:22" x14ac:dyDescent="0.2">
      <c r="A668" s="1">
        <v>44173</v>
      </c>
      <c r="B668">
        <f>2072.01</f>
        <v>2072.0100000000002</v>
      </c>
      <c r="C668">
        <f>10256.06</f>
        <v>10256.06</v>
      </c>
      <c r="D668">
        <f>6258.87</f>
        <v>6258.87</v>
      </c>
      <c r="E668">
        <f>2957.714</f>
        <v>2957.7139999999999</v>
      </c>
      <c r="F668">
        <f>1910.79</f>
        <v>1910.79</v>
      </c>
      <c r="G668">
        <f>8232.633</f>
        <v>8232.6329999999998</v>
      </c>
      <c r="H668">
        <f>3500.02</f>
        <v>3500.02</v>
      </c>
      <c r="I668">
        <f>12302.66</f>
        <v>12302.66</v>
      </c>
      <c r="J668">
        <f>4736.18</f>
        <v>4736.18</v>
      </c>
      <c r="K668">
        <f>16236.09</f>
        <v>16236.09</v>
      </c>
      <c r="L668">
        <f>2346.89</f>
        <v>2346.89</v>
      </c>
      <c r="M668">
        <f>11407.79</f>
        <v>11407.79</v>
      </c>
      <c r="N668">
        <f>364.016</f>
        <v>364.01600000000002</v>
      </c>
      <c r="O668">
        <f>3213.07</f>
        <v>3213.07</v>
      </c>
      <c r="P668">
        <f>250.61</f>
        <v>250.61</v>
      </c>
      <c r="Q668">
        <f>3326.489</f>
        <v>3326.489</v>
      </c>
      <c r="R668">
        <f>7641.43</f>
        <v>7641.43</v>
      </c>
      <c r="S668">
        <f>2744.78</f>
        <v>2744.78</v>
      </c>
      <c r="T668">
        <f>3380.747</f>
        <v>3380.7469999999998</v>
      </c>
      <c r="U668">
        <f>59159.36</f>
        <v>59159.360000000001</v>
      </c>
      <c r="V668">
        <f>464.49</f>
        <v>464.49</v>
      </c>
    </row>
    <row r="669" spans="1:22" x14ac:dyDescent="0.2">
      <c r="A669" s="1">
        <v>44172</v>
      </c>
      <c r="B669">
        <f>2076.14</f>
        <v>2076.14</v>
      </c>
      <c r="C669">
        <f>10309.39</f>
        <v>10309.39</v>
      </c>
      <c r="D669">
        <f>6255.6</f>
        <v>6255.6</v>
      </c>
      <c r="E669">
        <f>2955.683</f>
        <v>2955.683</v>
      </c>
      <c r="F669">
        <f>1901.21</f>
        <v>1901.21</v>
      </c>
      <c r="G669">
        <f>8201.003</f>
        <v>8201.0030000000006</v>
      </c>
      <c r="H669">
        <f>3512.02</f>
        <v>3512.02</v>
      </c>
      <c r="I669">
        <f>12307.69</f>
        <v>12307.69</v>
      </c>
      <c r="J669">
        <f>4706.73</f>
        <v>4706.7299999999996</v>
      </c>
      <c r="K669">
        <f>16179.82</f>
        <v>16179.82</v>
      </c>
      <c r="L669">
        <f>2335.88</f>
        <v>2335.88</v>
      </c>
      <c r="M669">
        <f>11380.8</f>
        <v>11380.8</v>
      </c>
      <c r="N669">
        <f>361.244</f>
        <v>361.24400000000003</v>
      </c>
      <c r="O669">
        <f>3207.54</f>
        <v>3207.54</v>
      </c>
      <c r="P669">
        <f>251.29</f>
        <v>251.29</v>
      </c>
      <c r="Q669">
        <f>3308.141</f>
        <v>3308.1410000000001</v>
      </c>
      <c r="R669">
        <f>7620</f>
        <v>7620</v>
      </c>
      <c r="S669">
        <f>2747.81</f>
        <v>2747.81</v>
      </c>
      <c r="T669">
        <f>3385.575</f>
        <v>3385.5749999999998</v>
      </c>
      <c r="U669">
        <f>59527.7</f>
        <v>59527.7</v>
      </c>
      <c r="V669">
        <f>465.66</f>
        <v>465.66</v>
      </c>
    </row>
    <row r="670" spans="1:22" x14ac:dyDescent="0.2">
      <c r="A670" s="1">
        <v>44169</v>
      </c>
      <c r="B670">
        <f>2078.51</f>
        <v>2078.5100000000002</v>
      </c>
      <c r="C670">
        <f>10298.76</f>
        <v>10298.76</v>
      </c>
      <c r="D670">
        <f>6250.68</f>
        <v>6250.68</v>
      </c>
      <c r="E670">
        <f>2950.056</f>
        <v>2950.056</v>
      </c>
      <c r="F670">
        <f>1919.24</f>
        <v>1919.24</v>
      </c>
      <c r="G670">
        <f>8292.755</f>
        <v>8292.7549999999992</v>
      </c>
      <c r="H670">
        <f>3511.35</f>
        <v>3511.35</v>
      </c>
      <c r="I670">
        <f>12324.77</f>
        <v>12324.77</v>
      </c>
      <c r="J670">
        <f>4733.4</f>
        <v>4733.3999999999996</v>
      </c>
      <c r="K670">
        <f>16189.89</f>
        <v>16189.89</v>
      </c>
      <c r="L670">
        <f>2344.57</f>
        <v>2344.5700000000002</v>
      </c>
      <c r="M670">
        <f>11396.86</f>
        <v>11396.86</v>
      </c>
      <c r="N670">
        <f>362.591</f>
        <v>362.59100000000001</v>
      </c>
      <c r="O670">
        <f>3216.63</f>
        <v>3216.63</v>
      </c>
      <c r="P670">
        <f>253.1</f>
        <v>253.1</v>
      </c>
      <c r="Q670">
        <f>3341.171</f>
        <v>3341.1709999999998</v>
      </c>
      <c r="R670">
        <f>7634.77</f>
        <v>7634.77</v>
      </c>
      <c r="S670">
        <f>2771.52</f>
        <v>2771.52</v>
      </c>
      <c r="T670">
        <f>3387.206</f>
        <v>3387.2060000000001</v>
      </c>
      <c r="U670">
        <f>59419.37</f>
        <v>59419.37</v>
      </c>
      <c r="V670" t="e">
        <f>NA()</f>
        <v>#N/A</v>
      </c>
    </row>
    <row r="671" spans="1:22" x14ac:dyDescent="0.2">
      <c r="A671" s="1">
        <v>44168</v>
      </c>
      <c r="B671">
        <f>2065.07</f>
        <v>2065.0700000000002</v>
      </c>
      <c r="C671">
        <f>10246.54</f>
        <v>10246.540000000001</v>
      </c>
      <c r="D671">
        <f>6193.45</f>
        <v>6193.45</v>
      </c>
      <c r="E671">
        <f>2922.742</f>
        <v>2922.7420000000002</v>
      </c>
      <c r="F671">
        <f>1927.25</f>
        <v>1927.25</v>
      </c>
      <c r="G671">
        <f>8230.358</f>
        <v>8230.3580000000002</v>
      </c>
      <c r="H671">
        <f>3513.57</f>
        <v>3513.57</v>
      </c>
      <c r="I671">
        <f>12277.07</f>
        <v>12277.07</v>
      </c>
      <c r="J671">
        <f>4691.21</f>
        <v>4691.21</v>
      </c>
      <c r="K671">
        <f>16045.66</f>
        <v>16045.66</v>
      </c>
      <c r="L671">
        <f>2328.32</f>
        <v>2328.3200000000002</v>
      </c>
      <c r="M671">
        <f>11317.04</f>
        <v>11317.04</v>
      </c>
      <c r="N671">
        <f>361.944</f>
        <v>361.94400000000002</v>
      </c>
      <c r="O671">
        <f>3195.97</f>
        <v>3195.97</v>
      </c>
      <c r="P671">
        <f>252.07</f>
        <v>252.07</v>
      </c>
      <c r="Q671">
        <f>3290.306</f>
        <v>3290.306</v>
      </c>
      <c r="R671">
        <f>7567.44</f>
        <v>7567.44</v>
      </c>
      <c r="S671">
        <f>2770.44</f>
        <v>2770.44</v>
      </c>
      <c r="T671">
        <f>3335.419</f>
        <v>3335.4189999999999</v>
      </c>
      <c r="U671">
        <f>58947.48</f>
        <v>58947.48</v>
      </c>
      <c r="V671">
        <f>456.43</f>
        <v>456.43</v>
      </c>
    </row>
    <row r="672" spans="1:22" x14ac:dyDescent="0.2">
      <c r="A672" s="1">
        <v>44167</v>
      </c>
      <c r="B672">
        <f>2027.25</f>
        <v>2027.25</v>
      </c>
      <c r="C672">
        <f>10214.07</f>
        <v>10214.07</v>
      </c>
      <c r="D672">
        <f>6166.67</f>
        <v>6166.67</v>
      </c>
      <c r="E672">
        <f>2897.319</f>
        <v>2897.319</v>
      </c>
      <c r="F672">
        <f>1884.56</f>
        <v>1884.56</v>
      </c>
      <c r="G672">
        <f>8095.395</f>
        <v>8095.3950000000004</v>
      </c>
      <c r="H672">
        <f>3476.74</f>
        <v>3476.74</v>
      </c>
      <c r="I672">
        <f>12231.16</f>
        <v>12231.16</v>
      </c>
      <c r="J672">
        <f>4691.22</f>
        <v>4691.22</v>
      </c>
      <c r="K672">
        <f>16035.74</f>
        <v>16035.74</v>
      </c>
      <c r="L672">
        <f>2319.04</f>
        <v>2319.04</v>
      </c>
      <c r="M672">
        <f>11283.69</f>
        <v>11283.69</v>
      </c>
      <c r="N672">
        <f>361.861</f>
        <v>361.86099999999999</v>
      </c>
      <c r="O672">
        <f>3194.81</f>
        <v>3194.81</v>
      </c>
      <c r="P672">
        <f>250.45</f>
        <v>250.45</v>
      </c>
      <c r="Q672">
        <f>3286.484</f>
        <v>3286.4839999999999</v>
      </c>
      <c r="R672">
        <f>7570.76</f>
        <v>7570.76</v>
      </c>
      <c r="S672">
        <f>2768.44</f>
        <v>2768.44</v>
      </c>
      <c r="T672">
        <f>3313.018</f>
        <v>3313.018</v>
      </c>
      <c r="U672">
        <f>58281.98</f>
        <v>58281.98</v>
      </c>
      <c r="V672">
        <f>453.23</f>
        <v>453.23</v>
      </c>
    </row>
    <row r="673" spans="1:22" x14ac:dyDescent="0.2">
      <c r="A673" s="1">
        <v>44166</v>
      </c>
      <c r="B673">
        <f>2012.9</f>
        <v>2012.9</v>
      </c>
      <c r="C673">
        <f>10154.95</f>
        <v>10154.950000000001</v>
      </c>
      <c r="D673">
        <f>6091.63</f>
        <v>6091.63</v>
      </c>
      <c r="E673">
        <f>2886.105</f>
        <v>2886.105</v>
      </c>
      <c r="F673">
        <f>1870.17</f>
        <v>1870.17</v>
      </c>
      <c r="G673">
        <f>8012.442</f>
        <v>8012.442</v>
      </c>
      <c r="H673">
        <f>3438.04</f>
        <v>3438.04</v>
      </c>
      <c r="I673">
        <f>12204.67</f>
        <v>12204.67</v>
      </c>
      <c r="J673">
        <f>4682.13</f>
        <v>4682.13</v>
      </c>
      <c r="K673">
        <f>16017.19</f>
        <v>16017.19</v>
      </c>
      <c r="L673">
        <f>2307.91</f>
        <v>2307.91</v>
      </c>
      <c r="M673">
        <f>11261.66</f>
        <v>11261.66</v>
      </c>
      <c r="N673">
        <f>363.005</f>
        <v>363.005</v>
      </c>
      <c r="O673">
        <f>3194.31</f>
        <v>3194.31</v>
      </c>
      <c r="P673">
        <f>248.25</f>
        <v>248.25</v>
      </c>
      <c r="Q673">
        <f>3297.1</f>
        <v>3297.1</v>
      </c>
      <c r="R673">
        <f>7556.51</f>
        <v>7556.51</v>
      </c>
      <c r="S673">
        <f>2759.71</f>
        <v>2759.71</v>
      </c>
      <c r="T673">
        <f>3280.3</f>
        <v>3280.3</v>
      </c>
      <c r="U673">
        <f>57509.72</f>
        <v>57509.72</v>
      </c>
      <c r="V673">
        <f>443.9</f>
        <v>443.9</v>
      </c>
    </row>
    <row r="674" spans="1:22" x14ac:dyDescent="0.2">
      <c r="A674" s="1">
        <v>44165</v>
      </c>
      <c r="B674">
        <f>1951.35</f>
        <v>1951.35</v>
      </c>
      <c r="C674">
        <f>9976.99</f>
        <v>9976.99</v>
      </c>
      <c r="D674">
        <f>5978.52</f>
        <v>5978.52</v>
      </c>
      <c r="E674">
        <f>2841.391</f>
        <v>2841.3910000000001</v>
      </c>
      <c r="F674">
        <f>1833.33</f>
        <v>1833.33</v>
      </c>
      <c r="G674">
        <f>7855.954</f>
        <v>7855.9539999999997</v>
      </c>
      <c r="H674">
        <f>3403.99</f>
        <v>3403.99</v>
      </c>
      <c r="I674">
        <f>12083.37</f>
        <v>12083.37</v>
      </c>
      <c r="J674">
        <f>4641.8</f>
        <v>4641.8</v>
      </c>
      <c r="K674">
        <f>15852.25</f>
        <v>15852.25</v>
      </c>
      <c r="L674">
        <f>2289.49</f>
        <v>2289.4899999999998</v>
      </c>
      <c r="M674">
        <f>11148.6</f>
        <v>11148.6</v>
      </c>
      <c r="N674">
        <f>363.197</f>
        <v>363.197</v>
      </c>
      <c r="O674">
        <f>3171.64</f>
        <v>3171.64</v>
      </c>
      <c r="P674">
        <f>245.15</f>
        <v>245.15</v>
      </c>
      <c r="Q674">
        <f>3281.67072</f>
        <v>3281.6707200000001</v>
      </c>
      <c r="R674">
        <f>7472.06</f>
        <v>7472.06</v>
      </c>
      <c r="S674">
        <f>2738.72</f>
        <v>2738.72</v>
      </c>
      <c r="T674">
        <f>3245.645</f>
        <v>3245.645</v>
      </c>
      <c r="U674">
        <f>57091.89</f>
        <v>57091.89</v>
      </c>
      <c r="V674">
        <f>439.15</f>
        <v>439.15</v>
      </c>
    </row>
    <row r="675" spans="1:22" x14ac:dyDescent="0.2">
      <c r="A675" s="1">
        <v>44162</v>
      </c>
      <c r="B675">
        <f>1986.92</f>
        <v>1986.92</v>
      </c>
      <c r="C675">
        <f>10189.84</f>
        <v>10189.84</v>
      </c>
      <c r="D675">
        <f>6075.26</f>
        <v>6075.26</v>
      </c>
      <c r="E675">
        <f>2901.846</f>
        <v>2901.846</v>
      </c>
      <c r="F675">
        <f>1868.56</f>
        <v>1868.56</v>
      </c>
      <c r="G675">
        <f>7978.178</f>
        <v>7978.1779999999999</v>
      </c>
      <c r="H675">
        <f>3521.38</f>
        <v>3521.38</v>
      </c>
      <c r="I675">
        <f>12172.62</f>
        <v>12172.62</v>
      </c>
      <c r="J675">
        <f>4675.46</f>
        <v>4675.46</v>
      </c>
      <c r="K675">
        <f>15916.49</f>
        <v>15916.49</v>
      </c>
      <c r="L675">
        <f>2316.37</f>
        <v>2316.37</v>
      </c>
      <c r="M675">
        <f>11226.37</f>
        <v>11226.37</v>
      </c>
      <c r="N675">
        <f>364.005</f>
        <v>364.005</v>
      </c>
      <c r="O675">
        <f>3202.14</f>
        <v>3202.14</v>
      </c>
      <c r="P675">
        <f>252.29</f>
        <v>252.29</v>
      </c>
      <c r="Q675">
        <f>3311.738</f>
        <v>3311.7379999999998</v>
      </c>
      <c r="R675">
        <f>7505.38</f>
        <v>7505.38</v>
      </c>
      <c r="S675">
        <f>2787.61</f>
        <v>2787.61</v>
      </c>
      <c r="T675">
        <f>3351.129</f>
        <v>3351.1289999999999</v>
      </c>
      <c r="U675">
        <f>57822.5</f>
        <v>57822.5</v>
      </c>
      <c r="V675">
        <f>451.94</f>
        <v>451.94</v>
      </c>
    </row>
    <row r="676" spans="1:22" x14ac:dyDescent="0.2">
      <c r="A676" s="1">
        <v>44161</v>
      </c>
      <c r="B676">
        <f>1987.82</f>
        <v>1987.82</v>
      </c>
      <c r="C676">
        <f>10177.93</f>
        <v>10177.93</v>
      </c>
      <c r="D676">
        <f>6070.83</f>
        <v>6070.83</v>
      </c>
      <c r="E676">
        <f>2899.136</f>
        <v>2899.136</v>
      </c>
      <c r="F676">
        <f>1866.93</f>
        <v>1866.93</v>
      </c>
      <c r="G676">
        <f>7964.35</f>
        <v>7964.35</v>
      </c>
      <c r="H676">
        <f>3504.47</f>
        <v>3504.47</v>
      </c>
      <c r="I676">
        <f>12058.1</f>
        <v>12058.1</v>
      </c>
      <c r="J676">
        <f>4676.99</f>
        <v>4676.99</v>
      </c>
      <c r="K676">
        <f>15862.87</f>
        <v>15862.87</v>
      </c>
      <c r="L676">
        <f>2314.52</f>
        <v>2314.52</v>
      </c>
      <c r="M676">
        <f>11176.66</f>
        <v>11176.66</v>
      </c>
      <c r="N676">
        <f>364.395</f>
        <v>364.39499999999998</v>
      </c>
      <c r="O676">
        <f>3194.31</f>
        <v>3194.31</v>
      </c>
      <c r="P676">
        <f>251.05</f>
        <v>251.05</v>
      </c>
      <c r="Q676" t="e">
        <f>NA()</f>
        <v>#N/A</v>
      </c>
      <c r="R676" t="e">
        <f>NA()</f>
        <v>#N/A</v>
      </c>
      <c r="S676">
        <f>2774.61</f>
        <v>2774.61</v>
      </c>
      <c r="T676">
        <f>3334.593</f>
        <v>3334.5929999999998</v>
      </c>
      <c r="U676">
        <f>57923.69</f>
        <v>57923.69</v>
      </c>
      <c r="V676">
        <f>451.75</f>
        <v>451.75</v>
      </c>
    </row>
    <row r="677" spans="1:22" x14ac:dyDescent="0.2">
      <c r="A677" s="1">
        <v>44160</v>
      </c>
      <c r="B677">
        <f>2010.45</f>
        <v>2010.45</v>
      </c>
      <c r="C677">
        <f>10105.59</f>
        <v>10105.59</v>
      </c>
      <c r="D677">
        <f>6092.49</f>
        <v>6092.49</v>
      </c>
      <c r="E677">
        <f>2872.499</f>
        <v>2872.4989999999998</v>
      </c>
      <c r="F677">
        <f>1891.7</f>
        <v>1891.7</v>
      </c>
      <c r="G677">
        <f>8027.692</f>
        <v>8027.692</v>
      </c>
      <c r="H677">
        <f>3526.63</f>
        <v>3526.63</v>
      </c>
      <c r="I677">
        <f>12048.86</f>
        <v>12048.86</v>
      </c>
      <c r="J677">
        <f>4676.99</f>
        <v>4676.99</v>
      </c>
      <c r="K677">
        <f>15862.87</f>
        <v>15862.87</v>
      </c>
      <c r="L677">
        <f>2316.35</f>
        <v>2316.35</v>
      </c>
      <c r="M677">
        <f>11174.1</f>
        <v>11174.1</v>
      </c>
      <c r="N677">
        <f>364.104</f>
        <v>364.10399999999998</v>
      </c>
      <c r="O677">
        <f>3197.14</f>
        <v>3197.14</v>
      </c>
      <c r="P677">
        <f>251.95</f>
        <v>251.95</v>
      </c>
      <c r="Q677">
        <f>3314.86523</f>
        <v>3314.8652299999999</v>
      </c>
      <c r="R677">
        <f>7486.68</f>
        <v>7486.68</v>
      </c>
      <c r="S677">
        <f>2758.1</f>
        <v>2758.1</v>
      </c>
      <c r="T677">
        <f>3294.337</f>
        <v>3294.337</v>
      </c>
      <c r="U677">
        <f>57742.19</f>
        <v>57742.19</v>
      </c>
      <c r="V677">
        <f>448.52</f>
        <v>448.52</v>
      </c>
    </row>
    <row r="678" spans="1:22" x14ac:dyDescent="0.2">
      <c r="A678" s="1">
        <v>44159</v>
      </c>
      <c r="B678">
        <f>2032.13</f>
        <v>2032.13</v>
      </c>
      <c r="C678">
        <f>10061.14</f>
        <v>10061.14</v>
      </c>
      <c r="D678">
        <f>6131.65</f>
        <v>6131.65</v>
      </c>
      <c r="E678">
        <f>2890.504</f>
        <v>2890.5039999999999</v>
      </c>
      <c r="F678">
        <f>1908.46</f>
        <v>1908.46</v>
      </c>
      <c r="G678">
        <f>8070.877</f>
        <v>8070.8770000000004</v>
      </c>
      <c r="H678">
        <f>3496.93</f>
        <v>3496.93</v>
      </c>
      <c r="I678">
        <f>12005.52</f>
        <v>12005.52</v>
      </c>
      <c r="J678">
        <f>4698.37</f>
        <v>4698.37</v>
      </c>
      <c r="K678">
        <f>15867.05</f>
        <v>15867.05</v>
      </c>
      <c r="L678">
        <f>2320.55</f>
        <v>2320.5500000000002</v>
      </c>
      <c r="M678">
        <f>11163.12</f>
        <v>11163.12</v>
      </c>
      <c r="N678">
        <f>365.269</f>
        <v>365.26900000000001</v>
      </c>
      <c r="O678">
        <f>3199.32</f>
        <v>3199.32</v>
      </c>
      <c r="P678">
        <f>251.61</f>
        <v>251.61</v>
      </c>
      <c r="Q678">
        <f>3343.085</f>
        <v>3343.085</v>
      </c>
      <c r="R678">
        <f>7498.29</f>
        <v>7498.29</v>
      </c>
      <c r="S678">
        <f>2749.88</f>
        <v>2749.88</v>
      </c>
      <c r="T678">
        <f>3292.599</f>
        <v>3292.5990000000002</v>
      </c>
      <c r="U678">
        <f>57761.92</f>
        <v>57761.919999999998</v>
      </c>
      <c r="V678">
        <f>446.36</f>
        <v>446.36</v>
      </c>
    </row>
    <row r="679" spans="1:22" x14ac:dyDescent="0.2">
      <c r="A679" s="1">
        <v>44158</v>
      </c>
      <c r="B679">
        <f>1982.31</f>
        <v>1982.31</v>
      </c>
      <c r="C679">
        <f>10015.95</f>
        <v>10015.950000000001</v>
      </c>
      <c r="D679">
        <f>6037.92</f>
        <v>6037.92</v>
      </c>
      <c r="E679">
        <f>2877.593</f>
        <v>2877.5929999999998</v>
      </c>
      <c r="F679">
        <f>1866.37</f>
        <v>1866.37</v>
      </c>
      <c r="G679">
        <f>7909.081</f>
        <v>7909.0810000000001</v>
      </c>
      <c r="H679">
        <f>3450.52</f>
        <v>3450.52</v>
      </c>
      <c r="I679">
        <f>11848.83</f>
        <v>11848.83</v>
      </c>
      <c r="J679">
        <f>4622.9</f>
        <v>4622.8999999999996</v>
      </c>
      <c r="K679">
        <f>15624.27</f>
        <v>15624.27</v>
      </c>
      <c r="L679">
        <f>2282.3</f>
        <v>2282.3000000000002</v>
      </c>
      <c r="M679">
        <f>10988.7</f>
        <v>10988.7</v>
      </c>
      <c r="N679">
        <f>367.176</f>
        <v>367.17599999999999</v>
      </c>
      <c r="O679">
        <f>3165.67</f>
        <v>3165.67</v>
      </c>
      <c r="P679" t="e">
        <f>NA()</f>
        <v>#N/A</v>
      </c>
      <c r="Q679">
        <f>3284.304</f>
        <v>3284.3040000000001</v>
      </c>
      <c r="R679">
        <f>7378.94</f>
        <v>7378.94</v>
      </c>
      <c r="S679" t="e">
        <f>NA()</f>
        <v>#N/A</v>
      </c>
      <c r="T679">
        <f>3270.104</f>
        <v>3270.1039999999998</v>
      </c>
      <c r="U679">
        <f>57147.31</f>
        <v>57147.31</v>
      </c>
      <c r="V679">
        <f>444.43</f>
        <v>444.43</v>
      </c>
    </row>
    <row r="680" spans="1:22" x14ac:dyDescent="0.2">
      <c r="A680" s="1">
        <v>44155</v>
      </c>
      <c r="B680">
        <f>1977.89</f>
        <v>1977.89</v>
      </c>
      <c r="C680">
        <f>9924.08</f>
        <v>9924.08</v>
      </c>
      <c r="D680">
        <f>6054.71</f>
        <v>6054.71</v>
      </c>
      <c r="E680">
        <f>2850.909</f>
        <v>2850.9090000000001</v>
      </c>
      <c r="F680">
        <f>1879.17</f>
        <v>1879.17</v>
      </c>
      <c r="G680">
        <f>7921.953</f>
        <v>7921.9530000000004</v>
      </c>
      <c r="H680">
        <f>3472.45</f>
        <v>3472.45</v>
      </c>
      <c r="I680">
        <f>11914.97</f>
        <v>11914.97</v>
      </c>
      <c r="J680">
        <f>4578.95</f>
        <v>4578.95</v>
      </c>
      <c r="K680">
        <f>15525.04</f>
        <v>15525.04</v>
      </c>
      <c r="L680">
        <f>2270.42</f>
        <v>2270.42</v>
      </c>
      <c r="M680">
        <f>10958.18</f>
        <v>10958.18</v>
      </c>
      <c r="N680">
        <f>370.546</f>
        <v>370.54599999999999</v>
      </c>
      <c r="O680">
        <f>3170.75</f>
        <v>3170.75</v>
      </c>
      <c r="P680">
        <f>247.77</f>
        <v>247.77</v>
      </c>
      <c r="Q680">
        <f>3248.617</f>
        <v>3248.6170000000002</v>
      </c>
      <c r="R680">
        <f>7336.76</f>
        <v>7336.76</v>
      </c>
      <c r="S680">
        <f>2695.25</f>
        <v>2695.25</v>
      </c>
      <c r="T680">
        <f>3259.777</f>
        <v>3259.777</v>
      </c>
      <c r="U680">
        <f>56615.28</f>
        <v>56615.28</v>
      </c>
      <c r="V680">
        <f>443.85</f>
        <v>443.85</v>
      </c>
    </row>
    <row r="681" spans="1:22" x14ac:dyDescent="0.2">
      <c r="A681" s="1">
        <v>44154</v>
      </c>
      <c r="B681">
        <f>1982.43</f>
        <v>1982.43</v>
      </c>
      <c r="C681">
        <f>9921.53</f>
        <v>9921.5300000000007</v>
      </c>
      <c r="D681">
        <f>6038.4</f>
        <v>6038.4</v>
      </c>
      <c r="E681">
        <f>2830.093</f>
        <v>2830.0929999999998</v>
      </c>
      <c r="F681">
        <f>1881.47</f>
        <v>1881.47</v>
      </c>
      <c r="G681">
        <f>7863.734</f>
        <v>7863.7340000000004</v>
      </c>
      <c r="H681">
        <f>3477.27</f>
        <v>3477.27</v>
      </c>
      <c r="I681">
        <f>11846.04</f>
        <v>11846.04</v>
      </c>
      <c r="J681">
        <f>4598.28</f>
        <v>4598.28</v>
      </c>
      <c r="K681">
        <f>15621.07</f>
        <v>15621.07</v>
      </c>
      <c r="L681">
        <f>2272.7</f>
        <v>2272.6999999999998</v>
      </c>
      <c r="M681">
        <f>10985.12</f>
        <v>10985.12</v>
      </c>
      <c r="N681">
        <f>369.059</f>
        <v>369.05900000000003</v>
      </c>
      <c r="O681">
        <f>3155.4</f>
        <v>3155.4</v>
      </c>
      <c r="P681">
        <f>247.97</f>
        <v>247.97</v>
      </c>
      <c r="Q681">
        <f>3265.76972</f>
        <v>3265.7697199999998</v>
      </c>
      <c r="R681">
        <f>7386.86</f>
        <v>7386.86</v>
      </c>
      <c r="S681">
        <f>2693.72</f>
        <v>2693.72</v>
      </c>
      <c r="T681">
        <f>3287.214</f>
        <v>3287.2139999999999</v>
      </c>
      <c r="U681">
        <f>56753.49</f>
        <v>56753.49</v>
      </c>
      <c r="V681">
        <f>449.3</f>
        <v>449.3</v>
      </c>
    </row>
    <row r="682" spans="1:22" x14ac:dyDescent="0.2">
      <c r="A682" s="1">
        <v>44153</v>
      </c>
      <c r="B682">
        <f>2008.7</f>
        <v>2008.7</v>
      </c>
      <c r="C682">
        <f>10014.67</f>
        <v>10014.67</v>
      </c>
      <c r="D682">
        <f>6086.28</f>
        <v>6086.28</v>
      </c>
      <c r="E682">
        <f>2846.779</f>
        <v>2846.779</v>
      </c>
      <c r="F682">
        <f>1918.77</f>
        <v>1918.77</v>
      </c>
      <c r="G682">
        <f>7976.422</f>
        <v>7976.4219999999996</v>
      </c>
      <c r="H682">
        <f>3474.5</f>
        <v>3474.5</v>
      </c>
      <c r="I682">
        <f>11960.24</f>
        <v>11960.24</v>
      </c>
      <c r="J682">
        <f>4593.35</f>
        <v>4593.3500000000004</v>
      </c>
      <c r="K682">
        <f>15543.26</f>
        <v>15543.26</v>
      </c>
      <c r="L682">
        <f>2279.74</f>
        <v>2279.7399999999998</v>
      </c>
      <c r="M682">
        <f>10971.77</f>
        <v>10971.77</v>
      </c>
      <c r="N682">
        <f>370.401</f>
        <v>370.40100000000001</v>
      </c>
      <c r="O682">
        <f>3180.56</f>
        <v>3180.56</v>
      </c>
      <c r="P682">
        <f>248.02</f>
        <v>248.02</v>
      </c>
      <c r="Q682">
        <f>3256.88045</f>
        <v>3256.8804500000001</v>
      </c>
      <c r="R682">
        <f>7357.34</f>
        <v>7357.34</v>
      </c>
      <c r="S682">
        <f>2684.72</f>
        <v>2684.72</v>
      </c>
      <c r="T682">
        <f>3317.856</f>
        <v>3317.8560000000002</v>
      </c>
      <c r="U682">
        <f>57323.67</f>
        <v>57323.67</v>
      </c>
      <c r="V682">
        <f>453.08</f>
        <v>453.08</v>
      </c>
    </row>
    <row r="683" spans="1:22" x14ac:dyDescent="0.2">
      <c r="A683" s="1">
        <v>44152</v>
      </c>
      <c r="B683">
        <f>1961.27</f>
        <v>1961.27</v>
      </c>
      <c r="C683">
        <f>9940.45</f>
        <v>9940.4500000000007</v>
      </c>
      <c r="D683">
        <f>6067.31</f>
        <v>6067.31</v>
      </c>
      <c r="E683">
        <f>2832.332</f>
        <v>2832.3319999999999</v>
      </c>
      <c r="F683">
        <f>1891.12</f>
        <v>1891.12</v>
      </c>
      <c r="G683">
        <f>7924.854</f>
        <v>7924.8540000000003</v>
      </c>
      <c r="H683">
        <f>3497.39</f>
        <v>3497.39</v>
      </c>
      <c r="I683">
        <f>11915.1</f>
        <v>11915.1</v>
      </c>
      <c r="J683">
        <f>4646.39</f>
        <v>4646.3900000000003</v>
      </c>
      <c r="K683">
        <f>15699.94</f>
        <v>15699.94</v>
      </c>
      <c r="L683">
        <f>2295.24</f>
        <v>2295.2399999999998</v>
      </c>
      <c r="M683">
        <f>11035.49</f>
        <v>11035.49</v>
      </c>
      <c r="N683">
        <f>369.949</f>
        <v>369.94900000000001</v>
      </c>
      <c r="O683">
        <f>3166.81</f>
        <v>3166.81</v>
      </c>
      <c r="P683">
        <f>251.08</f>
        <v>251.08</v>
      </c>
      <c r="Q683">
        <f>3295.093</f>
        <v>3295.0929999999998</v>
      </c>
      <c r="R683">
        <f>7442.04</f>
        <v>7442.04</v>
      </c>
      <c r="S683">
        <f>2706.58</f>
        <v>2706.58</v>
      </c>
      <c r="T683">
        <f>3309.935</f>
        <v>3309.9349999999999</v>
      </c>
      <c r="U683">
        <f>57053.01</f>
        <v>57053.01</v>
      </c>
      <c r="V683">
        <f>445.87</f>
        <v>445.87</v>
      </c>
    </row>
    <row r="684" spans="1:22" x14ac:dyDescent="0.2">
      <c r="A684" s="1">
        <v>44151</v>
      </c>
      <c r="B684">
        <f>1957.1</f>
        <v>1957.1</v>
      </c>
      <c r="C684">
        <f>9876.39</f>
        <v>9876.39</v>
      </c>
      <c r="D684">
        <f>6120.65</f>
        <v>6120.65</v>
      </c>
      <c r="E684">
        <f>2836.109</f>
        <v>2836.1089999999999</v>
      </c>
      <c r="F684">
        <f>1862.37</f>
        <v>1862.37</v>
      </c>
      <c r="G684">
        <f>7948.32</f>
        <v>7948.32</v>
      </c>
      <c r="H684">
        <f>3455.31</f>
        <v>3455.31</v>
      </c>
      <c r="I684">
        <f>11887.32</f>
        <v>11887.32</v>
      </c>
      <c r="J684">
        <f>4679.24</f>
        <v>4679.24</v>
      </c>
      <c r="K684">
        <f>15750.62</f>
        <v>15750.62</v>
      </c>
      <c r="L684">
        <f>2298.14</f>
        <v>2298.14</v>
      </c>
      <c r="M684">
        <f>11047.61</f>
        <v>11047.61</v>
      </c>
      <c r="N684">
        <f>370.181</f>
        <v>370.18099999999998</v>
      </c>
      <c r="O684">
        <f>3172.88</f>
        <v>3172.88</v>
      </c>
      <c r="P684">
        <f>248.74</f>
        <v>248.74</v>
      </c>
      <c r="Q684">
        <f>3324.147</f>
        <v>3324.1469999999999</v>
      </c>
      <c r="R684">
        <f>7476.79</f>
        <v>7476.79</v>
      </c>
      <c r="S684">
        <f>2702.14</f>
        <v>2702.14</v>
      </c>
      <c r="T684">
        <f>3302.586</f>
        <v>3302.5859999999998</v>
      </c>
      <c r="U684">
        <f>57267</f>
        <v>57267</v>
      </c>
      <c r="V684">
        <f>447.41</f>
        <v>447.41</v>
      </c>
    </row>
    <row r="685" spans="1:22" x14ac:dyDescent="0.2">
      <c r="A685" s="1">
        <v>44148</v>
      </c>
      <c r="B685">
        <f>1912.6</f>
        <v>1912.6</v>
      </c>
      <c r="C685">
        <f>9770.34</f>
        <v>9770.34</v>
      </c>
      <c r="D685">
        <f>6020.66</f>
        <v>6020.66</v>
      </c>
      <c r="E685">
        <f>2801.458</f>
        <v>2801.4580000000001</v>
      </c>
      <c r="F685">
        <f>1823.05</f>
        <v>1823.05</v>
      </c>
      <c r="G685">
        <f>7801.211</f>
        <v>7801.2110000000002</v>
      </c>
      <c r="H685">
        <f>3376.18</f>
        <v>3376.18</v>
      </c>
      <c r="I685">
        <f>11748.58</f>
        <v>11748.58</v>
      </c>
      <c r="J685">
        <f>4616.73</f>
        <v>4616.7299999999996</v>
      </c>
      <c r="K685">
        <f>15574.79</f>
        <v>15574.79</v>
      </c>
      <c r="L685">
        <f>2267.13</f>
        <v>2267.13</v>
      </c>
      <c r="M685">
        <f>10908.46</f>
        <v>10908.46</v>
      </c>
      <c r="N685">
        <f>367.819</f>
        <v>367.81900000000002</v>
      </c>
      <c r="O685">
        <f>3135.6</f>
        <v>3135.6</v>
      </c>
      <c r="P685">
        <f>244.49</f>
        <v>244.49</v>
      </c>
      <c r="Q685">
        <f>3257.652</f>
        <v>3257.652</v>
      </c>
      <c r="R685">
        <f>7390.61</f>
        <v>7390.61</v>
      </c>
      <c r="S685">
        <f>2657.53</f>
        <v>2657.53</v>
      </c>
      <c r="T685">
        <f>3301.345</f>
        <v>3301.3449999999998</v>
      </c>
      <c r="U685">
        <f>57182.6</f>
        <v>57182.6</v>
      </c>
      <c r="V685">
        <f>445.51</f>
        <v>445.51</v>
      </c>
    </row>
    <row r="686" spans="1:22" x14ac:dyDescent="0.2">
      <c r="A686" s="1">
        <v>44147</v>
      </c>
      <c r="B686">
        <f>1901.58</f>
        <v>1901.58</v>
      </c>
      <c r="C686">
        <f>9855.48</f>
        <v>9855.48</v>
      </c>
      <c r="D686">
        <f>6042.15</f>
        <v>6042.15</v>
      </c>
      <c r="E686">
        <f>2786.699</f>
        <v>2786.6990000000001</v>
      </c>
      <c r="F686">
        <f>1811.37</f>
        <v>1811.37</v>
      </c>
      <c r="G686">
        <f>7811.873</f>
        <v>7811.8729999999996</v>
      </c>
      <c r="H686">
        <f>3420.26</f>
        <v>3420.26</v>
      </c>
      <c r="I686">
        <f>11728.59</f>
        <v>11728.59</v>
      </c>
      <c r="J686">
        <f>4539.08</f>
        <v>4539.08</v>
      </c>
      <c r="K686">
        <f>15376.68</f>
        <v>15376.68</v>
      </c>
      <c r="L686">
        <f>2243.52</f>
        <v>2243.52</v>
      </c>
      <c r="M686">
        <f>10821.33</f>
        <v>10821.33</v>
      </c>
      <c r="N686">
        <f>367.969</f>
        <v>367.96899999999999</v>
      </c>
      <c r="O686">
        <f>3134.53</f>
        <v>3134.53</v>
      </c>
      <c r="P686">
        <f>248.02</f>
        <v>248.02</v>
      </c>
      <c r="Q686">
        <f>3198.324</f>
        <v>3198.3240000000001</v>
      </c>
      <c r="R686">
        <f>7290.69</f>
        <v>7290.69</v>
      </c>
      <c r="S686">
        <f>2693.42</f>
        <v>2693.42</v>
      </c>
      <c r="T686">
        <f>3319.913</f>
        <v>3319.913</v>
      </c>
      <c r="U686">
        <f>57031.19</f>
        <v>57031.19</v>
      </c>
      <c r="V686">
        <f>447.27</f>
        <v>447.27</v>
      </c>
    </row>
    <row r="687" spans="1:22" x14ac:dyDescent="0.2">
      <c r="A687" s="1">
        <v>44146</v>
      </c>
      <c r="B687">
        <f>1913.06</f>
        <v>1913.06</v>
      </c>
      <c r="C687">
        <f>9947.87</f>
        <v>9947.8700000000008</v>
      </c>
      <c r="D687">
        <f>6074.14</f>
        <v>6074.14</v>
      </c>
      <c r="E687">
        <f>2779.012</f>
        <v>2779.0120000000002</v>
      </c>
      <c r="F687">
        <f>1820.2</f>
        <v>1820.2</v>
      </c>
      <c r="G687">
        <f>7894.387</f>
        <v>7894.3869999999997</v>
      </c>
      <c r="H687">
        <f>3433.1</f>
        <v>3433.1</v>
      </c>
      <c r="I687">
        <f>11757.52</f>
        <v>11757.52</v>
      </c>
      <c r="J687">
        <f>4599.15</f>
        <v>4599.1499999999996</v>
      </c>
      <c r="K687">
        <f>15518.29</f>
        <v>15518.29</v>
      </c>
      <c r="L687">
        <f>2265.57</f>
        <v>2265.5700000000002</v>
      </c>
      <c r="M687">
        <f>10900.6</f>
        <v>10900.6</v>
      </c>
      <c r="N687">
        <f>370.677</f>
        <v>370.67700000000002</v>
      </c>
      <c r="O687">
        <f>3162.29</f>
        <v>3162.29</v>
      </c>
      <c r="P687">
        <f>251.21</f>
        <v>251.21</v>
      </c>
      <c r="Q687">
        <f>3243.36</f>
        <v>3243.36</v>
      </c>
      <c r="R687">
        <f>7362.65</f>
        <v>7362.65</v>
      </c>
      <c r="S687">
        <f>2697.85</f>
        <v>2697.85</v>
      </c>
      <c r="T687">
        <f>3378.205</f>
        <v>3378.2049999999999</v>
      </c>
      <c r="U687">
        <f>57607.3</f>
        <v>57607.3</v>
      </c>
      <c r="V687">
        <f>455.87</f>
        <v>455.87</v>
      </c>
    </row>
    <row r="688" spans="1:22" x14ac:dyDescent="0.2">
      <c r="A688" s="1">
        <v>44145</v>
      </c>
      <c r="B688">
        <f>1890.35</f>
        <v>1890.35</v>
      </c>
      <c r="C688">
        <f>9762.25</f>
        <v>9762.25</v>
      </c>
      <c r="D688">
        <f>5993</f>
        <v>5993</v>
      </c>
      <c r="E688">
        <f>2781.481</f>
        <v>2781.4810000000002</v>
      </c>
      <c r="F688">
        <f>1813.71</f>
        <v>1813.71</v>
      </c>
      <c r="G688">
        <f>7825.497</f>
        <v>7825.4970000000003</v>
      </c>
      <c r="H688">
        <f>3378.16</f>
        <v>3378.16</v>
      </c>
      <c r="I688">
        <f>11709.62</f>
        <v>11709.62</v>
      </c>
      <c r="J688">
        <f>4606.17</f>
        <v>4606.17</v>
      </c>
      <c r="K688">
        <f>15384.22</f>
        <v>15384.22</v>
      </c>
      <c r="L688">
        <f>2262.02</f>
        <v>2262.02</v>
      </c>
      <c r="M688">
        <f>10809.22</f>
        <v>10809.22</v>
      </c>
      <c r="N688">
        <f>366.665</f>
        <v>366.66500000000002</v>
      </c>
      <c r="O688">
        <f>3129.66</f>
        <v>3129.66</v>
      </c>
      <c r="P688">
        <f>247.43</f>
        <v>247.43</v>
      </c>
      <c r="Q688">
        <f>3266.38137</f>
        <v>3266.3813700000001</v>
      </c>
      <c r="R688">
        <f>7306.75</f>
        <v>7306.75</v>
      </c>
      <c r="S688">
        <f>2653.74</f>
        <v>2653.74</v>
      </c>
      <c r="T688">
        <f>3319.044</f>
        <v>3319.0439999999999</v>
      </c>
      <c r="U688">
        <f>57672.12</f>
        <v>57672.12</v>
      </c>
      <c r="V688">
        <f>449.48</f>
        <v>449.48</v>
      </c>
    </row>
    <row r="689" spans="1:22" x14ac:dyDescent="0.2">
      <c r="A689" s="1">
        <v>44144</v>
      </c>
      <c r="B689">
        <f>1857.24</f>
        <v>1857.24</v>
      </c>
      <c r="C689">
        <f>9615.33</f>
        <v>9615.33</v>
      </c>
      <c r="D689">
        <f>5887.78</f>
        <v>5887.78</v>
      </c>
      <c r="E689">
        <f>2810.745</f>
        <v>2810.7449999999999</v>
      </c>
      <c r="F689">
        <f>1726.01</f>
        <v>1726.01</v>
      </c>
      <c r="G689">
        <f>7616.749</f>
        <v>7616.7489999999998</v>
      </c>
      <c r="H689">
        <f>3263.19</f>
        <v>3263.19</v>
      </c>
      <c r="I689">
        <f>11657.11</f>
        <v>11657.11</v>
      </c>
      <c r="J689">
        <f>4536.97</f>
        <v>4536.97</v>
      </c>
      <c r="K689">
        <f>15418.85</f>
        <v>15418.85</v>
      </c>
      <c r="L689">
        <f>2223.16</f>
        <v>2223.16</v>
      </c>
      <c r="M689">
        <f>10786.33</f>
        <v>10786.33</v>
      </c>
      <c r="N689">
        <f>363.425</f>
        <v>363.42500000000001</v>
      </c>
      <c r="O689">
        <f>3097.31</f>
        <v>3097.31</v>
      </c>
      <c r="P689">
        <f>240.41</f>
        <v>240.41</v>
      </c>
      <c r="Q689">
        <f>3209.257</f>
        <v>3209.2570000000001</v>
      </c>
      <c r="R689">
        <f>7315.77</f>
        <v>7315.77</v>
      </c>
      <c r="S689">
        <f>2624.24</f>
        <v>2624.24</v>
      </c>
      <c r="T689">
        <f>3250.82</f>
        <v>3250.82</v>
      </c>
      <c r="U689">
        <f>57307.49</f>
        <v>57307.49</v>
      </c>
      <c r="V689">
        <f>438.74</f>
        <v>438.74</v>
      </c>
    </row>
    <row r="690" spans="1:22" x14ac:dyDescent="0.2">
      <c r="A690" s="1">
        <v>44141</v>
      </c>
      <c r="B690">
        <f>1766.25</f>
        <v>1766.25</v>
      </c>
      <c r="C690">
        <f>9374.83</f>
        <v>9374.83</v>
      </c>
      <c r="D690">
        <f>5624.84</f>
        <v>5624.84</v>
      </c>
      <c r="E690">
        <f>2772.971</f>
        <v>2772.971</v>
      </c>
      <c r="F690">
        <f>1659.68</f>
        <v>1659.68</v>
      </c>
      <c r="G690">
        <f>7241.506</f>
        <v>7241.5060000000003</v>
      </c>
      <c r="H690">
        <f>3270.49</f>
        <v>3270.49</v>
      </c>
      <c r="I690">
        <f>11284.32</f>
        <v>11284.32</v>
      </c>
      <c r="J690">
        <f>4421.63</f>
        <v>4421.63</v>
      </c>
      <c r="K690">
        <f>15292.97</f>
        <v>15292.97</v>
      </c>
      <c r="L690">
        <f>2161.09</f>
        <v>2161.09</v>
      </c>
      <c r="M690">
        <f>10647.24</f>
        <v>10647.24</v>
      </c>
      <c r="N690">
        <f>355.432</f>
        <v>355.43200000000002</v>
      </c>
      <c r="O690">
        <f>2971.69</f>
        <v>2971.69</v>
      </c>
      <c r="P690">
        <f>238.76</f>
        <v>238.76</v>
      </c>
      <c r="Q690">
        <f>3100.984</f>
        <v>3100.9839999999999</v>
      </c>
      <c r="R690">
        <f>7230.51</f>
        <v>7230.51</v>
      </c>
      <c r="S690">
        <f>2587.73</f>
        <v>2587.73</v>
      </c>
      <c r="T690">
        <f>3104.837</f>
        <v>3104.837</v>
      </c>
      <c r="U690">
        <f>56387.04</f>
        <v>56387.040000000001</v>
      </c>
      <c r="V690">
        <f>425.4</f>
        <v>425.4</v>
      </c>
    </row>
    <row r="691" spans="1:22" x14ac:dyDescent="0.2">
      <c r="A691" s="1">
        <v>44140</v>
      </c>
      <c r="B691">
        <f>1765.62</f>
        <v>1765.62</v>
      </c>
      <c r="C691">
        <f>9294.61</f>
        <v>9294.61</v>
      </c>
      <c r="D691">
        <f>5621.19</f>
        <v>5621.19</v>
      </c>
      <c r="E691">
        <f>2749.066</f>
        <v>2749.0659999999998</v>
      </c>
      <c r="F691">
        <f>1650.44</f>
        <v>1650.44</v>
      </c>
      <c r="G691">
        <f>7218.054</f>
        <v>7218.0540000000001</v>
      </c>
      <c r="H691">
        <f>3225.12</f>
        <v>3225.12</v>
      </c>
      <c r="I691">
        <f>11263.13</f>
        <v>11263.13</v>
      </c>
      <c r="J691">
        <f>4419.66</f>
        <v>4419.66</v>
      </c>
      <c r="K691">
        <f>15286.75</f>
        <v>15286.75</v>
      </c>
      <c r="L691">
        <f>2158.58</f>
        <v>2158.58</v>
      </c>
      <c r="M691">
        <f>10631.3</f>
        <v>10631.3</v>
      </c>
      <c r="N691">
        <f>356.458</f>
        <v>356.45800000000003</v>
      </c>
      <c r="O691">
        <f>2978.43</f>
        <v>2978.43</v>
      </c>
      <c r="P691">
        <f>236.31</f>
        <v>236.31</v>
      </c>
      <c r="Q691">
        <f>3098.697</f>
        <v>3098.6970000000001</v>
      </c>
      <c r="R691">
        <f>7231.67</f>
        <v>7231.67</v>
      </c>
      <c r="S691">
        <f>2574.39</f>
        <v>2574.39</v>
      </c>
      <c r="T691">
        <f>3084.25</f>
        <v>3084.25</v>
      </c>
      <c r="U691">
        <f>55225.24</f>
        <v>55225.24</v>
      </c>
      <c r="V691">
        <f>424.24</f>
        <v>424.24</v>
      </c>
    </row>
    <row r="692" spans="1:22" x14ac:dyDescent="0.2">
      <c r="A692" s="1">
        <v>44139</v>
      </c>
      <c r="B692">
        <f>1744.95</f>
        <v>1744.95</v>
      </c>
      <c r="C692">
        <f>9035.18</f>
        <v>9035.18</v>
      </c>
      <c r="D692">
        <f>5596.38</f>
        <v>5596.38</v>
      </c>
      <c r="E692">
        <f>2675.843</f>
        <v>2675.8429999999998</v>
      </c>
      <c r="F692">
        <f>1637.16</f>
        <v>1637.16</v>
      </c>
      <c r="G692">
        <f>7127.881</f>
        <v>7127.8810000000003</v>
      </c>
      <c r="H692">
        <f>3221.3</f>
        <v>3221.3</v>
      </c>
      <c r="I692">
        <f>11023.37</f>
        <v>11023.37</v>
      </c>
      <c r="J692">
        <f>4368.85</f>
        <v>4368.8500000000004</v>
      </c>
      <c r="K692">
        <f>14982.32</f>
        <v>14982.32</v>
      </c>
      <c r="L692">
        <f>2133.69</f>
        <v>2133.69</v>
      </c>
      <c r="M692">
        <f>10414.49</f>
        <v>10414.49</v>
      </c>
      <c r="N692">
        <f>355.527</f>
        <v>355.52699999999999</v>
      </c>
      <c r="O692">
        <f>2949.2</f>
        <v>2949.2</v>
      </c>
      <c r="P692">
        <f>237.01</f>
        <v>237.01</v>
      </c>
      <c r="Q692">
        <f>3044.44537</f>
        <v>3044.4453699999999</v>
      </c>
      <c r="R692">
        <f>7092.3</f>
        <v>7092.3</v>
      </c>
      <c r="S692">
        <f>2538.98</f>
        <v>2538.98</v>
      </c>
      <c r="T692">
        <f>3009.039</f>
        <v>3009.0390000000002</v>
      </c>
      <c r="U692">
        <f>53656.21</f>
        <v>53656.21</v>
      </c>
      <c r="V692">
        <f>414.94</f>
        <v>414.94</v>
      </c>
    </row>
    <row r="693" spans="1:22" x14ac:dyDescent="0.2">
      <c r="A693" s="1">
        <v>44138</v>
      </c>
      <c r="B693">
        <f>1723.85</f>
        <v>1723.85</v>
      </c>
      <c r="C693">
        <f>9007.84</f>
        <v>9007.84</v>
      </c>
      <c r="D693">
        <f>5504.6</f>
        <v>5504.6</v>
      </c>
      <c r="E693">
        <f>2641.893</f>
        <v>2641.893</v>
      </c>
      <c r="F693">
        <f>1622.72</f>
        <v>1622.72</v>
      </c>
      <c r="G693">
        <f>7056.127</f>
        <v>7056.1270000000004</v>
      </c>
      <c r="H693">
        <f>3198.93</f>
        <v>3198.93</v>
      </c>
      <c r="I693">
        <f>10801.5</f>
        <v>10801.5</v>
      </c>
      <c r="J693">
        <f>4367.34</f>
        <v>4367.34</v>
      </c>
      <c r="K693">
        <f>14643.1</f>
        <v>14643.1</v>
      </c>
      <c r="L693">
        <f>2123.37</f>
        <v>2123.37</v>
      </c>
      <c r="M693">
        <f>10210.41</f>
        <v>10210.41</v>
      </c>
      <c r="N693">
        <f>346.194</f>
        <v>346.19400000000002</v>
      </c>
      <c r="O693">
        <f>2889.53</f>
        <v>2889.53</v>
      </c>
      <c r="P693" t="e">
        <f>NA()</f>
        <v>#N/A</v>
      </c>
      <c r="Q693">
        <f>3066.053</f>
        <v>3066.0529999999999</v>
      </c>
      <c r="R693">
        <f>6939.3</f>
        <v>6939.3</v>
      </c>
      <c r="S693" t="e">
        <f>NA()</f>
        <v>#N/A</v>
      </c>
      <c r="T693">
        <f>2983.991</f>
        <v>2983.991</v>
      </c>
      <c r="U693">
        <f>53187.81</f>
        <v>53187.81</v>
      </c>
      <c r="V693">
        <f>414.34</f>
        <v>414.34</v>
      </c>
    </row>
    <row r="694" spans="1:22" x14ac:dyDescent="0.2">
      <c r="A694" s="1">
        <v>44137</v>
      </c>
      <c r="B694">
        <f>1686.35</f>
        <v>1686.35</v>
      </c>
      <c r="C694">
        <f>8852.74</f>
        <v>8852.74</v>
      </c>
      <c r="D694">
        <f>5379.23</f>
        <v>5379.23</v>
      </c>
      <c r="E694">
        <f>2627.351</f>
        <v>2627.3510000000001</v>
      </c>
      <c r="F694">
        <f>1574.04</f>
        <v>1574.04</v>
      </c>
      <c r="G694">
        <f>6809.314</f>
        <v>6809.3140000000003</v>
      </c>
      <c r="H694">
        <f>3191.76</f>
        <v>3191.76</v>
      </c>
      <c r="I694">
        <f>10485.64</f>
        <v>10485.64</v>
      </c>
      <c r="J694">
        <f>4304.69</f>
        <v>4304.6899999999996</v>
      </c>
      <c r="K694">
        <f>14379.48</f>
        <v>14379.48</v>
      </c>
      <c r="L694">
        <f>2086.19</f>
        <v>2086.19</v>
      </c>
      <c r="M694">
        <f>10007.13</f>
        <v>10007.129999999999</v>
      </c>
      <c r="N694">
        <f>339.468</f>
        <v>339.46800000000002</v>
      </c>
      <c r="O694">
        <f>2823.28</f>
        <v>2823.28</v>
      </c>
      <c r="P694">
        <f>235.42</f>
        <v>235.42</v>
      </c>
      <c r="Q694">
        <f>3013.695</f>
        <v>3013.6950000000002</v>
      </c>
      <c r="R694">
        <f>6817.89</f>
        <v>6817.89</v>
      </c>
      <c r="S694">
        <f>2508.86</f>
        <v>2508.86</v>
      </c>
      <c r="T694">
        <f>2921.111</f>
        <v>2921.1109999999999</v>
      </c>
      <c r="U694">
        <f>52618.04</f>
        <v>52618.04</v>
      </c>
      <c r="V694">
        <f>401.51</f>
        <v>401.51</v>
      </c>
    </row>
    <row r="695" spans="1:22" x14ac:dyDescent="0.2">
      <c r="A695" s="1">
        <v>44134</v>
      </c>
      <c r="B695">
        <f>1677.91</f>
        <v>1677.91</v>
      </c>
      <c r="C695">
        <f>8761.18</f>
        <v>8761.18</v>
      </c>
      <c r="D695">
        <f>5305.32</f>
        <v>5305.32</v>
      </c>
      <c r="E695">
        <f>2600.7</f>
        <v>2600.6999999999998</v>
      </c>
      <c r="F695">
        <f>1560.39</f>
        <v>1560.39</v>
      </c>
      <c r="G695">
        <f>6726.634</f>
        <v>6726.634</v>
      </c>
      <c r="H695">
        <f>3120.74</f>
        <v>3120.74</v>
      </c>
      <c r="I695">
        <f>10318.32</f>
        <v>10318.32</v>
      </c>
      <c r="J695">
        <f>4221.87</f>
        <v>4221.87</v>
      </c>
      <c r="K695">
        <f>14208.39</f>
        <v>14208.39</v>
      </c>
      <c r="L695">
        <f>2047.6</f>
        <v>2047.6</v>
      </c>
      <c r="M695">
        <f>9881.08</f>
        <v>9881.08</v>
      </c>
      <c r="N695">
        <f>335.48</f>
        <v>335.48</v>
      </c>
      <c r="O695">
        <f>2777.79</f>
        <v>2777.79</v>
      </c>
      <c r="P695">
        <f>230.01</f>
        <v>230.01</v>
      </c>
      <c r="Q695">
        <f>2930.426</f>
        <v>2930.4259999999999</v>
      </c>
      <c r="R695">
        <f>6734.84</f>
        <v>6734.84</v>
      </c>
      <c r="S695">
        <f>2464.21</f>
        <v>2464.21</v>
      </c>
      <c r="T695">
        <f>2899.956</f>
        <v>2899.9560000000001</v>
      </c>
      <c r="U695">
        <f>51684.7</f>
        <v>51684.7</v>
      </c>
      <c r="V695">
        <f>397.28</f>
        <v>397.28</v>
      </c>
    </row>
    <row r="696" spans="1:22" x14ac:dyDescent="0.2">
      <c r="A696" s="1">
        <v>44133</v>
      </c>
      <c r="B696">
        <f>1674.2</f>
        <v>1674.2</v>
      </c>
      <c r="C696">
        <f>8828.09</f>
        <v>8828.09</v>
      </c>
      <c r="D696">
        <f>5309.57</f>
        <v>5309.57</v>
      </c>
      <c r="E696">
        <f>2639.902</f>
        <v>2639.902</v>
      </c>
      <c r="F696">
        <f>1550.3</f>
        <v>1550.3</v>
      </c>
      <c r="G696">
        <f>6710.719</f>
        <v>6710.7190000000001</v>
      </c>
      <c r="H696">
        <f>3159.95</f>
        <v>3159.95</v>
      </c>
      <c r="I696">
        <f>10314.24</f>
        <v>10314.24</v>
      </c>
      <c r="J696">
        <f>4223.74</f>
        <v>4223.74</v>
      </c>
      <c r="K696">
        <f>14406.91</f>
        <v>14406.91</v>
      </c>
      <c r="L696">
        <f>2048.63</f>
        <v>2048.63</v>
      </c>
      <c r="M696">
        <f>9990.07</f>
        <v>9990.07</v>
      </c>
      <c r="N696">
        <f>335.905</f>
        <v>335.90499999999997</v>
      </c>
      <c r="O696">
        <f>2773.5</f>
        <v>2773.5</v>
      </c>
      <c r="P696">
        <f>233.71</f>
        <v>233.71</v>
      </c>
      <c r="Q696">
        <f>2940.63588</f>
        <v>2940.6358799999998</v>
      </c>
      <c r="R696">
        <f>6816.79</f>
        <v>6816.79</v>
      </c>
      <c r="S696">
        <f>2513.46</f>
        <v>2513.46</v>
      </c>
      <c r="T696">
        <f>2922.642</f>
        <v>2922.6419999999998</v>
      </c>
      <c r="U696">
        <f>51896.97</f>
        <v>51896.97</v>
      </c>
      <c r="V696">
        <f>402.85</f>
        <v>402.85</v>
      </c>
    </row>
    <row r="697" spans="1:22" x14ac:dyDescent="0.2">
      <c r="A697" s="1">
        <v>44132</v>
      </c>
      <c r="B697">
        <f>1680.23</f>
        <v>1680.23</v>
      </c>
      <c r="C697">
        <f>8915.44</f>
        <v>8915.44</v>
      </c>
      <c r="D697">
        <f>5309.05</f>
        <v>5309.05</v>
      </c>
      <c r="E697">
        <f>2641.301</f>
        <v>2641.3009999999999</v>
      </c>
      <c r="F697">
        <f>1569.86</f>
        <v>1569.86</v>
      </c>
      <c r="G697">
        <f>6775.725</f>
        <v>6775.7250000000004</v>
      </c>
      <c r="H697">
        <f>3169.14</f>
        <v>3169.14</v>
      </c>
      <c r="I697">
        <f>10408.15</f>
        <v>10408.15</v>
      </c>
      <c r="J697">
        <f>4195.34</f>
        <v>4195.34</v>
      </c>
      <c r="K697">
        <f>14240.43</f>
        <v>14240.43</v>
      </c>
      <c r="L697">
        <f>2046.34</f>
        <v>2046.34</v>
      </c>
      <c r="M697">
        <f>9938.2</f>
        <v>9938.2000000000007</v>
      </c>
      <c r="N697">
        <f>336.698</f>
        <v>336.69799999999998</v>
      </c>
      <c r="O697">
        <f>2774.85</f>
        <v>2774.85</v>
      </c>
      <c r="P697">
        <f>234.34</f>
        <v>234.34</v>
      </c>
      <c r="Q697">
        <f>2918.003</f>
        <v>2918.0030000000002</v>
      </c>
      <c r="R697">
        <f>6735.75</f>
        <v>6735.75</v>
      </c>
      <c r="S697">
        <f>2515.95</f>
        <v>2515.9499999999998</v>
      </c>
      <c r="T697">
        <f>2973.55</f>
        <v>2973.55</v>
      </c>
      <c r="U697">
        <f>52308.14</f>
        <v>52308.14</v>
      </c>
      <c r="V697">
        <f>407.21</f>
        <v>407.21</v>
      </c>
    </row>
    <row r="698" spans="1:22" x14ac:dyDescent="0.2">
      <c r="A698" s="1">
        <v>44131</v>
      </c>
      <c r="B698">
        <f>1724.72</f>
        <v>1724.72</v>
      </c>
      <c r="C698">
        <f>9085.2</f>
        <v>9085.2000000000007</v>
      </c>
      <c r="D698">
        <f>5448.07</f>
        <v>5448.07</v>
      </c>
      <c r="E698">
        <f>2672.338</f>
        <v>2672.3380000000002</v>
      </c>
      <c r="F698">
        <f>1618.81</f>
        <v>1618.81</v>
      </c>
      <c r="G698">
        <f>6989.901</f>
        <v>6989.9009999999998</v>
      </c>
      <c r="H698">
        <f>3219.37</f>
        <v>3219.37</v>
      </c>
      <c r="I698">
        <f>10811.96</f>
        <v>10811.96</v>
      </c>
      <c r="J698">
        <f>4321.27</f>
        <v>4321.2700000000004</v>
      </c>
      <c r="K698">
        <f>14752.43</f>
        <v>14752.43</v>
      </c>
      <c r="L698">
        <f>2108.85</f>
        <v>2108.85</v>
      </c>
      <c r="M698">
        <f>10261.35</f>
        <v>10261.35</v>
      </c>
      <c r="N698">
        <f>345.408</f>
        <v>345.40800000000002</v>
      </c>
      <c r="O698">
        <f>2860.07</f>
        <v>2860.07</v>
      </c>
      <c r="P698">
        <f>238.17</f>
        <v>238.17</v>
      </c>
      <c r="Q698">
        <f>3003.841</f>
        <v>3003.8409999999999</v>
      </c>
      <c r="R698">
        <f>6982.14</f>
        <v>6982.14</v>
      </c>
      <c r="S698">
        <f>2523.72</f>
        <v>2523.7199999999998</v>
      </c>
      <c r="T698">
        <f>3082.318</f>
        <v>3082.3180000000002</v>
      </c>
      <c r="U698">
        <f>54079.43</f>
        <v>54079.43</v>
      </c>
      <c r="V698">
        <f>425.48</f>
        <v>425.48</v>
      </c>
    </row>
    <row r="699" spans="1:22" x14ac:dyDescent="0.2">
      <c r="A699" s="1">
        <v>44130</v>
      </c>
      <c r="B699">
        <f>1763.59</f>
        <v>1763.59</v>
      </c>
      <c r="C699">
        <f>9178.62</f>
        <v>9178.6200000000008</v>
      </c>
      <c r="D699">
        <f>5508.01</f>
        <v>5508.01</v>
      </c>
      <c r="E699">
        <f>2664.448</f>
        <v>2664.4479999999999</v>
      </c>
      <c r="F699">
        <f>1650.03</f>
        <v>1650.03</v>
      </c>
      <c r="G699">
        <f>7043.886</f>
        <v>7043.8860000000004</v>
      </c>
      <c r="H699">
        <f>3230.66</f>
        <v>3230.66</v>
      </c>
      <c r="I699">
        <f>10907.18</f>
        <v>10907.18</v>
      </c>
      <c r="J699">
        <f>4369.29</f>
        <v>4369.29</v>
      </c>
      <c r="K699">
        <f>14790.73</f>
        <v>14790.73</v>
      </c>
      <c r="L699">
        <f>2130.54</f>
        <v>2130.54</v>
      </c>
      <c r="M699">
        <f>10297.54</f>
        <v>10297.540000000001</v>
      </c>
      <c r="N699">
        <f>348.145</f>
        <v>348.14499999999998</v>
      </c>
      <c r="O699">
        <f>2888.37</f>
        <v>2888.37</v>
      </c>
      <c r="P699">
        <f>239.93</f>
        <v>239.93</v>
      </c>
      <c r="Q699">
        <f>3055.31478</f>
        <v>3055.3147800000002</v>
      </c>
      <c r="R699">
        <f>7003.21</f>
        <v>7003.21</v>
      </c>
      <c r="S699">
        <f>2525.98</f>
        <v>2525.98</v>
      </c>
      <c r="T699">
        <f>3115.945</f>
        <v>3115.9450000000002</v>
      </c>
      <c r="U699">
        <f>54890.88</f>
        <v>54890.879999999997</v>
      </c>
      <c r="V699">
        <f>432.4</f>
        <v>432.4</v>
      </c>
    </row>
    <row r="700" spans="1:22" x14ac:dyDescent="0.2">
      <c r="A700" s="1">
        <v>44127</v>
      </c>
      <c r="B700">
        <f>1788.13</f>
        <v>1788.13</v>
      </c>
      <c r="C700">
        <f>9231.37</f>
        <v>9231.3700000000008</v>
      </c>
      <c r="D700">
        <f>5572.92</f>
        <v>5572.92</v>
      </c>
      <c r="E700">
        <f>2678.109</f>
        <v>2678.1089999999999</v>
      </c>
      <c r="F700">
        <f>1666.25</f>
        <v>1666.25</v>
      </c>
      <c r="G700">
        <f>7133.162</f>
        <v>7133.1620000000003</v>
      </c>
      <c r="H700">
        <f>3224.09</f>
        <v>3224.09</v>
      </c>
      <c r="I700">
        <f>11134.85</f>
        <v>11134.85</v>
      </c>
      <c r="J700">
        <f>4446.66</f>
        <v>4446.66</v>
      </c>
      <c r="K700">
        <f>15066.61</f>
        <v>15066.61</v>
      </c>
      <c r="L700">
        <f>2158.23</f>
        <v>2158.23</v>
      </c>
      <c r="M700">
        <f>10471.79</f>
        <v>10471.790000000001</v>
      </c>
      <c r="N700">
        <f>351.762</f>
        <v>351.762</v>
      </c>
      <c r="O700">
        <f>2939.67</f>
        <v>2939.67</v>
      </c>
      <c r="P700">
        <f>240.58</f>
        <v>240.58</v>
      </c>
      <c r="Q700">
        <f>3116.114</f>
        <v>3116.114</v>
      </c>
      <c r="R700">
        <f>7135.81</f>
        <v>7135.81</v>
      </c>
      <c r="S700">
        <f>2535.87</f>
        <v>2535.87</v>
      </c>
      <c r="T700">
        <f>3144.371</f>
        <v>3144.3710000000001</v>
      </c>
      <c r="U700">
        <f>55339.58</f>
        <v>55339.58</v>
      </c>
      <c r="V700">
        <f>436.65</f>
        <v>436.65</v>
      </c>
    </row>
    <row r="701" spans="1:22" x14ac:dyDescent="0.2">
      <c r="A701" s="1">
        <v>44126</v>
      </c>
      <c r="B701">
        <f>1758.91</f>
        <v>1758.91</v>
      </c>
      <c r="C701">
        <f>9174.69</f>
        <v>9174.69</v>
      </c>
      <c r="D701">
        <f>5501.96</f>
        <v>5501.96</v>
      </c>
      <c r="E701">
        <f>2678.105</f>
        <v>2678.105</v>
      </c>
      <c r="F701">
        <f>1650.79</f>
        <v>1650.79</v>
      </c>
      <c r="G701">
        <f>7065.921</f>
        <v>7065.9210000000003</v>
      </c>
      <c r="H701">
        <f>3191.81</f>
        <v>3191.81</v>
      </c>
      <c r="I701">
        <f>11060.97</f>
        <v>11060.97</v>
      </c>
      <c r="J701">
        <f>4450.85</f>
        <v>4450.8500000000004</v>
      </c>
      <c r="K701">
        <f>15014.39</f>
        <v>15014.39</v>
      </c>
      <c r="L701">
        <f>2151.53</f>
        <v>2151.5300000000002</v>
      </c>
      <c r="M701">
        <f>10430.15</f>
        <v>10430.15</v>
      </c>
      <c r="N701">
        <f>350.007</f>
        <v>350.00700000000001</v>
      </c>
      <c r="O701">
        <f>2919.43</f>
        <v>2919.43</v>
      </c>
      <c r="P701">
        <f>238.55</f>
        <v>238.55</v>
      </c>
      <c r="Q701">
        <f>3104.33788</f>
        <v>3104.33788</v>
      </c>
      <c r="R701">
        <f>7111.17</f>
        <v>7111.17</v>
      </c>
      <c r="S701">
        <f>2527.24</f>
        <v>2527.2399999999998</v>
      </c>
      <c r="T701">
        <f>3073.356</f>
        <v>3073.3560000000002</v>
      </c>
      <c r="U701">
        <f>54796.42</f>
        <v>54796.42</v>
      </c>
      <c r="V701">
        <f>428.1</f>
        <v>428.1</v>
      </c>
    </row>
    <row r="702" spans="1:22" x14ac:dyDescent="0.2">
      <c r="A702" s="1">
        <v>44125</v>
      </c>
      <c r="B702">
        <f>1747.69</f>
        <v>1747.69</v>
      </c>
      <c r="C702">
        <f>9116.38</f>
        <v>9116.3799999999992</v>
      </c>
      <c r="D702">
        <f>5491.61</f>
        <v>5491.61</v>
      </c>
      <c r="E702">
        <f>2681.299</f>
        <v>2681.299</v>
      </c>
      <c r="F702">
        <f>1658.87</f>
        <v>1658.87</v>
      </c>
      <c r="G702">
        <f>7086.077</f>
        <v>7086.0770000000002</v>
      </c>
      <c r="H702">
        <f>3225.78</f>
        <v>3225.78</v>
      </c>
      <c r="I702">
        <f>11121.71</f>
        <v>11121.71</v>
      </c>
      <c r="J702">
        <f>4407.64</f>
        <v>4407.6400000000003</v>
      </c>
      <c r="K702">
        <f>14938.13</f>
        <v>14938.13</v>
      </c>
      <c r="L702">
        <f>2139.06</f>
        <v>2139.06</v>
      </c>
      <c r="M702">
        <f>10415.75</f>
        <v>10415.75</v>
      </c>
      <c r="N702">
        <f>350.472</f>
        <v>350.47199999999998</v>
      </c>
      <c r="O702">
        <f>2922.48</f>
        <v>2922.48</v>
      </c>
      <c r="P702">
        <f>240.36</f>
        <v>240.36</v>
      </c>
      <c r="Q702">
        <f>3085.94662</f>
        <v>3085.9466200000002</v>
      </c>
      <c r="R702">
        <f>7073.65</f>
        <v>7073.65</v>
      </c>
      <c r="S702">
        <f>2555.04</f>
        <v>2555.04</v>
      </c>
      <c r="T702">
        <f>3051.776</f>
        <v>3051.7759999999998</v>
      </c>
      <c r="U702">
        <f>55345.49</f>
        <v>55345.49</v>
      </c>
      <c r="V702">
        <f>426.33</f>
        <v>426.33</v>
      </c>
    </row>
    <row r="703" spans="1:22" x14ac:dyDescent="0.2">
      <c r="A703" s="1">
        <v>44124</v>
      </c>
      <c r="B703">
        <f>1771.42</f>
        <v>1771.42</v>
      </c>
      <c r="C703">
        <f>9069.1</f>
        <v>9069.1</v>
      </c>
      <c r="D703">
        <f>5598.77</f>
        <v>5598.77</v>
      </c>
      <c r="E703">
        <f>2671.945</f>
        <v>2671.9450000000002</v>
      </c>
      <c r="F703">
        <f>1655.84</f>
        <v>1655.84</v>
      </c>
      <c r="G703">
        <f>7111.768</f>
        <v>7111.768</v>
      </c>
      <c r="H703">
        <f>3140.34</f>
        <v>3140.34</v>
      </c>
      <c r="I703">
        <f>11247.6</f>
        <v>11247.6</v>
      </c>
      <c r="J703">
        <f>4425.92</f>
        <v>4425.92</v>
      </c>
      <c r="K703">
        <f>14975.66</f>
        <v>14975.66</v>
      </c>
      <c r="L703">
        <f>2145.8</f>
        <v>2145.8000000000002</v>
      </c>
      <c r="M703">
        <f>10436.58</f>
        <v>10436.58</v>
      </c>
      <c r="N703">
        <f>355.276</f>
        <v>355.27600000000001</v>
      </c>
      <c r="O703">
        <f>2962.43</f>
        <v>2962.43</v>
      </c>
      <c r="P703">
        <f>236.94</f>
        <v>236.94</v>
      </c>
      <c r="Q703">
        <f>3090.74849</f>
        <v>3090.7484899999999</v>
      </c>
      <c r="R703">
        <f>7089.06</f>
        <v>7089.06</v>
      </c>
      <c r="S703">
        <f>2536.53</f>
        <v>2536.5300000000002</v>
      </c>
      <c r="T703">
        <f>3034.689</f>
        <v>3034.6889999999999</v>
      </c>
      <c r="U703">
        <f>55271.75</f>
        <v>55271.75</v>
      </c>
      <c r="V703">
        <f>422.78</f>
        <v>422.78</v>
      </c>
    </row>
    <row r="704" spans="1:22" x14ac:dyDescent="0.2">
      <c r="A704" s="1">
        <v>44123</v>
      </c>
      <c r="B704">
        <f>1767.68</f>
        <v>1767.68</v>
      </c>
      <c r="C704">
        <f>9072.23</f>
        <v>9072.23</v>
      </c>
      <c r="D704">
        <f>5594.43</f>
        <v>5594.43</v>
      </c>
      <c r="E704">
        <f>2656.225</f>
        <v>2656.2249999999999</v>
      </c>
      <c r="F704">
        <f>1656.8</f>
        <v>1656.8</v>
      </c>
      <c r="G704">
        <f>7123.648</f>
        <v>7123.6480000000001</v>
      </c>
      <c r="H704">
        <f>3174.15</f>
        <v>3174.15</v>
      </c>
      <c r="I704">
        <f>11232.584</f>
        <v>11232.584000000001</v>
      </c>
      <c r="J704">
        <f>4423.71</f>
        <v>4423.71</v>
      </c>
      <c r="K704">
        <f>14914.9</f>
        <v>14914.9</v>
      </c>
      <c r="L704">
        <f>2149.78</f>
        <v>2149.7800000000002</v>
      </c>
      <c r="M704">
        <f>10415.86</f>
        <v>10415.86</v>
      </c>
      <c r="N704">
        <f>356.753</f>
        <v>356.75299999999999</v>
      </c>
      <c r="O704">
        <f>2968.99</f>
        <v>2968.99</v>
      </c>
      <c r="P704">
        <f>238.78</f>
        <v>238.78</v>
      </c>
      <c r="Q704">
        <f>3075.179</f>
        <v>3075.1790000000001</v>
      </c>
      <c r="R704">
        <f>7055.58</f>
        <v>7055.58</v>
      </c>
      <c r="S704">
        <f>2555.63</f>
        <v>2555.63</v>
      </c>
      <c r="T704">
        <f>3026.43</f>
        <v>3026.43</v>
      </c>
      <c r="U704">
        <f>55161.03</f>
        <v>55161.03</v>
      </c>
      <c r="V704">
        <f>419.35</f>
        <v>419.35</v>
      </c>
    </row>
    <row r="705" spans="1:22" x14ac:dyDescent="0.2">
      <c r="A705" s="1">
        <v>44120</v>
      </c>
      <c r="B705">
        <f>1775.88</f>
        <v>1775.88</v>
      </c>
      <c r="C705">
        <f>9028.56</f>
        <v>9028.56</v>
      </c>
      <c r="D705">
        <f>5627.64</f>
        <v>5627.64</v>
      </c>
      <c r="E705">
        <f>2648.614</f>
        <v>2648.614</v>
      </c>
      <c r="F705">
        <f>1665.59</f>
        <v>1665.59</v>
      </c>
      <c r="G705">
        <f>7127.529</f>
        <v>7127.5290000000005</v>
      </c>
      <c r="H705">
        <f>3139.58</f>
        <v>3139.58</v>
      </c>
      <c r="I705">
        <f>11181.43</f>
        <v>11181.43</v>
      </c>
      <c r="J705">
        <f>4485.09</f>
        <v>4485.09</v>
      </c>
      <c r="K705">
        <f>15155.97</f>
        <v>15155.97</v>
      </c>
      <c r="L705">
        <f>2164.13</f>
        <v>2164.13</v>
      </c>
      <c r="M705">
        <f>10511.53</f>
        <v>10511.53</v>
      </c>
      <c r="N705">
        <f>358.803</f>
        <v>358.803</v>
      </c>
      <c r="O705">
        <f>2978.14</f>
        <v>2978.14</v>
      </c>
      <c r="P705">
        <f>236.05</f>
        <v>236.05</v>
      </c>
      <c r="Q705">
        <f>3121.564</f>
        <v>3121.5639999999999</v>
      </c>
      <c r="R705">
        <f>7172.7</f>
        <v>7172.7</v>
      </c>
      <c r="S705">
        <f>2523.96</f>
        <v>2523.96</v>
      </c>
      <c r="T705">
        <f>2988.97</f>
        <v>2988.97</v>
      </c>
      <c r="U705">
        <f>55047.26</f>
        <v>55047.26</v>
      </c>
      <c r="V705">
        <f>414.88</f>
        <v>414.88</v>
      </c>
    </row>
    <row r="706" spans="1:22" x14ac:dyDescent="0.2">
      <c r="A706" s="1">
        <v>44119</v>
      </c>
      <c r="B706">
        <f>1767.32</f>
        <v>1767.32</v>
      </c>
      <c r="C706">
        <f>8997.15</f>
        <v>8997.15</v>
      </c>
      <c r="D706">
        <f>5544.87</f>
        <v>5544.87</v>
      </c>
      <c r="E706">
        <f>2640.24</f>
        <v>2640.24</v>
      </c>
      <c r="F706">
        <f>1654.65</f>
        <v>1654.65</v>
      </c>
      <c r="G706">
        <f>7016.186</f>
        <v>7016.1859999999997</v>
      </c>
      <c r="H706">
        <f>3159.83</f>
        <v>3159.83</v>
      </c>
      <c r="I706">
        <f>11019.49</f>
        <v>11019.49</v>
      </c>
      <c r="J706">
        <f>4466.71</f>
        <v>4466.71</v>
      </c>
      <c r="K706">
        <f>15159.37</f>
        <v>15159.37</v>
      </c>
      <c r="L706">
        <f>2154.65</f>
        <v>2154.65</v>
      </c>
      <c r="M706">
        <f>10493.28</f>
        <v>10493.28</v>
      </c>
      <c r="N706">
        <f>354.561</f>
        <v>354.56099999999998</v>
      </c>
      <c r="O706">
        <f>2939.2</f>
        <v>2939.2</v>
      </c>
      <c r="P706">
        <f>236.61</f>
        <v>236.61</v>
      </c>
      <c r="Q706">
        <f>3118.885</f>
        <v>3118.8850000000002</v>
      </c>
      <c r="R706">
        <f>7171.61</f>
        <v>7171.61</v>
      </c>
      <c r="S706">
        <f>2545.97</f>
        <v>2545.9699999999998</v>
      </c>
      <c r="T706">
        <f>2987.618</f>
        <v>2987.6179999999999</v>
      </c>
      <c r="U706">
        <f>54843.96</f>
        <v>54843.96</v>
      </c>
      <c r="V706">
        <f>415.23</f>
        <v>415.23</v>
      </c>
    </row>
    <row r="707" spans="1:22" x14ac:dyDescent="0.2">
      <c r="A707" s="1">
        <v>44118</v>
      </c>
      <c r="B707">
        <f>1792.2</f>
        <v>1792.2</v>
      </c>
      <c r="C707">
        <f>9086.49</f>
        <v>9086.49</v>
      </c>
      <c r="D707">
        <f>5640.75</f>
        <v>5640.75</v>
      </c>
      <c r="E707">
        <f>2675.62</f>
        <v>2675.62</v>
      </c>
      <c r="F707">
        <f>1704.3</f>
        <v>1704.3</v>
      </c>
      <c r="G707">
        <f>7212.406</f>
        <v>7212.4059999999999</v>
      </c>
      <c r="H707">
        <f>3166.36</f>
        <v>3166.36</v>
      </c>
      <c r="I707">
        <f>11309.22</f>
        <v>11309.22</v>
      </c>
      <c r="J707">
        <f>4465.59</f>
        <v>4465.59</v>
      </c>
      <c r="K707">
        <f>15182.05</f>
        <v>15182.05</v>
      </c>
      <c r="L707">
        <f>2172.7</f>
        <v>2172.6999999999998</v>
      </c>
      <c r="M707">
        <f>10569.11</f>
        <v>10569.11</v>
      </c>
      <c r="N707">
        <f>361.726</f>
        <v>361.726</v>
      </c>
      <c r="O707">
        <f>3001.89</f>
        <v>3001.89</v>
      </c>
      <c r="P707">
        <f>237.18</f>
        <v>237.18</v>
      </c>
      <c r="Q707">
        <f>3110.2</f>
        <v>3110.2</v>
      </c>
      <c r="R707">
        <f>7182.38</f>
        <v>7182.38</v>
      </c>
      <c r="S707">
        <f>2564.86</f>
        <v>2564.86</v>
      </c>
      <c r="T707">
        <f>2995.516</f>
        <v>2995.5160000000001</v>
      </c>
      <c r="U707">
        <f>55394.23</f>
        <v>55394.23</v>
      </c>
      <c r="V707">
        <f>415.36</f>
        <v>415.36</v>
      </c>
    </row>
    <row r="708" spans="1:22" x14ac:dyDescent="0.2">
      <c r="A708" s="1">
        <v>44117</v>
      </c>
      <c r="B708">
        <f>1789.82</f>
        <v>1789.82</v>
      </c>
      <c r="C708">
        <f>9102.91</f>
        <v>9102.91</v>
      </c>
      <c r="D708">
        <f>5673.68</f>
        <v>5673.68</v>
      </c>
      <c r="E708">
        <f>2677.409</f>
        <v>2677.4090000000001</v>
      </c>
      <c r="F708">
        <f>1698.79</f>
        <v>1698.79</v>
      </c>
      <c r="G708">
        <f>7230.055</f>
        <v>7230.0550000000003</v>
      </c>
      <c r="H708">
        <f>3177.47</f>
        <v>3177.47</v>
      </c>
      <c r="I708">
        <f>11298.34</f>
        <v>11298.34</v>
      </c>
      <c r="J708">
        <f>4477.28</f>
        <v>4477.28</v>
      </c>
      <c r="K708">
        <f>15278.5</f>
        <v>15278.5</v>
      </c>
      <c r="L708">
        <f>2175.65</f>
        <v>2175.65</v>
      </c>
      <c r="M708">
        <f>10613.95</f>
        <v>10613.95</v>
      </c>
      <c r="N708">
        <f>361.42</f>
        <v>361.42</v>
      </c>
      <c r="O708">
        <f>3005.25</f>
        <v>3005.25</v>
      </c>
      <c r="P708">
        <f>239.31</f>
        <v>239.31</v>
      </c>
      <c r="Q708">
        <f>3113.785</f>
        <v>3113.7849999999999</v>
      </c>
      <c r="R708">
        <f>7229.55</f>
        <v>7229.55</v>
      </c>
      <c r="S708">
        <f>2572.98</f>
        <v>2572.98</v>
      </c>
      <c r="T708">
        <f>2983.14</f>
        <v>2983.14</v>
      </c>
      <c r="U708">
        <f>55054.53</f>
        <v>55054.53</v>
      </c>
      <c r="V708">
        <f>411.75</f>
        <v>411.75</v>
      </c>
    </row>
    <row r="709" spans="1:22" x14ac:dyDescent="0.2">
      <c r="A709" s="1">
        <v>44116</v>
      </c>
      <c r="B709">
        <f>1815.31</f>
        <v>1815.31</v>
      </c>
      <c r="C709">
        <f>9116.05</f>
        <v>9116.0499999999993</v>
      </c>
      <c r="D709">
        <f>5703.78</f>
        <v>5703.78</v>
      </c>
      <c r="E709">
        <f>2679.181</f>
        <v>2679.181</v>
      </c>
      <c r="F709">
        <f>1721.82</f>
        <v>1721.82</v>
      </c>
      <c r="G709">
        <f>7313.592</f>
        <v>7313.5919999999996</v>
      </c>
      <c r="H709">
        <f>3174.93</f>
        <v>3174.93</v>
      </c>
      <c r="I709">
        <f>11420.43</f>
        <v>11420.43</v>
      </c>
      <c r="J709">
        <f>4512.22</f>
        <v>4512.22</v>
      </c>
      <c r="K709">
        <f>15359.56</f>
        <v>15359.56</v>
      </c>
      <c r="L709">
        <f>2191.3</f>
        <v>2191.3000000000002</v>
      </c>
      <c r="M709">
        <f>10673.13</f>
        <v>10673.13</v>
      </c>
      <c r="N709">
        <f>362.791</f>
        <v>362.791</v>
      </c>
      <c r="O709">
        <f>3022.7</f>
        <v>3022.7</v>
      </c>
      <c r="P709">
        <f>239.02</f>
        <v>239.02</v>
      </c>
      <c r="Q709">
        <f>3144.041</f>
        <v>3144.0410000000002</v>
      </c>
      <c r="R709">
        <f>7275.43</f>
        <v>7275.43</v>
      </c>
      <c r="S709">
        <f>2564</f>
        <v>2564</v>
      </c>
      <c r="T709">
        <f>3020.991</f>
        <v>3020.991</v>
      </c>
      <c r="U709">
        <f>55552.35</f>
        <v>55552.35</v>
      </c>
      <c r="V709">
        <f>417.85</f>
        <v>417.85</v>
      </c>
    </row>
    <row r="710" spans="1:22" x14ac:dyDescent="0.2">
      <c r="A710" s="1">
        <v>44113</v>
      </c>
      <c r="B710">
        <f>1812.62</f>
        <v>1812.62</v>
      </c>
      <c r="C710">
        <f>9025.05</f>
        <v>9025.0499999999993</v>
      </c>
      <c r="D710">
        <f>5718.3</f>
        <v>5718.3</v>
      </c>
      <c r="E710">
        <f>2644.638</f>
        <v>2644.6379999999999</v>
      </c>
      <c r="F710">
        <f>1715.51</f>
        <v>1715.51</v>
      </c>
      <c r="G710">
        <f>7300.382</f>
        <v>7300.3819999999996</v>
      </c>
      <c r="H710">
        <f>3176.02</f>
        <v>3176.02</v>
      </c>
      <c r="I710">
        <f>11331.08</f>
        <v>11331.08</v>
      </c>
      <c r="J710">
        <f>4481.04</f>
        <v>4481.04</v>
      </c>
      <c r="K710">
        <f>15114.92</f>
        <v>15114.92</v>
      </c>
      <c r="L710">
        <f>2180.07</f>
        <v>2180.0700000000002</v>
      </c>
      <c r="M710">
        <f>10543.21</f>
        <v>10543.21</v>
      </c>
      <c r="N710">
        <f>359.929</f>
        <v>359.92899999999997</v>
      </c>
      <c r="O710">
        <f>3003.22</f>
        <v>3003.22</v>
      </c>
      <c r="P710">
        <f>239.85</f>
        <v>239.85</v>
      </c>
      <c r="Q710">
        <f>3122.019</f>
        <v>3122.0189999999998</v>
      </c>
      <c r="R710">
        <f>7157.92</f>
        <v>7157.92</v>
      </c>
      <c r="S710">
        <f>2570.29</f>
        <v>2570.29</v>
      </c>
      <c r="T710">
        <f>3012.41</f>
        <v>3012.41</v>
      </c>
      <c r="U710">
        <f>55182.99</f>
        <v>55182.99</v>
      </c>
      <c r="V710">
        <f>414.65</f>
        <v>414.65</v>
      </c>
    </row>
    <row r="711" spans="1:22" x14ac:dyDescent="0.2">
      <c r="A711" s="1">
        <v>44112</v>
      </c>
      <c r="B711">
        <f>1803.36</f>
        <v>1803.36</v>
      </c>
      <c r="C711">
        <f>9005.64</f>
        <v>9005.64</v>
      </c>
      <c r="D711">
        <f>5681.59</f>
        <v>5681.59</v>
      </c>
      <c r="E711">
        <f>2632.592</f>
        <v>2632.5920000000001</v>
      </c>
      <c r="F711">
        <f>1692.49</f>
        <v>1692.49</v>
      </c>
      <c r="G711">
        <f>7216.543</f>
        <v>7216.5429999999997</v>
      </c>
      <c r="H711">
        <f>3195.35</f>
        <v>3195.35</v>
      </c>
      <c r="I711">
        <f>11206.42</f>
        <v>11206.42</v>
      </c>
      <c r="J711">
        <f>4475.13</f>
        <v>4475.13</v>
      </c>
      <c r="K711">
        <f>14979.86</f>
        <v>14979.86</v>
      </c>
      <c r="L711">
        <f>2174.14</f>
        <v>2174.14</v>
      </c>
      <c r="M711">
        <f>10455.21</f>
        <v>10455.209999999999</v>
      </c>
      <c r="N711">
        <f>357.54</f>
        <v>357.54</v>
      </c>
      <c r="O711">
        <f>2986.43</f>
        <v>2986.43</v>
      </c>
      <c r="P711">
        <f>241.57</f>
        <v>241.57</v>
      </c>
      <c r="Q711">
        <f>3111.151</f>
        <v>3111.1509999999998</v>
      </c>
      <c r="R711">
        <f>7095.4</f>
        <v>7095.4</v>
      </c>
      <c r="S711">
        <f>2582.91</f>
        <v>2582.91</v>
      </c>
      <c r="T711">
        <f>3017.97</f>
        <v>3017.97</v>
      </c>
      <c r="U711">
        <f>54554.85</f>
        <v>54554.85</v>
      </c>
      <c r="V711">
        <f>412.25</f>
        <v>412.25</v>
      </c>
    </row>
    <row r="712" spans="1:22" x14ac:dyDescent="0.2">
      <c r="A712" s="1">
        <v>44111</v>
      </c>
      <c r="B712">
        <f>1796.84</f>
        <v>1796.84</v>
      </c>
      <c r="C712">
        <f>8941.63</f>
        <v>8941.6299999999992</v>
      </c>
      <c r="D712">
        <f>5650.85</f>
        <v>5650.85</v>
      </c>
      <c r="E712">
        <f>2609.984</f>
        <v>2609.9839999999999</v>
      </c>
      <c r="F712">
        <f>1676.66</f>
        <v>1676.66</v>
      </c>
      <c r="G712">
        <f>7160.369</f>
        <v>7160.3689999999997</v>
      </c>
      <c r="H712">
        <f>3194.11</f>
        <v>3194.11</v>
      </c>
      <c r="I712">
        <f>11133.88</f>
        <v>11133.88</v>
      </c>
      <c r="J712">
        <f>4429.61</f>
        <v>4429.6099999999997</v>
      </c>
      <c r="K712">
        <f>14860.57</f>
        <v>14860.57</v>
      </c>
      <c r="L712">
        <f>2154.66</f>
        <v>2154.66</v>
      </c>
      <c r="M712">
        <f>10375.51</f>
        <v>10375.51</v>
      </c>
      <c r="N712">
        <f>355.186</f>
        <v>355.18599999999998</v>
      </c>
      <c r="O712">
        <f>2961.82</f>
        <v>2961.82</v>
      </c>
      <c r="P712">
        <f>241.05</f>
        <v>241.05</v>
      </c>
      <c r="Q712">
        <f>3075.274</f>
        <v>3075.2739999999999</v>
      </c>
      <c r="R712">
        <f>7036.91</f>
        <v>7036.91</v>
      </c>
      <c r="S712">
        <f>2568.87</f>
        <v>2568.87</v>
      </c>
      <c r="T712">
        <f>3012.055</f>
        <v>3012.0549999999998</v>
      </c>
      <c r="U712">
        <f>54749.77</f>
        <v>54749.77</v>
      </c>
      <c r="V712">
        <f>408.57</f>
        <v>408.57</v>
      </c>
    </row>
    <row r="713" spans="1:22" x14ac:dyDescent="0.2">
      <c r="A713" s="1">
        <v>44110</v>
      </c>
      <c r="B713">
        <f>1802.13</f>
        <v>1802.13</v>
      </c>
      <c r="C713">
        <f>8956.67</f>
        <v>8956.67</v>
      </c>
      <c r="D713">
        <f>5654.36</f>
        <v>5654.36</v>
      </c>
      <c r="E713">
        <f>2597.166</f>
        <v>2597.1660000000002</v>
      </c>
      <c r="F713">
        <f>1693.37</f>
        <v>1693.37</v>
      </c>
      <c r="G713">
        <f>7210.374</f>
        <v>7210.3739999999998</v>
      </c>
      <c r="H713">
        <f>3193.12</f>
        <v>3193.12</v>
      </c>
      <c r="I713">
        <f>11165.56</f>
        <v>11165.56</v>
      </c>
      <c r="J713">
        <f>4356.97</f>
        <v>4356.97</v>
      </c>
      <c r="K713">
        <f>14605.32</f>
        <v>14605.32</v>
      </c>
      <c r="L713">
        <f>2136.37</f>
        <v>2136.37</v>
      </c>
      <c r="M713">
        <f>10259.87</f>
        <v>10259.870000000001</v>
      </c>
      <c r="N713">
        <f>356.535</f>
        <v>356.53500000000003</v>
      </c>
      <c r="O713">
        <f>2964.64</f>
        <v>2964.64</v>
      </c>
      <c r="P713">
        <f>240.85</f>
        <v>240.85</v>
      </c>
      <c r="Q713">
        <f>3026.936</f>
        <v>3026.9360000000001</v>
      </c>
      <c r="R713">
        <f>6916.4</f>
        <v>6916.4</v>
      </c>
      <c r="S713">
        <f>2567.76</f>
        <v>2567.7600000000002</v>
      </c>
      <c r="T713">
        <f>3003.571</f>
        <v>3003.5709999999999</v>
      </c>
      <c r="U713">
        <f>54203.83</f>
        <v>54203.83</v>
      </c>
      <c r="V713">
        <f>406.87</f>
        <v>406.87</v>
      </c>
    </row>
    <row r="714" spans="1:22" x14ac:dyDescent="0.2">
      <c r="A714" s="1">
        <v>44109</v>
      </c>
      <c r="B714">
        <f>1788.35</f>
        <v>1788.35</v>
      </c>
      <c r="C714">
        <f>8869.41</f>
        <v>8869.41</v>
      </c>
      <c r="D714">
        <f>5647.71</f>
        <v>5647.71</v>
      </c>
      <c r="E714">
        <f>2571.038</f>
        <v>2571.038</v>
      </c>
      <c r="F714">
        <f>1689.42</f>
        <v>1689.42</v>
      </c>
      <c r="G714">
        <f>7207.266</f>
        <v>7207.2659999999996</v>
      </c>
      <c r="H714">
        <f>3155.58</f>
        <v>3155.58</v>
      </c>
      <c r="I714">
        <f>11159.02</f>
        <v>11159.02</v>
      </c>
      <c r="J714">
        <f>4391.33</f>
        <v>4391.33</v>
      </c>
      <c r="K714">
        <f>14806.17</f>
        <v>14806.17</v>
      </c>
      <c r="L714">
        <f>2145.22</f>
        <v>2145.2199999999998</v>
      </c>
      <c r="M714">
        <f>10349.64</f>
        <v>10349.64</v>
      </c>
      <c r="N714">
        <f>359.009</f>
        <v>359.00900000000001</v>
      </c>
      <c r="O714">
        <f>2962.58</f>
        <v>2962.58</v>
      </c>
      <c r="P714">
        <f>238.9</f>
        <v>238.9</v>
      </c>
      <c r="Q714">
        <f>3053.6</f>
        <v>3053.6</v>
      </c>
      <c r="R714">
        <f>7014.23</f>
        <v>7014.23</v>
      </c>
      <c r="S714">
        <f>2554.49</f>
        <v>2554.4899999999998</v>
      </c>
      <c r="T714">
        <f>3027.62</f>
        <v>3027.62</v>
      </c>
      <c r="U714">
        <f>54524.05</f>
        <v>54524.05</v>
      </c>
      <c r="V714">
        <f>410.55</f>
        <v>410.55</v>
      </c>
    </row>
    <row r="715" spans="1:22" x14ac:dyDescent="0.2">
      <c r="A715" s="1">
        <v>44106</v>
      </c>
      <c r="B715">
        <f>1762.7</f>
        <v>1762.7</v>
      </c>
      <c r="C715">
        <f>8831.08</f>
        <v>8831.08</v>
      </c>
      <c r="D715">
        <f>5608.92</f>
        <v>5608.92</v>
      </c>
      <c r="E715">
        <f>2548.225</f>
        <v>2548.2249999999999</v>
      </c>
      <c r="F715">
        <f>1664.44</f>
        <v>1664.44</v>
      </c>
      <c r="G715">
        <f>7137.326</f>
        <v>7137.326</v>
      </c>
      <c r="H715">
        <f>3100.3</f>
        <v>3100.3</v>
      </c>
      <c r="I715">
        <f>10979.78</f>
        <v>10979.78</v>
      </c>
      <c r="J715">
        <f>4326.76</f>
        <v>4326.76</v>
      </c>
      <c r="K715">
        <f>14540.06</f>
        <v>14540.06</v>
      </c>
      <c r="L715">
        <f>2115.13</f>
        <v>2115.13</v>
      </c>
      <c r="M715">
        <f>10171.74</f>
        <v>10171.74</v>
      </c>
      <c r="N715">
        <f>357.566</f>
        <v>357.56599999999997</v>
      </c>
      <c r="O715">
        <f>2938.86</f>
        <v>2938.86</v>
      </c>
      <c r="P715">
        <f>233.52</f>
        <v>233.52</v>
      </c>
      <c r="Q715">
        <f>3005.844</f>
        <v>3005.8440000000001</v>
      </c>
      <c r="R715">
        <f>6889.65</f>
        <v>6889.65</v>
      </c>
      <c r="S715">
        <f>2510.75</f>
        <v>2510.75</v>
      </c>
      <c r="T715">
        <f>3033.205</f>
        <v>3033.2049999999999</v>
      </c>
      <c r="U715">
        <f>54219.24</f>
        <v>54219.24</v>
      </c>
      <c r="V715">
        <f>408.23</f>
        <v>408.23</v>
      </c>
    </row>
    <row r="716" spans="1:22" x14ac:dyDescent="0.2">
      <c r="A716" s="1">
        <v>44105</v>
      </c>
      <c r="B716">
        <f>1754.3</f>
        <v>1754.3</v>
      </c>
      <c r="C716">
        <f>8841.27</f>
        <v>8841.27</v>
      </c>
      <c r="D716">
        <f>5587.37</f>
        <v>5587.37</v>
      </c>
      <c r="E716">
        <f>2554.507</f>
        <v>2554.5070000000001</v>
      </c>
      <c r="F716">
        <f>1645.99</f>
        <v>1645.99</v>
      </c>
      <c r="G716">
        <f>7070.777</f>
        <v>7070.777</v>
      </c>
      <c r="H716">
        <f>3095.71</f>
        <v>3095.71</v>
      </c>
      <c r="I716">
        <f>10995.73</f>
        <v>10995.73</v>
      </c>
      <c r="J716">
        <f>4327.61</f>
        <v>4327.6099999999997</v>
      </c>
      <c r="K716">
        <f>14687.41</f>
        <v>14687.41</v>
      </c>
      <c r="L716">
        <f>2112.54</f>
        <v>2112.54</v>
      </c>
      <c r="M716">
        <f>10247.47</f>
        <v>10247.469999999999</v>
      </c>
      <c r="N716">
        <f>356.064</f>
        <v>356.06400000000002</v>
      </c>
      <c r="O716">
        <f>2932.08</f>
        <v>2932.08</v>
      </c>
      <c r="P716">
        <f>235.26</f>
        <v>235.26</v>
      </c>
      <c r="Q716">
        <f>2985.527</f>
        <v>2985.527</v>
      </c>
      <c r="R716">
        <f>6956.2</f>
        <v>6956.2</v>
      </c>
      <c r="S716">
        <f>2536.14</f>
        <v>2536.14</v>
      </c>
      <c r="T716">
        <f>3009.334</f>
        <v>3009.3339999999998</v>
      </c>
      <c r="U716">
        <f>54446.78</f>
        <v>54446.78</v>
      </c>
      <c r="V716">
        <f>404.12</f>
        <v>404.12</v>
      </c>
    </row>
    <row r="717" spans="1:22" x14ac:dyDescent="0.2">
      <c r="A717" s="1">
        <v>44104</v>
      </c>
      <c r="B717">
        <f>1747.62</f>
        <v>1747.62</v>
      </c>
      <c r="C717">
        <f>8824.53</f>
        <v>8824.5300000000007</v>
      </c>
      <c r="D717">
        <f>5569.85</f>
        <v>5569.85</v>
      </c>
      <c r="E717">
        <f>2547.815</f>
        <v>2547.8150000000001</v>
      </c>
      <c r="F717">
        <f>1644.37</f>
        <v>1644.37</v>
      </c>
      <c r="G717">
        <f>7084.234</f>
        <v>7084.2340000000004</v>
      </c>
      <c r="H717">
        <f>3098.94</f>
        <v>3098.94</v>
      </c>
      <c r="I717">
        <f>10951.28</f>
        <v>10951.28</v>
      </c>
      <c r="J717">
        <f>4332.71</f>
        <v>4332.71</v>
      </c>
      <c r="K717">
        <f>14587.97</f>
        <v>14587.97</v>
      </c>
      <c r="L717">
        <f>2114.01</f>
        <v>2114.0100000000002</v>
      </c>
      <c r="M717">
        <f>10191.08</f>
        <v>10191.08</v>
      </c>
      <c r="N717">
        <f>355.558</f>
        <v>355.55799999999999</v>
      </c>
      <c r="O717">
        <f>2925.27</f>
        <v>2925.27</v>
      </c>
      <c r="P717">
        <f>235.26</f>
        <v>235.26</v>
      </c>
      <c r="Q717">
        <f>2987.94</f>
        <v>2987.94</v>
      </c>
      <c r="R717">
        <f>6918.83</f>
        <v>6918.83</v>
      </c>
      <c r="S717">
        <f>2536.14</f>
        <v>2536.14</v>
      </c>
      <c r="T717">
        <f>2996.914</f>
        <v>2996.9140000000002</v>
      </c>
      <c r="U717">
        <f>54264.96</f>
        <v>54264.959999999999</v>
      </c>
      <c r="V717">
        <f>404.11</f>
        <v>404.11</v>
      </c>
    </row>
    <row r="718" spans="1:22" x14ac:dyDescent="0.2">
      <c r="A718" s="1">
        <v>44103</v>
      </c>
      <c r="B718">
        <f>1751.43</f>
        <v>1751.43</v>
      </c>
      <c r="C718">
        <f>8764.41</f>
        <v>8764.41</v>
      </c>
      <c r="D718">
        <f>5599.67</f>
        <v>5599.67</v>
      </c>
      <c r="E718">
        <f>2516.616</f>
        <v>2516.616</v>
      </c>
      <c r="F718">
        <f>1632.82</f>
        <v>1632.82</v>
      </c>
      <c r="G718">
        <f>7073.113</f>
        <v>7073.1130000000003</v>
      </c>
      <c r="H718">
        <f>3136.01</f>
        <v>3136.01</v>
      </c>
      <c r="I718">
        <f>10984.38</f>
        <v>10984.38</v>
      </c>
      <c r="J718">
        <f>4295.05</f>
        <v>4295.05</v>
      </c>
      <c r="K718">
        <f>14469.9</f>
        <v>14469.9</v>
      </c>
      <c r="L718">
        <f>2106.4</f>
        <v>2106.4</v>
      </c>
      <c r="M718">
        <f>10157.96</f>
        <v>10157.959999999999</v>
      </c>
      <c r="N718">
        <f>356.234</f>
        <v>356.23399999999998</v>
      </c>
      <c r="O718">
        <f>2931.99</f>
        <v>2931.99</v>
      </c>
      <c r="P718">
        <f>240.93</f>
        <v>240.93</v>
      </c>
      <c r="Q718">
        <f>2964.582</f>
        <v>2964.5819999999999</v>
      </c>
      <c r="R718">
        <f>6861.96</f>
        <v>6861.96</v>
      </c>
      <c r="S718">
        <f>2587.02</f>
        <v>2587.02</v>
      </c>
      <c r="T718">
        <f>2984.936</f>
        <v>2984.9360000000001</v>
      </c>
      <c r="U718">
        <f>54506.88</f>
        <v>54506.879999999997</v>
      </c>
      <c r="V718">
        <f>403.31</f>
        <v>403.31</v>
      </c>
    </row>
    <row r="719" spans="1:22" x14ac:dyDescent="0.2">
      <c r="A719" s="1">
        <v>44102</v>
      </c>
      <c r="B719">
        <f>1770.05</f>
        <v>1770.05</v>
      </c>
      <c r="C719">
        <f>8802.05</f>
        <v>8802.0499999999993</v>
      </c>
      <c r="D719">
        <f>5628.56</f>
        <v>5628.56</v>
      </c>
      <c r="E719">
        <f>2519</f>
        <v>2519</v>
      </c>
      <c r="F719">
        <f>1650.85</f>
        <v>1650.85</v>
      </c>
      <c r="G719">
        <f>7115.207</f>
        <v>7115.2070000000003</v>
      </c>
      <c r="H719">
        <f>3111.18</f>
        <v>3111.18</v>
      </c>
      <c r="I719">
        <f>10939.49</f>
        <v>10939.49</v>
      </c>
      <c r="J719">
        <f>4322.4</f>
        <v>4322.3999999999996</v>
      </c>
      <c r="K719">
        <f>14534.37</f>
        <v>14534.37</v>
      </c>
      <c r="L719">
        <f>2115.9</f>
        <v>2115.9</v>
      </c>
      <c r="M719">
        <f>10178.87</f>
        <v>10178.870000000001</v>
      </c>
      <c r="N719">
        <f>357.86</f>
        <v>357.86</v>
      </c>
      <c r="O719">
        <f>2948.25</f>
        <v>2948.25</v>
      </c>
      <c r="P719">
        <f>240.31</f>
        <v>240.31</v>
      </c>
      <c r="Q719">
        <f>2987.889</f>
        <v>2987.8890000000001</v>
      </c>
      <c r="R719">
        <f>6894.27</f>
        <v>6894.27</v>
      </c>
      <c r="S719">
        <f>2571.37</f>
        <v>2571.37</v>
      </c>
      <c r="T719">
        <f>2979.675</f>
        <v>2979.6750000000002</v>
      </c>
      <c r="U719">
        <f>54718.8</f>
        <v>54718.8</v>
      </c>
      <c r="V719">
        <f>401.61</f>
        <v>401.61</v>
      </c>
    </row>
    <row r="720" spans="1:22" x14ac:dyDescent="0.2">
      <c r="A720" s="1">
        <v>44099</v>
      </c>
      <c r="B720">
        <f>1731.08</f>
        <v>1731.08</v>
      </c>
      <c r="C720">
        <f>8730.57</f>
        <v>8730.57</v>
      </c>
      <c r="D720">
        <f>5547.6</f>
        <v>5547.6</v>
      </c>
      <c r="E720">
        <f>2492.866</f>
        <v>2492.866</v>
      </c>
      <c r="F720">
        <f>1617.27</f>
        <v>1617.27</v>
      </c>
      <c r="G720">
        <f>6933.713</f>
        <v>6933.7129999999997</v>
      </c>
      <c r="H720">
        <f>3060.26</f>
        <v>3060.26</v>
      </c>
      <c r="I720">
        <f>10686</f>
        <v>10686</v>
      </c>
      <c r="J720">
        <f>4261.33</f>
        <v>4261.33</v>
      </c>
      <c r="K720">
        <f>14301.95</f>
        <v>14301.95</v>
      </c>
      <c r="L720">
        <f>2084.92</f>
        <v>2084.92</v>
      </c>
      <c r="M720">
        <f>10008.73</f>
        <v>10008.73</v>
      </c>
      <c r="N720">
        <f>351.095</f>
        <v>351.09500000000003</v>
      </c>
      <c r="O720">
        <f>2882.67</f>
        <v>2882.67</v>
      </c>
      <c r="P720">
        <f>235.86</f>
        <v>235.86</v>
      </c>
      <c r="Q720">
        <f>2945.076</f>
        <v>2945.076</v>
      </c>
      <c r="R720">
        <f>6784.95</f>
        <v>6784.95</v>
      </c>
      <c r="S720">
        <f>2528.53</f>
        <v>2528.5300000000002</v>
      </c>
      <c r="T720">
        <f>2902.763</f>
        <v>2902.7629999999999</v>
      </c>
      <c r="U720">
        <f>53587.11</f>
        <v>53587.11</v>
      </c>
      <c r="V720">
        <f>390.24</f>
        <v>390.24</v>
      </c>
    </row>
    <row r="721" spans="1:22" x14ac:dyDescent="0.2">
      <c r="A721" s="1">
        <v>44098</v>
      </c>
      <c r="B721">
        <f>1722.97</f>
        <v>1722.97</v>
      </c>
      <c r="C721">
        <f>8764.35</f>
        <v>8764.35</v>
      </c>
      <c r="D721">
        <f>5528.72</f>
        <v>5528.72</v>
      </c>
      <c r="E721">
        <f>2489.519</f>
        <v>2489.5189999999998</v>
      </c>
      <c r="F721">
        <f>1619.22</f>
        <v>1619.22</v>
      </c>
      <c r="G721">
        <f>6923.082</f>
        <v>6923.0820000000003</v>
      </c>
      <c r="H721">
        <f>3053.66</f>
        <v>3053.66</v>
      </c>
      <c r="I721">
        <f>10728.84</f>
        <v>10728.84</v>
      </c>
      <c r="J721">
        <f>4221.04</f>
        <v>4221.04</v>
      </c>
      <c r="K721">
        <f>14061.94</f>
        <v>14061.94</v>
      </c>
      <c r="L721">
        <f>2074.32</f>
        <v>2074.3200000000002</v>
      </c>
      <c r="M721">
        <f>9893.73</f>
        <v>9893.73</v>
      </c>
      <c r="N721">
        <f>349.554</f>
        <v>349.55399999999997</v>
      </c>
      <c r="O721">
        <f>2885.87</f>
        <v>2885.87</v>
      </c>
      <c r="P721">
        <f>234.84</f>
        <v>234.84</v>
      </c>
      <c r="Q721">
        <f>2917.433</f>
        <v>2917.433</v>
      </c>
      <c r="R721">
        <f>6678.04</f>
        <v>6678.04</v>
      </c>
      <c r="S721">
        <f>2516.47</f>
        <v>2516.4699999999998</v>
      </c>
      <c r="T721" t="e">
        <f>NA()</f>
        <v>#N/A</v>
      </c>
      <c r="U721" t="e">
        <f>NA()</f>
        <v>#N/A</v>
      </c>
      <c r="V721" t="e">
        <f>NA()</f>
        <v>#N/A</v>
      </c>
    </row>
    <row r="722" spans="1:22" x14ac:dyDescent="0.2">
      <c r="A722" s="1">
        <v>44097</v>
      </c>
      <c r="B722">
        <f>1748.18</f>
        <v>1748.18</v>
      </c>
      <c r="C722">
        <f>8877.86</f>
        <v>8877.86</v>
      </c>
      <c r="D722">
        <f>5600.81</f>
        <v>5600.81</v>
      </c>
      <c r="E722">
        <f>2536.441</f>
        <v>2536.4409999999998</v>
      </c>
      <c r="F722">
        <f>1640.49</f>
        <v>1640.49</v>
      </c>
      <c r="G722">
        <f>7040.585</f>
        <v>7040.585</v>
      </c>
      <c r="H722">
        <f>3095.83</f>
        <v>3095.83</v>
      </c>
      <c r="I722">
        <f>10858.44</f>
        <v>10858.44</v>
      </c>
      <c r="J722">
        <f>4212.09</f>
        <v>4212.09</v>
      </c>
      <c r="K722">
        <f>14024.09</f>
        <v>14024.09</v>
      </c>
      <c r="L722">
        <f>2081.79</f>
        <v>2081.79</v>
      </c>
      <c r="M722">
        <f>9915.99</f>
        <v>9915.99</v>
      </c>
      <c r="N722">
        <f>353.826</f>
        <v>353.82600000000002</v>
      </c>
      <c r="O722">
        <f>2915.46</f>
        <v>2915.46</v>
      </c>
      <c r="P722">
        <f>237.57</f>
        <v>237.57</v>
      </c>
      <c r="Q722">
        <f>2904.041</f>
        <v>2904.0410000000002</v>
      </c>
      <c r="R722">
        <f>6657.82</f>
        <v>6657.82</v>
      </c>
      <c r="S722">
        <f>2544.03</f>
        <v>2544.0300000000002</v>
      </c>
      <c r="T722">
        <f>2948.879</f>
        <v>2948.8789999999999</v>
      </c>
      <c r="U722">
        <f>54247.81</f>
        <v>54247.81</v>
      </c>
      <c r="V722">
        <f>395.03</f>
        <v>395.03</v>
      </c>
    </row>
    <row r="723" spans="1:22" x14ac:dyDescent="0.2">
      <c r="A723" s="1">
        <v>44096</v>
      </c>
      <c r="B723">
        <f>1733.33</f>
        <v>1733.33</v>
      </c>
      <c r="C723">
        <f>8976.86</f>
        <v>8976.86</v>
      </c>
      <c r="D723">
        <f>5534.55</f>
        <v>5534.55</v>
      </c>
      <c r="E723">
        <f>2548.552</f>
        <v>2548.5520000000001</v>
      </c>
      <c r="F723">
        <f>1620.08</f>
        <v>1620.08</v>
      </c>
      <c r="G723">
        <f>6936.511</f>
        <v>6936.5110000000004</v>
      </c>
      <c r="H723">
        <f>3133.71</f>
        <v>3133.71</v>
      </c>
      <c r="I723">
        <f>10859.89</f>
        <v>10859.89</v>
      </c>
      <c r="J723">
        <f>4285.22</f>
        <v>4285.22</v>
      </c>
      <c r="K723">
        <f>14373.37</f>
        <v>14373.37</v>
      </c>
      <c r="L723">
        <f>2105.21</f>
        <v>2105.21</v>
      </c>
      <c r="M723">
        <f>10078.17</f>
        <v>10078.17</v>
      </c>
      <c r="N723">
        <f>349.882</f>
        <v>349.88200000000001</v>
      </c>
      <c r="O723">
        <f>2899.48</f>
        <v>2899.48</v>
      </c>
      <c r="P723" t="e">
        <f>NA()</f>
        <v>#N/A</v>
      </c>
      <c r="Q723">
        <f>2967.104</f>
        <v>2967.1039999999998</v>
      </c>
      <c r="R723">
        <f>6819.08</f>
        <v>6819.08</v>
      </c>
      <c r="S723" t="e">
        <f>NA()</f>
        <v>#N/A</v>
      </c>
      <c r="T723">
        <f>2934.207</f>
        <v>2934.2069999999999</v>
      </c>
      <c r="U723">
        <f>53265.33</f>
        <v>53265.33</v>
      </c>
      <c r="V723">
        <f>391.42</f>
        <v>391.42</v>
      </c>
    </row>
    <row r="724" spans="1:22" x14ac:dyDescent="0.2">
      <c r="A724" s="1">
        <v>44095</v>
      </c>
      <c r="B724">
        <f>1733.53</f>
        <v>1733.53</v>
      </c>
      <c r="C724">
        <f>9042.24</f>
        <v>9042.24</v>
      </c>
      <c r="D724">
        <f>5510.65</f>
        <v>5510.65</v>
      </c>
      <c r="E724">
        <f>2565.366</f>
        <v>2565.366</v>
      </c>
      <c r="F724">
        <f>1623.54</f>
        <v>1623.54</v>
      </c>
      <c r="G724">
        <f>6946.969</f>
        <v>6946.9690000000001</v>
      </c>
      <c r="H724">
        <f>3146.3</f>
        <v>3146.3</v>
      </c>
      <c r="I724">
        <f>10871</f>
        <v>10871</v>
      </c>
      <c r="J724">
        <f>4275.88</f>
        <v>4275.88</v>
      </c>
      <c r="K724">
        <f>14230.33</f>
        <v>14230.33</v>
      </c>
      <c r="L724">
        <f>2105.14</f>
        <v>2105.14</v>
      </c>
      <c r="M724">
        <f>10018.33</f>
        <v>10018.33</v>
      </c>
      <c r="N724">
        <f>349.744</f>
        <v>349.74400000000003</v>
      </c>
      <c r="O724">
        <f>2893.52</f>
        <v>2893.52</v>
      </c>
      <c r="P724" t="e">
        <f>NA()</f>
        <v>#N/A</v>
      </c>
      <c r="Q724">
        <f>2950.451</f>
        <v>2950.451</v>
      </c>
      <c r="R724">
        <f>6748.08</f>
        <v>6748.08</v>
      </c>
      <c r="S724" t="e">
        <f>NA()</f>
        <v>#N/A</v>
      </c>
      <c r="T724">
        <f>2922.395</f>
        <v>2922.395</v>
      </c>
      <c r="U724">
        <f>53319.08</f>
        <v>53319.08</v>
      </c>
      <c r="V724">
        <f>391.36</f>
        <v>391.36</v>
      </c>
    </row>
    <row r="725" spans="1:22" x14ac:dyDescent="0.2">
      <c r="A725" s="1">
        <v>44092</v>
      </c>
      <c r="B725">
        <f>1804.77</f>
        <v>1804.77</v>
      </c>
      <c r="C725">
        <f>9229.48</f>
        <v>9229.48</v>
      </c>
      <c r="D725">
        <f>5703.16</f>
        <v>5703.16</v>
      </c>
      <c r="E725">
        <f>2608.115</f>
        <v>2608.1149999999998</v>
      </c>
      <c r="F725">
        <f>1708.1</f>
        <v>1708.1</v>
      </c>
      <c r="G725">
        <f>7278.589</f>
        <v>7278.5889999999999</v>
      </c>
      <c r="H725">
        <f>3153.54</f>
        <v>3153.54</v>
      </c>
      <c r="I725">
        <f>11328</f>
        <v>11328</v>
      </c>
      <c r="J725">
        <f>4359.8</f>
        <v>4359.8</v>
      </c>
      <c r="K725">
        <f>14374.58</f>
        <v>14374.58</v>
      </c>
      <c r="L725">
        <f>2155.16</f>
        <v>2155.16</v>
      </c>
      <c r="M725">
        <f>10183.46</f>
        <v>10183.459999999999</v>
      </c>
      <c r="N725">
        <f>359.214</f>
        <v>359.214</v>
      </c>
      <c r="O725">
        <f>2989.46</f>
        <v>2989.46</v>
      </c>
      <c r="P725">
        <f>240.2</f>
        <v>240.2</v>
      </c>
      <c r="Q725">
        <f>3029.981</f>
        <v>3029.9810000000002</v>
      </c>
      <c r="R725">
        <f>6826.72</f>
        <v>6826.72</v>
      </c>
      <c r="S725">
        <f>2547.39</f>
        <v>2547.39</v>
      </c>
      <c r="T725">
        <f>2998.418</f>
        <v>2998.4180000000001</v>
      </c>
      <c r="U725">
        <f>54673.65</f>
        <v>54673.65</v>
      </c>
      <c r="V725">
        <f>404.48</f>
        <v>404.48</v>
      </c>
    </row>
    <row r="726" spans="1:22" x14ac:dyDescent="0.2">
      <c r="A726" s="1">
        <v>44091</v>
      </c>
      <c r="B726">
        <f>1813.03</f>
        <v>1813.03</v>
      </c>
      <c r="C726">
        <f>9226.45</f>
        <v>9226.4500000000007</v>
      </c>
      <c r="D726">
        <f>5743.85</f>
        <v>5743.85</v>
      </c>
      <c r="E726">
        <f>2603.963</f>
        <v>2603.9630000000002</v>
      </c>
      <c r="F726">
        <f>1713.46</f>
        <v>1713.46</v>
      </c>
      <c r="G726">
        <f>7321.116</f>
        <v>7321.116</v>
      </c>
      <c r="H726">
        <f>3149.63</f>
        <v>3149.63</v>
      </c>
      <c r="I726">
        <f>11343.55</f>
        <v>11343.55</v>
      </c>
      <c r="J726">
        <f>4389.03</f>
        <v>4389.03</v>
      </c>
      <c r="K726">
        <f>14520.16</f>
        <v>14520.16</v>
      </c>
      <c r="L726">
        <f>2164.8</f>
        <v>2164.8000000000002</v>
      </c>
      <c r="M726">
        <f>10250.18</f>
        <v>10250.18</v>
      </c>
      <c r="N726">
        <f>360.549</f>
        <v>360.54899999999998</v>
      </c>
      <c r="O726">
        <f>3010.08</f>
        <v>3010.08</v>
      </c>
      <c r="P726">
        <f>238.99</f>
        <v>238.99</v>
      </c>
      <c r="Q726">
        <f>3058.108</f>
        <v>3058.1080000000002</v>
      </c>
      <c r="R726">
        <f>6903.82</f>
        <v>6903.82</v>
      </c>
      <c r="S726">
        <f>2534.97</f>
        <v>2534.9699999999998</v>
      </c>
      <c r="T726">
        <f>3031.275</f>
        <v>3031.2750000000001</v>
      </c>
      <c r="U726">
        <f>55035.6</f>
        <v>55035.6</v>
      </c>
      <c r="V726">
        <f>407</f>
        <v>407</v>
      </c>
    </row>
    <row r="727" spans="1:22" x14ac:dyDescent="0.2">
      <c r="A727" s="1">
        <v>44090</v>
      </c>
      <c r="B727">
        <f>1823.01</f>
        <v>1823.01</v>
      </c>
      <c r="C727">
        <f>9255.71</f>
        <v>9255.7099999999991</v>
      </c>
      <c r="D727">
        <f>5770.76</f>
        <v>5770.76</v>
      </c>
      <c r="E727">
        <f>2627.015</f>
        <v>2627.0149999999999</v>
      </c>
      <c r="F727">
        <f>1724.92</f>
        <v>1724.92</v>
      </c>
      <c r="G727">
        <f>7385.425</f>
        <v>7385.4250000000002</v>
      </c>
      <c r="H727">
        <f>3170.4</f>
        <v>3170.4</v>
      </c>
      <c r="I727">
        <f>11421.52</f>
        <v>11421.52</v>
      </c>
      <c r="J727">
        <f>4401.41</f>
        <v>4401.41</v>
      </c>
      <c r="K727">
        <f>14650.12</f>
        <v>14650.12</v>
      </c>
      <c r="L727">
        <f>2174.26</f>
        <v>2174.2600000000002</v>
      </c>
      <c r="M727">
        <f>10335.71</f>
        <v>10335.709999999999</v>
      </c>
      <c r="N727">
        <f>361.507</f>
        <v>361.50700000000001</v>
      </c>
      <c r="O727">
        <f>3025.93</f>
        <v>3025.93</v>
      </c>
      <c r="P727">
        <f>239.96</f>
        <v>239.96</v>
      </c>
      <c r="Q727">
        <f>3055.44</f>
        <v>3055.44</v>
      </c>
      <c r="R727">
        <f>6962.29</f>
        <v>6962.29</v>
      </c>
      <c r="S727">
        <f>2544.08</f>
        <v>2544.08</v>
      </c>
      <c r="T727">
        <f>3071.246</f>
        <v>3071.2460000000001</v>
      </c>
      <c r="U727">
        <f>55960.74</f>
        <v>55960.74</v>
      </c>
      <c r="V727">
        <f>410.45</f>
        <v>410.45</v>
      </c>
    </row>
    <row r="728" spans="1:22" x14ac:dyDescent="0.2">
      <c r="A728" s="1">
        <v>44089</v>
      </c>
      <c r="B728">
        <f>1818.65</f>
        <v>1818.65</v>
      </c>
      <c r="C728">
        <f>9254.22</f>
        <v>9254.2199999999993</v>
      </c>
      <c r="D728">
        <f>5796.45</f>
        <v>5796.45</v>
      </c>
      <c r="E728">
        <f>2616.292</f>
        <v>2616.2919999999999</v>
      </c>
      <c r="F728">
        <f>1715.72</f>
        <v>1715.72</v>
      </c>
      <c r="G728">
        <f>7332.743</f>
        <v>7332.7430000000004</v>
      </c>
      <c r="H728">
        <f>3172.68</f>
        <v>3172.68</v>
      </c>
      <c r="I728">
        <f>11385.95</f>
        <v>11385.95</v>
      </c>
      <c r="J728">
        <f>4390.81</f>
        <v>4390.8100000000004</v>
      </c>
      <c r="K728">
        <f>14721.28</f>
        <v>14721.28</v>
      </c>
      <c r="L728">
        <f>2166.53</f>
        <v>2166.5300000000002</v>
      </c>
      <c r="M728">
        <f>10354.58</f>
        <v>10354.58</v>
      </c>
      <c r="N728">
        <f>359.234</f>
        <v>359.23399999999998</v>
      </c>
      <c r="O728">
        <f>3010.77</f>
        <v>3010.77</v>
      </c>
      <c r="P728">
        <f>241.92</f>
        <v>241.92</v>
      </c>
      <c r="Q728">
        <f>3037.792</f>
        <v>3037.7919999999999</v>
      </c>
      <c r="R728">
        <f>6994.33</f>
        <v>6994.33</v>
      </c>
      <c r="S728">
        <f>2538.65</f>
        <v>2538.65</v>
      </c>
      <c r="T728">
        <f>3054.168</f>
        <v>3054.1680000000001</v>
      </c>
      <c r="U728">
        <f>56130.78</f>
        <v>56130.78</v>
      </c>
      <c r="V728">
        <f>410.02</f>
        <v>410.02</v>
      </c>
    </row>
    <row r="729" spans="1:22" x14ac:dyDescent="0.2">
      <c r="A729" s="1">
        <v>44088</v>
      </c>
      <c r="B729">
        <f>1801.82</f>
        <v>1801.82</v>
      </c>
      <c r="C729">
        <f>9186.12</f>
        <v>9186.1200000000008</v>
      </c>
      <c r="D729">
        <f>5721.18</f>
        <v>5721.18</v>
      </c>
      <c r="E729">
        <f>2596.646</f>
        <v>2596.6460000000002</v>
      </c>
      <c r="F729">
        <f>1695.47</f>
        <v>1695.47</v>
      </c>
      <c r="G729">
        <f>7260.169</f>
        <v>7260.1689999999999</v>
      </c>
      <c r="H729">
        <f>3198.99</f>
        <v>3198.99</v>
      </c>
      <c r="I729">
        <f>11346.79</f>
        <v>11346.79</v>
      </c>
      <c r="J729">
        <f>4385.77</f>
        <v>4385.7700000000004</v>
      </c>
      <c r="K729">
        <f>14630.89</f>
        <v>14630.89</v>
      </c>
      <c r="L729">
        <f>2164.59</f>
        <v>2164.59</v>
      </c>
      <c r="M729">
        <f>10304.52</f>
        <v>10304.52</v>
      </c>
      <c r="N729">
        <f>355.264</f>
        <v>355.26400000000001</v>
      </c>
      <c r="O729">
        <f>2989.28</f>
        <v>2989.28</v>
      </c>
      <c r="P729">
        <f>243.48</f>
        <v>243.48</v>
      </c>
      <c r="Q729">
        <f>3041.477</f>
        <v>3041.4769999999999</v>
      </c>
      <c r="R729">
        <f>6957.91</f>
        <v>6957.91</v>
      </c>
      <c r="S729">
        <f>2554.53</f>
        <v>2554.5300000000002</v>
      </c>
      <c r="T729">
        <f>3078.781</f>
        <v>3078.7809999999999</v>
      </c>
      <c r="U729">
        <f>56327.05</f>
        <v>56327.05</v>
      </c>
      <c r="V729">
        <f>414.56</f>
        <v>414.56</v>
      </c>
    </row>
    <row r="730" spans="1:22" x14ac:dyDescent="0.2">
      <c r="A730" s="1">
        <v>44085</v>
      </c>
      <c r="B730">
        <f>1805.67</f>
        <v>1805.67</v>
      </c>
      <c r="C730">
        <f>9116.92</f>
        <v>9116.92</v>
      </c>
      <c r="D730">
        <f>5726.72</f>
        <v>5726.72</v>
      </c>
      <c r="E730">
        <f>2567.231</f>
        <v>2567.2310000000002</v>
      </c>
      <c r="F730">
        <f>1681.26</f>
        <v>1681.26</v>
      </c>
      <c r="G730">
        <f>7212.705</f>
        <v>7212.7049999999999</v>
      </c>
      <c r="H730">
        <f>3155.2</f>
        <v>3155.2</v>
      </c>
      <c r="I730">
        <f>11298.48</f>
        <v>11298.48</v>
      </c>
      <c r="J730">
        <f>4336.55</f>
        <v>4336.55</v>
      </c>
      <c r="K730">
        <f>14420.03</f>
        <v>14420.03</v>
      </c>
      <c r="L730">
        <f>2146.21</f>
        <v>2146.21</v>
      </c>
      <c r="M730">
        <f>10181.03</f>
        <v>10181.030000000001</v>
      </c>
      <c r="N730">
        <f>355.064</f>
        <v>355.06400000000002</v>
      </c>
      <c r="O730">
        <f>2986.5</f>
        <v>2986.5</v>
      </c>
      <c r="P730">
        <f>240.84</f>
        <v>240.84</v>
      </c>
      <c r="Q730">
        <f>3003.799</f>
        <v>3003.799</v>
      </c>
      <c r="R730">
        <f>6868.22</f>
        <v>6868.22</v>
      </c>
      <c r="S730">
        <f>2532.15</f>
        <v>2532.15</v>
      </c>
      <c r="T730">
        <f>3082.402</f>
        <v>3082.402</v>
      </c>
      <c r="U730">
        <f>56087.84</f>
        <v>56087.839999999997</v>
      </c>
      <c r="V730">
        <f>415.27</f>
        <v>415.27</v>
      </c>
    </row>
    <row r="731" spans="1:22" x14ac:dyDescent="0.2">
      <c r="A731" s="1">
        <v>44084</v>
      </c>
      <c r="B731">
        <f>1795.15</f>
        <v>1795.15</v>
      </c>
      <c r="C731">
        <f>9104.26</f>
        <v>9104.26</v>
      </c>
      <c r="D731">
        <f>5699.4</f>
        <v>5699.4</v>
      </c>
      <c r="E731">
        <f>2551.978</f>
        <v>2551.9780000000001</v>
      </c>
      <c r="F731">
        <f>1680.68</f>
        <v>1680.68</v>
      </c>
      <c r="G731">
        <f>7226.2</f>
        <v>7226.2</v>
      </c>
      <c r="H731">
        <f>3153.29</f>
        <v>3153.29</v>
      </c>
      <c r="I731">
        <f>11320.73</f>
        <v>11320.73</v>
      </c>
      <c r="J731">
        <f>4299.53</f>
        <v>4299.53</v>
      </c>
      <c r="K731">
        <f>14416.27</f>
        <v>14416.27</v>
      </c>
      <c r="L731">
        <f>2133.51</f>
        <v>2133.5100000000002</v>
      </c>
      <c r="M731">
        <f>10179.27</f>
        <v>10179.27</v>
      </c>
      <c r="N731">
        <f>353.709</f>
        <v>353.709</v>
      </c>
      <c r="O731">
        <f>2980.38</f>
        <v>2980.38</v>
      </c>
      <c r="P731">
        <f>239.42</f>
        <v>239.42</v>
      </c>
      <c r="Q731">
        <f>2981.81</f>
        <v>2981.81</v>
      </c>
      <c r="R731">
        <f>6864.23</f>
        <v>6864.23</v>
      </c>
      <c r="S731">
        <f>2513.93</f>
        <v>2513.9299999999998</v>
      </c>
      <c r="T731">
        <f>3080.166</f>
        <v>3080.1660000000002</v>
      </c>
      <c r="U731">
        <f>55953.96</f>
        <v>55953.96</v>
      </c>
      <c r="V731">
        <f>413.3</f>
        <v>413.3</v>
      </c>
    </row>
    <row r="732" spans="1:22" x14ac:dyDescent="0.2">
      <c r="A732" s="1">
        <v>44083</v>
      </c>
      <c r="B732">
        <f>1800.51</f>
        <v>1800.51</v>
      </c>
      <c r="C732">
        <f>9118.01</f>
        <v>9118.01</v>
      </c>
      <c r="D732">
        <f>5708.37</f>
        <v>5708.37</v>
      </c>
      <c r="E732">
        <f>2552.749</f>
        <v>2552.7489999999998</v>
      </c>
      <c r="F732">
        <f>1702.91</f>
        <v>1702.91</v>
      </c>
      <c r="G732">
        <f>7317.054</f>
        <v>7317.0540000000001</v>
      </c>
      <c r="H732">
        <f>3105.23</f>
        <v>3105.23</v>
      </c>
      <c r="I732">
        <f>11293.09</f>
        <v>11293.09</v>
      </c>
      <c r="J732">
        <f>4364.94</f>
        <v>4364.9399999999996</v>
      </c>
      <c r="K732">
        <f>14666.25</f>
        <v>14666.25</v>
      </c>
      <c r="L732">
        <f>2151.92</f>
        <v>2151.92</v>
      </c>
      <c r="M732">
        <f>10290.39</f>
        <v>10290.39</v>
      </c>
      <c r="N732">
        <f>357.559</f>
        <v>357.55900000000003</v>
      </c>
      <c r="O732">
        <f>3000.82</f>
        <v>3000.82</v>
      </c>
      <c r="P732">
        <f>235.95</f>
        <v>235.95</v>
      </c>
      <c r="Q732">
        <f>3024.211</f>
        <v>3024.2109999999998</v>
      </c>
      <c r="R732">
        <f>6986.76</f>
        <v>6986.76</v>
      </c>
      <c r="S732">
        <f>2483.82</f>
        <v>2483.8200000000002</v>
      </c>
      <c r="T732">
        <f>3067.399</f>
        <v>3067.3989999999999</v>
      </c>
      <c r="U732">
        <f>55211.34</f>
        <v>55211.34</v>
      </c>
      <c r="V732">
        <f>409.08</f>
        <v>409.08</v>
      </c>
    </row>
    <row r="733" spans="1:22" x14ac:dyDescent="0.2">
      <c r="A733" s="1">
        <v>44082</v>
      </c>
      <c r="B733">
        <f>1789.56</f>
        <v>1789.56</v>
      </c>
      <c r="C733">
        <f>9134.21</f>
        <v>9134.2099999999991</v>
      </c>
      <c r="D733">
        <f>5630.01</f>
        <v>5630.01</v>
      </c>
      <c r="E733">
        <f>2556.764</f>
        <v>2556.7640000000001</v>
      </c>
      <c r="F733">
        <f>1666.03</f>
        <v>1666.03</v>
      </c>
      <c r="G733">
        <f>7225.721</f>
        <v>7225.7209999999995</v>
      </c>
      <c r="H733">
        <f>3146.16</f>
        <v>3146.16</v>
      </c>
      <c r="I733">
        <f>11074.52</f>
        <v>11074.52</v>
      </c>
      <c r="J733">
        <f>4310.58</f>
        <v>4310.58</v>
      </c>
      <c r="K733">
        <f>14362.43</f>
        <v>14362.43</v>
      </c>
      <c r="L733">
        <f>2129.73</f>
        <v>2129.73</v>
      </c>
      <c r="M733">
        <f>10120.69</f>
        <v>10120.69</v>
      </c>
      <c r="N733">
        <f>351.684</f>
        <v>351.68400000000003</v>
      </c>
      <c r="O733">
        <f>2952.32</f>
        <v>2952.32</v>
      </c>
      <c r="P733">
        <f>238.11</f>
        <v>238.11</v>
      </c>
      <c r="Q733">
        <f>2977.73234</f>
        <v>2977.73234</v>
      </c>
      <c r="R733">
        <f>6848.42</f>
        <v>6848.42</v>
      </c>
      <c r="S733">
        <f>2507.79</f>
        <v>2507.79</v>
      </c>
      <c r="T733">
        <f>2991.248</f>
        <v>2991.248</v>
      </c>
      <c r="U733">
        <f>54438.82</f>
        <v>54438.82</v>
      </c>
      <c r="V733">
        <f>398.05</f>
        <v>398.05</v>
      </c>
    </row>
    <row r="734" spans="1:22" x14ac:dyDescent="0.2">
      <c r="A734" s="1">
        <v>44081</v>
      </c>
      <c r="B734">
        <f>1786.07</f>
        <v>1786.07</v>
      </c>
      <c r="C734">
        <f>9110</f>
        <v>9110</v>
      </c>
      <c r="D734">
        <f>5636.75</f>
        <v>5636.75</v>
      </c>
      <c r="E734">
        <f>2573.213</f>
        <v>2573.2130000000002</v>
      </c>
      <c r="F734">
        <f>1686.81</f>
        <v>1686.81</v>
      </c>
      <c r="G734">
        <f>7320.935</f>
        <v>7320.9350000000004</v>
      </c>
      <c r="H734">
        <f>3118.47</f>
        <v>3118.47</v>
      </c>
      <c r="I734">
        <f>11237.14</f>
        <v>11237.14</v>
      </c>
      <c r="J734">
        <f>4384.04</f>
        <v>4384.04</v>
      </c>
      <c r="K734">
        <f>14801.08</f>
        <v>14801.08</v>
      </c>
      <c r="L734">
        <f>2157.74</f>
        <v>2157.7399999999998</v>
      </c>
      <c r="M734">
        <f>10350.79</f>
        <v>10350.790000000001</v>
      </c>
      <c r="N734">
        <f>353.972</f>
        <v>353.97199999999998</v>
      </c>
      <c r="O734">
        <f>2983.96</f>
        <v>2983.96</v>
      </c>
      <c r="P734">
        <f>236.25</f>
        <v>236.25</v>
      </c>
      <c r="Q734" t="e">
        <f>NA()</f>
        <v>#N/A</v>
      </c>
      <c r="R734" t="e">
        <f>NA()</f>
        <v>#N/A</v>
      </c>
      <c r="S734">
        <f>2490.53</f>
        <v>2490.5300000000002</v>
      </c>
      <c r="T734">
        <f>2970.553</f>
        <v>2970.5529999999999</v>
      </c>
      <c r="U734">
        <f>54400.28</f>
        <v>54400.28</v>
      </c>
      <c r="V734">
        <f>395.65</f>
        <v>395.65</v>
      </c>
    </row>
    <row r="735" spans="1:22" x14ac:dyDescent="0.2">
      <c r="A735" s="1">
        <v>44078</v>
      </c>
      <c r="B735">
        <f>1758.06</f>
        <v>1758.06</v>
      </c>
      <c r="C735">
        <f>9137.59</f>
        <v>9137.59</v>
      </c>
      <c r="D735">
        <f>5505.44</f>
        <v>5505.44</v>
      </c>
      <c r="E735">
        <f>2584.519</f>
        <v>2584.5189999999998</v>
      </c>
      <c r="F735">
        <f>1651.77</f>
        <v>1651.77</v>
      </c>
      <c r="G735">
        <f>7168.161</f>
        <v>7168.1610000000001</v>
      </c>
      <c r="H735">
        <f>3118.01</f>
        <v>3118.01</v>
      </c>
      <c r="I735">
        <f>11037.75</f>
        <v>11037.75</v>
      </c>
      <c r="J735">
        <f>4384.04</f>
        <v>4384.04</v>
      </c>
      <c r="K735">
        <f>14801.08</f>
        <v>14801.08</v>
      </c>
      <c r="L735">
        <f>2148.06</f>
        <v>2148.06</v>
      </c>
      <c r="M735">
        <f>10314.14</f>
        <v>10314.14</v>
      </c>
      <c r="N735">
        <f>348.14</f>
        <v>348.14</v>
      </c>
      <c r="O735">
        <f>2936.7</f>
        <v>2936.7</v>
      </c>
      <c r="P735">
        <f>235.19</f>
        <v>235.19</v>
      </c>
      <c r="Q735">
        <f>3033.177</f>
        <v>3033.1770000000001</v>
      </c>
      <c r="R735">
        <f>7043.62</f>
        <v>7043.62</v>
      </c>
      <c r="S735">
        <f>2501.14</f>
        <v>2501.14</v>
      </c>
      <c r="T735">
        <f>2962.717</f>
        <v>2962.7170000000001</v>
      </c>
      <c r="U735">
        <f>53878.95</f>
        <v>53878.95</v>
      </c>
      <c r="V735">
        <f>392.08</f>
        <v>392.08</v>
      </c>
    </row>
    <row r="736" spans="1:22" x14ac:dyDescent="0.2">
      <c r="A736" s="1">
        <v>44077</v>
      </c>
      <c r="B736">
        <f>1762.85</f>
        <v>1762.85</v>
      </c>
      <c r="C736">
        <f>9168.86</f>
        <v>9168.86</v>
      </c>
      <c r="D736">
        <f>5554.59</f>
        <v>5554.59</v>
      </c>
      <c r="E736">
        <f>2606.467</f>
        <v>2606.4670000000001</v>
      </c>
      <c r="F736">
        <f>1671.6</f>
        <v>1671.6</v>
      </c>
      <c r="G736">
        <f>7264.867</f>
        <v>7264.8670000000002</v>
      </c>
      <c r="H736">
        <f>3125.61</f>
        <v>3125.61</v>
      </c>
      <c r="I736">
        <f>11200.56</f>
        <v>11200.56</v>
      </c>
      <c r="J736">
        <f>4391.11</f>
        <v>4391.1099999999997</v>
      </c>
      <c r="K736">
        <f>14930.51</f>
        <v>14930.51</v>
      </c>
      <c r="L736">
        <f>2158.74</f>
        <v>2158.7399999999998</v>
      </c>
      <c r="M736">
        <f>10426.59</f>
        <v>10426.59</v>
      </c>
      <c r="N736">
        <f>351.636</f>
        <v>351.63600000000002</v>
      </c>
      <c r="O736">
        <f>2968.37</f>
        <v>2968.37</v>
      </c>
      <c r="P736">
        <f>234.7</f>
        <v>234.7</v>
      </c>
      <c r="Q736">
        <f>3036.502</f>
        <v>3036.502</v>
      </c>
      <c r="R736">
        <f>7101.38</f>
        <v>7101.38</v>
      </c>
      <c r="S736">
        <f>2523.79</f>
        <v>2523.79</v>
      </c>
      <c r="T736">
        <f>2996.74</f>
        <v>2996.74</v>
      </c>
      <c r="U736">
        <f>54522.35</f>
        <v>54522.35</v>
      </c>
      <c r="V736">
        <f>391.57</f>
        <v>391.57</v>
      </c>
    </row>
    <row r="737" spans="1:22" x14ac:dyDescent="0.2">
      <c r="A737" s="1">
        <v>44076</v>
      </c>
      <c r="B737">
        <f>1783.21</f>
        <v>1783.21</v>
      </c>
      <c r="C737">
        <f>9172.73</f>
        <v>9172.73</v>
      </c>
      <c r="D737">
        <f>5635.56</f>
        <v>5635.56</v>
      </c>
      <c r="E737">
        <f>2629.703</f>
        <v>2629.703</v>
      </c>
      <c r="F737">
        <f>1692.92</f>
        <v>1692.92</v>
      </c>
      <c r="G737">
        <f>7381.636</f>
        <v>7381.6360000000004</v>
      </c>
      <c r="H737">
        <f>3104.9</f>
        <v>3104.9</v>
      </c>
      <c r="I737">
        <f>11345.1</f>
        <v>11345.1</v>
      </c>
      <c r="J737">
        <f>4487.69</f>
        <v>4487.6899999999996</v>
      </c>
      <c r="K737">
        <f>15495.37</f>
        <v>15495.37</v>
      </c>
      <c r="L737">
        <f>2188.68</f>
        <v>2188.6799999999998</v>
      </c>
      <c r="M737">
        <f>10718.07</f>
        <v>10718.07</v>
      </c>
      <c r="N737">
        <f>357.803</f>
        <v>357.803</v>
      </c>
      <c r="O737">
        <f>3007.64</f>
        <v>3007.64</v>
      </c>
      <c r="P737">
        <f>232.78</f>
        <v>232.78</v>
      </c>
      <c r="Q737">
        <f>3104.52</f>
        <v>3104.52</v>
      </c>
      <c r="R737">
        <f>7358.49</f>
        <v>7358.49</v>
      </c>
      <c r="S737">
        <f>2511.66</f>
        <v>2511.66</v>
      </c>
      <c r="T737">
        <f>3044.466</f>
        <v>3044.4659999999999</v>
      </c>
      <c r="U737">
        <f>55861.88</f>
        <v>55861.88</v>
      </c>
      <c r="V737">
        <f>398.87</f>
        <v>398.87</v>
      </c>
    </row>
    <row r="738" spans="1:22" x14ac:dyDescent="0.2">
      <c r="A738" s="1">
        <v>44075</v>
      </c>
      <c r="B738">
        <f>1768.44</f>
        <v>1768.44</v>
      </c>
      <c r="C738">
        <f>9231.94</f>
        <v>9231.94</v>
      </c>
      <c r="D738">
        <f>5560.72</f>
        <v>5560.72</v>
      </c>
      <c r="E738">
        <f>2632.27</f>
        <v>2632.27</v>
      </c>
      <c r="F738">
        <f>1677.99</f>
        <v>1677.99</v>
      </c>
      <c r="G738">
        <f>7354.772</f>
        <v>7354.7719999999999</v>
      </c>
      <c r="H738">
        <f>3118.11</f>
        <v>3118.11</v>
      </c>
      <c r="I738">
        <f>11268.72</f>
        <v>11268.72</v>
      </c>
      <c r="J738">
        <f>4403.77</f>
        <v>4403.7700000000004</v>
      </c>
      <c r="K738">
        <f>15282.97</f>
        <v>15282.97</v>
      </c>
      <c r="L738">
        <f>2157.64</f>
        <v>2157.64</v>
      </c>
      <c r="M738">
        <f>10601.89</f>
        <v>10601.89</v>
      </c>
      <c r="N738">
        <f>350.268</f>
        <v>350.26799999999997</v>
      </c>
      <c r="O738">
        <f>2957.55</f>
        <v>2957.55</v>
      </c>
      <c r="P738">
        <f>233.15</f>
        <v>233.15</v>
      </c>
      <c r="Q738">
        <f>3045.479</f>
        <v>3045.4789999999998</v>
      </c>
      <c r="R738">
        <f>7246.37</f>
        <v>7246.37</v>
      </c>
      <c r="S738">
        <f>2499.91</f>
        <v>2499.91</v>
      </c>
      <c r="T738">
        <f>3084.9</f>
        <v>3084.9</v>
      </c>
      <c r="U738">
        <f>55927.69</f>
        <v>55927.69</v>
      </c>
      <c r="V738">
        <f>398.45</f>
        <v>398.45</v>
      </c>
    </row>
    <row r="739" spans="1:22" x14ac:dyDescent="0.2">
      <c r="A739" s="1">
        <v>44074</v>
      </c>
      <c r="B739" t="e">
        <f>NA()</f>
        <v>#N/A</v>
      </c>
      <c r="C739">
        <f>9175.43</f>
        <v>9175.43</v>
      </c>
      <c r="D739" t="e">
        <f>NA()</f>
        <v>#N/A</v>
      </c>
      <c r="E739">
        <f>2588.733</f>
        <v>2588.7330000000002</v>
      </c>
      <c r="F739">
        <f>1702.96</f>
        <v>1702.96</v>
      </c>
      <c r="G739">
        <f>7455.685</f>
        <v>7455.6850000000004</v>
      </c>
      <c r="H739">
        <f>3134.07</f>
        <v>3134.07</v>
      </c>
      <c r="I739">
        <f>11272.99</f>
        <v>11272.99</v>
      </c>
      <c r="J739">
        <f>4422.67</f>
        <v>4422.67</v>
      </c>
      <c r="K739">
        <f>15153.28</f>
        <v>15153.28</v>
      </c>
      <c r="L739">
        <f>2167.44</f>
        <v>2167.44</v>
      </c>
      <c r="M739">
        <f>10550.97</f>
        <v>10550.97</v>
      </c>
      <c r="N739">
        <f>352.526</f>
        <v>352.52600000000001</v>
      </c>
      <c r="O739">
        <f>2968.25</f>
        <v>2968.25</v>
      </c>
      <c r="P739">
        <f>233.86</f>
        <v>233.86</v>
      </c>
      <c r="Q739">
        <f>3030.056</f>
        <v>3030.056</v>
      </c>
      <c r="R739">
        <f>7192.11</f>
        <v>7192.11</v>
      </c>
      <c r="S739">
        <f>2503.59</f>
        <v>2503.59</v>
      </c>
      <c r="T739">
        <f>3075.663</f>
        <v>3075.663</v>
      </c>
      <c r="U739">
        <f>55476.11</f>
        <v>55476.11</v>
      </c>
      <c r="V739">
        <f>399.19</f>
        <v>399.19</v>
      </c>
    </row>
    <row r="740" spans="1:22" x14ac:dyDescent="0.2">
      <c r="A740" s="1">
        <v>44071</v>
      </c>
      <c r="B740">
        <f>1805.51</f>
        <v>1805.51</v>
      </c>
      <c r="C740">
        <f>9343.24</f>
        <v>9343.24</v>
      </c>
      <c r="D740">
        <f>5657.01</f>
        <v>5657.01</v>
      </c>
      <c r="E740">
        <f>2635.96</f>
        <v>2635.96</v>
      </c>
      <c r="F740">
        <f>1695.52</f>
        <v>1695.52</v>
      </c>
      <c r="G740">
        <f>7423.111</f>
        <v>7423.1109999999999</v>
      </c>
      <c r="H740">
        <f>3152.35</f>
        <v>3152.35</v>
      </c>
      <c r="I740">
        <f>11303.13</f>
        <v>11303.13</v>
      </c>
      <c r="J740">
        <f>4446.49</f>
        <v>4446.49</v>
      </c>
      <c r="K740">
        <f>15156.68</f>
        <v>15156.68</v>
      </c>
      <c r="L740">
        <f>2178.82</f>
        <v>2178.8200000000002</v>
      </c>
      <c r="M740">
        <f>10555.53</f>
        <v>10555.53</v>
      </c>
      <c r="N740">
        <f>353.211</f>
        <v>353.21100000000001</v>
      </c>
      <c r="O740">
        <f>2988.64</f>
        <v>2988.64</v>
      </c>
      <c r="P740">
        <f>232.61</f>
        <v>232.61</v>
      </c>
      <c r="Q740">
        <f>3056.417</f>
        <v>3056.4169999999999</v>
      </c>
      <c r="R740">
        <f>7207.1</f>
        <v>7207.1</v>
      </c>
      <c r="S740">
        <f>2483.37</f>
        <v>2483.37</v>
      </c>
      <c r="T740">
        <f>3131.488</f>
        <v>3131.4879999999998</v>
      </c>
      <c r="U740">
        <f>56057.1</f>
        <v>56057.1</v>
      </c>
      <c r="V740">
        <f>404.28</f>
        <v>404.28</v>
      </c>
    </row>
    <row r="741" spans="1:22" x14ac:dyDescent="0.2">
      <c r="A741" s="1">
        <v>44070</v>
      </c>
      <c r="B741">
        <f>1805.68</f>
        <v>1805.68</v>
      </c>
      <c r="C741">
        <f>9334.27</f>
        <v>9334.27</v>
      </c>
      <c r="D741">
        <f>5691.57</f>
        <v>5691.57</v>
      </c>
      <c r="E741">
        <f>2625.637</f>
        <v>2625.6370000000002</v>
      </c>
      <c r="F741">
        <f>1686.53</f>
        <v>1686.53</v>
      </c>
      <c r="G741">
        <f>7389.885</f>
        <v>7389.8850000000002</v>
      </c>
      <c r="H741">
        <f>3105</f>
        <v>3105</v>
      </c>
      <c r="I741">
        <f>11262.4</f>
        <v>11262.4</v>
      </c>
      <c r="J741">
        <f>4419.6</f>
        <v>4419.6000000000004</v>
      </c>
      <c r="K741">
        <f>15056.62</f>
        <v>15056.62</v>
      </c>
      <c r="L741">
        <f>2167.33</f>
        <v>2167.33</v>
      </c>
      <c r="M741">
        <f>10493.63</f>
        <v>10493.63</v>
      </c>
      <c r="N741">
        <f>356.078</f>
        <v>356.07799999999997</v>
      </c>
      <c r="O741">
        <f>3003.93</f>
        <v>3003.93</v>
      </c>
      <c r="P741">
        <f>232.05</f>
        <v>232.05</v>
      </c>
      <c r="Q741">
        <f>3035.282</f>
        <v>3035.2820000000002</v>
      </c>
      <c r="R741">
        <f>7158.18</f>
        <v>7158.18</v>
      </c>
      <c r="S741">
        <f>2499.81</f>
        <v>2499.81</v>
      </c>
      <c r="T741">
        <f>3177.274</f>
        <v>3177.2739999999999</v>
      </c>
      <c r="U741">
        <f>56869.67</f>
        <v>56869.67</v>
      </c>
      <c r="V741">
        <f>407.83</f>
        <v>407.83</v>
      </c>
    </row>
    <row r="742" spans="1:22" x14ac:dyDescent="0.2">
      <c r="A742" s="1">
        <v>44069</v>
      </c>
      <c r="B742">
        <f>1817.49</f>
        <v>1817.49</v>
      </c>
      <c r="C742">
        <f>9419.12</f>
        <v>9419.1200000000008</v>
      </c>
      <c r="D742">
        <f>5734.22</f>
        <v>5734.22</v>
      </c>
      <c r="E742">
        <f>2630.042</f>
        <v>2630.0419999999999</v>
      </c>
      <c r="F742">
        <f>1698.86</f>
        <v>1698.86</v>
      </c>
      <c r="G742">
        <f>7444.514</f>
        <v>7444.5140000000001</v>
      </c>
      <c r="H742">
        <f>3149.74</f>
        <v>3149.74</v>
      </c>
      <c r="I742">
        <f>11367.36</f>
        <v>11367.36</v>
      </c>
      <c r="J742">
        <f>4408.88</f>
        <v>4408.88</v>
      </c>
      <c r="K742">
        <f>15029.95</f>
        <v>15029.95</v>
      </c>
      <c r="L742">
        <f>2169.4</f>
        <v>2169.4</v>
      </c>
      <c r="M742">
        <f>10507.11</f>
        <v>10507.11</v>
      </c>
      <c r="N742">
        <f>357.894</f>
        <v>357.89400000000001</v>
      </c>
      <c r="O742">
        <f>3022.33</f>
        <v>3022.33</v>
      </c>
      <c r="P742">
        <f>234.06</f>
        <v>234.06</v>
      </c>
      <c r="Q742">
        <f>3021.673</f>
        <v>3021.6729999999998</v>
      </c>
      <c r="R742">
        <f>7145.77</f>
        <v>7145.77</v>
      </c>
      <c r="S742">
        <f>2513.11</f>
        <v>2513.11</v>
      </c>
      <c r="T742">
        <f>3162.099</f>
        <v>3162.0990000000002</v>
      </c>
      <c r="U742">
        <f>56572.24</f>
        <v>56572.24</v>
      </c>
      <c r="V742">
        <f>407.82</f>
        <v>407.82</v>
      </c>
    </row>
    <row r="743" spans="1:22" x14ac:dyDescent="0.2">
      <c r="A743" s="1">
        <v>44068</v>
      </c>
      <c r="B743">
        <f>1801.09</f>
        <v>1801.09</v>
      </c>
      <c r="C743">
        <f>9427.06</f>
        <v>9427.06</v>
      </c>
      <c r="D743">
        <f>5726.07</f>
        <v>5726.07</v>
      </c>
      <c r="E743">
        <f>2619.066</f>
        <v>2619.0659999999998</v>
      </c>
      <c r="F743">
        <f>1683.97</f>
        <v>1683.97</v>
      </c>
      <c r="G743">
        <f>7397.886</f>
        <v>7397.8860000000004</v>
      </c>
      <c r="H743">
        <f>3142.36</f>
        <v>3142.36</v>
      </c>
      <c r="I743">
        <f>11269.69</f>
        <v>11269.69</v>
      </c>
      <c r="J743">
        <f>4414.24</f>
        <v>4414.24</v>
      </c>
      <c r="K743">
        <f>14868.57</f>
        <v>14868.57</v>
      </c>
      <c r="L743">
        <f>2170.34</f>
        <v>2170.34</v>
      </c>
      <c r="M743">
        <f>10407.62</f>
        <v>10407.620000000001</v>
      </c>
      <c r="N743">
        <f>355.092</f>
        <v>355.09199999999998</v>
      </c>
      <c r="O743">
        <f>2998.43</f>
        <v>2998.43</v>
      </c>
      <c r="P743">
        <f>234.6</f>
        <v>234.6</v>
      </c>
      <c r="Q743">
        <f>3022.264</f>
        <v>3022.2640000000001</v>
      </c>
      <c r="R743">
        <f>7073.6</f>
        <v>7073.6</v>
      </c>
      <c r="S743">
        <f>2514.26</f>
        <v>2514.2600000000002</v>
      </c>
      <c r="T743">
        <f>3176.57</f>
        <v>3176.57</v>
      </c>
      <c r="U743">
        <f>56114.23</f>
        <v>56114.23</v>
      </c>
      <c r="V743">
        <f>410.92</f>
        <v>410.92</v>
      </c>
    </row>
    <row r="744" spans="1:22" x14ac:dyDescent="0.2">
      <c r="A744" s="1">
        <v>44067</v>
      </c>
      <c r="B744">
        <f>1826.28</f>
        <v>1826.28</v>
      </c>
      <c r="C744">
        <f>9422.45</f>
        <v>9422.4500000000007</v>
      </c>
      <c r="D744">
        <f>5790.3</f>
        <v>5790.3</v>
      </c>
      <c r="E744">
        <f>2603.673</f>
        <v>2603.6729999999998</v>
      </c>
      <c r="F744">
        <f>1705.83</f>
        <v>1705.83</v>
      </c>
      <c r="G744">
        <f>7455.211</f>
        <v>7455.2110000000002</v>
      </c>
      <c r="H744">
        <f>3105.8</f>
        <v>3105.8</v>
      </c>
      <c r="I744">
        <f>11279.4</f>
        <v>11279.4</v>
      </c>
      <c r="J744">
        <f>4421.6</f>
        <v>4421.6000000000004</v>
      </c>
      <c r="K744">
        <f>14814.48</f>
        <v>14814.48</v>
      </c>
      <c r="L744">
        <f>2175.41</f>
        <v>2175.41</v>
      </c>
      <c r="M744">
        <f>10381.9</f>
        <v>10381.9</v>
      </c>
      <c r="N744">
        <f>356.742</f>
        <v>356.74200000000002</v>
      </c>
      <c r="O744">
        <f>3007.82</f>
        <v>3007.82</v>
      </c>
      <c r="P744">
        <f>229.58</f>
        <v>229.58</v>
      </c>
      <c r="Q744">
        <f>3031.971</f>
        <v>3031.971</v>
      </c>
      <c r="R744">
        <f>7048.17</f>
        <v>7048.17</v>
      </c>
      <c r="S744">
        <f>2486.26</f>
        <v>2486.2600000000002</v>
      </c>
      <c r="T744">
        <f>3185.757</f>
        <v>3185.7570000000001</v>
      </c>
      <c r="U744">
        <f>56625.42</f>
        <v>56625.42</v>
      </c>
      <c r="V744">
        <f>416.44</f>
        <v>416.44</v>
      </c>
    </row>
    <row r="745" spans="1:22" x14ac:dyDescent="0.2">
      <c r="A745" s="1">
        <v>44064</v>
      </c>
      <c r="B745">
        <f>1795.75</f>
        <v>1795.75</v>
      </c>
      <c r="C745">
        <f>9349.6</f>
        <v>9349.6</v>
      </c>
      <c r="D745">
        <f>5692.76</f>
        <v>5692.76</v>
      </c>
      <c r="E745">
        <f>2565.103</f>
        <v>2565.1030000000001</v>
      </c>
      <c r="F745">
        <f>1665.88</f>
        <v>1665.88</v>
      </c>
      <c r="G745">
        <f>7326.855</f>
        <v>7326.8549999999996</v>
      </c>
      <c r="H745">
        <f>3108.9</f>
        <v>3108.9</v>
      </c>
      <c r="I745">
        <f>11063.44</f>
        <v>11063.44</v>
      </c>
      <c r="J745">
        <f>4372.03</f>
        <v>4372.03</v>
      </c>
      <c r="K745">
        <f>14678.43</f>
        <v>14678.43</v>
      </c>
      <c r="L745">
        <f>2148.36</f>
        <v>2148.36</v>
      </c>
      <c r="M745">
        <f>10273.74</f>
        <v>10273.74</v>
      </c>
      <c r="N745">
        <f>351.821</f>
        <v>351.82100000000003</v>
      </c>
      <c r="O745">
        <f>2959.87</f>
        <v>2959.87</v>
      </c>
      <c r="P745">
        <f>229.25</f>
        <v>229.25</v>
      </c>
      <c r="Q745">
        <f>2994.045</f>
        <v>2994.0450000000001</v>
      </c>
      <c r="R745">
        <f>6977.27</f>
        <v>6977.27</v>
      </c>
      <c r="S745">
        <f>2481.51</f>
        <v>2481.5100000000002</v>
      </c>
      <c r="T745">
        <f>3124.392</f>
        <v>3124.3919999999998</v>
      </c>
      <c r="U745">
        <f>55949.92</f>
        <v>55949.919999999998</v>
      </c>
      <c r="V745">
        <f>408.18</f>
        <v>408.18</v>
      </c>
    </row>
    <row r="746" spans="1:22" x14ac:dyDescent="0.2">
      <c r="A746" s="1">
        <v>44063</v>
      </c>
      <c r="B746">
        <f>1800.61</f>
        <v>1800.61</v>
      </c>
      <c r="C746">
        <f>9311.48</f>
        <v>9311.48</v>
      </c>
      <c r="D746">
        <f>5703.62</f>
        <v>5703.62</v>
      </c>
      <c r="E746">
        <f>2538.484</f>
        <v>2538.4839999999999</v>
      </c>
      <c r="F746">
        <f>1681.76</f>
        <v>1681.76</v>
      </c>
      <c r="G746">
        <f>7383.239</f>
        <v>7383.2389999999996</v>
      </c>
      <c r="H746">
        <f>3099.29</f>
        <v>3099.29</v>
      </c>
      <c r="I746">
        <f>11138.06</f>
        <v>11138.06</v>
      </c>
      <c r="J746">
        <f>4367.95</f>
        <v>4367.95</v>
      </c>
      <c r="K746">
        <f>14625.56</f>
        <v>14625.56</v>
      </c>
      <c r="L746">
        <f>2151.95</f>
        <v>2151.9499999999998</v>
      </c>
      <c r="M746">
        <f>10260.46</f>
        <v>10260.459999999999</v>
      </c>
      <c r="N746">
        <f>352.435</f>
        <v>352.435</v>
      </c>
      <c r="O746">
        <f>2965.33</f>
        <v>2965.33</v>
      </c>
      <c r="P746">
        <f>228.89</f>
        <v>228.89</v>
      </c>
      <c r="Q746">
        <f>2995.135</f>
        <v>2995.1350000000002</v>
      </c>
      <c r="R746">
        <f>6952.92</f>
        <v>6952.92</v>
      </c>
      <c r="S746">
        <f>2473.99</f>
        <v>2473.9899999999998</v>
      </c>
      <c r="T746">
        <f>3082.182</f>
        <v>3082.1819999999998</v>
      </c>
      <c r="U746">
        <f>55629.98</f>
        <v>55629.98</v>
      </c>
      <c r="V746">
        <f>404.7</f>
        <v>404.7</v>
      </c>
    </row>
    <row r="747" spans="1:22" x14ac:dyDescent="0.2">
      <c r="A747" s="1">
        <v>44062</v>
      </c>
      <c r="B747">
        <f>1841.76</f>
        <v>1841.76</v>
      </c>
      <c r="C747">
        <f>9498.01</f>
        <v>9498.01</v>
      </c>
      <c r="D747">
        <f>5789.91</f>
        <v>5789.91</v>
      </c>
      <c r="E747">
        <f>2582.71</f>
        <v>2582.71</v>
      </c>
      <c r="F747">
        <f>1720.05</f>
        <v>1720.05</v>
      </c>
      <c r="G747">
        <f>7520.378</f>
        <v>7520.3779999999997</v>
      </c>
      <c r="H747">
        <f>3118.4</f>
        <v>3118.4</v>
      </c>
      <c r="I747">
        <f>11305.71</f>
        <v>11305.71</v>
      </c>
      <c r="J747">
        <f>4384.17</f>
        <v>4384.17</v>
      </c>
      <c r="K747">
        <f>14568.49</f>
        <v>14568.49</v>
      </c>
      <c r="L747">
        <f>2168.86</f>
        <v>2168.86</v>
      </c>
      <c r="M747">
        <f>10282.31</f>
        <v>10282.31</v>
      </c>
      <c r="N747">
        <f>354.843</f>
        <v>354.84300000000002</v>
      </c>
      <c r="O747">
        <f>2995.64</f>
        <v>2995.64</v>
      </c>
      <c r="P747">
        <f>230.56</f>
        <v>230.56</v>
      </c>
      <c r="Q747">
        <f>3005.812</f>
        <v>3005.8119999999999</v>
      </c>
      <c r="R747">
        <f>6930.8</f>
        <v>6930.8</v>
      </c>
      <c r="S747">
        <f>2496.48</f>
        <v>2496.48</v>
      </c>
      <c r="T747">
        <f>3138.66</f>
        <v>3138.66</v>
      </c>
      <c r="U747">
        <f>56433.28</f>
        <v>56433.279999999999</v>
      </c>
      <c r="V747">
        <f>413.6</f>
        <v>413.6</v>
      </c>
    </row>
    <row r="748" spans="1:22" x14ac:dyDescent="0.2">
      <c r="A748" s="1">
        <v>44061</v>
      </c>
      <c r="B748">
        <f>1839.22</f>
        <v>1839.22</v>
      </c>
      <c r="C748">
        <f>9521.22</f>
        <v>9521.2199999999993</v>
      </c>
      <c r="D748">
        <f>5756.4</f>
        <v>5756.4</v>
      </c>
      <c r="E748">
        <f>2595.634</f>
        <v>2595.634</v>
      </c>
      <c r="F748">
        <f>1720.19</f>
        <v>1720.19</v>
      </c>
      <c r="G748">
        <f>7495.272</f>
        <v>7495.2719999999999</v>
      </c>
      <c r="H748">
        <f>3118.65</f>
        <v>3118.65</v>
      </c>
      <c r="I748">
        <f>11243.26</f>
        <v>11243.26</v>
      </c>
      <c r="J748">
        <f>4395.05</f>
        <v>4395.05</v>
      </c>
      <c r="K748">
        <f>14634.42</f>
        <v>14634.42</v>
      </c>
      <c r="L748">
        <f>2170.68</f>
        <v>2170.6799999999998</v>
      </c>
      <c r="M748">
        <f>10302.01</f>
        <v>10302.01</v>
      </c>
      <c r="N748">
        <f>353.558</f>
        <v>353.55799999999999</v>
      </c>
      <c r="O748">
        <f>2975.12</f>
        <v>2975.12</v>
      </c>
      <c r="P748">
        <f>229.87</f>
        <v>229.87</v>
      </c>
      <c r="Q748">
        <f>3016.206</f>
        <v>3016.2060000000001</v>
      </c>
      <c r="R748">
        <f>6960.3</f>
        <v>6960.3</v>
      </c>
      <c r="S748">
        <f>2491.97</f>
        <v>2491.9699999999998</v>
      </c>
      <c r="T748">
        <f>3138.16</f>
        <v>3138.16</v>
      </c>
      <c r="U748">
        <f>57025.16</f>
        <v>57025.16</v>
      </c>
      <c r="V748">
        <f>410.27</f>
        <v>410.27</v>
      </c>
    </row>
    <row r="749" spans="1:22" x14ac:dyDescent="0.2">
      <c r="A749" s="1">
        <v>44060</v>
      </c>
      <c r="B749">
        <f>1852.08</f>
        <v>1852.08</v>
      </c>
      <c r="C749">
        <f>9480.36</f>
        <v>9480.36</v>
      </c>
      <c r="D749">
        <f>5804.54</f>
        <v>5804.54</v>
      </c>
      <c r="E749">
        <f>2583.746</f>
        <v>2583.7460000000001</v>
      </c>
      <c r="F749">
        <f>1714.68</f>
        <v>1714.68</v>
      </c>
      <c r="G749">
        <f>7489.696</f>
        <v>7489.6959999999999</v>
      </c>
      <c r="H749">
        <f>3112.29</f>
        <v>3112.29</v>
      </c>
      <c r="I749">
        <f>11259.39</f>
        <v>11259.39</v>
      </c>
      <c r="J749">
        <f>4403.06</f>
        <v>4403.0600000000004</v>
      </c>
      <c r="K749">
        <f>14593.78</f>
        <v>14593.78</v>
      </c>
      <c r="L749">
        <f>2171.57</f>
        <v>2171.5700000000002</v>
      </c>
      <c r="M749">
        <f>10277.76</f>
        <v>10277.76</v>
      </c>
      <c r="N749">
        <f>354.907</f>
        <v>354.90699999999998</v>
      </c>
      <c r="O749">
        <f>2991.54</f>
        <v>2991.54</v>
      </c>
      <c r="P749">
        <f>230.51</f>
        <v>230.51</v>
      </c>
      <c r="Q749">
        <f>3026.668</f>
        <v>3026.6680000000001</v>
      </c>
      <c r="R749">
        <f>6943.22</f>
        <v>6943.22</v>
      </c>
      <c r="S749">
        <f>2490.37</f>
        <v>2490.37</v>
      </c>
      <c r="T749">
        <f>3130.347</f>
        <v>3130.3470000000002</v>
      </c>
      <c r="U749">
        <f>57435.08</f>
        <v>57435.08</v>
      </c>
      <c r="V749">
        <f>411.84</f>
        <v>411.84</v>
      </c>
    </row>
    <row r="750" spans="1:22" x14ac:dyDescent="0.2">
      <c r="A750" s="1">
        <v>44057</v>
      </c>
      <c r="B750">
        <f>1851.12</f>
        <v>1851.12</v>
      </c>
      <c r="C750">
        <f>9445.11</f>
        <v>9445.11</v>
      </c>
      <c r="D750">
        <f>5769.12</f>
        <v>5769.12</v>
      </c>
      <c r="E750">
        <f>2567.699</f>
        <v>2567.6990000000001</v>
      </c>
      <c r="F750">
        <f>1700.29</f>
        <v>1700.29</v>
      </c>
      <c r="G750">
        <f>7453.018</f>
        <v>7453.018</v>
      </c>
      <c r="H750">
        <f>3117.98</f>
        <v>3117.98</v>
      </c>
      <c r="I750">
        <f>11181.73</f>
        <v>11181.73</v>
      </c>
      <c r="J750">
        <f>4400.39</f>
        <v>4400.3900000000003</v>
      </c>
      <c r="K750">
        <f>14531.34</f>
        <v>14531.34</v>
      </c>
      <c r="L750">
        <f>2169.91</f>
        <v>2169.91</v>
      </c>
      <c r="M750">
        <f>10235.57</f>
        <v>10235.57</v>
      </c>
      <c r="N750">
        <f>352.823</f>
        <v>352.82299999999998</v>
      </c>
      <c r="O750">
        <f>2981.85</f>
        <v>2981.85</v>
      </c>
      <c r="P750">
        <f>231.91</f>
        <v>231.91</v>
      </c>
      <c r="Q750">
        <f>3024.41</f>
        <v>3024.41</v>
      </c>
      <c r="R750">
        <f>6924.28</f>
        <v>6924.28</v>
      </c>
      <c r="S750">
        <f>2511.36</f>
        <v>2511.36</v>
      </c>
      <c r="T750">
        <f>3145.855</f>
        <v>3145.855</v>
      </c>
      <c r="U750">
        <f>57077.48</f>
        <v>57077.48</v>
      </c>
      <c r="V750">
        <f>412.52</f>
        <v>412.52</v>
      </c>
    </row>
    <row r="751" spans="1:22" x14ac:dyDescent="0.2">
      <c r="A751" s="1">
        <v>44056</v>
      </c>
      <c r="B751">
        <f>1874.08</f>
        <v>1874.08</v>
      </c>
      <c r="C751">
        <f>9434.95</f>
        <v>9434.9500000000007</v>
      </c>
      <c r="D751">
        <f>5859.66</f>
        <v>5859.66</v>
      </c>
      <c r="E751">
        <f>2574.753</f>
        <v>2574.7530000000002</v>
      </c>
      <c r="F751">
        <f>1717.05</f>
        <v>1717.05</v>
      </c>
      <c r="G751">
        <f>7559.25</f>
        <v>7559.25</v>
      </c>
      <c r="H751">
        <f>3117.73</f>
        <v>3117.73</v>
      </c>
      <c r="I751">
        <f>11322.2</f>
        <v>11322.2</v>
      </c>
      <c r="J751">
        <f>4394.32</f>
        <v>4394.32</v>
      </c>
      <c r="K751">
        <f>14534.64</f>
        <v>14534.64</v>
      </c>
      <c r="L751">
        <f>2173.95</f>
        <v>2173.9499999999998</v>
      </c>
      <c r="M751">
        <f>10259.94</f>
        <v>10259.94</v>
      </c>
      <c r="N751">
        <f>357.7</f>
        <v>357.7</v>
      </c>
      <c r="O751">
        <f>3019.62</f>
        <v>3019.62</v>
      </c>
      <c r="P751">
        <f>233.29</f>
        <v>233.29</v>
      </c>
      <c r="Q751">
        <f>3021.797</f>
        <v>3021.797</v>
      </c>
      <c r="R751">
        <f>6924.96</f>
        <v>6924.96</v>
      </c>
      <c r="S751">
        <f>2512.55</f>
        <v>2512.5500000000002</v>
      </c>
      <c r="T751">
        <f>3151.983</f>
        <v>3151.9830000000002</v>
      </c>
      <c r="U751">
        <f>57419.46</f>
        <v>57419.46</v>
      </c>
      <c r="V751">
        <f>410.31</f>
        <v>410.31</v>
      </c>
    </row>
    <row r="752" spans="1:22" x14ac:dyDescent="0.2">
      <c r="A752" s="1">
        <v>44055</v>
      </c>
      <c r="B752">
        <f>1905.09</f>
        <v>1905.09</v>
      </c>
      <c r="C752">
        <f>9375.43</f>
        <v>9375.43</v>
      </c>
      <c r="D752">
        <f>5928.31</f>
        <v>5928.31</v>
      </c>
      <c r="E752">
        <f>2568.961</f>
        <v>2568.9609999999998</v>
      </c>
      <c r="F752">
        <f>1739.08</f>
        <v>1739.08</v>
      </c>
      <c r="G752">
        <f>7629.668</f>
        <v>7629.6679999999997</v>
      </c>
      <c r="H752">
        <f>3105.94</f>
        <v>3105.94</v>
      </c>
      <c r="I752">
        <f>11339.58</f>
        <v>11339.58</v>
      </c>
      <c r="J752">
        <f>4431.64</f>
        <v>4431.6400000000003</v>
      </c>
      <c r="K752">
        <f>14547.05</f>
        <v>14547.05</v>
      </c>
      <c r="L752">
        <f>2190.13</f>
        <v>2190.13</v>
      </c>
      <c r="M752">
        <f>10263.61</f>
        <v>10263.61</v>
      </c>
      <c r="N752">
        <f>358.506</f>
        <v>358.50599999999997</v>
      </c>
      <c r="O752">
        <f>3037.49</f>
        <v>3037.49</v>
      </c>
      <c r="P752">
        <f>231.92</f>
        <v>231.92</v>
      </c>
      <c r="Q752">
        <f>3039.715</f>
        <v>3039.7150000000001</v>
      </c>
      <c r="R752">
        <f>6937.44</f>
        <v>6937.44</v>
      </c>
      <c r="S752">
        <f>2483.73</f>
        <v>2483.73</v>
      </c>
      <c r="T752">
        <f>3148.982</f>
        <v>3148.982</v>
      </c>
      <c r="U752">
        <f>57417.28</f>
        <v>57417.279999999999</v>
      </c>
      <c r="V752">
        <f>411.68</f>
        <v>411.68</v>
      </c>
    </row>
    <row r="753" spans="1:22" x14ac:dyDescent="0.2">
      <c r="A753" s="1">
        <v>44054</v>
      </c>
      <c r="B753">
        <f>1881.72</f>
        <v>1881.72</v>
      </c>
      <c r="C753">
        <f>9329.99</f>
        <v>9329.99</v>
      </c>
      <c r="D753">
        <f>5809.57</f>
        <v>5809.57</v>
      </c>
      <c r="E753">
        <f>2562.166</f>
        <v>2562.1660000000002</v>
      </c>
      <c r="F753">
        <f>1700.4</f>
        <v>1700.4</v>
      </c>
      <c r="G753">
        <f>7494.516</f>
        <v>7494.5159999999996</v>
      </c>
      <c r="H753">
        <f>3062.55</f>
        <v>3062.55</v>
      </c>
      <c r="I753">
        <f>11178.53</f>
        <v>11178.53</v>
      </c>
      <c r="J753">
        <f>4387.04</f>
        <v>4387.04</v>
      </c>
      <c r="K753">
        <f>14334.81</f>
        <v>14334.81</v>
      </c>
      <c r="L753">
        <f>2165.96</f>
        <v>2165.96</v>
      </c>
      <c r="M753">
        <f>10123.96</f>
        <v>10123.959999999999</v>
      </c>
      <c r="N753">
        <f>354.162</f>
        <v>354.16199999999998</v>
      </c>
      <c r="O753">
        <f>3001.98</f>
        <v>3001.98</v>
      </c>
      <c r="P753">
        <f>228.49</f>
        <v>228.49</v>
      </c>
      <c r="Q753">
        <f>3018.285</f>
        <v>3018.2849999999999</v>
      </c>
      <c r="R753">
        <f>6840.67</f>
        <v>6840.67</v>
      </c>
      <c r="S753">
        <f>2453.46</f>
        <v>2453.46</v>
      </c>
      <c r="T753">
        <f>3135.023</f>
        <v>3135.0230000000001</v>
      </c>
      <c r="U753">
        <f>57168.24</f>
        <v>57168.24</v>
      </c>
      <c r="V753">
        <f>411.23</f>
        <v>411.23</v>
      </c>
    </row>
    <row r="754" spans="1:22" x14ac:dyDescent="0.2">
      <c r="A754" s="1">
        <v>44053</v>
      </c>
      <c r="B754">
        <f>1821.87</f>
        <v>1821.87</v>
      </c>
      <c r="C754">
        <f>9207.79</f>
        <v>9207.7900000000009</v>
      </c>
      <c r="D754">
        <f>5711.63</f>
        <v>5711.63</v>
      </c>
      <c r="E754">
        <f>2550.752</f>
        <v>2550.752</v>
      </c>
      <c r="F754">
        <f>1679.76</f>
        <v>1679.76</v>
      </c>
      <c r="G754">
        <f>7366.754</f>
        <v>7366.7539999999999</v>
      </c>
      <c r="H754">
        <f>2966</f>
        <v>2966</v>
      </c>
      <c r="I754">
        <f>10992.75</f>
        <v>10992.75</v>
      </c>
      <c r="J754">
        <f>4396.88</f>
        <v>4396.88</v>
      </c>
      <c r="K754">
        <f>14454.78</f>
        <v>14454.78</v>
      </c>
      <c r="L754">
        <f>2155.91</f>
        <v>2155.91</v>
      </c>
      <c r="M754">
        <f>10129.95</f>
        <v>10129.950000000001</v>
      </c>
      <c r="N754">
        <f>349.49</f>
        <v>349.49</v>
      </c>
      <c r="O754">
        <f>2950.86</f>
        <v>2950.86</v>
      </c>
      <c r="P754" t="e">
        <f>NA()</f>
        <v>#N/A</v>
      </c>
      <c r="Q754">
        <f>3014.354</f>
        <v>3014.3539999999998</v>
      </c>
      <c r="R754">
        <f>6895.59</f>
        <v>6895.59</v>
      </c>
      <c r="S754" t="e">
        <f>NA()</f>
        <v>#N/A</v>
      </c>
      <c r="T754" t="e">
        <f>NA()</f>
        <v>#N/A</v>
      </c>
      <c r="U754" t="e">
        <f>NA()</f>
        <v>#N/A</v>
      </c>
      <c r="V754" t="e">
        <f>NA()</f>
        <v>#N/A</v>
      </c>
    </row>
    <row r="755" spans="1:22" x14ac:dyDescent="0.2">
      <c r="A755" s="1">
        <v>44050</v>
      </c>
      <c r="B755">
        <f>1789.56</f>
        <v>1789.56</v>
      </c>
      <c r="C755">
        <f>9189.27</f>
        <v>9189.27</v>
      </c>
      <c r="D755">
        <f>5694.25</f>
        <v>5694.25</v>
      </c>
      <c r="E755">
        <f>2557.478</f>
        <v>2557.4780000000001</v>
      </c>
      <c r="F755">
        <f>1663.73</f>
        <v>1663.73</v>
      </c>
      <c r="G755">
        <f>7316.857</f>
        <v>7316.857</v>
      </c>
      <c r="H755">
        <f>2962.92</f>
        <v>2962.92</v>
      </c>
      <c r="I755">
        <f>10989.5</f>
        <v>10989.5</v>
      </c>
      <c r="J755">
        <f>4360.9</f>
        <v>4360.8999999999996</v>
      </c>
      <c r="K755">
        <f>14429.27</f>
        <v>14429.27</v>
      </c>
      <c r="L755">
        <f>2140.5</f>
        <v>2140.5</v>
      </c>
      <c r="M755">
        <f>10108.67</f>
        <v>10108.67</v>
      </c>
      <c r="N755">
        <f>348.993</f>
        <v>348.99299999999999</v>
      </c>
      <c r="O755">
        <f>2939.46</f>
        <v>2939.46</v>
      </c>
      <c r="P755">
        <f>220.41</f>
        <v>220.41</v>
      </c>
      <c r="Q755">
        <f>2978.862</f>
        <v>2978.8620000000001</v>
      </c>
      <c r="R755">
        <f>6876.65</f>
        <v>6876.65</v>
      </c>
      <c r="S755">
        <f>2392.8</f>
        <v>2392.8000000000002</v>
      </c>
      <c r="T755">
        <f>3098.555</f>
        <v>3098.5549999999998</v>
      </c>
      <c r="U755">
        <f>56757.73</f>
        <v>56757.73</v>
      </c>
      <c r="V755">
        <f>403.55</f>
        <v>403.55</v>
      </c>
    </row>
    <row r="756" spans="1:22" x14ac:dyDescent="0.2">
      <c r="A756" s="1">
        <v>44049</v>
      </c>
      <c r="B756">
        <f>1789.76</f>
        <v>1789.76</v>
      </c>
      <c r="C756">
        <f>9242.78</f>
        <v>9242.7800000000007</v>
      </c>
      <c r="D756">
        <f>5689.31</f>
        <v>5689.31</v>
      </c>
      <c r="E756">
        <f>2597.803</f>
        <v>2597.8029999999999</v>
      </c>
      <c r="F756">
        <f>1669.82</f>
        <v>1669.82</v>
      </c>
      <c r="G756">
        <f>7367.996</f>
        <v>7367.9960000000001</v>
      </c>
      <c r="H756">
        <f>2983.11</f>
        <v>2983.11</v>
      </c>
      <c r="I756">
        <f>10997.24</f>
        <v>10997.24</v>
      </c>
      <c r="J756">
        <f>4316.38</f>
        <v>4316.38</v>
      </c>
      <c r="K756">
        <f>14431.52</f>
        <v>14431.52</v>
      </c>
      <c r="L756">
        <f>2130.09</f>
        <v>2130.09</v>
      </c>
      <c r="M756">
        <f>10124.02</f>
        <v>10124.02</v>
      </c>
      <c r="N756">
        <f>347.069</f>
        <v>347.06900000000002</v>
      </c>
      <c r="O756">
        <f>2931.85</f>
        <v>2931.85</v>
      </c>
      <c r="P756">
        <f>220.64</f>
        <v>220.64</v>
      </c>
      <c r="Q756">
        <f>2943.794</f>
        <v>2943.7939999999999</v>
      </c>
      <c r="R756">
        <f>6870.86</f>
        <v>6870.86</v>
      </c>
      <c r="S756">
        <f>2397.64</f>
        <v>2397.64</v>
      </c>
      <c r="T756">
        <f>3106.422</f>
        <v>3106.422</v>
      </c>
      <c r="U756">
        <f>57656.69</f>
        <v>57656.69</v>
      </c>
      <c r="V756">
        <f>405.95</f>
        <v>405.95</v>
      </c>
    </row>
    <row r="757" spans="1:22" x14ac:dyDescent="0.2">
      <c r="A757" s="1">
        <v>44048</v>
      </c>
      <c r="B757">
        <f>1815.86</f>
        <v>1815.86</v>
      </c>
      <c r="C757">
        <f>9231.28</f>
        <v>9231.2800000000007</v>
      </c>
      <c r="D757">
        <f>5754.75</f>
        <v>5754.75</v>
      </c>
      <c r="E757">
        <f>2589.191</f>
        <v>2589.1909999999998</v>
      </c>
      <c r="F757">
        <f>1699.31</f>
        <v>1699.31</v>
      </c>
      <c r="G757">
        <f>7456.548</f>
        <v>7456.5479999999998</v>
      </c>
      <c r="H757">
        <f>2982.05</f>
        <v>2982.05</v>
      </c>
      <c r="I757">
        <f>11106.07</f>
        <v>11106.07</v>
      </c>
      <c r="J757">
        <f>4316.1</f>
        <v>4316.1000000000004</v>
      </c>
      <c r="K757">
        <f>14345.94</f>
        <v>14345.94</v>
      </c>
      <c r="L757">
        <f>2135.05</f>
        <v>2135.0500000000002</v>
      </c>
      <c r="M757">
        <f>10105.36</f>
        <v>10105.36</v>
      </c>
      <c r="N757">
        <f>349.023</f>
        <v>349.02300000000002</v>
      </c>
      <c r="O757">
        <f>2952.81</f>
        <v>2952.81</v>
      </c>
      <c r="P757">
        <f>220.11</f>
        <v>220.11</v>
      </c>
      <c r="Q757">
        <f>2950.433</f>
        <v>2950.433</v>
      </c>
      <c r="R757">
        <f>6826.22</f>
        <v>6826.22</v>
      </c>
      <c r="S757">
        <f>2405.12</f>
        <v>2405.12</v>
      </c>
      <c r="T757">
        <f>3124.32</f>
        <v>3124.32</v>
      </c>
      <c r="U757">
        <f>57629.36</f>
        <v>57629.36</v>
      </c>
      <c r="V757">
        <f>406.7</f>
        <v>406.7</v>
      </c>
    </row>
    <row r="758" spans="1:22" x14ac:dyDescent="0.2">
      <c r="A758" s="1">
        <v>44047</v>
      </c>
      <c r="B758">
        <f>1767.26</f>
        <v>1767.26</v>
      </c>
      <c r="C758">
        <f>9125.2</f>
        <v>9125.2000000000007</v>
      </c>
      <c r="D758">
        <f>5689.97</f>
        <v>5689.97</v>
      </c>
      <c r="E758">
        <f>2557.388</f>
        <v>2557.3879999999999</v>
      </c>
      <c r="F758">
        <f>1667.61</f>
        <v>1667.61</v>
      </c>
      <c r="G758">
        <f>7323.271</f>
        <v>7323.2709999999997</v>
      </c>
      <c r="H758">
        <f>2971.27</f>
        <v>2971.27</v>
      </c>
      <c r="I758">
        <f>10951.9</f>
        <v>10951.9</v>
      </c>
      <c r="J758">
        <f>4305.56</f>
        <v>4305.5600000000004</v>
      </c>
      <c r="K758">
        <f>14253.6</f>
        <v>14253.6</v>
      </c>
      <c r="L758">
        <f>2123.65</f>
        <v>2123.65</v>
      </c>
      <c r="M758">
        <f>10023.36</f>
        <v>10023.36</v>
      </c>
      <c r="N758">
        <f>348.539</f>
        <v>348.53899999999999</v>
      </c>
      <c r="O758">
        <f>2942.15</f>
        <v>2942.15</v>
      </c>
      <c r="P758">
        <f>220.46</f>
        <v>220.46</v>
      </c>
      <c r="Q758">
        <f>2926.751</f>
        <v>2926.7510000000002</v>
      </c>
      <c r="R758">
        <f>6782.6</f>
        <v>6782.6</v>
      </c>
      <c r="S758">
        <f>2405.97</f>
        <v>2405.9699999999998</v>
      </c>
      <c r="T758">
        <f>3074.014</f>
        <v>3074.0140000000001</v>
      </c>
      <c r="U758">
        <f>56248.93</f>
        <v>56248.93</v>
      </c>
      <c r="V758">
        <f>398.44</f>
        <v>398.44</v>
      </c>
    </row>
    <row r="759" spans="1:22" x14ac:dyDescent="0.2">
      <c r="A759" s="1">
        <v>44046</v>
      </c>
      <c r="B759">
        <f>1743.76</f>
        <v>1743.76</v>
      </c>
      <c r="C759">
        <f>9071.07</f>
        <v>9071.07</v>
      </c>
      <c r="D759">
        <f>5687.01</f>
        <v>5687.01</v>
      </c>
      <c r="E759">
        <f>2529.882</f>
        <v>2529.8820000000001</v>
      </c>
      <c r="F759">
        <f>1647.73</f>
        <v>1647.73</v>
      </c>
      <c r="G759">
        <f>7308.612</f>
        <v>7308.6120000000001</v>
      </c>
      <c r="H759">
        <f>2873.21</f>
        <v>2873.21</v>
      </c>
      <c r="I759">
        <f>10943.41</f>
        <v>10943.41</v>
      </c>
      <c r="J759">
        <f>4281.44</f>
        <v>4281.4399999999996</v>
      </c>
      <c r="K759">
        <f>14204.62</f>
        <v>14204.62</v>
      </c>
      <c r="L759">
        <f>2108.68</f>
        <v>2108.6799999999998</v>
      </c>
      <c r="M759">
        <f>9968.63</f>
        <v>9968.6299999999992</v>
      </c>
      <c r="N759">
        <f>351.214</f>
        <v>351.214</v>
      </c>
      <c r="O759">
        <f>2943.25</f>
        <v>2943.25</v>
      </c>
      <c r="P759">
        <f>214</f>
        <v>214</v>
      </c>
      <c r="Q759">
        <f>2917.1</f>
        <v>2917.1</v>
      </c>
      <c r="R759">
        <f>6758.2</f>
        <v>6758.2</v>
      </c>
      <c r="S759">
        <f>2355.52</f>
        <v>2355.52</v>
      </c>
      <c r="T759">
        <f>3058.056</f>
        <v>3058.056</v>
      </c>
      <c r="U759">
        <f>55829.4</f>
        <v>55829.4</v>
      </c>
      <c r="V759">
        <f>396.42</f>
        <v>396.42</v>
      </c>
    </row>
    <row r="760" spans="1:22" x14ac:dyDescent="0.2">
      <c r="A760" s="1">
        <v>44043</v>
      </c>
      <c r="B760">
        <f>1712.5</f>
        <v>1712.5</v>
      </c>
      <c r="C760">
        <f>9118.68</f>
        <v>9118.68</v>
      </c>
      <c r="D760">
        <f>5559.66</f>
        <v>5559.66</v>
      </c>
      <c r="E760">
        <f>2532.135</f>
        <v>2532.1350000000002</v>
      </c>
      <c r="F760">
        <f>1630.65</f>
        <v>1630.65</v>
      </c>
      <c r="G760">
        <f>7200.057</f>
        <v>7200.0569999999998</v>
      </c>
      <c r="H760">
        <f>2832.88</f>
        <v>2832.88</v>
      </c>
      <c r="I760">
        <f>10808.75</f>
        <v>10808.75</v>
      </c>
      <c r="J760">
        <f>4271.58</f>
        <v>4271.58</v>
      </c>
      <c r="K760">
        <f>14095.01</f>
        <v>14095.01</v>
      </c>
      <c r="L760">
        <f>2097.38</f>
        <v>2097.38</v>
      </c>
      <c r="M760">
        <f>9886.49</f>
        <v>9886.49</v>
      </c>
      <c r="N760">
        <f>345.661</f>
        <v>345.661</v>
      </c>
      <c r="O760">
        <f>2882.08</f>
        <v>2882.08</v>
      </c>
      <c r="P760">
        <f>210.14</f>
        <v>210.14</v>
      </c>
      <c r="Q760">
        <f>2912.86126</f>
        <v>2912.8612600000001</v>
      </c>
      <c r="R760">
        <f>6709.81</f>
        <v>6709.81</v>
      </c>
      <c r="S760">
        <f>2314.39</f>
        <v>2314.39</v>
      </c>
      <c r="T760">
        <f>3099.473</f>
        <v>3099.473</v>
      </c>
      <c r="U760">
        <f>55721.8</f>
        <v>55721.8</v>
      </c>
      <c r="V760">
        <f>398.77</f>
        <v>398.77</v>
      </c>
    </row>
    <row r="761" spans="1:22" x14ac:dyDescent="0.2">
      <c r="A761" s="1">
        <v>44042</v>
      </c>
      <c r="B761">
        <f>1732.88</f>
        <v>1732.88</v>
      </c>
      <c r="C761">
        <f>9160.17</f>
        <v>9160.17</v>
      </c>
      <c r="D761">
        <f>5646.61</f>
        <v>5646.61</v>
      </c>
      <c r="E761">
        <f>2539.409</f>
        <v>2539.4090000000001</v>
      </c>
      <c r="F761">
        <f>1666.39</f>
        <v>1666.39</v>
      </c>
      <c r="G761">
        <f>7269.692</f>
        <v>7269.692</v>
      </c>
      <c r="H761">
        <f>2981.71</f>
        <v>2981.71</v>
      </c>
      <c r="I761">
        <f>10883.96</f>
        <v>10883.96</v>
      </c>
      <c r="J761">
        <f>4279.5</f>
        <v>4279.5</v>
      </c>
      <c r="K761">
        <f>13988.56</f>
        <v>13988.56</v>
      </c>
      <c r="L761">
        <f>2112.29</f>
        <v>2112.29</v>
      </c>
      <c r="M761">
        <f>9881.42</f>
        <v>9881.42</v>
      </c>
      <c r="N761">
        <f>348.943</f>
        <v>348.94299999999998</v>
      </c>
      <c r="O761">
        <f>2913.57</f>
        <v>2913.57</v>
      </c>
      <c r="P761">
        <f>217.44</f>
        <v>217.44</v>
      </c>
      <c r="Q761">
        <f>2920.866</f>
        <v>2920.866</v>
      </c>
      <c r="R761">
        <f>6658.02</f>
        <v>6658.02</v>
      </c>
      <c r="S761">
        <f>2381.79</f>
        <v>2381.79</v>
      </c>
      <c r="T761">
        <f>3126.275</f>
        <v>3126.2750000000001</v>
      </c>
      <c r="U761">
        <f>55844.9</f>
        <v>55844.9</v>
      </c>
      <c r="V761">
        <f>400.07</f>
        <v>400.07</v>
      </c>
    </row>
    <row r="762" spans="1:22" x14ac:dyDescent="0.2">
      <c r="A762" s="1">
        <v>44041</v>
      </c>
      <c r="B762">
        <f>1785.25</f>
        <v>1785.25</v>
      </c>
      <c r="C762">
        <f>9252.79</f>
        <v>9252.7900000000009</v>
      </c>
      <c r="D762">
        <f>5779.03</f>
        <v>5779.03</v>
      </c>
      <c r="E762">
        <f>2549.921</f>
        <v>2549.9209999999998</v>
      </c>
      <c r="F762">
        <f>1697.54</f>
        <v>1697.54</v>
      </c>
      <c r="G762">
        <f>7396.336</f>
        <v>7396.3360000000002</v>
      </c>
      <c r="H762">
        <f>3001.96</f>
        <v>3001.96</v>
      </c>
      <c r="I762">
        <f>11118.82</f>
        <v>11118.82</v>
      </c>
      <c r="J762">
        <f>4304.88</f>
        <v>4304.88</v>
      </c>
      <c r="K762">
        <f>14032.11</f>
        <v>14032.11</v>
      </c>
      <c r="L762">
        <f>2132.14</f>
        <v>2132.14</v>
      </c>
      <c r="M762">
        <f>9947.58</f>
        <v>9947.58</v>
      </c>
      <c r="N762">
        <f>355.035</f>
        <v>355.03500000000003</v>
      </c>
      <c r="O762">
        <f>2980.31</f>
        <v>2980.31</v>
      </c>
      <c r="P762">
        <f>220.53</f>
        <v>220.53</v>
      </c>
      <c r="Q762">
        <f>2957.221</f>
        <v>2957.221</v>
      </c>
      <c r="R762">
        <f>6682.01</f>
        <v>6682.01</v>
      </c>
      <c r="S762">
        <f>2396.4</f>
        <v>2396.4</v>
      </c>
      <c r="T762">
        <f>3199.385</f>
        <v>3199.3850000000002</v>
      </c>
      <c r="U762">
        <f>56707.74</f>
        <v>56707.74</v>
      </c>
      <c r="V762">
        <f>407.06</f>
        <v>407.06</v>
      </c>
    </row>
    <row r="763" spans="1:22" x14ac:dyDescent="0.2">
      <c r="A763" s="1">
        <v>44040</v>
      </c>
      <c r="B763">
        <f>1792.23</f>
        <v>1792.23</v>
      </c>
      <c r="C763">
        <f>9207.49</f>
        <v>9207.49</v>
      </c>
      <c r="D763">
        <f>5776.95</f>
        <v>5776.95</v>
      </c>
      <c r="E763">
        <f>2538.964</f>
        <v>2538.9639999999999</v>
      </c>
      <c r="F763">
        <f>1704.26</f>
        <v>1704.26</v>
      </c>
      <c r="G763">
        <f>7382.401</f>
        <v>7382.4009999999998</v>
      </c>
      <c r="H763">
        <f>3051.07</f>
        <v>3051.07</v>
      </c>
      <c r="I763">
        <f>11077.23</f>
        <v>11077.23</v>
      </c>
      <c r="J763">
        <f>4286.41</f>
        <v>4286.41</v>
      </c>
      <c r="K763">
        <f>13852.42</f>
        <v>13852.42</v>
      </c>
      <c r="L763">
        <f>2125.65</f>
        <v>2125.65</v>
      </c>
      <c r="M763">
        <f>9862.59</f>
        <v>9862.59</v>
      </c>
      <c r="N763">
        <f>354.317</f>
        <v>354.31700000000001</v>
      </c>
      <c r="O763">
        <f>2981.4</f>
        <v>2981.4</v>
      </c>
      <c r="P763">
        <f>222.82</f>
        <v>222.82</v>
      </c>
      <c r="Q763">
        <f>2917.739</f>
        <v>2917.739</v>
      </c>
      <c r="R763">
        <f>6599.97</f>
        <v>6599.97</v>
      </c>
      <c r="S763">
        <f>2427.46</f>
        <v>2427.46</v>
      </c>
      <c r="T763">
        <f>3155.406</f>
        <v>3155.4059999999999</v>
      </c>
      <c r="U763">
        <f>56488.11</f>
        <v>56488.11</v>
      </c>
      <c r="V763">
        <f>404.94</f>
        <v>404.94</v>
      </c>
    </row>
    <row r="764" spans="1:22" x14ac:dyDescent="0.2">
      <c r="A764" s="1">
        <v>44039</v>
      </c>
      <c r="B764">
        <f>1780.41</f>
        <v>1780.41</v>
      </c>
      <c r="C764">
        <f>9202.1</f>
        <v>9202.1</v>
      </c>
      <c r="D764">
        <f>5753.97</f>
        <v>5753.97</v>
      </c>
      <c r="E764">
        <f>2517.965</f>
        <v>2517.9650000000001</v>
      </c>
      <c r="F764">
        <f>1681.99</f>
        <v>1681.99</v>
      </c>
      <c r="G764">
        <f>7321.911</f>
        <v>7321.9110000000001</v>
      </c>
      <c r="H764">
        <f>3067.99</f>
        <v>3067.99</v>
      </c>
      <c r="I764">
        <f>11106.52</f>
        <v>11106.52</v>
      </c>
      <c r="J764">
        <f>4288.72</f>
        <v>4288.72</v>
      </c>
      <c r="K764">
        <f>13951.1</f>
        <v>13951.1</v>
      </c>
      <c r="L764">
        <f>2123.22</f>
        <v>2123.2199999999998</v>
      </c>
      <c r="M764">
        <f>9912.76</f>
        <v>9912.76</v>
      </c>
      <c r="N764">
        <f>352.369</f>
        <v>352.36900000000003</v>
      </c>
      <c r="O764">
        <f>2969.89</f>
        <v>2969.89</v>
      </c>
      <c r="P764">
        <f>224.79</f>
        <v>224.79</v>
      </c>
      <c r="Q764">
        <f>2934.418</f>
        <v>2934.4180000000001</v>
      </c>
      <c r="R764">
        <f>6642.89</f>
        <v>6642.89</v>
      </c>
      <c r="S764">
        <f>2439.19</f>
        <v>2439.19</v>
      </c>
      <c r="T764">
        <f>3117.551</f>
        <v>3117.5509999999999</v>
      </c>
      <c r="U764">
        <f>56326.2</f>
        <v>56326.2</v>
      </c>
      <c r="V764">
        <f>404.29</f>
        <v>404.29</v>
      </c>
    </row>
    <row r="765" spans="1:22" x14ac:dyDescent="0.2">
      <c r="A765" s="1">
        <v>44036</v>
      </c>
      <c r="B765">
        <f>1798.36</f>
        <v>1798.36</v>
      </c>
      <c r="C765">
        <f>9147.73</f>
        <v>9147.73</v>
      </c>
      <c r="D765">
        <f>5771.83</f>
        <v>5771.83</v>
      </c>
      <c r="E765">
        <f>2488.153</f>
        <v>2488.1529999999998</v>
      </c>
      <c r="F765">
        <f>1671.93</f>
        <v>1671.93</v>
      </c>
      <c r="G765">
        <f>7288.038</f>
        <v>7288.0379999999996</v>
      </c>
      <c r="H765">
        <f>3036.76</f>
        <v>3036.76</v>
      </c>
      <c r="I765">
        <f>10984</f>
        <v>10984</v>
      </c>
      <c r="J765">
        <f>4278.93</f>
        <v>4278.93</v>
      </c>
      <c r="K765">
        <f>13832.7</f>
        <v>13832.7</v>
      </c>
      <c r="L765">
        <f>2112.38</f>
        <v>2112.38</v>
      </c>
      <c r="M765">
        <f>9826.72</f>
        <v>9826.7199999999993</v>
      </c>
      <c r="N765">
        <f>352.234</f>
        <v>352.23399999999998</v>
      </c>
      <c r="O765">
        <f>2978.43</f>
        <v>2978.43</v>
      </c>
      <c r="P765" t="e">
        <f>NA()</f>
        <v>#N/A</v>
      </c>
      <c r="Q765">
        <f>2921.375</f>
        <v>2921.375</v>
      </c>
      <c r="R765">
        <f>6594.1</f>
        <v>6594.1</v>
      </c>
      <c r="S765" t="e">
        <f>NA()</f>
        <v>#N/A</v>
      </c>
      <c r="T765">
        <f>3102.365</f>
        <v>3102.3649999999998</v>
      </c>
      <c r="U765">
        <f>55645.65</f>
        <v>55645.65</v>
      </c>
      <c r="V765">
        <f>400.92</f>
        <v>400.92</v>
      </c>
    </row>
    <row r="766" spans="1:22" x14ac:dyDescent="0.2">
      <c r="A766" s="1">
        <v>44035</v>
      </c>
      <c r="B766">
        <f>1822.03</f>
        <v>1822.03</v>
      </c>
      <c r="C766">
        <f>9240.78</f>
        <v>9240.7800000000007</v>
      </c>
      <c r="D766">
        <f>5854.41</f>
        <v>5854.41</v>
      </c>
      <c r="E766">
        <f>2528.193</f>
        <v>2528.1930000000002</v>
      </c>
      <c r="F766">
        <f>1689.21</f>
        <v>1689.21</v>
      </c>
      <c r="G766">
        <f>7365.919</f>
        <v>7365.9189999999999</v>
      </c>
      <c r="H766">
        <f>3004.4</f>
        <v>3004.4</v>
      </c>
      <c r="I766">
        <f>11156.8</f>
        <v>11156.8</v>
      </c>
      <c r="J766">
        <f>4329.3</f>
        <v>4329.3</v>
      </c>
      <c r="K766">
        <f>13927.97</f>
        <v>13927.97</v>
      </c>
      <c r="L766">
        <f>2126.37</f>
        <v>2126.37</v>
      </c>
      <c r="M766">
        <f>9897.25</f>
        <v>9897.25</v>
      </c>
      <c r="N766">
        <f>358.046</f>
        <v>358.04599999999999</v>
      </c>
      <c r="O766">
        <f>3027.79</f>
        <v>3027.79</v>
      </c>
      <c r="P766" t="e">
        <f>NA()</f>
        <v>#N/A</v>
      </c>
      <c r="Q766">
        <f>2931.684</f>
        <v>2931.6840000000002</v>
      </c>
      <c r="R766">
        <f>6635.04</f>
        <v>6635.04</v>
      </c>
      <c r="S766" t="e">
        <f>NA()</f>
        <v>#N/A</v>
      </c>
      <c r="T766">
        <f>3141.719</f>
        <v>3141.7190000000001</v>
      </c>
      <c r="U766">
        <f>56070.7</f>
        <v>56070.7</v>
      </c>
      <c r="V766">
        <f>400.1</f>
        <v>400.1</v>
      </c>
    </row>
    <row r="767" spans="1:22" x14ac:dyDescent="0.2">
      <c r="A767" s="1">
        <v>44034</v>
      </c>
      <c r="B767">
        <f>1836.34</f>
        <v>1836.34</v>
      </c>
      <c r="C767">
        <f>9266.18</f>
        <v>9266.18</v>
      </c>
      <c r="D767">
        <f>5847.69</f>
        <v>5847.69</v>
      </c>
      <c r="E767">
        <f>2527.451</f>
        <v>2527.451</v>
      </c>
      <c r="F767">
        <f>1687.09</f>
        <v>1687.09</v>
      </c>
      <c r="G767">
        <f>7348.532</f>
        <v>7348.5320000000002</v>
      </c>
      <c r="H767">
        <f>2998.94</f>
        <v>2998.94</v>
      </c>
      <c r="I767">
        <f>11154.42</f>
        <v>11154.42</v>
      </c>
      <c r="J767">
        <f>4335.88</f>
        <v>4335.88</v>
      </c>
      <c r="K767">
        <f>14110.59</f>
        <v>14110.59</v>
      </c>
      <c r="L767">
        <f>2126.75</f>
        <v>2126.75</v>
      </c>
      <c r="M767">
        <f>9980.86</f>
        <v>9980.86</v>
      </c>
      <c r="N767">
        <f>356.352</f>
        <v>356.35199999999998</v>
      </c>
      <c r="O767">
        <f>3028.87</f>
        <v>3028.87</v>
      </c>
      <c r="P767">
        <f>223.34</f>
        <v>223.34</v>
      </c>
      <c r="Q767">
        <f>2928.757</f>
        <v>2928.7570000000001</v>
      </c>
      <c r="R767">
        <f>6717.29</f>
        <v>6717.29</v>
      </c>
      <c r="S767">
        <f>2433.41</f>
        <v>2433.41</v>
      </c>
      <c r="T767">
        <f>3180.59</f>
        <v>3180.59</v>
      </c>
      <c r="U767">
        <f>55834.24</f>
        <v>55834.239999999998</v>
      </c>
      <c r="V767">
        <f>401.64</f>
        <v>401.64</v>
      </c>
    </row>
    <row r="768" spans="1:22" x14ac:dyDescent="0.2">
      <c r="A768" s="1">
        <v>44033</v>
      </c>
      <c r="B768">
        <f>1847.67</f>
        <v>1847.67</v>
      </c>
      <c r="C768">
        <f>9283.46</f>
        <v>9283.4599999999991</v>
      </c>
      <c r="D768">
        <f>5906.69</f>
        <v>5906.69</v>
      </c>
      <c r="E768">
        <f>2546.368</f>
        <v>2546.3679999999999</v>
      </c>
      <c r="F768">
        <f>1702.44</f>
        <v>1702.44</v>
      </c>
      <c r="G768">
        <f>7440.959</f>
        <v>7440.9589999999998</v>
      </c>
      <c r="H768">
        <f>3011.82</f>
        <v>3011.82</v>
      </c>
      <c r="I768">
        <f>11117.47</f>
        <v>11117.47</v>
      </c>
      <c r="J768">
        <f>4304.09</f>
        <v>4304.09</v>
      </c>
      <c r="K768">
        <f>14029.74</f>
        <v>14029.74</v>
      </c>
      <c r="L768">
        <f>2120.75</f>
        <v>2120.75</v>
      </c>
      <c r="M768">
        <f>9954.02</f>
        <v>9954.02</v>
      </c>
      <c r="N768">
        <f>359.067</f>
        <v>359.06700000000001</v>
      </c>
      <c r="O768">
        <f>3057.6</f>
        <v>3057.6</v>
      </c>
      <c r="P768">
        <f>224.08</f>
        <v>224.08</v>
      </c>
      <c r="Q768">
        <f>2905.02</f>
        <v>2905.02</v>
      </c>
      <c r="R768">
        <f>6678.74</f>
        <v>6678.74</v>
      </c>
      <c r="S768">
        <f>2448.55</f>
        <v>2448.5500000000002</v>
      </c>
      <c r="T768">
        <f>3188.621</f>
        <v>3188.6210000000001</v>
      </c>
      <c r="U768">
        <f>56422.14</f>
        <v>56422.14</v>
      </c>
      <c r="V768">
        <f>402.31</f>
        <v>402.31</v>
      </c>
    </row>
    <row r="769" spans="1:22" x14ac:dyDescent="0.2">
      <c r="A769" s="1">
        <v>44032</v>
      </c>
      <c r="B769">
        <f>1835.82</f>
        <v>1835.82</v>
      </c>
      <c r="C769">
        <f>9205.17</f>
        <v>9205.17</v>
      </c>
      <c r="D769">
        <f>5898.97</f>
        <v>5898.97</v>
      </c>
      <c r="E769">
        <f>2496.234</f>
        <v>2496.2339999999999</v>
      </c>
      <c r="F769">
        <f>1704.56</f>
        <v>1704.56</v>
      </c>
      <c r="G769">
        <f>7370.027</f>
        <v>7370.027</v>
      </c>
      <c r="H769">
        <f>3032.26</f>
        <v>3032.26</v>
      </c>
      <c r="I769">
        <f>11045.13</f>
        <v>11045.13</v>
      </c>
      <c r="J769">
        <f>4267.62</f>
        <v>4267.62</v>
      </c>
      <c r="K769">
        <f>14017.95</f>
        <v>14017.95</v>
      </c>
      <c r="L769">
        <f>2104.51</f>
        <v>2104.5100000000002</v>
      </c>
      <c r="M769">
        <f>9917.06</f>
        <v>9917.06</v>
      </c>
      <c r="N769">
        <f>359.26</f>
        <v>359.26</v>
      </c>
      <c r="O769">
        <f>3048.76</f>
        <v>3048.76</v>
      </c>
      <c r="P769">
        <f>225.28</f>
        <v>225.28</v>
      </c>
      <c r="Q769">
        <f>2871.947</f>
        <v>2871.9470000000001</v>
      </c>
      <c r="R769">
        <f>6667.45</f>
        <v>6667.45</v>
      </c>
      <c r="S769">
        <f>2439.71</f>
        <v>2439.71</v>
      </c>
      <c r="T769">
        <f>3162.861</f>
        <v>3162.8609999999999</v>
      </c>
      <c r="U769">
        <f>56265.36</f>
        <v>56265.36</v>
      </c>
      <c r="V769">
        <f>403.18</f>
        <v>403.18</v>
      </c>
    </row>
    <row r="770" spans="1:22" x14ac:dyDescent="0.2">
      <c r="A770" s="1">
        <v>44029</v>
      </c>
      <c r="B770">
        <f>1849.74</f>
        <v>1849.74</v>
      </c>
      <c r="C770">
        <f>9155.6</f>
        <v>9155.6</v>
      </c>
      <c r="D770">
        <f>5926.07</f>
        <v>5926.07</v>
      </c>
      <c r="E770">
        <f>2474.062</f>
        <v>2474.0619999999999</v>
      </c>
      <c r="F770">
        <f>1700.77</f>
        <v>1700.77</v>
      </c>
      <c r="G770">
        <f>7342.043</f>
        <v>7342.0429999999997</v>
      </c>
      <c r="H770">
        <f>3036.7</f>
        <v>3036.7</v>
      </c>
      <c r="I770">
        <f>10935.8</f>
        <v>10935.8</v>
      </c>
      <c r="J770">
        <f>4296.33</f>
        <v>4296.33</v>
      </c>
      <c r="K770">
        <f>13882.73</f>
        <v>13882.73</v>
      </c>
      <c r="L770">
        <f>2113.8</f>
        <v>2113.8000000000002</v>
      </c>
      <c r="M770">
        <f>9835.09</f>
        <v>9835.09</v>
      </c>
      <c r="N770">
        <f>356.638</f>
        <v>356.63799999999998</v>
      </c>
      <c r="O770">
        <f>3026.81</f>
        <v>3026.81</v>
      </c>
      <c r="P770">
        <f>225.5</f>
        <v>225.5</v>
      </c>
      <c r="Q770">
        <f>2902.953</f>
        <v>2902.953</v>
      </c>
      <c r="R770">
        <f>6611.86</f>
        <v>6611.86</v>
      </c>
      <c r="S770">
        <f>2434.78</f>
        <v>2434.7800000000002</v>
      </c>
      <c r="T770">
        <f>3168.562</f>
        <v>3168.5619999999999</v>
      </c>
      <c r="U770">
        <f>55911.8</f>
        <v>55911.8</v>
      </c>
      <c r="V770">
        <f>402.87</f>
        <v>402.87</v>
      </c>
    </row>
    <row r="771" spans="1:22" x14ac:dyDescent="0.2">
      <c r="A771" s="1">
        <v>44028</v>
      </c>
      <c r="B771">
        <f>1844.47</f>
        <v>1844.47</v>
      </c>
      <c r="C771">
        <f>9156.87</f>
        <v>9156.8700000000008</v>
      </c>
      <c r="D771">
        <f>5888.76</f>
        <v>5888.76</v>
      </c>
      <c r="E771">
        <f>2452.281</f>
        <v>2452.2809999999999</v>
      </c>
      <c r="F771">
        <f>1693.07</f>
        <v>1693.07</v>
      </c>
      <c r="G771">
        <f>7336.238</f>
        <v>7336.2380000000003</v>
      </c>
      <c r="H771">
        <f>3052.03</f>
        <v>3052.03</v>
      </c>
      <c r="I771">
        <f>10928.46</f>
        <v>10928.46</v>
      </c>
      <c r="J771">
        <f>4272.45</f>
        <v>4272.45</v>
      </c>
      <c r="K771">
        <f>13835.59</f>
        <v>13835.59</v>
      </c>
      <c r="L771">
        <f>2108.07</f>
        <v>2108.0700000000002</v>
      </c>
      <c r="M771">
        <f>9812.88</f>
        <v>9812.8799999999992</v>
      </c>
      <c r="N771">
        <f>356.383</f>
        <v>356.38299999999998</v>
      </c>
      <c r="O771">
        <f>3024.15</f>
        <v>3024.15</v>
      </c>
      <c r="P771">
        <f>226.93</f>
        <v>226.93</v>
      </c>
      <c r="Q771">
        <f>2895.519</f>
        <v>2895.5189999999998</v>
      </c>
      <c r="R771">
        <f>6592.75</f>
        <v>6592.75</v>
      </c>
      <c r="S771">
        <f>2442.84</f>
        <v>2442.84</v>
      </c>
      <c r="T771">
        <f>3194.163</f>
        <v>3194.163</v>
      </c>
      <c r="U771">
        <f>55729.45</f>
        <v>55729.45</v>
      </c>
      <c r="V771">
        <f>402.22</f>
        <v>402.22</v>
      </c>
    </row>
    <row r="772" spans="1:22" x14ac:dyDescent="0.2">
      <c r="A772" s="1">
        <v>44027</v>
      </c>
      <c r="B772">
        <f>1842.19</f>
        <v>1842.19</v>
      </c>
      <c r="C772">
        <f>9195.21</f>
        <v>9195.2099999999991</v>
      </c>
      <c r="D772">
        <f>5928.28</f>
        <v>5928.28</v>
      </c>
      <c r="E772">
        <f>2499.348</f>
        <v>2499.348</v>
      </c>
      <c r="F772">
        <f>1704.72</f>
        <v>1704.72</v>
      </c>
      <c r="G772">
        <f>7398.885</f>
        <v>7398.8850000000002</v>
      </c>
      <c r="H772">
        <f>3056.27</f>
        <v>3056.27</v>
      </c>
      <c r="I772">
        <f>10950.91</f>
        <v>10950.91</v>
      </c>
      <c r="J772">
        <f>4259.87</f>
        <v>4259.87</v>
      </c>
      <c r="K772">
        <f>13885.25</f>
        <v>13885.25</v>
      </c>
      <c r="L772">
        <f>2108.33</f>
        <v>2108.33</v>
      </c>
      <c r="M772">
        <f>9855.45</f>
        <v>9855.4500000000007</v>
      </c>
      <c r="N772">
        <f>358.884</f>
        <v>358.88400000000001</v>
      </c>
      <c r="O772">
        <f>3036.69</f>
        <v>3036.69</v>
      </c>
      <c r="P772">
        <f>226.82</f>
        <v>226.82</v>
      </c>
      <c r="Q772">
        <f>2893.174</f>
        <v>2893.174</v>
      </c>
      <c r="R772">
        <f>6615.07</f>
        <v>6615.07</v>
      </c>
      <c r="S772">
        <f>2459.01</f>
        <v>2459.0100000000002</v>
      </c>
      <c r="T772">
        <f>3192.925</f>
        <v>3192.9250000000002</v>
      </c>
      <c r="U772">
        <f>55947.05</f>
        <v>55947.05</v>
      </c>
      <c r="V772">
        <f>398.72</f>
        <v>398.72</v>
      </c>
    </row>
    <row r="773" spans="1:22" x14ac:dyDescent="0.2">
      <c r="A773" s="1">
        <v>44026</v>
      </c>
      <c r="B773">
        <f>1828.42</f>
        <v>1828.42</v>
      </c>
      <c r="C773">
        <f>9181.38</f>
        <v>9181.3799999999992</v>
      </c>
      <c r="D773">
        <f>5821.92</f>
        <v>5821.92</v>
      </c>
      <c r="E773">
        <f>2482.18</f>
        <v>2482.1799999999998</v>
      </c>
      <c r="F773">
        <f>1688.53</f>
        <v>1688.53</v>
      </c>
      <c r="G773">
        <f>7215.988</f>
        <v>7215.9880000000003</v>
      </c>
      <c r="H773">
        <f>3003.5</f>
        <v>3003.5</v>
      </c>
      <c r="I773">
        <f>10766.86</f>
        <v>10766.86</v>
      </c>
      <c r="J773">
        <f>4220.86</f>
        <v>4220.8599999999997</v>
      </c>
      <c r="K773">
        <f>13757.34</f>
        <v>13757.34</v>
      </c>
      <c r="L773">
        <f>2082.62</f>
        <v>2082.62</v>
      </c>
      <c r="M773">
        <f>9734.77</f>
        <v>9734.77</v>
      </c>
      <c r="N773">
        <f>353.268</f>
        <v>353.26799999999997</v>
      </c>
      <c r="O773">
        <f>2985.83</f>
        <v>2985.83</v>
      </c>
      <c r="P773">
        <f>224.03</f>
        <v>224.03</v>
      </c>
      <c r="Q773">
        <f>2845.733</f>
        <v>2845.7330000000002</v>
      </c>
      <c r="R773">
        <f>6555.4</f>
        <v>6555.4</v>
      </c>
      <c r="S773">
        <f>2421.32</f>
        <v>2421.3200000000002</v>
      </c>
      <c r="T773">
        <f>3170.139</f>
        <v>3170.1390000000001</v>
      </c>
      <c r="U773">
        <f>55531.05</f>
        <v>55531.05</v>
      </c>
      <c r="V773">
        <f>395.35</f>
        <v>395.35</v>
      </c>
    </row>
    <row r="774" spans="1:22" x14ac:dyDescent="0.2">
      <c r="A774" s="1">
        <v>44025</v>
      </c>
      <c r="B774">
        <f>1826.54</f>
        <v>1826.54</v>
      </c>
      <c r="C774">
        <f>9270.96</f>
        <v>9270.9599999999991</v>
      </c>
      <c r="D774">
        <f>5818.57</f>
        <v>5818.57</v>
      </c>
      <c r="E774">
        <f>2509.721</f>
        <v>2509.721</v>
      </c>
      <c r="F774">
        <f>1681.37</f>
        <v>1681.37</v>
      </c>
      <c r="G774">
        <f>7256.274</f>
        <v>7256.2740000000003</v>
      </c>
      <c r="H774">
        <f>2997.61</f>
        <v>2997.61</v>
      </c>
      <c r="I774">
        <f>10818.71</f>
        <v>10818.71</v>
      </c>
      <c r="J774">
        <f>4159.22</f>
        <v>4159.22</v>
      </c>
      <c r="K774">
        <f>13573.71</f>
        <v>13573.71</v>
      </c>
      <c r="L774">
        <f>2065.92</f>
        <v>2065.92</v>
      </c>
      <c r="M774">
        <f>9661.07</f>
        <v>9661.07</v>
      </c>
      <c r="N774">
        <f>355.995</f>
        <v>355.995</v>
      </c>
      <c r="O774">
        <f>3008.66</f>
        <v>3008.66</v>
      </c>
      <c r="P774">
        <f>224.29</f>
        <v>224.29</v>
      </c>
      <c r="Q774">
        <f>2791.998</f>
        <v>2791.998</v>
      </c>
      <c r="R774">
        <f>6467.84</f>
        <v>6467.84</v>
      </c>
      <c r="S774">
        <f>2433.49</f>
        <v>2433.4899999999998</v>
      </c>
      <c r="T774">
        <f>3223.446</f>
        <v>3223.4459999999999</v>
      </c>
      <c r="U774">
        <f>56199.46</f>
        <v>56199.46</v>
      </c>
      <c r="V774">
        <f>399.23</f>
        <v>399.23</v>
      </c>
    </row>
    <row r="775" spans="1:22" x14ac:dyDescent="0.2">
      <c r="A775" s="1">
        <v>44022</v>
      </c>
      <c r="B775">
        <f>1806.28</f>
        <v>1806.28</v>
      </c>
      <c r="C775">
        <f>9254.45</f>
        <v>9254.4500000000007</v>
      </c>
      <c r="D775">
        <f>5742.47</f>
        <v>5742.47</v>
      </c>
      <c r="E775">
        <f>2504.244</f>
        <v>2504.2440000000001</v>
      </c>
      <c r="F775">
        <f>1669.76</f>
        <v>1669.76</v>
      </c>
      <c r="G775">
        <f>7189.204</f>
        <v>7189.2039999999997</v>
      </c>
      <c r="H775">
        <f>2926.49</f>
        <v>2926.49</v>
      </c>
      <c r="I775">
        <f>10648.9</f>
        <v>10648.9</v>
      </c>
      <c r="J775">
        <f>4151.12</f>
        <v>4151.12</v>
      </c>
      <c r="K775">
        <f>13721.58</f>
        <v>13721.58</v>
      </c>
      <c r="L775">
        <f>2051.22</f>
        <v>2051.2199999999998</v>
      </c>
      <c r="M775">
        <f>9686.08</f>
        <v>9686.08</v>
      </c>
      <c r="N775">
        <f>354.472</f>
        <v>354.47199999999998</v>
      </c>
      <c r="O775">
        <f>2978.46</f>
        <v>2978.46</v>
      </c>
      <c r="P775">
        <f>218.48</f>
        <v>218.48</v>
      </c>
      <c r="Q775">
        <f>2789.889</f>
        <v>2789.8890000000001</v>
      </c>
      <c r="R775">
        <f>6528.96</f>
        <v>6528.96</v>
      </c>
      <c r="S775">
        <f>2375</f>
        <v>2375</v>
      </c>
      <c r="T775">
        <f>3177.102</f>
        <v>3177.1019999999999</v>
      </c>
      <c r="U775">
        <f>55417.89</f>
        <v>55417.89</v>
      </c>
      <c r="V775">
        <f>386.54</f>
        <v>386.54</v>
      </c>
    </row>
    <row r="776" spans="1:22" x14ac:dyDescent="0.2">
      <c r="A776" s="1">
        <v>44021</v>
      </c>
      <c r="B776">
        <f>1786.57</f>
        <v>1786.57</v>
      </c>
      <c r="C776">
        <f>9337.6</f>
        <v>9337.6</v>
      </c>
      <c r="D776">
        <f>5699.33</f>
        <v>5699.33</v>
      </c>
      <c r="E776">
        <f>2528.37</f>
        <v>2528.37</v>
      </c>
      <c r="F776">
        <f>1656.78</f>
        <v>1656.78</v>
      </c>
      <c r="G776">
        <f>7111.976</f>
        <v>7111.9759999999997</v>
      </c>
      <c r="H776">
        <f>2954.87</f>
        <v>2954.87</v>
      </c>
      <c r="I776">
        <f>10531.89</f>
        <v>10531.89</v>
      </c>
      <c r="J776">
        <f>4088.07</f>
        <v>4088.07</v>
      </c>
      <c r="K776">
        <f>13578.5</f>
        <v>13578.5</v>
      </c>
      <c r="L776">
        <f>2028.45</f>
        <v>2028.45</v>
      </c>
      <c r="M776">
        <f>9605.19</f>
        <v>9605.19</v>
      </c>
      <c r="N776">
        <f>352.969</f>
        <v>352.96899999999999</v>
      </c>
      <c r="O776">
        <f>2951.5</f>
        <v>2951.5</v>
      </c>
      <c r="P776">
        <f>222.56</f>
        <v>222.56</v>
      </c>
      <c r="Q776">
        <f>2743.449</f>
        <v>2743.4490000000001</v>
      </c>
      <c r="R776">
        <f>6461.31</f>
        <v>6461.31</v>
      </c>
      <c r="S776">
        <f>2409.08</f>
        <v>2409.08</v>
      </c>
      <c r="T776">
        <f>3182.435</f>
        <v>3182.4349999999999</v>
      </c>
      <c r="U776">
        <f>55787.9</f>
        <v>55787.9</v>
      </c>
      <c r="V776">
        <f>389.16</f>
        <v>389.16</v>
      </c>
    </row>
    <row r="777" spans="1:22" x14ac:dyDescent="0.2">
      <c r="A777" s="1">
        <v>44020</v>
      </c>
      <c r="B777">
        <f>1820.98</f>
        <v>1820.98</v>
      </c>
      <c r="C777">
        <f>9344.13</f>
        <v>9344.1299999999992</v>
      </c>
      <c r="D777">
        <f>5795.19</f>
        <v>5795.19</v>
      </c>
      <c r="E777">
        <f>2504.872</f>
        <v>2504.8719999999998</v>
      </c>
      <c r="F777">
        <f>1669.27</f>
        <v>1669.27</v>
      </c>
      <c r="G777">
        <f>7222.015</f>
        <v>7222.0150000000003</v>
      </c>
      <c r="H777">
        <f>2949.36</f>
        <v>2949.36</v>
      </c>
      <c r="I777">
        <f>10630.11</f>
        <v>10630.11</v>
      </c>
      <c r="J777">
        <f>4151.28</f>
        <v>4151.28</v>
      </c>
      <c r="K777">
        <f>13641.93</f>
        <v>13641.93</v>
      </c>
      <c r="L777">
        <f>2056.91</f>
        <v>2056.91</v>
      </c>
      <c r="M777">
        <f>9653.71</f>
        <v>9653.7099999999991</v>
      </c>
      <c r="N777">
        <f>355.665</f>
        <v>355.66500000000002</v>
      </c>
      <c r="O777">
        <f>2974.36</f>
        <v>2974.36</v>
      </c>
      <c r="P777">
        <f>222.87</f>
        <v>222.87</v>
      </c>
      <c r="Q777">
        <f>2785.925</f>
        <v>2785.9250000000002</v>
      </c>
      <c r="R777">
        <f>6496.14</f>
        <v>6496.14</v>
      </c>
      <c r="S777">
        <f>2409.07</f>
        <v>2409.0700000000002</v>
      </c>
      <c r="T777">
        <f>3178.913</f>
        <v>3178.913</v>
      </c>
      <c r="U777">
        <f>55870.69</f>
        <v>55870.69</v>
      </c>
      <c r="V777">
        <f>393.29</f>
        <v>393.29</v>
      </c>
    </row>
    <row r="778" spans="1:22" x14ac:dyDescent="0.2">
      <c r="A778" s="1">
        <v>44019</v>
      </c>
      <c r="B778">
        <f>1838.44</f>
        <v>1838.44</v>
      </c>
      <c r="C778">
        <f>9322.42</f>
        <v>9322.42</v>
      </c>
      <c r="D778">
        <f>5826.95</f>
        <v>5826.95</v>
      </c>
      <c r="E778">
        <f>2463.338</f>
        <v>2463.3380000000002</v>
      </c>
      <c r="F778">
        <f>1675.47</f>
        <v>1675.47</v>
      </c>
      <c r="G778">
        <f>7248.534</f>
        <v>7248.5339999999997</v>
      </c>
      <c r="H778">
        <f>2974.19</f>
        <v>2974.19</v>
      </c>
      <c r="I778">
        <f>10653.08</f>
        <v>10653.08</v>
      </c>
      <c r="J778">
        <f>4145.74</f>
        <v>4145.74</v>
      </c>
      <c r="K778">
        <f>13527.73</f>
        <v>13527.73</v>
      </c>
      <c r="L778">
        <f>2060.53</f>
        <v>2060.5300000000002</v>
      </c>
      <c r="M778">
        <f>9612.96</f>
        <v>9612.9599999999991</v>
      </c>
      <c r="N778">
        <f>358.01</f>
        <v>358.01</v>
      </c>
      <c r="O778">
        <f>2992.55</f>
        <v>2992.55</v>
      </c>
      <c r="P778">
        <f>224.85</f>
        <v>224.85</v>
      </c>
      <c r="Q778">
        <f>2785.95</f>
        <v>2785.95</v>
      </c>
      <c r="R778">
        <f>6445.59</f>
        <v>6445.59</v>
      </c>
      <c r="S778">
        <f>2431.46</f>
        <v>2431.46</v>
      </c>
      <c r="T778">
        <f>3163.525</f>
        <v>3163.5250000000001</v>
      </c>
      <c r="U778">
        <f>55243.8</f>
        <v>55243.8</v>
      </c>
      <c r="V778">
        <f>392.22</f>
        <v>392.22</v>
      </c>
    </row>
    <row r="779" spans="1:22" x14ac:dyDescent="0.2">
      <c r="A779" s="1">
        <v>44018</v>
      </c>
      <c r="B779">
        <f>1870.05</f>
        <v>1870.05</v>
      </c>
      <c r="C779">
        <f>9398.22</f>
        <v>9398.2199999999993</v>
      </c>
      <c r="D779">
        <f>5917.35</f>
        <v>5917.35</v>
      </c>
      <c r="E779">
        <f>2480.384</f>
        <v>2480.384</v>
      </c>
      <c r="F779">
        <f>1689.7</f>
        <v>1689.7</v>
      </c>
      <c r="G779">
        <f>7324.798</f>
        <v>7324.7979999999998</v>
      </c>
      <c r="H779">
        <f>3010.06</f>
        <v>3010.06</v>
      </c>
      <c r="I779">
        <f>10743.76</f>
        <v>10743.76</v>
      </c>
      <c r="J779">
        <f>4188.07</f>
        <v>4188.07</v>
      </c>
      <c r="K779">
        <f>13666.45</f>
        <v>13666.45</v>
      </c>
      <c r="L779">
        <f>2082.07</f>
        <v>2082.0700000000002</v>
      </c>
      <c r="M779">
        <f>9702.71</f>
        <v>9702.7099999999991</v>
      </c>
      <c r="N779">
        <f>360.806</f>
        <v>360.80599999999998</v>
      </c>
      <c r="O779">
        <f>3010.42</f>
        <v>3010.42</v>
      </c>
      <c r="P779">
        <f>226.64</f>
        <v>226.64</v>
      </c>
      <c r="Q779">
        <f>2814.363</f>
        <v>2814.3629999999998</v>
      </c>
      <c r="R779">
        <f>6516.05</f>
        <v>6516.05</v>
      </c>
      <c r="S779">
        <f>2439.88</f>
        <v>2439.88</v>
      </c>
      <c r="T779">
        <f>3178.415</f>
        <v>3178.415</v>
      </c>
      <c r="U779">
        <f>54846.28</f>
        <v>54846.28</v>
      </c>
      <c r="V779">
        <f>391.94</f>
        <v>391.94</v>
      </c>
    </row>
    <row r="780" spans="1:22" x14ac:dyDescent="0.2">
      <c r="A780" s="1">
        <v>44015</v>
      </c>
      <c r="B780">
        <f>1837.48</f>
        <v>1837.48</v>
      </c>
      <c r="C780">
        <f>9169.76</f>
        <v>9169.76</v>
      </c>
      <c r="D780">
        <f>5796.26</f>
        <v>5796.26</v>
      </c>
      <c r="E780">
        <f>2415.555</f>
        <v>2415.5549999999998</v>
      </c>
      <c r="F780">
        <f>1656.41</f>
        <v>1656.41</v>
      </c>
      <c r="G780">
        <f>7150.364</f>
        <v>7150.3639999999996</v>
      </c>
      <c r="H780">
        <f>2956.17</f>
        <v>2956.17</v>
      </c>
      <c r="I780">
        <f>10509.69</f>
        <v>10509.69</v>
      </c>
      <c r="J780">
        <f>4151.23</f>
        <v>4151.2299999999996</v>
      </c>
      <c r="K780">
        <f>13445.23</f>
        <v>13445.23</v>
      </c>
      <c r="L780">
        <f>2057.54</f>
        <v>2057.54</v>
      </c>
      <c r="M780">
        <f>9540.09</f>
        <v>9540.09</v>
      </c>
      <c r="N780">
        <f>356.697</f>
        <v>356.697</v>
      </c>
      <c r="O780">
        <f>2964.62</f>
        <v>2964.62</v>
      </c>
      <c r="P780">
        <f>222.59</f>
        <v>222.59</v>
      </c>
      <c r="Q780" t="e">
        <f>NA()</f>
        <v>#N/A</v>
      </c>
      <c r="R780" t="e">
        <f>NA()</f>
        <v>#N/A</v>
      </c>
      <c r="S780">
        <f>2401.49</f>
        <v>2401.4899999999998</v>
      </c>
      <c r="T780">
        <f>3186.3</f>
        <v>3186.3</v>
      </c>
      <c r="U780">
        <f>54521.9</f>
        <v>54521.9</v>
      </c>
      <c r="V780">
        <f>386.77</f>
        <v>386.77</v>
      </c>
    </row>
    <row r="781" spans="1:22" x14ac:dyDescent="0.2">
      <c r="A781" s="1">
        <v>44014</v>
      </c>
      <c r="B781">
        <f>1860.92</f>
        <v>1860.92</v>
      </c>
      <c r="C781">
        <f>9130.99</f>
        <v>9130.99</v>
      </c>
      <c r="D781">
        <f>5874.45</f>
        <v>5874.45</v>
      </c>
      <c r="E781">
        <f>2392.967</f>
        <v>2392.9670000000001</v>
      </c>
      <c r="F781">
        <f>1685.67</f>
        <v>1685.67</v>
      </c>
      <c r="G781">
        <f>7252.428</f>
        <v>7252.4279999999999</v>
      </c>
      <c r="H781">
        <f>2949.86</f>
        <v>2949.86</v>
      </c>
      <c r="I781">
        <f>10559.91</f>
        <v>10559.91</v>
      </c>
      <c r="J781">
        <f>4151.23</f>
        <v>4151.2299999999996</v>
      </c>
      <c r="K781">
        <f>13445.23</f>
        <v>13445.23</v>
      </c>
      <c r="L781">
        <f>2061.3</f>
        <v>2061.3000000000002</v>
      </c>
      <c r="M781">
        <f>9545.2</f>
        <v>9545.2000000000007</v>
      </c>
      <c r="N781">
        <f>359.167</f>
        <v>359.16699999999997</v>
      </c>
      <c r="O781">
        <f>2988.94</f>
        <v>2988.94</v>
      </c>
      <c r="P781">
        <f>222.81</f>
        <v>222.81</v>
      </c>
      <c r="Q781">
        <f>2784.625</f>
        <v>2784.625</v>
      </c>
      <c r="R781">
        <f>6414.16</f>
        <v>6414.16</v>
      </c>
      <c r="S781">
        <f>2386.68</f>
        <v>2386.6799999999998</v>
      </c>
      <c r="T781">
        <f>3184.396</f>
        <v>3184.3960000000002</v>
      </c>
      <c r="U781">
        <f>54617.19</f>
        <v>54617.19</v>
      </c>
      <c r="V781">
        <f>389.58</f>
        <v>389.58</v>
      </c>
    </row>
    <row r="782" spans="1:22" x14ac:dyDescent="0.2">
      <c r="A782" s="1">
        <v>44013</v>
      </c>
      <c r="B782">
        <f>1829.43</f>
        <v>1829.43</v>
      </c>
      <c r="C782">
        <f>8921.62</f>
        <v>8921.6200000000008</v>
      </c>
      <c r="D782">
        <f>5792.14</f>
        <v>5792.14</v>
      </c>
      <c r="E782">
        <f>2337.135</f>
        <v>2337.1350000000002</v>
      </c>
      <c r="F782">
        <f>1664.06</f>
        <v>1664.06</v>
      </c>
      <c r="G782">
        <f>7145.796</f>
        <v>7145.7960000000003</v>
      </c>
      <c r="H782">
        <f>2921.76</f>
        <v>2921.76</v>
      </c>
      <c r="I782">
        <f>10378.31</f>
        <v>10378.31</v>
      </c>
      <c r="J782">
        <f>4129.71</f>
        <v>4129.71</v>
      </c>
      <c r="K782">
        <f>13379.68</f>
        <v>13379.68</v>
      </c>
      <c r="L782">
        <f>2044.95</f>
        <v>2044.95</v>
      </c>
      <c r="M782">
        <f>9473.27</f>
        <v>9473.27</v>
      </c>
      <c r="N782">
        <f>354.497</f>
        <v>354.49700000000001</v>
      </c>
      <c r="O782">
        <f>2932.41</f>
        <v>2932.41</v>
      </c>
      <c r="P782">
        <f>221.68</f>
        <v>221.68</v>
      </c>
      <c r="Q782">
        <f>2760.79</f>
        <v>2760.79</v>
      </c>
      <c r="R782">
        <f>6383.76</f>
        <v>6383.76</v>
      </c>
      <c r="S782">
        <f>2380.27</f>
        <v>2380.27</v>
      </c>
      <c r="T782">
        <f>3141.922</f>
        <v>3141.922</v>
      </c>
      <c r="U782">
        <f>53787.72</f>
        <v>53787.72</v>
      </c>
      <c r="V782">
        <f>380.33</f>
        <v>380.33</v>
      </c>
    </row>
    <row r="783" spans="1:22" x14ac:dyDescent="0.2">
      <c r="A783" s="1">
        <v>44012</v>
      </c>
      <c r="B783">
        <f>1844.71</f>
        <v>1844.71</v>
      </c>
      <c r="C783">
        <f>8861.48</f>
        <v>8861.48</v>
      </c>
      <c r="D783">
        <f>5803.22</f>
        <v>5803.22</v>
      </c>
      <c r="E783">
        <f>2322.513</f>
        <v>2322.5129999999999</v>
      </c>
      <c r="F783">
        <f>1666.35</f>
        <v>1666.35</v>
      </c>
      <c r="G783">
        <f>7100.171</f>
        <v>7100.1710000000003</v>
      </c>
      <c r="H783">
        <f>2961.33</f>
        <v>2961.33</v>
      </c>
      <c r="I783">
        <f>10333.57</f>
        <v>10333.57</v>
      </c>
      <c r="J783">
        <f>4136.41</f>
        <v>4136.41</v>
      </c>
      <c r="K783">
        <f>13305.19</f>
        <v>13305.19</v>
      </c>
      <c r="L783">
        <f>2045.11</f>
        <v>2045.11</v>
      </c>
      <c r="M783">
        <f>9432.11</f>
        <v>9432.11</v>
      </c>
      <c r="N783">
        <f>352.536</f>
        <v>352.536</v>
      </c>
      <c r="O783">
        <f>2926.05</f>
        <v>2926.05</v>
      </c>
      <c r="P783">
        <f>225.43</f>
        <v>225.43</v>
      </c>
      <c r="Q783">
        <f>2770.737</f>
        <v>2770.7370000000001</v>
      </c>
      <c r="R783">
        <f>6351.67</f>
        <v>6351.67</v>
      </c>
      <c r="S783">
        <f>2411.45</f>
        <v>2411.4499999999998</v>
      </c>
      <c r="T783">
        <f>3157.457</f>
        <v>3157.4569999999999</v>
      </c>
      <c r="U783">
        <f>54362.36</f>
        <v>54362.36</v>
      </c>
      <c r="V783">
        <f>384.61</f>
        <v>384.61</v>
      </c>
    </row>
    <row r="784" spans="1:22" x14ac:dyDescent="0.2">
      <c r="A784" s="1">
        <v>44011</v>
      </c>
      <c r="B784">
        <f>1847.79</f>
        <v>1847.79</v>
      </c>
      <c r="C784">
        <f>8900.63</f>
        <v>8900.6299999999992</v>
      </c>
      <c r="D784">
        <f>5855.92</f>
        <v>5855.92</v>
      </c>
      <c r="E784">
        <f>2319.327</f>
        <v>2319.3270000000002</v>
      </c>
      <c r="F784">
        <f>1663.46</f>
        <v>1663.46</v>
      </c>
      <c r="G784">
        <f>7113.59</f>
        <v>7113.59</v>
      </c>
      <c r="H784">
        <f>2927.73</f>
        <v>2927.73</v>
      </c>
      <c r="I784">
        <f>10332.85</f>
        <v>10332.85</v>
      </c>
      <c r="J784">
        <f>4085.92</f>
        <v>4085.92</v>
      </c>
      <c r="K784">
        <f>13096.59</f>
        <v>13096.59</v>
      </c>
      <c r="L784">
        <f>2028.78</f>
        <v>2028.78</v>
      </c>
      <c r="M784">
        <f>9323.05</f>
        <v>9323.0499999999993</v>
      </c>
      <c r="N784">
        <f>351.493</f>
        <v>351.49299999999999</v>
      </c>
      <c r="O784">
        <f>2924.82</f>
        <v>2924.82</v>
      </c>
      <c r="P784">
        <f>223.76</f>
        <v>223.76</v>
      </c>
      <c r="Q784">
        <f>2737.472</f>
        <v>2737.4720000000002</v>
      </c>
      <c r="R784">
        <f>6254.78</f>
        <v>6254.78</v>
      </c>
      <c r="S784">
        <f>2396.67</f>
        <v>2396.67</v>
      </c>
      <c r="T784">
        <f>3191.537</f>
        <v>3191.5369999999998</v>
      </c>
      <c r="U784">
        <f>54141.5</f>
        <v>54141.5</v>
      </c>
      <c r="V784">
        <f>387.86</f>
        <v>387.86</v>
      </c>
    </row>
    <row r="785" spans="1:22" x14ac:dyDescent="0.2">
      <c r="A785" s="1">
        <v>44008</v>
      </c>
      <c r="B785">
        <f>1826.39</f>
        <v>1826.39</v>
      </c>
      <c r="C785">
        <f>8946.69</f>
        <v>8946.69</v>
      </c>
      <c r="D785">
        <f>5793.41</f>
        <v>5793.41</v>
      </c>
      <c r="E785">
        <f>2329.514</f>
        <v>2329.5140000000001</v>
      </c>
      <c r="F785">
        <f>1656.01</f>
        <v>1656.01</v>
      </c>
      <c r="G785">
        <f>7065.365</f>
        <v>7065.3649999999998</v>
      </c>
      <c r="H785">
        <f>2992.22</f>
        <v>2992.22</v>
      </c>
      <c r="I785">
        <f>10240.76</f>
        <v>10240.76</v>
      </c>
      <c r="J785">
        <f>4017.23</f>
        <v>4017.23</v>
      </c>
      <c r="K785">
        <f>12911.28</f>
        <v>12911.28</v>
      </c>
      <c r="L785">
        <f>2009.43</f>
        <v>2009.43</v>
      </c>
      <c r="M785">
        <f>9237.29</f>
        <v>9237.2900000000009</v>
      </c>
      <c r="N785">
        <f>350.903</f>
        <v>350.90300000000002</v>
      </c>
      <c r="O785">
        <f>2910.16</f>
        <v>2910.16</v>
      </c>
      <c r="P785">
        <f>227.37</f>
        <v>227.37</v>
      </c>
      <c r="Q785">
        <f>2679.439</f>
        <v>2679.4389999999999</v>
      </c>
      <c r="R785">
        <f>6163.5</f>
        <v>6163.5</v>
      </c>
      <c r="S785">
        <f>2436.7</f>
        <v>2436.6999999999998</v>
      </c>
      <c r="T785">
        <f>3165.691</f>
        <v>3165.6909999999998</v>
      </c>
      <c r="U785">
        <f>53648.05</f>
        <v>53648.05</v>
      </c>
      <c r="V785">
        <f>386.26</f>
        <v>386.26</v>
      </c>
    </row>
    <row r="786" spans="1:22" x14ac:dyDescent="0.2">
      <c r="A786" s="1">
        <v>44007</v>
      </c>
      <c r="B786">
        <f>1842.88</f>
        <v>1842.88</v>
      </c>
      <c r="C786">
        <f>9001.3</f>
        <v>9001.2999999999993</v>
      </c>
      <c r="D786">
        <f>5781.97</f>
        <v>5781.97</v>
      </c>
      <c r="E786">
        <f>2342.374</f>
        <v>2342.3739999999998</v>
      </c>
      <c r="F786">
        <f>1670.9</f>
        <v>1670.9</v>
      </c>
      <c r="G786">
        <f>7104.968</f>
        <v>7104.9679999999998</v>
      </c>
      <c r="H786">
        <f>2964</f>
        <v>2964</v>
      </c>
      <c r="I786">
        <f>10293.14</f>
        <v>10293.14</v>
      </c>
      <c r="J786">
        <f>4094.41</f>
        <v>4094.41</v>
      </c>
      <c r="K786">
        <f>13227.96</f>
        <v>13227.96</v>
      </c>
      <c r="L786">
        <f>2035.01</f>
        <v>2035.01</v>
      </c>
      <c r="M786">
        <f>9392.11</f>
        <v>9392.11</v>
      </c>
      <c r="N786">
        <f>350.978</f>
        <v>350.97800000000001</v>
      </c>
      <c r="O786">
        <f>2921.94</f>
        <v>2921.94</v>
      </c>
      <c r="P786">
        <f>225.12</f>
        <v>225.12</v>
      </c>
      <c r="Q786">
        <f>2728.309</f>
        <v>2728.3090000000002</v>
      </c>
      <c r="R786">
        <f>6316.45</f>
        <v>6316.45</v>
      </c>
      <c r="S786">
        <f>2412.73</f>
        <v>2412.73</v>
      </c>
      <c r="T786">
        <f>3202.962</f>
        <v>3202.962</v>
      </c>
      <c r="U786">
        <f>53914.05</f>
        <v>53914.05</v>
      </c>
      <c r="V786">
        <f>389.92</f>
        <v>389.92</v>
      </c>
    </row>
    <row r="787" spans="1:22" x14ac:dyDescent="0.2">
      <c r="A787" s="1">
        <v>44006</v>
      </c>
      <c r="B787">
        <f>1847.33</f>
        <v>1847.33</v>
      </c>
      <c r="C787">
        <f>9054.76</f>
        <v>9054.76</v>
      </c>
      <c r="D787">
        <f>5758.32</f>
        <v>5758.32</v>
      </c>
      <c r="E787">
        <f>2357.056</f>
        <v>2357.056</v>
      </c>
      <c r="F787">
        <f>1661.4</f>
        <v>1661.4</v>
      </c>
      <c r="G787">
        <f>7096.509</f>
        <v>7096.509</v>
      </c>
      <c r="H787">
        <f>3031.76</f>
        <v>3031.76</v>
      </c>
      <c r="I787">
        <f>10268.97</f>
        <v>10268.969999999999</v>
      </c>
      <c r="J787">
        <f>4062.72</f>
        <v>4062.72</v>
      </c>
      <c r="K787">
        <f>13078.6</f>
        <v>13078.6</v>
      </c>
      <c r="L787">
        <f>2026.79</f>
        <v>2026.79</v>
      </c>
      <c r="M787">
        <f>9334.82</f>
        <v>9334.82</v>
      </c>
      <c r="N787">
        <f>347.892</f>
        <v>347.892</v>
      </c>
      <c r="O787">
        <f>2899.83</f>
        <v>2899.83</v>
      </c>
      <c r="P787">
        <f>229.16</f>
        <v>229.16</v>
      </c>
      <c r="Q787">
        <f>2705.688</f>
        <v>2705.6880000000001</v>
      </c>
      <c r="R787">
        <f>6247.66</f>
        <v>6247.66</v>
      </c>
      <c r="S787">
        <f>2441.53</f>
        <v>2441.5300000000002</v>
      </c>
      <c r="T787">
        <f>3251.322</f>
        <v>3251.3220000000001</v>
      </c>
      <c r="U787">
        <f>54447.73</f>
        <v>54447.73</v>
      </c>
      <c r="V787">
        <f>393.58</f>
        <v>393.58</v>
      </c>
    </row>
    <row r="788" spans="1:22" x14ac:dyDescent="0.2">
      <c r="A788" s="1">
        <v>44005</v>
      </c>
      <c r="B788">
        <f>1931.8</f>
        <v>1931.8</v>
      </c>
      <c r="C788">
        <f>9088.43</f>
        <v>9088.43</v>
      </c>
      <c r="D788">
        <f>5943.03</f>
        <v>5943.03</v>
      </c>
      <c r="E788">
        <f>2365.471</f>
        <v>2365.471</v>
      </c>
      <c r="F788">
        <f>1727.58</f>
        <v>1727.58</v>
      </c>
      <c r="G788">
        <f>7369.706</f>
        <v>7369.7060000000001</v>
      </c>
      <c r="H788">
        <f>3065.19</f>
        <v>3065.19</v>
      </c>
      <c r="I788">
        <f>10605.4</f>
        <v>10605.4</v>
      </c>
      <c r="J788">
        <f>4163.31</f>
        <v>4163.3100000000004</v>
      </c>
      <c r="K788">
        <f>13425.46</f>
        <v>13425.46</v>
      </c>
      <c r="L788">
        <f>2076.4</f>
        <v>2076.4</v>
      </c>
      <c r="M788">
        <f>9574.2</f>
        <v>9574.2000000000007</v>
      </c>
      <c r="N788">
        <f>358.303</f>
        <v>358.303</v>
      </c>
      <c r="O788">
        <f>2985.87</f>
        <v>2985.87</v>
      </c>
      <c r="P788">
        <f>231.28</f>
        <v>231.28</v>
      </c>
      <c r="Q788">
        <f>2784.74</f>
        <v>2784.74</v>
      </c>
      <c r="R788">
        <f>6413.44</f>
        <v>6413.44</v>
      </c>
      <c r="S788">
        <f>2451.79</f>
        <v>2451.79</v>
      </c>
      <c r="T788">
        <f>3276.643</f>
        <v>3276.643</v>
      </c>
      <c r="U788">
        <f>55474.93</f>
        <v>55474.93</v>
      </c>
      <c r="V788">
        <f>400.02</f>
        <v>400.02</v>
      </c>
    </row>
    <row r="789" spans="1:22" x14ac:dyDescent="0.2">
      <c r="A789" s="1">
        <v>44004</v>
      </c>
      <c r="B789">
        <f>1901.09</f>
        <v>1901.09</v>
      </c>
      <c r="C789">
        <f>9035.71</f>
        <v>9035.7099999999991</v>
      </c>
      <c r="D789">
        <f>5872.03</f>
        <v>5872.03</v>
      </c>
      <c r="E789">
        <f>2331.53</f>
        <v>2331.5300000000002</v>
      </c>
      <c r="F789">
        <f>1689.03</f>
        <v>1689.03</v>
      </c>
      <c r="G789">
        <f>7235.674</f>
        <v>7235.674</v>
      </c>
      <c r="H789">
        <f>3028.22</f>
        <v>3028.22</v>
      </c>
      <c r="I789">
        <f>10380.89</f>
        <v>10380.89</v>
      </c>
      <c r="J789">
        <f>4162.51</f>
        <v>4162.51</v>
      </c>
      <c r="K789">
        <f>13371.14</f>
        <v>13371.14</v>
      </c>
      <c r="L789">
        <f>2063.44</f>
        <v>2063.44</v>
      </c>
      <c r="M789">
        <f>9495.88</f>
        <v>9495.8799999999992</v>
      </c>
      <c r="N789">
        <f>354.52</f>
        <v>354.52</v>
      </c>
      <c r="O789">
        <f>2945.06</f>
        <v>2945.06</v>
      </c>
      <c r="P789">
        <f>230.36</f>
        <v>230.36</v>
      </c>
      <c r="Q789">
        <f>2782.289</f>
        <v>2782.2890000000002</v>
      </c>
      <c r="R789">
        <f>6385.91</f>
        <v>6385.91</v>
      </c>
      <c r="S789">
        <f>2439.36</f>
        <v>2439.36</v>
      </c>
      <c r="T789">
        <f>3271.951</f>
        <v>3271.951</v>
      </c>
      <c r="U789">
        <f>54230.17</f>
        <v>54230.17</v>
      </c>
      <c r="V789">
        <f>394.53</f>
        <v>394.53</v>
      </c>
    </row>
    <row r="790" spans="1:22" x14ac:dyDescent="0.2">
      <c r="A790" s="1">
        <v>44001</v>
      </c>
      <c r="B790">
        <f>1910.14</f>
        <v>1910.14</v>
      </c>
      <c r="C790">
        <f>9099.47</f>
        <v>9099.4699999999993</v>
      </c>
      <c r="D790">
        <f>5917.15</f>
        <v>5917.15</v>
      </c>
      <c r="E790">
        <f>2332.875</f>
        <v>2332.875</v>
      </c>
      <c r="F790">
        <f>1675.76</f>
        <v>1675.76</v>
      </c>
      <c r="G790">
        <f>7245.941</f>
        <v>7245.9409999999998</v>
      </c>
      <c r="H790">
        <f>3031.43</f>
        <v>3031.43</v>
      </c>
      <c r="I790">
        <f>10398.6</f>
        <v>10398.6</v>
      </c>
      <c r="J790">
        <f>4170.36</f>
        <v>4170.3599999999997</v>
      </c>
      <c r="K790">
        <f>13283.53</f>
        <v>13283.53</v>
      </c>
      <c r="L790">
        <f>2070.93</f>
        <v>2070.9299999999998</v>
      </c>
      <c r="M790">
        <f>9457.19</f>
        <v>9457.19</v>
      </c>
      <c r="N790">
        <f>356.337</f>
        <v>356.33699999999999</v>
      </c>
      <c r="O790">
        <f>2967.1</f>
        <v>2967.1</v>
      </c>
      <c r="P790">
        <f>230.45</f>
        <v>230.45</v>
      </c>
      <c r="Q790">
        <f>2783.957</f>
        <v>2783.9569999999999</v>
      </c>
      <c r="R790">
        <f>6344.7</f>
        <v>6344.7</v>
      </c>
      <c r="S790">
        <f>2445.09</f>
        <v>2445.09</v>
      </c>
      <c r="T790">
        <f>3304.498</f>
        <v>3304.498</v>
      </c>
      <c r="U790">
        <f>54224.4</f>
        <v>54224.4</v>
      </c>
      <c r="V790">
        <f>399.76</f>
        <v>399.76</v>
      </c>
    </row>
    <row r="791" spans="1:22" x14ac:dyDescent="0.2">
      <c r="A791" s="1">
        <v>44000</v>
      </c>
      <c r="B791">
        <f>1906.11</f>
        <v>1906.11</v>
      </c>
      <c r="C791">
        <f>9036.43</f>
        <v>9036.43</v>
      </c>
      <c r="D791">
        <f>5852.71</f>
        <v>5852.71</v>
      </c>
      <c r="E791">
        <f>2318.301</f>
        <v>2318.3009999999999</v>
      </c>
      <c r="F791">
        <f>1672.07</f>
        <v>1672.07</v>
      </c>
      <c r="G791">
        <f>7199.469</f>
        <v>7199.4690000000001</v>
      </c>
      <c r="H791">
        <f>3059.3</f>
        <v>3059.3</v>
      </c>
      <c r="I791">
        <f>10375.77</f>
        <v>10375.77</v>
      </c>
      <c r="J791">
        <f>4196.23</f>
        <v>4196.2299999999996</v>
      </c>
      <c r="K791">
        <f>13350.09</f>
        <v>13350.09</v>
      </c>
      <c r="L791">
        <f>2074.94</f>
        <v>2074.94</v>
      </c>
      <c r="M791">
        <f>9483.87</f>
        <v>9483.8700000000008</v>
      </c>
      <c r="N791">
        <f>354.034</f>
        <v>354.03399999999999</v>
      </c>
      <c r="O791">
        <f>2949.31</f>
        <v>2949.31</v>
      </c>
      <c r="P791">
        <f>230.81</f>
        <v>230.81</v>
      </c>
      <c r="Q791">
        <f>2804.022</f>
        <v>2804.0219999999999</v>
      </c>
      <c r="R791">
        <f>6379.56</f>
        <v>6379.56</v>
      </c>
      <c r="S791">
        <f>2445.54</f>
        <v>2445.54</v>
      </c>
      <c r="T791">
        <f>3291.695</f>
        <v>3291.6950000000002</v>
      </c>
      <c r="U791">
        <f>53941.22</f>
        <v>53941.22</v>
      </c>
      <c r="V791">
        <f>397.32</f>
        <v>397.32</v>
      </c>
    </row>
    <row r="792" spans="1:22" x14ac:dyDescent="0.2">
      <c r="A792" s="1">
        <v>43999</v>
      </c>
      <c r="B792">
        <f>1920.81</f>
        <v>1920.81</v>
      </c>
      <c r="C792">
        <f>9066.38</f>
        <v>9066.3799999999992</v>
      </c>
      <c r="D792">
        <f>5879.56</f>
        <v>5879.56</v>
      </c>
      <c r="E792">
        <f>2315.691</f>
        <v>2315.6909999999998</v>
      </c>
      <c r="F792">
        <f>1696.21</f>
        <v>1696.21</v>
      </c>
      <c r="G792">
        <f>7307.284</f>
        <v>7307.2839999999997</v>
      </c>
      <c r="H792">
        <f>3066.94</f>
        <v>3066.94</v>
      </c>
      <c r="I792">
        <f>10430.83</f>
        <v>10430.83</v>
      </c>
      <c r="J792">
        <f>4193.9</f>
        <v>4193.8999999999996</v>
      </c>
      <c r="K792">
        <f>13336.26</f>
        <v>13336.26</v>
      </c>
      <c r="L792">
        <f>2076.2</f>
        <v>2076.1999999999998</v>
      </c>
      <c r="M792">
        <f>9493.03</f>
        <v>9493.0300000000007</v>
      </c>
      <c r="N792">
        <f>356.063</f>
        <v>356.06299999999999</v>
      </c>
      <c r="O792">
        <f>2970.67</f>
        <v>2970.67</v>
      </c>
      <c r="P792">
        <f>231.54</f>
        <v>231.54</v>
      </c>
      <c r="Q792">
        <f>2805.852</f>
        <v>2805.8519999999999</v>
      </c>
      <c r="R792">
        <f>6375.54</f>
        <v>6375.54</v>
      </c>
      <c r="S792">
        <f>2451.71</f>
        <v>2451.71</v>
      </c>
      <c r="T792">
        <f>3305.183</f>
        <v>3305.183</v>
      </c>
      <c r="U792">
        <f>54027.42</f>
        <v>54027.42</v>
      </c>
      <c r="V792">
        <f>401.04</f>
        <v>401.04</v>
      </c>
    </row>
    <row r="793" spans="1:22" x14ac:dyDescent="0.2">
      <c r="A793" s="1">
        <v>43998</v>
      </c>
      <c r="B793">
        <f>1924.95</f>
        <v>1924.95</v>
      </c>
      <c r="C793">
        <f>9048.41</f>
        <v>9048.41</v>
      </c>
      <c r="D793">
        <f>5869.72</f>
        <v>5869.72</v>
      </c>
      <c r="E793">
        <f>2304.474</f>
        <v>2304.4740000000002</v>
      </c>
      <c r="F793">
        <f>1699.13</f>
        <v>1699.13</v>
      </c>
      <c r="G793">
        <f>7310.836</f>
        <v>7310.8360000000002</v>
      </c>
      <c r="H793">
        <f>3096.15</f>
        <v>3096.15</v>
      </c>
      <c r="I793">
        <f>10344.47</f>
        <v>10344.469999999999</v>
      </c>
      <c r="J793">
        <f>4218.19</f>
        <v>4218.1899999999996</v>
      </c>
      <c r="K793">
        <f>13377.63</f>
        <v>13377.63</v>
      </c>
      <c r="L793">
        <f>2082.51</f>
        <v>2082.5100000000002</v>
      </c>
      <c r="M793">
        <f>9497.99</f>
        <v>9497.99</v>
      </c>
      <c r="N793">
        <f>354.211</f>
        <v>354.21100000000001</v>
      </c>
      <c r="O793">
        <f>2947.86</f>
        <v>2947.86</v>
      </c>
      <c r="P793">
        <f>232.62</f>
        <v>232.62</v>
      </c>
      <c r="Q793">
        <f>2824.731</f>
        <v>2824.7310000000002</v>
      </c>
      <c r="R793">
        <f>6398.58</f>
        <v>6398.58</v>
      </c>
      <c r="S793">
        <f>2461.54</f>
        <v>2461.54</v>
      </c>
      <c r="T793" t="e">
        <f>NA()</f>
        <v>#N/A</v>
      </c>
      <c r="U793" t="e">
        <f>NA()</f>
        <v>#N/A</v>
      </c>
      <c r="V793" t="e">
        <f>NA()</f>
        <v>#N/A</v>
      </c>
    </row>
    <row r="794" spans="1:22" x14ac:dyDescent="0.2">
      <c r="A794" s="1">
        <v>43997</v>
      </c>
      <c r="B794">
        <f>1873.49</f>
        <v>1873.49</v>
      </c>
      <c r="C794">
        <f>8871.48</f>
        <v>8871.48</v>
      </c>
      <c r="D794">
        <f>5702.28</f>
        <v>5702.28</v>
      </c>
      <c r="E794">
        <f>2249.437</f>
        <v>2249.4369999999999</v>
      </c>
      <c r="F794">
        <f>1651.08</f>
        <v>1651.08</v>
      </c>
      <c r="G794">
        <f>7106.491</f>
        <v>7106.491</v>
      </c>
      <c r="H794">
        <f>2957.25</f>
        <v>2957.25</v>
      </c>
      <c r="I794">
        <f>10098.37</f>
        <v>10098.370000000001</v>
      </c>
      <c r="J794">
        <f>4145.1</f>
        <v>4145.1000000000004</v>
      </c>
      <c r="K794">
        <f>13131.74</f>
        <v>13131.74</v>
      </c>
      <c r="L794">
        <f>2037.85</f>
        <v>2037.85</v>
      </c>
      <c r="M794">
        <f>9293.99</f>
        <v>9293.99</v>
      </c>
      <c r="N794">
        <f>344.338</f>
        <v>344.33800000000002</v>
      </c>
      <c r="O794">
        <f>2863.56</f>
        <v>2863.56</v>
      </c>
      <c r="P794">
        <f>224.57</f>
        <v>224.57</v>
      </c>
      <c r="Q794">
        <f>2770.13</f>
        <v>2770.13</v>
      </c>
      <c r="R794">
        <f>6279.4</f>
        <v>6279.4</v>
      </c>
      <c r="S794">
        <f>2364.73</f>
        <v>2364.73</v>
      </c>
      <c r="T794">
        <f>3226.082</f>
        <v>3226.0819999999999</v>
      </c>
      <c r="U794">
        <f>52270.2</f>
        <v>52270.2</v>
      </c>
      <c r="V794">
        <f>391.23</f>
        <v>391.23</v>
      </c>
    </row>
    <row r="795" spans="1:22" x14ac:dyDescent="0.2">
      <c r="A795" s="1">
        <v>43994</v>
      </c>
      <c r="B795">
        <f>1878.45</f>
        <v>1878.45</v>
      </c>
      <c r="C795">
        <f>9052.3</f>
        <v>9052.2999999999993</v>
      </c>
      <c r="D795">
        <f>5740.34</f>
        <v>5740.34</v>
      </c>
      <c r="E795">
        <f>2297.367</f>
        <v>2297.3670000000002</v>
      </c>
      <c r="F795">
        <f>1661.09</f>
        <v>1661.09</v>
      </c>
      <c r="G795">
        <f>7139.581</f>
        <v>7139.5810000000001</v>
      </c>
      <c r="H795">
        <f>3031.97</f>
        <v>3031.97</v>
      </c>
      <c r="I795">
        <f>10091.3</f>
        <v>10091.299999999999</v>
      </c>
      <c r="J795">
        <f>4120.46</f>
        <v>4120.46</v>
      </c>
      <c r="K795">
        <f>13007.56</f>
        <v>13007.56</v>
      </c>
      <c r="L795">
        <f>2037.3</f>
        <v>2037.3</v>
      </c>
      <c r="M795">
        <f>9263.67</f>
        <v>9263.67</v>
      </c>
      <c r="N795">
        <f>342.519</f>
        <v>342.51900000000001</v>
      </c>
      <c r="O795">
        <f>2871.93</f>
        <v>2871.93</v>
      </c>
      <c r="P795">
        <f>229.51</f>
        <v>229.51</v>
      </c>
      <c r="Q795">
        <f>2741.479</f>
        <v>2741.4789999999998</v>
      </c>
      <c r="R795">
        <f>6227.42</f>
        <v>6227.42</v>
      </c>
      <c r="S795">
        <f>2426.36</f>
        <v>2426.36</v>
      </c>
      <c r="T795">
        <f>3290.405</f>
        <v>3290.4050000000002</v>
      </c>
      <c r="U795">
        <f>53639.64</f>
        <v>53639.64</v>
      </c>
      <c r="V795">
        <f>399.49</f>
        <v>399.49</v>
      </c>
    </row>
    <row r="796" spans="1:22" x14ac:dyDescent="0.2">
      <c r="A796" s="1">
        <v>43993</v>
      </c>
      <c r="B796">
        <f>1860.57</f>
        <v>1860.57</v>
      </c>
      <c r="C796">
        <f>9139.95</f>
        <v>9139.9500000000007</v>
      </c>
      <c r="D796">
        <f>5713.56</f>
        <v>5713.56</v>
      </c>
      <c r="E796">
        <f>2312.547</f>
        <v>2312.547</v>
      </c>
      <c r="F796">
        <f>1669.04</f>
        <v>1669.04</v>
      </c>
      <c r="G796">
        <f>7166.27</f>
        <v>7166.27</v>
      </c>
      <c r="H796">
        <f>3088.1</f>
        <v>3088.1</v>
      </c>
      <c r="I796">
        <f>10198.27</f>
        <v>10198.27</v>
      </c>
      <c r="J796">
        <f>4079.44</f>
        <v>4079.44</v>
      </c>
      <c r="K796">
        <f>12841.78</f>
        <v>12841.78</v>
      </c>
      <c r="L796">
        <f>2032.26</f>
        <v>2032.26</v>
      </c>
      <c r="M796">
        <f>9218.89</f>
        <v>9218.89</v>
      </c>
      <c r="N796">
        <f>342.782</f>
        <v>342.78199999999998</v>
      </c>
      <c r="O796">
        <f>2864.07</f>
        <v>2864.07</v>
      </c>
      <c r="P796">
        <f>232.27</f>
        <v>232.27</v>
      </c>
      <c r="Q796">
        <f>2703.13</f>
        <v>2703.13</v>
      </c>
      <c r="R796">
        <f>6145.3</f>
        <v>6145.3</v>
      </c>
      <c r="S796">
        <f>2454.54</f>
        <v>2454.54</v>
      </c>
      <c r="T796">
        <f>3290.759</f>
        <v>3290.759</v>
      </c>
      <c r="U796">
        <f>53295.3</f>
        <v>53295.3</v>
      </c>
      <c r="V796">
        <f>397.19</f>
        <v>397.19</v>
      </c>
    </row>
    <row r="797" spans="1:22" x14ac:dyDescent="0.2">
      <c r="A797" s="1">
        <v>43992</v>
      </c>
      <c r="B797">
        <f>1959.63</f>
        <v>1959.63</v>
      </c>
      <c r="C797">
        <f>9336.76</f>
        <v>9336.76</v>
      </c>
      <c r="D797">
        <f>5945.76</f>
        <v>5945.76</v>
      </c>
      <c r="E797">
        <f>2356.199</f>
        <v>2356.1990000000001</v>
      </c>
      <c r="F797">
        <f>1742.36</f>
        <v>1742.36</v>
      </c>
      <c r="G797">
        <f>7522.669</f>
        <v>7522.6689999999999</v>
      </c>
      <c r="H797">
        <f>3172.31</f>
        <v>3172.31</v>
      </c>
      <c r="I797">
        <f>10572.81</f>
        <v>10572.81</v>
      </c>
      <c r="J797">
        <f>4332.28</f>
        <v>4332.28</v>
      </c>
      <c r="K797">
        <f>13634.35</f>
        <v>13634.35</v>
      </c>
      <c r="L797">
        <f>2135.75</f>
        <v>2135.75</v>
      </c>
      <c r="M797">
        <f>9700.81</f>
        <v>9700.81</v>
      </c>
      <c r="N797">
        <f>355.42</f>
        <v>355.42</v>
      </c>
      <c r="O797">
        <f>2988.34</f>
        <v>2988.34</v>
      </c>
      <c r="P797">
        <f>238.88</f>
        <v>238.88</v>
      </c>
      <c r="Q797">
        <f>2873.699</f>
        <v>2873.6990000000001</v>
      </c>
      <c r="R797">
        <f>6529.42</f>
        <v>6529.42</v>
      </c>
      <c r="S797">
        <f>2509.83</f>
        <v>2509.83</v>
      </c>
      <c r="T797">
        <f>3352.641</f>
        <v>3352.6410000000001</v>
      </c>
      <c r="U797">
        <f>53672.63</f>
        <v>53672.63</v>
      </c>
      <c r="V797">
        <f>403.37</f>
        <v>403.37</v>
      </c>
    </row>
    <row r="798" spans="1:22" x14ac:dyDescent="0.2">
      <c r="A798" s="1">
        <v>43991</v>
      </c>
      <c r="B798">
        <f>1986.54</f>
        <v>1986.54</v>
      </c>
      <c r="C798">
        <f>9396.78</f>
        <v>9396.7800000000007</v>
      </c>
      <c r="D798">
        <f>5951.95</f>
        <v>5951.95</v>
      </c>
      <c r="E798">
        <f>2349.231</f>
        <v>2349.2310000000002</v>
      </c>
      <c r="F798">
        <f>1732.15</f>
        <v>1732.15</v>
      </c>
      <c r="G798">
        <f>7502.391</f>
        <v>7502.3909999999996</v>
      </c>
      <c r="H798">
        <f>3186.77</f>
        <v>3186.77</v>
      </c>
      <c r="I798">
        <f>10631.02</f>
        <v>10631.02</v>
      </c>
      <c r="J798">
        <f>4386.88</f>
        <v>4386.88</v>
      </c>
      <c r="K798">
        <f>13690.48</f>
        <v>13690.48</v>
      </c>
      <c r="L798">
        <f>2157.32</f>
        <v>2157.3200000000002</v>
      </c>
      <c r="M798">
        <f>9734.54</f>
        <v>9734.5400000000009</v>
      </c>
      <c r="N798">
        <f>356.231</f>
        <v>356.23099999999999</v>
      </c>
      <c r="O798">
        <f>2999.68</f>
        <v>2999.68</v>
      </c>
      <c r="P798">
        <f>240.41</f>
        <v>240.41</v>
      </c>
      <c r="Q798">
        <f>2924.283</f>
        <v>2924.2829999999999</v>
      </c>
      <c r="R798">
        <f>6564.27</f>
        <v>6564.27</v>
      </c>
      <c r="S798">
        <f>2515.57</f>
        <v>2515.5700000000002</v>
      </c>
      <c r="T798">
        <f>3407.559</f>
        <v>3407.5590000000002</v>
      </c>
      <c r="U798">
        <f>54483.48</f>
        <v>54483.48</v>
      </c>
      <c r="V798">
        <f>407.63</f>
        <v>407.63</v>
      </c>
    </row>
    <row r="799" spans="1:22" x14ac:dyDescent="0.2">
      <c r="A799" s="1">
        <v>43990</v>
      </c>
      <c r="B799">
        <f>2048.16</f>
        <v>2048.16</v>
      </c>
      <c r="C799">
        <f>9366.82</f>
        <v>9366.82</v>
      </c>
      <c r="D799">
        <f>6080.53</f>
        <v>6080.53</v>
      </c>
      <c r="E799">
        <f>2344.182</f>
        <v>2344.1819999999998</v>
      </c>
      <c r="F799">
        <f>1767.41</f>
        <v>1767.41</v>
      </c>
      <c r="G799">
        <f>7651.849</f>
        <v>7651.8490000000002</v>
      </c>
      <c r="H799">
        <f>3171.82</f>
        <v>3171.82</v>
      </c>
      <c r="I799">
        <f>10668.62</f>
        <v>10668.62</v>
      </c>
      <c r="J799">
        <f>4448.08</f>
        <v>4448.08</v>
      </c>
      <c r="K799">
        <f>13794.71</f>
        <v>13794.71</v>
      </c>
      <c r="L799">
        <f>2178.33</f>
        <v>2178.33</v>
      </c>
      <c r="M799">
        <f>9788.5</f>
        <v>9788.5</v>
      </c>
      <c r="N799">
        <f>358.184</f>
        <v>358.18400000000003</v>
      </c>
      <c r="O799">
        <f>3035.62</f>
        <v>3035.62</v>
      </c>
      <c r="P799">
        <f>241.56</f>
        <v>241.56</v>
      </c>
      <c r="Q799">
        <f>2979.995</f>
        <v>2979.9949999999999</v>
      </c>
      <c r="R799">
        <f>6615.4</f>
        <v>6615.4</v>
      </c>
      <c r="S799">
        <f>2519.1</f>
        <v>2519.1</v>
      </c>
      <c r="T799">
        <f>3419.609</f>
        <v>3419.6089999999999</v>
      </c>
      <c r="U799">
        <f>54684.32</f>
        <v>54684.32</v>
      </c>
      <c r="V799">
        <f>409.48</f>
        <v>409.48</v>
      </c>
    </row>
    <row r="800" spans="1:22" x14ac:dyDescent="0.2">
      <c r="A800" s="1">
        <v>43987</v>
      </c>
      <c r="B800">
        <f>2025.62</f>
        <v>2025.62</v>
      </c>
      <c r="C800">
        <f>9310.96</f>
        <v>9310.9599999999991</v>
      </c>
      <c r="D800">
        <f>6091.53</f>
        <v>6091.53</v>
      </c>
      <c r="E800">
        <f>2332.914</f>
        <v>2332.9140000000002</v>
      </c>
      <c r="F800">
        <f>1749.38</f>
        <v>1749.38</v>
      </c>
      <c r="G800">
        <f>7675.94</f>
        <v>7675.94</v>
      </c>
      <c r="H800">
        <f>3081.43</f>
        <v>3081.43</v>
      </c>
      <c r="I800">
        <f>10706.28</f>
        <v>10706.28</v>
      </c>
      <c r="J800">
        <f>4389.23</f>
        <v>4389.2299999999996</v>
      </c>
      <c r="K800">
        <f>13629.93</f>
        <v>13629.93</v>
      </c>
      <c r="L800">
        <f>2150.65</f>
        <v>2150.65</v>
      </c>
      <c r="M800">
        <f>9697.09</f>
        <v>9697.09</v>
      </c>
      <c r="N800">
        <f>360.14</f>
        <v>360.14</v>
      </c>
      <c r="O800">
        <f>3041.12</f>
        <v>3041.12</v>
      </c>
      <c r="P800">
        <f>237.18</f>
        <v>237.18</v>
      </c>
      <c r="Q800">
        <f>2939.818</f>
        <v>2939.8180000000002</v>
      </c>
      <c r="R800">
        <f>6536.58</f>
        <v>6536.58</v>
      </c>
      <c r="S800">
        <f>2490.93</f>
        <v>2490.9299999999998</v>
      </c>
      <c r="T800">
        <f>3475.576</f>
        <v>3475.576</v>
      </c>
      <c r="U800">
        <f>54722.38</f>
        <v>54722.38</v>
      </c>
      <c r="V800">
        <f>410.19</f>
        <v>410.19</v>
      </c>
    </row>
    <row r="801" spans="1:22" x14ac:dyDescent="0.2">
      <c r="A801" s="1">
        <v>43986</v>
      </c>
      <c r="B801">
        <f>1944.62</f>
        <v>1944.62</v>
      </c>
      <c r="C801">
        <f>9175.73</f>
        <v>9175.73</v>
      </c>
      <c r="D801">
        <f>5957.33</f>
        <v>5957.33</v>
      </c>
      <c r="E801">
        <f>2300.567</f>
        <v>2300.567</v>
      </c>
      <c r="F801">
        <f>1699.84</f>
        <v>1699.84</v>
      </c>
      <c r="G801">
        <f>7439.978</f>
        <v>7439.9780000000001</v>
      </c>
      <c r="H801">
        <f>3056.29</f>
        <v>3056.29</v>
      </c>
      <c r="I801">
        <f>10509.68</f>
        <v>10509.68</v>
      </c>
      <c r="J801">
        <f>4281.82</f>
        <v>4281.82</v>
      </c>
      <c r="K801">
        <f>13295.43</f>
        <v>13295.43</v>
      </c>
      <c r="L801">
        <f>2104.69</f>
        <v>2104.69</v>
      </c>
      <c r="M801">
        <f>9490.46</f>
        <v>9490.4599999999991</v>
      </c>
      <c r="N801">
        <f>353.117</f>
        <v>353.11700000000002</v>
      </c>
      <c r="O801">
        <f>2965.99</f>
        <v>2965.99</v>
      </c>
      <c r="P801">
        <f>235.49</f>
        <v>235.49</v>
      </c>
      <c r="Q801">
        <f>2852.25</f>
        <v>2852.25</v>
      </c>
      <c r="R801">
        <f>6369.54</f>
        <v>6369.54</v>
      </c>
      <c r="S801">
        <f>2478.08</f>
        <v>2478.08</v>
      </c>
      <c r="T801">
        <f>3353.945</f>
        <v>3353.9450000000002</v>
      </c>
      <c r="U801">
        <f>53204.79</f>
        <v>53204.79</v>
      </c>
      <c r="V801">
        <f>394.08</f>
        <v>394.08</v>
      </c>
    </row>
    <row r="802" spans="1:22" x14ac:dyDescent="0.2">
      <c r="A802" s="1">
        <v>43985</v>
      </c>
      <c r="B802">
        <f>1964.79</f>
        <v>1964.79</v>
      </c>
      <c r="C802">
        <f>9211.85</f>
        <v>9211.85</v>
      </c>
      <c r="D802">
        <f>5995.72</f>
        <v>5995.72</v>
      </c>
      <c r="E802">
        <f>2297.994</f>
        <v>2297.9940000000001</v>
      </c>
      <c r="F802">
        <f>1719.55</f>
        <v>1719.55</v>
      </c>
      <c r="G802">
        <f>7481.107</f>
        <v>7481.107</v>
      </c>
      <c r="H802">
        <f>3048.67</f>
        <v>3048.67</v>
      </c>
      <c r="I802">
        <f>10442.27</f>
        <v>10442.27</v>
      </c>
      <c r="J802">
        <f>4271.34</f>
        <v>4271.34</v>
      </c>
      <c r="K802">
        <f>13351.91</f>
        <v>13351.91</v>
      </c>
      <c r="L802">
        <f>2100.18</f>
        <v>2100.1799999999998</v>
      </c>
      <c r="M802">
        <f>9506.44</f>
        <v>9506.44</v>
      </c>
      <c r="N802">
        <f>355.384</f>
        <v>355.38400000000001</v>
      </c>
      <c r="O802">
        <f>2984.59</f>
        <v>2984.59</v>
      </c>
      <c r="P802">
        <f>235.39</f>
        <v>235.39</v>
      </c>
      <c r="Q802">
        <f>2848.195</f>
        <v>2848.1950000000002</v>
      </c>
      <c r="R802">
        <f>6389.67</f>
        <v>6389.67</v>
      </c>
      <c r="S802">
        <f>2470.76</f>
        <v>2470.7600000000002</v>
      </c>
      <c r="T802">
        <f>3377.197</f>
        <v>3377.1970000000001</v>
      </c>
      <c r="U802">
        <f>53645.28</f>
        <v>53645.279999999999</v>
      </c>
      <c r="V802">
        <f>397.65</f>
        <v>397.65</v>
      </c>
    </row>
    <row r="803" spans="1:22" x14ac:dyDescent="0.2">
      <c r="A803" s="1">
        <v>43984</v>
      </c>
      <c r="B803">
        <f>1890.65</f>
        <v>1890.65</v>
      </c>
      <c r="C803">
        <f>9040.34</f>
        <v>9040.34</v>
      </c>
      <c r="D803">
        <f>5843.28</f>
        <v>5843.28</v>
      </c>
      <c r="E803">
        <f>2250.054</f>
        <v>2250.0540000000001</v>
      </c>
      <c r="F803">
        <f>1683.12</f>
        <v>1683.12</v>
      </c>
      <c r="G803">
        <f>7272.121</f>
        <v>7272.1210000000001</v>
      </c>
      <c r="H803">
        <f>3005.99</f>
        <v>3005.99</v>
      </c>
      <c r="I803">
        <f>10147.16</f>
        <v>10147.16</v>
      </c>
      <c r="J803">
        <f>4202.62</f>
        <v>4202.62</v>
      </c>
      <c r="K803">
        <f>13172.89</f>
        <v>13172.89</v>
      </c>
      <c r="L803">
        <f>2060.36</f>
        <v>2060.36</v>
      </c>
      <c r="M803">
        <f>9353.59</f>
        <v>9353.59</v>
      </c>
      <c r="N803">
        <f>348.408</f>
        <v>348.40800000000002</v>
      </c>
      <c r="O803">
        <f>2909.51</f>
        <v>2909.51</v>
      </c>
      <c r="P803">
        <f>233.47</f>
        <v>233.47</v>
      </c>
      <c r="Q803">
        <f>2778.822</f>
        <v>2778.8220000000001</v>
      </c>
      <c r="R803">
        <f>6303</f>
        <v>6303</v>
      </c>
      <c r="S803">
        <f>2453.14</f>
        <v>2453.14</v>
      </c>
      <c r="T803">
        <f>3213.915</f>
        <v>3213.915</v>
      </c>
      <c r="U803">
        <f>52496.86</f>
        <v>52496.86</v>
      </c>
      <c r="V803">
        <f>386.37</f>
        <v>386.37</v>
      </c>
    </row>
    <row r="804" spans="1:22" x14ac:dyDescent="0.2">
      <c r="A804" s="1">
        <v>43983</v>
      </c>
      <c r="B804">
        <f>1854.49</f>
        <v>1854.49</v>
      </c>
      <c r="C804">
        <f>8900.33</f>
        <v>8900.33</v>
      </c>
      <c r="D804">
        <f>5792.81</f>
        <v>5792.81</v>
      </c>
      <c r="E804">
        <f>2212.343</f>
        <v>2212.3429999999998</v>
      </c>
      <c r="F804">
        <f>1671.9</f>
        <v>1671.9</v>
      </c>
      <c r="G804">
        <f>7169.313</f>
        <v>7169.3130000000001</v>
      </c>
      <c r="H804">
        <f>3004.67</f>
        <v>3004.67</v>
      </c>
      <c r="I804">
        <f>9933.186</f>
        <v>9933.1859999999997</v>
      </c>
      <c r="J804">
        <f>4164.8</f>
        <v>4164.8</v>
      </c>
      <c r="K804">
        <f>13066.8</f>
        <v>13066.8</v>
      </c>
      <c r="L804">
        <f>2037.18</f>
        <v>2037.18</v>
      </c>
      <c r="M804">
        <f>9254.22</f>
        <v>9254.2199999999993</v>
      </c>
      <c r="N804">
        <f>345.566</f>
        <v>345.56599999999997</v>
      </c>
      <c r="O804">
        <f>2865.21</f>
        <v>2865.21</v>
      </c>
      <c r="P804">
        <f>230.89</f>
        <v>230.89</v>
      </c>
      <c r="Q804">
        <f>2751.077</f>
        <v>2751.0770000000002</v>
      </c>
      <c r="R804">
        <f>6251.48</f>
        <v>6251.48</v>
      </c>
      <c r="S804">
        <f>2423.9</f>
        <v>2423.9</v>
      </c>
      <c r="T804">
        <f>3098.407</f>
        <v>3098.4070000000002</v>
      </c>
      <c r="U804">
        <f>50929.59</f>
        <v>50929.59</v>
      </c>
      <c r="V804">
        <f>372.44</f>
        <v>372.44</v>
      </c>
    </row>
    <row r="805" spans="1:22" x14ac:dyDescent="0.2">
      <c r="A805" s="1">
        <v>43980</v>
      </c>
      <c r="B805">
        <f>1814.95</f>
        <v>1814.95</v>
      </c>
      <c r="C805">
        <f>8698.59</f>
        <v>8698.59</v>
      </c>
      <c r="D805">
        <f>5708.44</f>
        <v>5708.44</v>
      </c>
      <c r="E805">
        <f>2162.436</f>
        <v>2162.4360000000001</v>
      </c>
      <c r="F805">
        <f>1639.48</f>
        <v>1639.48</v>
      </c>
      <c r="G805">
        <f>6999.048</f>
        <v>6999.0479999999998</v>
      </c>
      <c r="H805">
        <f>3006.65</f>
        <v>3006.65</v>
      </c>
      <c r="I805">
        <f>9849.33</f>
        <v>9849.33</v>
      </c>
      <c r="J805">
        <f>4175.37</f>
        <v>4175.37</v>
      </c>
      <c r="K805">
        <f>13008.36</f>
        <v>13008.36</v>
      </c>
      <c r="L805">
        <f>2030.58</f>
        <v>2030.58</v>
      </c>
      <c r="M805">
        <f>9185.25</f>
        <v>9185.25</v>
      </c>
      <c r="N805">
        <f>341.962</f>
        <v>341.96199999999999</v>
      </c>
      <c r="O805">
        <f>2831.08</f>
        <v>2831.08</v>
      </c>
      <c r="P805">
        <f>230.91</f>
        <v>230.91</v>
      </c>
      <c r="Q805">
        <f>2737.874</f>
        <v>2737.8739999999998</v>
      </c>
      <c r="R805">
        <f>6227.81</f>
        <v>6227.81</v>
      </c>
      <c r="S805">
        <f>2416.04</f>
        <v>2416.04</v>
      </c>
      <c r="T805">
        <f>3066.625</f>
        <v>3066.625</v>
      </c>
      <c r="U805">
        <f>50483</f>
        <v>50483</v>
      </c>
      <c r="V805">
        <f>371.1</f>
        <v>371.1</v>
      </c>
    </row>
    <row r="806" spans="1:22" x14ac:dyDescent="0.2">
      <c r="A806" s="1">
        <v>43979</v>
      </c>
      <c r="B806">
        <f>1868.84</f>
        <v>1868.84</v>
      </c>
      <c r="C806">
        <f>8736.44</f>
        <v>8736.44</v>
      </c>
      <c r="D806">
        <f>5842.01</f>
        <v>5842.01</v>
      </c>
      <c r="E806">
        <f>2150.362</f>
        <v>2150.3620000000001</v>
      </c>
      <c r="F806">
        <f>1677.25</f>
        <v>1677.25</v>
      </c>
      <c r="G806">
        <f>7142.759</f>
        <v>7142.759</v>
      </c>
      <c r="H806">
        <f>3062.08</f>
        <v>3062.08</v>
      </c>
      <c r="I806">
        <f>9907.863</f>
        <v>9907.8629999999994</v>
      </c>
      <c r="J806">
        <f>4150.07</f>
        <v>4150.07</v>
      </c>
      <c r="K806">
        <f>12939.18</f>
        <v>12939.18</v>
      </c>
      <c r="L806">
        <f>2033.34</f>
        <v>2033.34</v>
      </c>
      <c r="M806">
        <f>9185.91</f>
        <v>9185.91</v>
      </c>
      <c r="N806">
        <f>348.238</f>
        <v>348.238</v>
      </c>
      <c r="O806">
        <f>2877.04</f>
        <v>2877.04</v>
      </c>
      <c r="P806">
        <f>233.06</f>
        <v>233.06</v>
      </c>
      <c r="Q806">
        <f>2730.607</f>
        <v>2730.607</v>
      </c>
      <c r="R806">
        <f>6197.02</f>
        <v>6197.02</v>
      </c>
      <c r="S806">
        <f>2437.16</f>
        <v>2437.16</v>
      </c>
      <c r="T806">
        <f>3118.389</f>
        <v>3118.3890000000001</v>
      </c>
      <c r="U806">
        <f>51389.12</f>
        <v>51389.120000000003</v>
      </c>
      <c r="V806">
        <f>373.3</f>
        <v>373.3</v>
      </c>
    </row>
    <row r="807" spans="1:22" x14ac:dyDescent="0.2">
      <c r="A807" s="1">
        <v>43978</v>
      </c>
      <c r="B807">
        <f>1848.8</f>
        <v>1848.8</v>
      </c>
      <c r="C807">
        <f>8707.59</f>
        <v>8707.59</v>
      </c>
      <c r="D807">
        <f>5770.9</f>
        <v>5770.9</v>
      </c>
      <c r="E807">
        <f>2154.826</f>
        <v>2154.826</v>
      </c>
      <c r="F807">
        <f>1643.98</f>
        <v>1643.98</v>
      </c>
      <c r="G807">
        <f>6996.694</f>
        <v>6996.6940000000004</v>
      </c>
      <c r="H807">
        <f>3000.08</f>
        <v>3000.08</v>
      </c>
      <c r="I807">
        <f>9677.174</f>
        <v>9677.1740000000009</v>
      </c>
      <c r="J807">
        <f>4158.38</f>
        <v>4158.38</v>
      </c>
      <c r="K807">
        <f>12964.55</f>
        <v>12964.55</v>
      </c>
      <c r="L807">
        <f>2018.27</f>
        <v>2018.27</v>
      </c>
      <c r="M807">
        <f>9136.01</f>
        <v>9136.01</v>
      </c>
      <c r="N807">
        <f>341.157</f>
        <v>341.15699999999998</v>
      </c>
      <c r="O807">
        <f>2834.82</f>
        <v>2834.82</v>
      </c>
      <c r="P807">
        <f>230.5</f>
        <v>230.5</v>
      </c>
      <c r="Q807">
        <f>2739.738</f>
        <v>2739.7379999999998</v>
      </c>
      <c r="R807">
        <f>6209.38</f>
        <v>6209.38</v>
      </c>
      <c r="S807">
        <f>2393.91</f>
        <v>2393.91</v>
      </c>
      <c r="T807">
        <f>3076.356</f>
        <v>3076.3560000000002</v>
      </c>
      <c r="U807">
        <f>50495.95</f>
        <v>50495.95</v>
      </c>
      <c r="V807">
        <f>364.16</f>
        <v>364.16</v>
      </c>
    </row>
    <row r="808" spans="1:22" x14ac:dyDescent="0.2">
      <c r="A808" s="1">
        <v>43977</v>
      </c>
      <c r="B808">
        <f>1807.65</f>
        <v>1807.65</v>
      </c>
      <c r="C808">
        <f>8729.91</f>
        <v>8729.91</v>
      </c>
      <c r="D808">
        <f>5699.05</f>
        <v>5699.05</v>
      </c>
      <c r="E808">
        <f>2153</f>
        <v>2153</v>
      </c>
      <c r="F808">
        <f>1644.72</f>
        <v>1644.72</v>
      </c>
      <c r="G808">
        <f>6990.71</f>
        <v>6990.71</v>
      </c>
      <c r="H808">
        <f>2958.73</f>
        <v>2958.73</v>
      </c>
      <c r="I808">
        <f>9648.222</f>
        <v>9648.2219999999998</v>
      </c>
      <c r="J808">
        <f>4079.15</f>
        <v>4079.15</v>
      </c>
      <c r="K808">
        <f>12778.04</f>
        <v>12778.04</v>
      </c>
      <c r="L808">
        <f>1994.01</f>
        <v>1994.01</v>
      </c>
      <c r="M808">
        <f>9039.17</f>
        <v>9039.17</v>
      </c>
      <c r="N808">
        <f>339.317</f>
        <v>339.31700000000001</v>
      </c>
      <c r="O808">
        <f>2823.29</f>
        <v>2823.29</v>
      </c>
      <c r="P808">
        <f>226.04</f>
        <v>226.04</v>
      </c>
      <c r="Q808">
        <f>2682.82186</f>
        <v>2682.82186</v>
      </c>
      <c r="R808">
        <f>6118.54</f>
        <v>6118.54</v>
      </c>
      <c r="S808">
        <f>2371.14</f>
        <v>2371.14</v>
      </c>
      <c r="T808">
        <f>3057.178</f>
        <v>3057.1779999999999</v>
      </c>
      <c r="U808">
        <f>50602.5</f>
        <v>50602.5</v>
      </c>
      <c r="V808">
        <f>361.36</f>
        <v>361.36</v>
      </c>
    </row>
    <row r="809" spans="1:22" x14ac:dyDescent="0.2">
      <c r="A809" s="1">
        <v>43976</v>
      </c>
      <c r="B809" t="e">
        <f>NA()</f>
        <v>#N/A</v>
      </c>
      <c r="C809">
        <f>8609.72</f>
        <v>8609.7199999999993</v>
      </c>
      <c r="D809" t="e">
        <f>NA()</f>
        <v>#N/A</v>
      </c>
      <c r="E809">
        <f>2117.327</f>
        <v>2117.3270000000002</v>
      </c>
      <c r="F809">
        <f>1580.04</f>
        <v>1580.04</v>
      </c>
      <c r="G809">
        <f>6811.532</f>
        <v>6811.5320000000002</v>
      </c>
      <c r="H809">
        <f>2892.47</f>
        <v>2892.47</v>
      </c>
      <c r="I809">
        <f>9487.65</f>
        <v>9487.65</v>
      </c>
      <c r="J809">
        <f>4014.29</f>
        <v>4014.29</v>
      </c>
      <c r="K809">
        <f>12622.63</f>
        <v>12622.63</v>
      </c>
      <c r="L809">
        <f>1959.09</f>
        <v>1959.09</v>
      </c>
      <c r="M809">
        <f>8900.32</f>
        <v>8900.32</v>
      </c>
      <c r="N809">
        <f>334.401</f>
        <v>334.40100000000001</v>
      </c>
      <c r="O809">
        <f>2793.39</f>
        <v>2793.39</v>
      </c>
      <c r="P809">
        <f>221.82</f>
        <v>221.82</v>
      </c>
      <c r="Q809" t="e">
        <f>NA()</f>
        <v>#N/A</v>
      </c>
      <c r="R809" t="e">
        <f>NA()</f>
        <v>#N/A</v>
      </c>
      <c r="S809">
        <f>2320.89</f>
        <v>2320.89</v>
      </c>
      <c r="T809">
        <f>2963.201</f>
        <v>2963.201</v>
      </c>
      <c r="U809">
        <f>50074.21</f>
        <v>50074.21</v>
      </c>
      <c r="V809">
        <f>355.11</f>
        <v>355.11</v>
      </c>
    </row>
    <row r="810" spans="1:22" x14ac:dyDescent="0.2">
      <c r="A810" s="1">
        <v>43973</v>
      </c>
      <c r="B810">
        <f>1736.39</f>
        <v>1736.39</v>
      </c>
      <c r="C810">
        <f>8542.83</f>
        <v>8542.83</v>
      </c>
      <c r="D810">
        <f>5629.1</f>
        <v>5629.1</v>
      </c>
      <c r="E810">
        <f>2102.198</f>
        <v>2102.1979999999999</v>
      </c>
      <c r="F810">
        <f>1579.2</f>
        <v>1579.2</v>
      </c>
      <c r="G810">
        <f>6807.902</f>
        <v>6807.902</v>
      </c>
      <c r="H810">
        <f>2851.21</f>
        <v>2851.21</v>
      </c>
      <c r="I810">
        <f>9310.662</f>
        <v>9310.6620000000003</v>
      </c>
      <c r="J810">
        <f>4014.29</f>
        <v>4014.29</v>
      </c>
      <c r="K810">
        <f>12622.63</f>
        <v>12622.63</v>
      </c>
      <c r="L810">
        <f>1949.86</f>
        <v>1949.86</v>
      </c>
      <c r="M810">
        <f>8857.83</f>
        <v>8857.83</v>
      </c>
      <c r="N810">
        <f>331.203</f>
        <v>331.20299999999997</v>
      </c>
      <c r="O810">
        <f>2752.99</f>
        <v>2752.99</v>
      </c>
      <c r="P810">
        <f>218.76</f>
        <v>218.76</v>
      </c>
      <c r="Q810">
        <f>2611.255</f>
        <v>2611.2550000000001</v>
      </c>
      <c r="R810">
        <f>6044.16</f>
        <v>6044.16</v>
      </c>
      <c r="S810">
        <f>2283.18</f>
        <v>2283.1799999999998</v>
      </c>
      <c r="T810">
        <f>2982.796</f>
        <v>2982.7959999999998</v>
      </c>
      <c r="U810">
        <f>50147.21</f>
        <v>50147.21</v>
      </c>
      <c r="V810">
        <f>354.94</f>
        <v>354.94</v>
      </c>
    </row>
    <row r="811" spans="1:22" x14ac:dyDescent="0.2">
      <c r="A811" s="1">
        <v>43972</v>
      </c>
      <c r="B811">
        <f>1743.31</f>
        <v>1743.31</v>
      </c>
      <c r="C811">
        <f>8725.33</f>
        <v>8725.33</v>
      </c>
      <c r="D811">
        <f>5649.9</f>
        <v>5649.9</v>
      </c>
      <c r="E811">
        <f>2159.228</f>
        <v>2159.2280000000001</v>
      </c>
      <c r="F811">
        <f>1571.88</f>
        <v>1571.88</v>
      </c>
      <c r="G811">
        <f>6850.208</f>
        <v>6850.2079999999996</v>
      </c>
      <c r="H811">
        <f>2877.18</f>
        <v>2877.18</v>
      </c>
      <c r="I811">
        <f>9359.613</f>
        <v>9359.6129999999994</v>
      </c>
      <c r="J811">
        <f>4010.89</f>
        <v>4010.89</v>
      </c>
      <c r="K811">
        <f>12585.33</f>
        <v>12585.33</v>
      </c>
      <c r="L811">
        <f>1956.58</f>
        <v>1956.58</v>
      </c>
      <c r="M811">
        <f>8866.03</f>
        <v>8866.0300000000007</v>
      </c>
      <c r="N811">
        <f>330.146</f>
        <v>330.14600000000002</v>
      </c>
      <c r="O811">
        <f>2756.56</f>
        <v>2756.56</v>
      </c>
      <c r="P811">
        <f>221.12</f>
        <v>221.12</v>
      </c>
      <c r="Q811">
        <f>2615.125</f>
        <v>2615.125</v>
      </c>
      <c r="R811">
        <f>6028.93</f>
        <v>6028.93</v>
      </c>
      <c r="S811">
        <f>2303.91</f>
        <v>2303.91</v>
      </c>
      <c r="T811">
        <f>3045.228</f>
        <v>3045.2280000000001</v>
      </c>
      <c r="U811">
        <f>51022.76</f>
        <v>51022.76</v>
      </c>
      <c r="V811">
        <f>360.17</f>
        <v>360.17</v>
      </c>
    </row>
    <row r="812" spans="1:22" x14ac:dyDescent="0.2">
      <c r="A812" s="1">
        <v>43971</v>
      </c>
      <c r="B812">
        <f>1749.35</f>
        <v>1749.35</v>
      </c>
      <c r="C812">
        <f>8708.29</f>
        <v>8708.2900000000009</v>
      </c>
      <c r="D812">
        <f>5695.26</f>
        <v>5695.26</v>
      </c>
      <c r="E812">
        <f>2162.685</f>
        <v>2162.6849999999999</v>
      </c>
      <c r="F812">
        <f>1586.8</f>
        <v>1586.8</v>
      </c>
      <c r="G812">
        <f>6935.628</f>
        <v>6935.6279999999997</v>
      </c>
      <c r="H812">
        <f>2906.61</f>
        <v>2906.61</v>
      </c>
      <c r="I812">
        <f>9472.768</f>
        <v>9472.768</v>
      </c>
      <c r="J812">
        <f>4036.84</f>
        <v>4036.84</v>
      </c>
      <c r="K812">
        <f>12679.72</f>
        <v>12679.72</v>
      </c>
      <c r="L812">
        <f>1974.03</f>
        <v>1974.03</v>
      </c>
      <c r="M812">
        <f>8941.51</f>
        <v>8941.51</v>
      </c>
      <c r="N812">
        <f>331.637</f>
        <v>331.637</v>
      </c>
      <c r="O812">
        <f>2777.63</f>
        <v>2777.63</v>
      </c>
      <c r="P812">
        <f>221.58</f>
        <v>221.58</v>
      </c>
      <c r="Q812">
        <f>2619.673</f>
        <v>2619.6729999999998</v>
      </c>
      <c r="R812">
        <f>6075.76</f>
        <v>6075.76</v>
      </c>
      <c r="S812">
        <f>2309.28</f>
        <v>2309.2800000000002</v>
      </c>
      <c r="T812">
        <f>3025.265</f>
        <v>3025.2649999999999</v>
      </c>
      <c r="U812">
        <f>52142.75</f>
        <v>52142.75</v>
      </c>
      <c r="V812">
        <f>360.62</f>
        <v>360.62</v>
      </c>
    </row>
    <row r="813" spans="1:22" x14ac:dyDescent="0.2">
      <c r="A813" s="1">
        <v>43970</v>
      </c>
      <c r="B813">
        <f>1747.3</f>
        <v>1747.3</v>
      </c>
      <c r="C813">
        <f>8657.5</f>
        <v>8657.5</v>
      </c>
      <c r="D813">
        <f>5634.3</f>
        <v>5634.3</v>
      </c>
      <c r="E813">
        <f>2148.036</f>
        <v>2148.0360000000001</v>
      </c>
      <c r="F813">
        <f>1593.67</f>
        <v>1593.67</v>
      </c>
      <c r="G813">
        <f>6851.116</f>
        <v>6851.116</v>
      </c>
      <c r="H813">
        <f>2879.65</f>
        <v>2879.65</v>
      </c>
      <c r="I813">
        <f>9335.516</f>
        <v>9335.5159999999996</v>
      </c>
      <c r="J813">
        <f>3988.31</f>
        <v>3988.31</v>
      </c>
      <c r="K813">
        <f>12468.85</f>
        <v>12468.85</v>
      </c>
      <c r="L813">
        <f>1955.39</f>
        <v>1955.39</v>
      </c>
      <c r="M813">
        <f>8809.31</f>
        <v>8809.31</v>
      </c>
      <c r="N813">
        <f>328.934</f>
        <v>328.93400000000003</v>
      </c>
      <c r="O813">
        <f>2750.98</f>
        <v>2750.98</v>
      </c>
      <c r="P813">
        <f>220.34</f>
        <v>220.34</v>
      </c>
      <c r="Q813">
        <f>2580.021</f>
        <v>2580.0210000000002</v>
      </c>
      <c r="R813">
        <f>5975.15</f>
        <v>5975.15</v>
      </c>
      <c r="S813">
        <f>2295.94</f>
        <v>2295.94</v>
      </c>
      <c r="T813">
        <f>3003.077</f>
        <v>3003.0770000000002</v>
      </c>
      <c r="U813">
        <f>51950.14</f>
        <v>51950.14</v>
      </c>
      <c r="V813">
        <f>361.98</f>
        <v>361.98</v>
      </c>
    </row>
    <row r="814" spans="1:22" x14ac:dyDescent="0.2">
      <c r="A814" s="1">
        <v>43969</v>
      </c>
      <c r="B814">
        <f>1746.57</f>
        <v>1746.57</v>
      </c>
      <c r="C814">
        <f>8526.95</f>
        <v>8526.9500000000007</v>
      </c>
      <c r="D814">
        <f>5677.82</f>
        <v>5677.82</v>
      </c>
      <c r="E814">
        <f>2118.551</f>
        <v>2118.5509999999999</v>
      </c>
      <c r="F814">
        <f>1591.81</f>
        <v>1591.81</v>
      </c>
      <c r="G814">
        <f>6873.181</f>
        <v>6873.1809999999996</v>
      </c>
      <c r="H814">
        <f>2827.8</f>
        <v>2827.8</v>
      </c>
      <c r="I814">
        <f>9312.8</f>
        <v>9312.7999999999993</v>
      </c>
      <c r="J814">
        <f>4057.2</f>
        <v>4057.2</v>
      </c>
      <c r="K814">
        <f>12595.4</f>
        <v>12595.4</v>
      </c>
      <c r="L814">
        <f>1968.86</f>
        <v>1968.86</v>
      </c>
      <c r="M814">
        <f>8840.99</f>
        <v>8840.99</v>
      </c>
      <c r="N814">
        <f>329.762</f>
        <v>329.762</v>
      </c>
      <c r="O814">
        <f>2764.34</f>
        <v>2764.34</v>
      </c>
      <c r="P814">
        <f>216.06</f>
        <v>216.06</v>
      </c>
      <c r="Q814">
        <f>2622.187</f>
        <v>2622.1869999999999</v>
      </c>
      <c r="R814">
        <f>6037.9</f>
        <v>6037.9</v>
      </c>
      <c r="S814">
        <f>2254.58</f>
        <v>2254.58</v>
      </c>
      <c r="T814">
        <f>2954.096</f>
        <v>2954.096</v>
      </c>
      <c r="U814">
        <f>51382.06</f>
        <v>51382.06</v>
      </c>
      <c r="V814">
        <f>356.96</f>
        <v>356.96</v>
      </c>
    </row>
    <row r="815" spans="1:22" x14ac:dyDescent="0.2">
      <c r="A815" s="1">
        <v>43966</v>
      </c>
      <c r="B815">
        <f>1668.01</f>
        <v>1668.01</v>
      </c>
      <c r="C815">
        <f>8363.36</f>
        <v>8363.36</v>
      </c>
      <c r="D815">
        <f>5444.26</f>
        <v>5444.26</v>
      </c>
      <c r="E815">
        <f>2091.976</f>
        <v>2091.9760000000001</v>
      </c>
      <c r="F815">
        <f>1524.25</f>
        <v>1524.25</v>
      </c>
      <c r="G815">
        <f>6557.309</f>
        <v>6557.3090000000002</v>
      </c>
      <c r="H815">
        <f>2815.5</f>
        <v>2815.5</v>
      </c>
      <c r="I815">
        <f>8916.39</f>
        <v>8916.39</v>
      </c>
      <c r="J815">
        <f>3933.21</f>
        <v>3933.21</v>
      </c>
      <c r="K815">
        <f>12210.14</f>
        <v>12210.14</v>
      </c>
      <c r="L815">
        <f>1912.99</f>
        <v>1912.99</v>
      </c>
      <c r="M815">
        <f>8580.68</f>
        <v>8580.68</v>
      </c>
      <c r="N815">
        <f>319.212</f>
        <v>319.21199999999999</v>
      </c>
      <c r="O815">
        <f>2658.47</f>
        <v>2658.47</v>
      </c>
      <c r="P815">
        <f>214.87</f>
        <v>214.87</v>
      </c>
      <c r="Q815">
        <f>2506.483</f>
        <v>2506.4830000000002</v>
      </c>
      <c r="R815">
        <f>5852.84</f>
        <v>5852.84</v>
      </c>
      <c r="S815">
        <f>2246.06</f>
        <v>2246.06</v>
      </c>
      <c r="T815">
        <f>2901.067</f>
        <v>2901.067</v>
      </c>
      <c r="U815">
        <f>49628.72</f>
        <v>49628.72</v>
      </c>
      <c r="V815">
        <f>340.2</f>
        <v>340.2</v>
      </c>
    </row>
    <row r="816" spans="1:22" x14ac:dyDescent="0.2">
      <c r="A816" s="1">
        <v>43965</v>
      </c>
      <c r="B816">
        <f>1637.58</f>
        <v>1637.58</v>
      </c>
      <c r="C816">
        <f>8363</f>
        <v>8363</v>
      </c>
      <c r="D816">
        <f>5389.6</f>
        <v>5389.6</v>
      </c>
      <c r="E816">
        <f>2090.903</f>
        <v>2090.9029999999998</v>
      </c>
      <c r="F816">
        <f>1508.26</f>
        <v>1508.26</v>
      </c>
      <c r="G816">
        <f>6533.172</f>
        <v>6533.1719999999996</v>
      </c>
      <c r="H816">
        <f>2807.91</f>
        <v>2807.91</v>
      </c>
      <c r="I816">
        <f>8870.313</f>
        <v>8870.3130000000001</v>
      </c>
      <c r="J816">
        <f>3930.89</f>
        <v>3930.89</v>
      </c>
      <c r="K816">
        <f>12159.1</f>
        <v>12159.1</v>
      </c>
      <c r="L816">
        <f>1909.29</f>
        <v>1909.29</v>
      </c>
      <c r="M816">
        <f>8542.91</f>
        <v>8542.91</v>
      </c>
      <c r="N816">
        <f>318.776</f>
        <v>318.77600000000001</v>
      </c>
      <c r="O816">
        <f>2647.9</f>
        <v>2647.9</v>
      </c>
      <c r="P816">
        <f>214.17</f>
        <v>214.17</v>
      </c>
      <c r="Q816">
        <f>2494.732</f>
        <v>2494.732</v>
      </c>
      <c r="R816">
        <f>5829.33</f>
        <v>5829.33</v>
      </c>
      <c r="S816">
        <f>2234.89</f>
        <v>2234.89</v>
      </c>
      <c r="T816">
        <f>2905.097</f>
        <v>2905.0970000000002</v>
      </c>
      <c r="U816">
        <f>49113.06</f>
        <v>49113.06</v>
      </c>
      <c r="V816">
        <f>329.57</f>
        <v>329.57</v>
      </c>
    </row>
    <row r="817" spans="1:22" x14ac:dyDescent="0.2">
      <c r="A817" s="1">
        <v>43964</v>
      </c>
      <c r="B817">
        <f>1673.3</f>
        <v>1673.3</v>
      </c>
      <c r="C817">
        <f>8470.93</f>
        <v>8470.93</v>
      </c>
      <c r="D817">
        <f>5533.68</f>
        <v>5533.68</v>
      </c>
      <c r="E817">
        <f>2109.86</f>
        <v>2109.86</v>
      </c>
      <c r="F817">
        <f>1547.21</f>
        <v>1547.21</v>
      </c>
      <c r="G817">
        <f>6723.694</f>
        <v>6723.6940000000004</v>
      </c>
      <c r="H817">
        <f>2880.93</f>
        <v>2880.93</v>
      </c>
      <c r="I817">
        <f>9065.197</f>
        <v>9065.1970000000001</v>
      </c>
      <c r="J817">
        <f>3884.1</f>
        <v>3884.1</v>
      </c>
      <c r="K817">
        <f>12016.62</f>
        <v>12016.62</v>
      </c>
      <c r="L817">
        <f>1915.78</f>
        <v>1915.78</v>
      </c>
      <c r="M817">
        <f>8534.67</f>
        <v>8534.67</v>
      </c>
      <c r="N817">
        <f>327.692</f>
        <v>327.69200000000001</v>
      </c>
      <c r="O817">
        <f>2704.03</f>
        <v>2704.03</v>
      </c>
      <c r="P817">
        <f>219.01</f>
        <v>219.01</v>
      </c>
      <c r="Q817">
        <f>2465.22</f>
        <v>2465.2199999999998</v>
      </c>
      <c r="R817">
        <f>5761.7</f>
        <v>5761.7</v>
      </c>
      <c r="S817">
        <f>2278.36</f>
        <v>2278.36</v>
      </c>
      <c r="T817">
        <f>2999.548</f>
        <v>2999.5479999999998</v>
      </c>
      <c r="U817">
        <f>50152.05</f>
        <v>50152.05</v>
      </c>
      <c r="V817">
        <f>340.05</f>
        <v>340.05</v>
      </c>
    </row>
    <row r="818" spans="1:22" x14ac:dyDescent="0.2">
      <c r="A818" s="1">
        <v>43963</v>
      </c>
      <c r="B818">
        <f>1725.19</f>
        <v>1725.19</v>
      </c>
      <c r="C818">
        <f>8505.37</f>
        <v>8505.3700000000008</v>
      </c>
      <c r="D818">
        <f>5618.72</f>
        <v>5618.72</v>
      </c>
      <c r="E818">
        <f>2110.062</f>
        <v>2110.0619999999999</v>
      </c>
      <c r="F818">
        <f>1597.33</f>
        <v>1597.33</v>
      </c>
      <c r="G818">
        <f>6890.125</f>
        <v>6890.125</v>
      </c>
      <c r="H818">
        <f>2902.07</f>
        <v>2902.07</v>
      </c>
      <c r="I818">
        <f>9276.715</f>
        <v>9276.7150000000001</v>
      </c>
      <c r="J818">
        <f>3950.76</f>
        <v>3950.76</v>
      </c>
      <c r="K818">
        <f>12235.57</f>
        <v>12235.57</v>
      </c>
      <c r="L818">
        <f>1951.12</f>
        <v>1951.12</v>
      </c>
      <c r="M818">
        <f>8685.99</f>
        <v>8685.99</v>
      </c>
      <c r="N818">
        <f>334.527</f>
        <v>334.52699999999999</v>
      </c>
      <c r="O818">
        <f>2756.56</f>
        <v>2756.56</v>
      </c>
      <c r="P818">
        <f>220.37</f>
        <v>220.37</v>
      </c>
      <c r="Q818">
        <f>2528.179</f>
        <v>2528.1790000000001</v>
      </c>
      <c r="R818">
        <f>5863.68</f>
        <v>5863.68</v>
      </c>
      <c r="S818">
        <f>2281.49</f>
        <v>2281.4899999999998</v>
      </c>
      <c r="T818">
        <f>3035.869</f>
        <v>3035.8690000000001</v>
      </c>
      <c r="U818">
        <f>50319.41</f>
        <v>50319.41</v>
      </c>
      <c r="V818">
        <f>344.13</f>
        <v>344.13</v>
      </c>
    </row>
    <row r="819" spans="1:22" x14ac:dyDescent="0.2">
      <c r="A819" s="1">
        <v>43962</v>
      </c>
      <c r="B819">
        <f>1716.04</f>
        <v>1716.04</v>
      </c>
      <c r="C819">
        <f>8569.1</f>
        <v>8569.1</v>
      </c>
      <c r="D819">
        <f>5567.13</f>
        <v>5567.13</v>
      </c>
      <c r="E819">
        <f>2125.366</f>
        <v>2125.366</v>
      </c>
      <c r="F819">
        <f>1593.77</f>
        <v>1593.77</v>
      </c>
      <c r="G819">
        <f>6834.531</f>
        <v>6834.5309999999999</v>
      </c>
      <c r="H819">
        <f>2910.91</f>
        <v>2910.91</v>
      </c>
      <c r="I819">
        <f>9208.353</f>
        <v>9208.3529999999992</v>
      </c>
      <c r="J819">
        <f>4020.73</f>
        <v>4020.73</v>
      </c>
      <c r="K819">
        <f>12489.9</f>
        <v>12489.9</v>
      </c>
      <c r="L819">
        <f>1963.46</f>
        <v>1963.46</v>
      </c>
      <c r="M819">
        <f>8798.27</f>
        <v>8798.27</v>
      </c>
      <c r="N819">
        <f>333.583</f>
        <v>333.58300000000003</v>
      </c>
      <c r="O819">
        <f>2748.35</f>
        <v>2748.35</v>
      </c>
      <c r="P819">
        <f>221.17</f>
        <v>221.17</v>
      </c>
      <c r="Q819">
        <f>2589.13564</f>
        <v>2589.13564</v>
      </c>
      <c r="R819">
        <f>5985.66</f>
        <v>5985.66</v>
      </c>
      <c r="S819">
        <f>2287.52</f>
        <v>2287.52</v>
      </c>
      <c r="T819">
        <f>3060.291</f>
        <v>3060.2910000000002</v>
      </c>
      <c r="U819">
        <f>50202.85</f>
        <v>50202.85</v>
      </c>
      <c r="V819">
        <f>343.85</f>
        <v>343.85</v>
      </c>
    </row>
    <row r="820" spans="1:22" x14ac:dyDescent="0.2">
      <c r="A820" s="1">
        <v>43959</v>
      </c>
      <c r="B820" t="e">
        <f>NA()</f>
        <v>#N/A</v>
      </c>
      <c r="C820">
        <f>8555.45</f>
        <v>8555.4500000000007</v>
      </c>
      <c r="D820" t="e">
        <f>NA()</f>
        <v>#N/A</v>
      </c>
      <c r="E820">
        <f>2115.5</f>
        <v>2115.5</v>
      </c>
      <c r="F820">
        <f>1623.89</f>
        <v>1623.89</v>
      </c>
      <c r="G820">
        <f>6885.468</f>
        <v>6885.4679999999998</v>
      </c>
      <c r="H820">
        <f>2881.02</f>
        <v>2881.02</v>
      </c>
      <c r="I820">
        <f>9285.463</f>
        <v>9285.4629999999997</v>
      </c>
      <c r="J820">
        <f>4025.58</f>
        <v>4025.58</v>
      </c>
      <c r="K820">
        <f>12484.82</f>
        <v>12484.82</v>
      </c>
      <c r="L820">
        <f>1965.76</f>
        <v>1965.76</v>
      </c>
      <c r="M820">
        <f>8802.88</f>
        <v>8802.8799999999992</v>
      </c>
      <c r="N820">
        <f>334.538</f>
        <v>334.53800000000001</v>
      </c>
      <c r="O820">
        <f>2759.69</f>
        <v>2759.69</v>
      </c>
      <c r="P820">
        <f>217</f>
        <v>217</v>
      </c>
      <c r="Q820">
        <f>2604.162</f>
        <v>2604.1619999999998</v>
      </c>
      <c r="R820">
        <f>5984.55</f>
        <v>5984.55</v>
      </c>
      <c r="S820">
        <f>2253</f>
        <v>2253</v>
      </c>
      <c r="T820">
        <f>3108.234</f>
        <v>3108.2339999999999</v>
      </c>
      <c r="U820">
        <f>51003.58</f>
        <v>51003.58</v>
      </c>
      <c r="V820">
        <f>351.74</f>
        <v>351.74</v>
      </c>
    </row>
    <row r="821" spans="1:22" x14ac:dyDescent="0.2">
      <c r="A821" s="1">
        <v>43958</v>
      </c>
      <c r="B821">
        <f>1739.34</f>
        <v>1739.34</v>
      </c>
      <c r="C821">
        <f>8460.26</f>
        <v>8460.26</v>
      </c>
      <c r="D821">
        <f>5563.61</f>
        <v>5563.61</v>
      </c>
      <c r="E821">
        <f>2080.744</f>
        <v>2080.7440000000001</v>
      </c>
      <c r="F821">
        <f>1602.05</f>
        <v>1602.05</v>
      </c>
      <c r="G821">
        <f>6792.854</f>
        <v>6792.8540000000003</v>
      </c>
      <c r="H821">
        <f>2808.82</f>
        <v>2808.82</v>
      </c>
      <c r="I821">
        <f>9111.147</f>
        <v>9111.1470000000008</v>
      </c>
      <c r="J821">
        <f>3939.69</f>
        <v>3939.69</v>
      </c>
      <c r="K821">
        <f>12272.1</f>
        <v>12272.1</v>
      </c>
      <c r="L821">
        <f>1924.74</f>
        <v>1924.74</v>
      </c>
      <c r="M821">
        <f>8649.07</f>
        <v>8649.07</v>
      </c>
      <c r="N821">
        <f>332.789</f>
        <v>332.78899999999999</v>
      </c>
      <c r="O821">
        <f>2737.52</f>
        <v>2737.52</v>
      </c>
      <c r="P821">
        <f>212.58</f>
        <v>212.58</v>
      </c>
      <c r="Q821">
        <f>2540.068</f>
        <v>2540.0680000000002</v>
      </c>
      <c r="R821">
        <f>5884.14</f>
        <v>5884.14</v>
      </c>
      <c r="S821">
        <f>2204.25</f>
        <v>2204.25</v>
      </c>
      <c r="T821">
        <f>3054.915</f>
        <v>3054.915</v>
      </c>
      <c r="U821">
        <f>50019.7</f>
        <v>50019.7</v>
      </c>
      <c r="V821">
        <f>347.54</f>
        <v>347.54</v>
      </c>
    </row>
    <row r="822" spans="1:22" x14ac:dyDescent="0.2">
      <c r="A822" s="1">
        <v>43957</v>
      </c>
      <c r="B822">
        <f>1710.47</f>
        <v>1710.47</v>
      </c>
      <c r="C822">
        <f>8486.47</f>
        <v>8486.4699999999993</v>
      </c>
      <c r="D822">
        <f>5479.03</f>
        <v>5479.03</v>
      </c>
      <c r="E822">
        <f>2084.718</f>
        <v>2084.7179999999998</v>
      </c>
      <c r="F822">
        <f>1605.43</f>
        <v>1605.43</v>
      </c>
      <c r="G822">
        <f>6735.375</f>
        <v>6735.375</v>
      </c>
      <c r="H822">
        <f>2865.58</f>
        <v>2865.58</v>
      </c>
      <c r="I822">
        <f>9022.307</f>
        <v>9022.3070000000007</v>
      </c>
      <c r="J822">
        <f>3923.36</f>
        <v>3923.36</v>
      </c>
      <c r="K822">
        <f>12117.77</f>
        <v>12117.77</v>
      </c>
      <c r="L822">
        <f>1928.96</f>
        <v>1928.96</v>
      </c>
      <c r="M822">
        <f>8566.4</f>
        <v>8566.4</v>
      </c>
      <c r="N822">
        <f>327.806</f>
        <v>327.80599999999998</v>
      </c>
      <c r="O822">
        <f>2704.81</f>
        <v>2704.81</v>
      </c>
      <c r="P822" t="e">
        <f>NA()</f>
        <v>#N/A</v>
      </c>
      <c r="Q822">
        <f>2507.68</f>
        <v>2507.6799999999998</v>
      </c>
      <c r="R822">
        <f>5815.17</f>
        <v>5815.17</v>
      </c>
      <c r="S822" t="e">
        <f>NA()</f>
        <v>#N/A</v>
      </c>
      <c r="T822">
        <f>3041.564</f>
        <v>3041.5639999999999</v>
      </c>
      <c r="U822">
        <f>49831.99</f>
        <v>49831.99</v>
      </c>
      <c r="V822">
        <f>346</f>
        <v>346</v>
      </c>
    </row>
    <row r="823" spans="1:22" x14ac:dyDescent="0.2">
      <c r="A823" s="1">
        <v>43956</v>
      </c>
      <c r="B823">
        <f>1725.79</f>
        <v>1725.79</v>
      </c>
      <c r="C823">
        <f>8524.47</f>
        <v>8524.4699999999993</v>
      </c>
      <c r="D823">
        <f>5474.96</f>
        <v>5474.96</v>
      </c>
      <c r="E823">
        <f>2077.822</f>
        <v>2077.8220000000001</v>
      </c>
      <c r="F823">
        <f>1612.81</f>
        <v>1612.81</v>
      </c>
      <c r="G823">
        <f>6781.632</f>
        <v>6781.6319999999996</v>
      </c>
      <c r="H823">
        <f>2850.66</f>
        <v>2850.66</v>
      </c>
      <c r="I823">
        <f>9095.348</f>
        <v>9095.348</v>
      </c>
      <c r="J823">
        <f>3976.09</f>
        <v>3976.09</v>
      </c>
      <c r="K823">
        <f>12192.84</f>
        <v>12192.84</v>
      </c>
      <c r="L823">
        <f>1945.74</f>
        <v>1945.74</v>
      </c>
      <c r="M823">
        <f>8610.84</f>
        <v>8610.84</v>
      </c>
      <c r="N823">
        <f>328.07</f>
        <v>328.07</v>
      </c>
      <c r="O823">
        <f>2715.53</f>
        <v>2715.53</v>
      </c>
      <c r="P823" t="e">
        <f>NA()</f>
        <v>#N/A</v>
      </c>
      <c r="Q823">
        <f>2540.004</f>
        <v>2540.0039999999999</v>
      </c>
      <c r="R823">
        <f>5855.58</f>
        <v>5855.58</v>
      </c>
      <c r="S823" t="e">
        <f>NA()</f>
        <v>#N/A</v>
      </c>
      <c r="T823">
        <f>3058.165</f>
        <v>3058.165</v>
      </c>
      <c r="U823">
        <f>49184.16</f>
        <v>49184.160000000003</v>
      </c>
      <c r="V823">
        <f>346.54</f>
        <v>346.54</v>
      </c>
    </row>
    <row r="824" spans="1:22" x14ac:dyDescent="0.2">
      <c r="A824" s="1">
        <v>43955</v>
      </c>
      <c r="B824">
        <f>1706.24</f>
        <v>1706.24</v>
      </c>
      <c r="C824">
        <f>8436.7</f>
        <v>8436.7000000000007</v>
      </c>
      <c r="D824">
        <f>5385.44</f>
        <v>5385.44</v>
      </c>
      <c r="E824">
        <f>2059.797</f>
        <v>2059.797</v>
      </c>
      <c r="F824">
        <f>1594.12</f>
        <v>1594.12</v>
      </c>
      <c r="G824">
        <f>6648.096</f>
        <v>6648.0959999999995</v>
      </c>
      <c r="H824">
        <f>2842.13</f>
        <v>2842.13</v>
      </c>
      <c r="I824">
        <f>8972.687</f>
        <v>8972.6869999999999</v>
      </c>
      <c r="J824">
        <f>3955.49</f>
        <v>3955.49</v>
      </c>
      <c r="K824">
        <f>12076.57</f>
        <v>12076.57</v>
      </c>
      <c r="L824">
        <f>1929.97</f>
        <v>1929.97</v>
      </c>
      <c r="M824">
        <f>8523.04</f>
        <v>8523.0400000000009</v>
      </c>
      <c r="N824">
        <f>322.065</f>
        <v>322.065</v>
      </c>
      <c r="O824">
        <f>2658.34</f>
        <v>2658.34</v>
      </c>
      <c r="P824" t="e">
        <f>NA()</f>
        <v>#N/A</v>
      </c>
      <c r="Q824">
        <f>2531.209</f>
        <v>2531.2089999999998</v>
      </c>
      <c r="R824">
        <f>5803.12</f>
        <v>5803.12</v>
      </c>
      <c r="S824" t="e">
        <f>NA()</f>
        <v>#N/A</v>
      </c>
      <c r="T824">
        <f>3027.68</f>
        <v>3027.68</v>
      </c>
      <c r="U824">
        <f>49186.59</f>
        <v>49186.59</v>
      </c>
      <c r="V824">
        <f>339.63</f>
        <v>339.63</v>
      </c>
    </row>
    <row r="825" spans="1:22" x14ac:dyDescent="0.2">
      <c r="A825" s="1">
        <v>43952</v>
      </c>
      <c r="B825">
        <f>1720.26</f>
        <v>1720.26</v>
      </c>
      <c r="C825">
        <f>8741.07</f>
        <v>8741.07</v>
      </c>
      <c r="D825">
        <f>5394.13</f>
        <v>5394.13</v>
      </c>
      <c r="E825">
        <f>2126.56</f>
        <v>2126.56</v>
      </c>
      <c r="F825">
        <f>1607.79</f>
        <v>1607.79</v>
      </c>
      <c r="G825">
        <f>6725.37</f>
        <v>6725.37</v>
      </c>
      <c r="H825">
        <f>2842.67</f>
        <v>2842.67</v>
      </c>
      <c r="I825">
        <f>9345.063</f>
        <v>9345.0630000000001</v>
      </c>
      <c r="J825">
        <f>3949.07</f>
        <v>3949.07</v>
      </c>
      <c r="K825">
        <f>12017.28</f>
        <v>12017.28</v>
      </c>
      <c r="L825">
        <f>1946.64</f>
        <v>1946.64</v>
      </c>
      <c r="M825">
        <f>8552.27</f>
        <v>8552.27</v>
      </c>
      <c r="N825">
        <f>328.429</f>
        <v>328.42899999999997</v>
      </c>
      <c r="O825">
        <f>2723.57</f>
        <v>2723.57</v>
      </c>
      <c r="P825">
        <f>214.88</f>
        <v>214.88</v>
      </c>
      <c r="Q825">
        <f>2527.256</f>
        <v>2527.2559999999999</v>
      </c>
      <c r="R825">
        <f>5778.53</f>
        <v>5778.53</v>
      </c>
      <c r="S825">
        <f>2211.25</f>
        <v>2211.25</v>
      </c>
      <c r="T825" t="e">
        <f>NA()</f>
        <v>#N/A</v>
      </c>
      <c r="U825" t="e">
        <f>NA()</f>
        <v>#N/A</v>
      </c>
      <c r="V825" t="e">
        <f>NA()</f>
        <v>#N/A</v>
      </c>
    </row>
    <row r="826" spans="1:22" x14ac:dyDescent="0.2">
      <c r="A826" s="1">
        <v>43951</v>
      </c>
      <c r="B826">
        <f>1767.66</f>
        <v>1767.66</v>
      </c>
      <c r="C826">
        <f>8785.35</f>
        <v>8785.35</v>
      </c>
      <c r="D826">
        <f>5524.05</f>
        <v>5524.05</v>
      </c>
      <c r="E826">
        <f>2145.501</f>
        <v>2145.5010000000002</v>
      </c>
      <c r="F826">
        <f>1647.3</f>
        <v>1647.3</v>
      </c>
      <c r="G826">
        <f>6925.468</f>
        <v>6925.4679999999998</v>
      </c>
      <c r="H826">
        <f>2933.19</f>
        <v>2933.19</v>
      </c>
      <c r="I826">
        <f>9308.771</f>
        <v>9308.7710000000006</v>
      </c>
      <c r="J826">
        <f>4057.95</f>
        <v>4057.95</v>
      </c>
      <c r="K826">
        <f>12365.16</f>
        <v>12365.16</v>
      </c>
      <c r="L826">
        <f>1986.68</f>
        <v>1986.68</v>
      </c>
      <c r="M826">
        <f>8756.47</f>
        <v>8756.4699999999993</v>
      </c>
      <c r="N826">
        <f>333.97</f>
        <v>333.97</v>
      </c>
      <c r="O826">
        <f>2750.52</f>
        <v>2750.52</v>
      </c>
      <c r="P826">
        <f>219.53</f>
        <v>219.53</v>
      </c>
      <c r="Q826">
        <f>2602.308</f>
        <v>2602.308</v>
      </c>
      <c r="R826">
        <f>5944.68</f>
        <v>5944.68</v>
      </c>
      <c r="S826">
        <f>2261.88</f>
        <v>2261.88</v>
      </c>
      <c r="T826">
        <f>3131.399</f>
        <v>3131.3989999999999</v>
      </c>
      <c r="U826">
        <f>50336.72</f>
        <v>50336.72</v>
      </c>
      <c r="V826">
        <f>349.63</f>
        <v>349.63</v>
      </c>
    </row>
    <row r="827" spans="1:22" x14ac:dyDescent="0.2">
      <c r="A827" s="1">
        <v>43950</v>
      </c>
      <c r="B827">
        <f>1842.97</f>
        <v>1842.97</v>
      </c>
      <c r="C827">
        <f>8725.61</f>
        <v>8725.61</v>
      </c>
      <c r="D827">
        <f>5723.82</f>
        <v>5723.82</v>
      </c>
      <c r="E827">
        <f>2133.16</f>
        <v>2133.16</v>
      </c>
      <c r="F827">
        <f>1691.12</f>
        <v>1691.12</v>
      </c>
      <c r="G827">
        <f>7078.85</f>
        <v>7078.85</v>
      </c>
      <c r="H827">
        <f>2906.56</f>
        <v>2906.56</v>
      </c>
      <c r="I827">
        <f>9400.259</f>
        <v>9400.259</v>
      </c>
      <c r="J827">
        <f>4129.4</f>
        <v>4129.3999999999996</v>
      </c>
      <c r="K827">
        <f>12486.19</f>
        <v>12486.19</v>
      </c>
      <c r="L827">
        <f>2014.05</f>
        <v>2014.05</v>
      </c>
      <c r="M827">
        <f>8831.92</f>
        <v>8831.92</v>
      </c>
      <c r="N827">
        <f>338.574</f>
        <v>338.57400000000001</v>
      </c>
      <c r="O827">
        <f>2809.56</f>
        <v>2809.56</v>
      </c>
      <c r="P827" t="e">
        <f>NA()</f>
        <v>#N/A</v>
      </c>
      <c r="Q827">
        <f>2661.23</f>
        <v>2661.23</v>
      </c>
      <c r="R827">
        <f>5999.74</f>
        <v>5999.74</v>
      </c>
      <c r="S827" t="e">
        <f>NA()</f>
        <v>#N/A</v>
      </c>
      <c r="T827">
        <f>3156.548</f>
        <v>3156.5479999999998</v>
      </c>
      <c r="U827">
        <f>50857.25</f>
        <v>50857.25</v>
      </c>
      <c r="V827">
        <f>353.1</f>
        <v>353.1</v>
      </c>
    </row>
    <row r="828" spans="1:22" x14ac:dyDescent="0.2">
      <c r="A828" s="1">
        <v>43949</v>
      </c>
      <c r="B828">
        <f>1747.03</f>
        <v>1747.03</v>
      </c>
      <c r="C828">
        <f>8569.01</f>
        <v>8569.01</v>
      </c>
      <c r="D828">
        <f>5577.1</f>
        <v>5577.1</v>
      </c>
      <c r="E828">
        <f>2093.621</f>
        <v>2093.6210000000001</v>
      </c>
      <c r="F828">
        <f>1636.99</f>
        <v>1636.99</v>
      </c>
      <c r="G828">
        <f>6897.614</f>
        <v>6897.6139999999996</v>
      </c>
      <c r="H828">
        <f>2896.91</f>
        <v>2896.91</v>
      </c>
      <c r="I828">
        <f>9234.338</f>
        <v>9234.3379999999997</v>
      </c>
      <c r="J828">
        <f>4069.57</f>
        <v>4069.57</v>
      </c>
      <c r="K828">
        <f>12156.63</f>
        <v>12156.63</v>
      </c>
      <c r="L828">
        <f>1986.98</f>
        <v>1986.98</v>
      </c>
      <c r="M828">
        <f>8628.59</f>
        <v>8628.59</v>
      </c>
      <c r="N828">
        <f>333.278</f>
        <v>333.27800000000002</v>
      </c>
      <c r="O828">
        <f>2762.71</f>
        <v>2762.71</v>
      </c>
      <c r="P828">
        <f>216.94</f>
        <v>216.94</v>
      </c>
      <c r="Q828">
        <f>2623.439</f>
        <v>2623.4389999999999</v>
      </c>
      <c r="R828">
        <f>5844.18</f>
        <v>5844.18</v>
      </c>
      <c r="S828">
        <f>2238.88</f>
        <v>2238.88</v>
      </c>
      <c r="T828">
        <f>3107.79</f>
        <v>3107.79</v>
      </c>
      <c r="U828">
        <f>50029.22</f>
        <v>50029.22</v>
      </c>
      <c r="V828">
        <f>343.01</f>
        <v>343.01</v>
      </c>
    </row>
    <row r="829" spans="1:22" x14ac:dyDescent="0.2">
      <c r="A829" s="1">
        <v>43948</v>
      </c>
      <c r="B829">
        <f>1687.48</f>
        <v>1687.48</v>
      </c>
      <c r="C829">
        <f>8465.62</f>
        <v>8465.6200000000008</v>
      </c>
      <c r="D829">
        <f>5472.54</f>
        <v>5472.54</v>
      </c>
      <c r="E829">
        <f>2076.471</f>
        <v>2076.471</v>
      </c>
      <c r="F829">
        <f>1584.38</f>
        <v>1584.38</v>
      </c>
      <c r="G829">
        <f>6752.716</f>
        <v>6752.7160000000003</v>
      </c>
      <c r="H829">
        <f>2891.52</f>
        <v>2891.52</v>
      </c>
      <c r="I829">
        <f>9100.007</f>
        <v>9100.0069999999996</v>
      </c>
      <c r="J829">
        <f>4063.58</f>
        <v>4063.58</v>
      </c>
      <c r="K829">
        <f>12222.83</f>
        <v>12222.83</v>
      </c>
      <c r="L829">
        <f>1972.99</f>
        <v>1972.99</v>
      </c>
      <c r="M829">
        <f>8624.84</f>
        <v>8624.84</v>
      </c>
      <c r="N829">
        <f>327.327</f>
        <v>327.327</v>
      </c>
      <c r="O829">
        <f>2717.98</f>
        <v>2717.98</v>
      </c>
      <c r="P829">
        <f>216.68</f>
        <v>216.68</v>
      </c>
      <c r="Q829">
        <f>2595.775</f>
        <v>2595.7750000000001</v>
      </c>
      <c r="R829">
        <f>5874.94</f>
        <v>5874.94</v>
      </c>
      <c r="S829">
        <f>2235.91</f>
        <v>2235.91</v>
      </c>
      <c r="T829" t="e">
        <f>NA()</f>
        <v>#N/A</v>
      </c>
      <c r="U829" t="e">
        <f>NA()</f>
        <v>#N/A</v>
      </c>
      <c r="V829" t="e">
        <f>NA()</f>
        <v>#N/A</v>
      </c>
    </row>
    <row r="830" spans="1:22" x14ac:dyDescent="0.2">
      <c r="A830" s="1">
        <v>43945</v>
      </c>
      <c r="B830">
        <f>1655.93</f>
        <v>1655.93</v>
      </c>
      <c r="C830">
        <f>8306.66</f>
        <v>8306.66</v>
      </c>
      <c r="D830">
        <f>5384.04</f>
        <v>5384.04</v>
      </c>
      <c r="E830">
        <f>2039.524</f>
        <v>2039.5239999999999</v>
      </c>
      <c r="F830">
        <f>1558.69</f>
        <v>1558.69</v>
      </c>
      <c r="G830">
        <f>6603.376</f>
        <v>6603.3760000000002</v>
      </c>
      <c r="H830">
        <f>2824.97</f>
        <v>2824.97</v>
      </c>
      <c r="I830">
        <f>8904.68</f>
        <v>8904.68</v>
      </c>
      <c r="J830">
        <f>3997.4</f>
        <v>3997.4</v>
      </c>
      <c r="K830">
        <f>12032.58</f>
        <v>12032.58</v>
      </c>
      <c r="L830">
        <f>1937.63</f>
        <v>1937.63</v>
      </c>
      <c r="M830">
        <f>8474.03</f>
        <v>8474.0300000000007</v>
      </c>
      <c r="N830">
        <f>320.896</f>
        <v>320.89600000000002</v>
      </c>
      <c r="O830">
        <f>2664.53</f>
        <v>2664.53</v>
      </c>
      <c r="P830">
        <f>213.24</f>
        <v>213.24</v>
      </c>
      <c r="Q830">
        <f>2536.114</f>
        <v>2536.114</v>
      </c>
      <c r="R830">
        <f>5789.65</f>
        <v>5789.65</v>
      </c>
      <c r="S830">
        <f>2195.8</f>
        <v>2195.8000000000002</v>
      </c>
      <c r="T830">
        <f>3064.246</f>
        <v>3064.2460000000001</v>
      </c>
      <c r="U830">
        <f>49527.23</f>
        <v>49527.23</v>
      </c>
      <c r="V830">
        <f>338.06</f>
        <v>338.06</v>
      </c>
    </row>
    <row r="831" spans="1:22" x14ac:dyDescent="0.2">
      <c r="A831" s="1">
        <v>43944</v>
      </c>
      <c r="B831">
        <f>1681.89</f>
        <v>1681.89</v>
      </c>
      <c r="C831">
        <f>8385.6</f>
        <v>8385.6</v>
      </c>
      <c r="D831">
        <f>5451.41</f>
        <v>5451.41</v>
      </c>
      <c r="E831">
        <f>2068.265</f>
        <v>2068.2649999999999</v>
      </c>
      <c r="F831">
        <f>1575.37</f>
        <v>1575.37</v>
      </c>
      <c r="G831">
        <f>6715.236</f>
        <v>6715.2359999999999</v>
      </c>
      <c r="H831">
        <f>2832.16</f>
        <v>2832.16</v>
      </c>
      <c r="I831">
        <f>9001.846</f>
        <v>9001.8459999999995</v>
      </c>
      <c r="J831">
        <f>3946.55</f>
        <v>3946.55</v>
      </c>
      <c r="K831">
        <f>11865.89</f>
        <v>11865.89</v>
      </c>
      <c r="L831">
        <f>1929.72</f>
        <v>1929.72</v>
      </c>
      <c r="M831">
        <f>8416.84</f>
        <v>8416.84</v>
      </c>
      <c r="N831">
        <f>325.437</f>
        <v>325.43700000000001</v>
      </c>
      <c r="O831">
        <f>2693.51</f>
        <v>2693.51</v>
      </c>
      <c r="P831">
        <f>213.76</f>
        <v>213.76</v>
      </c>
      <c r="Q831">
        <f>2498.694</f>
        <v>2498.694</v>
      </c>
      <c r="R831">
        <f>5710.04</f>
        <v>5710.04</v>
      </c>
      <c r="S831">
        <f>2203.04</f>
        <v>2203.04</v>
      </c>
      <c r="T831">
        <f>3068.454</f>
        <v>3068.4540000000002</v>
      </c>
      <c r="U831">
        <f>49601.82</f>
        <v>49601.82</v>
      </c>
      <c r="V831">
        <f>340.19</f>
        <v>340.19</v>
      </c>
    </row>
    <row r="832" spans="1:22" x14ac:dyDescent="0.2">
      <c r="A832" s="1">
        <v>43943</v>
      </c>
      <c r="B832">
        <f>1650.93</f>
        <v>1650.93</v>
      </c>
      <c r="C832">
        <f>8308.3</f>
        <v>8308.2999999999993</v>
      </c>
      <c r="D832">
        <f>5395.73</f>
        <v>5395.73</v>
      </c>
      <c r="E832">
        <f>2060.8</f>
        <v>2060.8000000000002</v>
      </c>
      <c r="F832">
        <f>1528.24</f>
        <v>1528.24</v>
      </c>
      <c r="G832">
        <f>6613.54</f>
        <v>6613.54</v>
      </c>
      <c r="H832">
        <f>2780.09</f>
        <v>2780.09</v>
      </c>
      <c r="I832">
        <f>8936.912</f>
        <v>8936.9120000000003</v>
      </c>
      <c r="J832">
        <f>3950.57</f>
        <v>3950.57</v>
      </c>
      <c r="K832">
        <f>11869.83</f>
        <v>11869.83</v>
      </c>
      <c r="L832">
        <f>1921.25</f>
        <v>1921.25</v>
      </c>
      <c r="M832">
        <f>8389.98</f>
        <v>8389.98</v>
      </c>
      <c r="N832">
        <f>322.7</f>
        <v>322.7</v>
      </c>
      <c r="O832">
        <f>2669.53</f>
        <v>2669.53</v>
      </c>
      <c r="P832">
        <f>210.01</f>
        <v>210.01</v>
      </c>
      <c r="Q832">
        <f>2506.256</f>
        <v>2506.2559999999999</v>
      </c>
      <c r="R832">
        <f>5712.65</f>
        <v>5712.65</v>
      </c>
      <c r="S832">
        <f>2173.56</f>
        <v>2173.56</v>
      </c>
      <c r="T832">
        <f>3018.849</f>
        <v>3018.8490000000002</v>
      </c>
      <c r="U832">
        <f>48108.49</f>
        <v>48108.49</v>
      </c>
      <c r="V832">
        <f>329.17</f>
        <v>329.17</v>
      </c>
    </row>
    <row r="833" spans="1:22" x14ac:dyDescent="0.2">
      <c r="A833" s="1">
        <v>43942</v>
      </c>
      <c r="B833">
        <f>1627.31</f>
        <v>1627.31</v>
      </c>
      <c r="C833">
        <f>8216.36</f>
        <v>8216.36</v>
      </c>
      <c r="D833">
        <f>5274.56</f>
        <v>5274.56</v>
      </c>
      <c r="E833">
        <f>2036.283</f>
        <v>2036.2829999999999</v>
      </c>
      <c r="F833">
        <f>1484.75</f>
        <v>1484.75</v>
      </c>
      <c r="G833">
        <f>6441.968</f>
        <v>6441.9679999999998</v>
      </c>
      <c r="H833">
        <f>2802.95</f>
        <v>2802.95</v>
      </c>
      <c r="I833">
        <f>8827.426</f>
        <v>8827.4259999999995</v>
      </c>
      <c r="J833">
        <f>3878.59</f>
        <v>3878.59</v>
      </c>
      <c r="K833">
        <f>11599.8</f>
        <v>11599.8</v>
      </c>
      <c r="L833">
        <f>1898.19</f>
        <v>1898.19</v>
      </c>
      <c r="M833">
        <f>8235.92</f>
        <v>8235.92</v>
      </c>
      <c r="N833">
        <f>317.861</f>
        <v>317.86099999999999</v>
      </c>
      <c r="O833">
        <f>2620.3</f>
        <v>2620.3000000000002</v>
      </c>
      <c r="P833">
        <f>211.25</f>
        <v>211.25</v>
      </c>
      <c r="Q833">
        <f>2470.423</f>
        <v>2470.4229999999998</v>
      </c>
      <c r="R833">
        <f>5584.44</f>
        <v>5584.44</v>
      </c>
      <c r="S833">
        <f>2187.46</f>
        <v>2187.46</v>
      </c>
      <c r="T833">
        <f>3023.393</f>
        <v>3023.393</v>
      </c>
      <c r="U833">
        <f>47628.87</f>
        <v>47628.87</v>
      </c>
      <c r="V833">
        <f>325.84</f>
        <v>325.83999999999997</v>
      </c>
    </row>
    <row r="834" spans="1:22" x14ac:dyDescent="0.2">
      <c r="A834" s="1">
        <v>43941</v>
      </c>
      <c r="B834">
        <f>1683.91</f>
        <v>1683.91</v>
      </c>
      <c r="C834">
        <f>8408.62</f>
        <v>8408.6200000000008</v>
      </c>
      <c r="D834">
        <f>5435.19</f>
        <v>5435.19</v>
      </c>
      <c r="E834">
        <f>2084.966</f>
        <v>2084.9659999999999</v>
      </c>
      <c r="F834">
        <f>1555.84</f>
        <v>1555.84</v>
      </c>
      <c r="G834">
        <f>6751.993</f>
        <v>6751.9930000000004</v>
      </c>
      <c r="H834">
        <f>2836.52</f>
        <v>2836.52</v>
      </c>
      <c r="I834">
        <f>9126.194</f>
        <v>9126.1939999999995</v>
      </c>
      <c r="J834">
        <f>3983.63</f>
        <v>3983.63</v>
      </c>
      <c r="K834">
        <f>11971.76</f>
        <v>11971.76</v>
      </c>
      <c r="L834">
        <f>1950.34</f>
        <v>1950.34</v>
      </c>
      <c r="M834">
        <f>8498.51</f>
        <v>8498.51</v>
      </c>
      <c r="N834">
        <f>328.404</f>
        <v>328.404</v>
      </c>
      <c r="O834">
        <f>2713.76</f>
        <v>2713.76</v>
      </c>
      <c r="P834">
        <f>212.25</f>
        <v>212.25</v>
      </c>
      <c r="Q834">
        <f>2534.642</f>
        <v>2534.6419999999998</v>
      </c>
      <c r="R834">
        <f>5761</f>
        <v>5761</v>
      </c>
      <c r="S834">
        <f>2212.97</f>
        <v>2212.9699999999998</v>
      </c>
      <c r="T834">
        <f>3083.416</f>
        <v>3083.4160000000002</v>
      </c>
      <c r="U834">
        <f>48849.52</f>
        <v>48849.52</v>
      </c>
      <c r="V834">
        <f>337.66</f>
        <v>337.66</v>
      </c>
    </row>
    <row r="835" spans="1:22" x14ac:dyDescent="0.2">
      <c r="A835" s="1">
        <v>43938</v>
      </c>
      <c r="B835">
        <f>1683.91</f>
        <v>1683.91</v>
      </c>
      <c r="C835">
        <f>8440.1</f>
        <v>8440.1</v>
      </c>
      <c r="D835">
        <f>5411.01</f>
        <v>5411.01</v>
      </c>
      <c r="E835">
        <f>2089.559</f>
        <v>2089.5590000000002</v>
      </c>
      <c r="F835">
        <f>1571.82</f>
        <v>1571.82</v>
      </c>
      <c r="G835">
        <f>6734.641</f>
        <v>6734.6409999999996</v>
      </c>
      <c r="H835">
        <f>2871.46</f>
        <v>2871.46</v>
      </c>
      <c r="I835">
        <f>9063.494</f>
        <v>9063.4940000000006</v>
      </c>
      <c r="J835">
        <f>4061.67</f>
        <v>4061.67</v>
      </c>
      <c r="K835">
        <f>12184.76</f>
        <v>12184.76</v>
      </c>
      <c r="L835">
        <f>1969.77</f>
        <v>1969.77</v>
      </c>
      <c r="M835">
        <f>8598.54</f>
        <v>8598.5400000000009</v>
      </c>
      <c r="N835">
        <f>325.877</f>
        <v>325.87700000000001</v>
      </c>
      <c r="O835">
        <f>2695.45</f>
        <v>2695.45</v>
      </c>
      <c r="P835">
        <f>212.64</f>
        <v>212.64</v>
      </c>
      <c r="Q835">
        <f>2591.927</f>
        <v>2591.9270000000001</v>
      </c>
      <c r="R835">
        <f>5865.9</f>
        <v>5865.9</v>
      </c>
      <c r="S835">
        <f>2228.63</f>
        <v>2228.63</v>
      </c>
      <c r="T835">
        <f>3104.567</f>
        <v>3104.567</v>
      </c>
      <c r="U835">
        <f>49134.65</f>
        <v>49134.65</v>
      </c>
      <c r="V835">
        <f>346.83</f>
        <v>346.83</v>
      </c>
    </row>
    <row r="836" spans="1:22" x14ac:dyDescent="0.2">
      <c r="A836" s="1">
        <v>43937</v>
      </c>
      <c r="B836">
        <f>1632.59</f>
        <v>1632.59</v>
      </c>
      <c r="C836">
        <f>8331.97</f>
        <v>8331.9699999999993</v>
      </c>
      <c r="D836">
        <f>5262.77</f>
        <v>5262.77</v>
      </c>
      <c r="E836">
        <f>2051.321</f>
        <v>2051.3209999999999</v>
      </c>
      <c r="F836">
        <f>1516.49</f>
        <v>1516.49</v>
      </c>
      <c r="G836">
        <f>6518.492</f>
        <v>6518.4920000000002</v>
      </c>
      <c r="H836">
        <f>2827.65</f>
        <v>2827.65</v>
      </c>
      <c r="I836">
        <f>8809.583</f>
        <v>8809.5830000000005</v>
      </c>
      <c r="J836">
        <f>3931.17</f>
        <v>3931.17</v>
      </c>
      <c r="K836">
        <f>11862.55</f>
        <v>11862.55</v>
      </c>
      <c r="L836">
        <f>1911.85</f>
        <v>1911.85</v>
      </c>
      <c r="M836">
        <f>8371.6</f>
        <v>8371.6</v>
      </c>
      <c r="N836">
        <f>317.463</f>
        <v>317.46300000000002</v>
      </c>
      <c r="O836">
        <f>2626.67</f>
        <v>2626.67</v>
      </c>
      <c r="P836">
        <f>210.85</f>
        <v>210.85</v>
      </c>
      <c r="Q836">
        <f>2503.374</f>
        <v>2503.3739999999998</v>
      </c>
      <c r="R836">
        <f>5712.6</f>
        <v>5712.6</v>
      </c>
      <c r="S836">
        <f>2197.26</f>
        <v>2197.2600000000002</v>
      </c>
      <c r="T836">
        <f>3055.032</f>
        <v>3055.0320000000002</v>
      </c>
      <c r="U836">
        <f>48245.11</f>
        <v>48245.11</v>
      </c>
      <c r="V836">
        <f>336.61</f>
        <v>336.61</v>
      </c>
    </row>
    <row r="837" spans="1:22" x14ac:dyDescent="0.2">
      <c r="A837" s="1">
        <v>43936</v>
      </c>
      <c r="B837">
        <f>1639.6</f>
        <v>1639.6</v>
      </c>
      <c r="C837">
        <f>8430.17</f>
        <v>8430.17</v>
      </c>
      <c r="D837">
        <f>5230.11</f>
        <v>5230.1099999999997</v>
      </c>
      <c r="E837">
        <f>2058.875</f>
        <v>2058.875</v>
      </c>
      <c r="F837">
        <f>1498.66</f>
        <v>1498.66</v>
      </c>
      <c r="G837">
        <f>6509.892</f>
        <v>6509.8919999999998</v>
      </c>
      <c r="H837">
        <f>2861.54</f>
        <v>2861.54</v>
      </c>
      <c r="I837">
        <f>8803.902</f>
        <v>8803.902</v>
      </c>
      <c r="J837">
        <f>3922.74</f>
        <v>3922.74</v>
      </c>
      <c r="K837">
        <f>11793.92</f>
        <v>11793.92</v>
      </c>
      <c r="L837">
        <f>1913.21</f>
        <v>1913.21</v>
      </c>
      <c r="M837">
        <f>8353.58</f>
        <v>8353.58</v>
      </c>
      <c r="N837">
        <f>316.09</f>
        <v>316.08999999999997</v>
      </c>
      <c r="O837">
        <f>2611.38</f>
        <v>2611.38</v>
      </c>
      <c r="P837">
        <f>212.3</f>
        <v>212.3</v>
      </c>
      <c r="Q837">
        <f>2500.977</f>
        <v>2500.9769999999999</v>
      </c>
      <c r="R837">
        <f>5679.53</f>
        <v>5679.53</v>
      </c>
      <c r="S837">
        <f>2215.53</f>
        <v>2215.5300000000002</v>
      </c>
      <c r="T837">
        <f>3076.509</f>
        <v>3076.509</v>
      </c>
      <c r="U837">
        <f>48301.28</f>
        <v>48301.279999999999</v>
      </c>
      <c r="V837">
        <f>337.55</f>
        <v>337.55</v>
      </c>
    </row>
    <row r="838" spans="1:22" x14ac:dyDescent="0.2">
      <c r="A838" s="1">
        <v>43935</v>
      </c>
      <c r="B838">
        <f>1742.53</f>
        <v>1742.53</v>
      </c>
      <c r="C838">
        <f>8626.31</f>
        <v>8626.31</v>
      </c>
      <c r="D838">
        <f>5411.06</f>
        <v>5411.06</v>
      </c>
      <c r="E838">
        <f>2077.399</f>
        <v>2077.3989999999999</v>
      </c>
      <c r="F838">
        <f>1578.69</f>
        <v>1578.69</v>
      </c>
      <c r="G838">
        <f>6788.286</f>
        <v>6788.2860000000001</v>
      </c>
      <c r="H838">
        <f>2871.75</f>
        <v>2871.75</v>
      </c>
      <c r="I838">
        <f>9142.836</f>
        <v>9142.8359999999993</v>
      </c>
      <c r="J838">
        <f>4028.43</f>
        <v>4028.43</v>
      </c>
      <c r="K838">
        <f>12055.25</f>
        <v>12055.25</v>
      </c>
      <c r="L838">
        <f>1967.68</f>
        <v>1967.68</v>
      </c>
      <c r="M838">
        <f>8551.84</f>
        <v>8551.84</v>
      </c>
      <c r="N838">
        <f>324.827</f>
        <v>324.827</v>
      </c>
      <c r="O838">
        <f>2697.56</f>
        <v>2697.56</v>
      </c>
      <c r="P838">
        <f>213.76</f>
        <v>213.76</v>
      </c>
      <c r="Q838">
        <f>2582.418</f>
        <v>2582.4180000000001</v>
      </c>
      <c r="R838">
        <f>5807.1</f>
        <v>5807.1</v>
      </c>
      <c r="S838">
        <f>2214.68</f>
        <v>2214.6799999999998</v>
      </c>
      <c r="T838">
        <f>3184.159</f>
        <v>3184.1590000000001</v>
      </c>
      <c r="U838">
        <f>49874.51</f>
        <v>49874.51</v>
      </c>
      <c r="V838">
        <f>354.17</f>
        <v>354.17</v>
      </c>
    </row>
    <row r="839" spans="1:22" x14ac:dyDescent="0.2">
      <c r="A839" s="1">
        <v>43934</v>
      </c>
      <c r="B839" t="e">
        <f>NA()</f>
        <v>#N/A</v>
      </c>
      <c r="C839">
        <f>8537.83</f>
        <v>8537.83</v>
      </c>
      <c r="D839" t="e">
        <f>NA()</f>
        <v>#N/A</v>
      </c>
      <c r="E839">
        <f>2046.884</f>
        <v>2046.884</v>
      </c>
      <c r="F839">
        <f>1614.04</f>
        <v>1614.04</v>
      </c>
      <c r="G839">
        <f>6797.205</f>
        <v>6797.2049999999999</v>
      </c>
      <c r="H839">
        <f>2817.52</f>
        <v>2817.52</v>
      </c>
      <c r="I839">
        <f>9008.143</f>
        <v>9008.143</v>
      </c>
      <c r="J839">
        <f>3916.01</f>
        <v>3916.01</v>
      </c>
      <c r="K839">
        <f>11695.34</f>
        <v>11695.34</v>
      </c>
      <c r="L839">
        <f>1924.94</f>
        <v>1924.94</v>
      </c>
      <c r="M839">
        <f>8337.85</f>
        <v>8337.85</v>
      </c>
      <c r="N839" t="e">
        <f>NA()</f>
        <v>#N/A</v>
      </c>
      <c r="O839" t="e">
        <f>NA()</f>
        <v>#N/A</v>
      </c>
      <c r="P839">
        <f>211.77</f>
        <v>211.77</v>
      </c>
      <c r="Q839">
        <f>2510.668</f>
        <v>2510.6680000000001</v>
      </c>
      <c r="R839">
        <f>5634.15</f>
        <v>5634.15</v>
      </c>
      <c r="S839">
        <f>2172.04</f>
        <v>2172.04</v>
      </c>
      <c r="T839" t="e">
        <f>NA()</f>
        <v>#N/A</v>
      </c>
      <c r="U839" t="e">
        <f>NA()</f>
        <v>#N/A</v>
      </c>
      <c r="V839" t="e">
        <f>NA()</f>
        <v>#N/A</v>
      </c>
    </row>
    <row r="840" spans="1:22" x14ac:dyDescent="0.2">
      <c r="A840" s="1">
        <v>43931</v>
      </c>
      <c r="B840" t="e">
        <f>NA()</f>
        <v>#N/A</v>
      </c>
      <c r="C840">
        <f>8599.1</f>
        <v>8599.1</v>
      </c>
      <c r="D840" t="e">
        <f>NA()</f>
        <v>#N/A</v>
      </c>
      <c r="E840">
        <f>2058.481</f>
        <v>2058.4810000000002</v>
      </c>
      <c r="F840">
        <f>1609.52</f>
        <v>1609.52</v>
      </c>
      <c r="G840">
        <f>6778.179</f>
        <v>6778.1790000000001</v>
      </c>
      <c r="H840">
        <f>2856.88</f>
        <v>2856.88</v>
      </c>
      <c r="I840">
        <f>9039.358</f>
        <v>9039.3580000000002</v>
      </c>
      <c r="J840">
        <f>3969.97</f>
        <v>3969.97</v>
      </c>
      <c r="K840">
        <f>11811.68</f>
        <v>11811.68</v>
      </c>
      <c r="L840">
        <f>1942.36</f>
        <v>1942.36</v>
      </c>
      <c r="M840">
        <f>8402.52</f>
        <v>8402.52</v>
      </c>
      <c r="N840" t="e">
        <f>NA()</f>
        <v>#N/A</v>
      </c>
      <c r="O840" t="e">
        <f>NA()</f>
        <v>#N/A</v>
      </c>
      <c r="P840">
        <f>215.71</f>
        <v>215.71</v>
      </c>
      <c r="Q840" t="e">
        <f>NA()</f>
        <v>#N/A</v>
      </c>
      <c r="R840" t="e">
        <f>NA()</f>
        <v>#N/A</v>
      </c>
      <c r="S840">
        <f>2209.31</f>
        <v>2209.31</v>
      </c>
      <c r="T840" t="e">
        <f>NA()</f>
        <v>#N/A</v>
      </c>
      <c r="U840" t="e">
        <f>NA()</f>
        <v>#N/A</v>
      </c>
      <c r="V840" t="e">
        <f>NA()</f>
        <v>#N/A</v>
      </c>
    </row>
    <row r="841" spans="1:22" x14ac:dyDescent="0.2">
      <c r="A841" s="1">
        <v>43930</v>
      </c>
      <c r="B841">
        <f>1793.4</f>
        <v>1793.4</v>
      </c>
      <c r="C841">
        <f>8598.05</f>
        <v>8598.0499999999993</v>
      </c>
      <c r="D841">
        <f>5459.91</f>
        <v>5459.91</v>
      </c>
      <c r="E841">
        <f>2056.999</f>
        <v>2056.9989999999998</v>
      </c>
      <c r="F841">
        <f>1609.52</f>
        <v>1609.52</v>
      </c>
      <c r="G841">
        <f>6778.179</f>
        <v>6778.1790000000001</v>
      </c>
      <c r="H841">
        <f>2847.2</f>
        <v>2847.2</v>
      </c>
      <c r="I841">
        <f>9039.358</f>
        <v>9039.3580000000002</v>
      </c>
      <c r="J841">
        <f>3969.97</f>
        <v>3969.97</v>
      </c>
      <c r="K841">
        <f>11811.68</f>
        <v>11811.68</v>
      </c>
      <c r="L841">
        <f>1941.7</f>
        <v>1941.7</v>
      </c>
      <c r="M841">
        <f>8397.05</f>
        <v>8397.0499999999993</v>
      </c>
      <c r="N841">
        <f>320.94</f>
        <v>320.94</v>
      </c>
      <c r="O841">
        <f>2680.72</f>
        <v>2680.72</v>
      </c>
      <c r="P841">
        <f>212.2</f>
        <v>212.2</v>
      </c>
      <c r="Q841">
        <f>2565.118</f>
        <v>2565.1179999999999</v>
      </c>
      <c r="R841">
        <f>5691.54</f>
        <v>5691.54</v>
      </c>
      <c r="S841">
        <f>2189.14</f>
        <v>2189.14</v>
      </c>
      <c r="T841">
        <f>3148.72</f>
        <v>3148.72</v>
      </c>
      <c r="U841">
        <f>48011.56</f>
        <v>48011.56</v>
      </c>
      <c r="V841">
        <f>345.96</f>
        <v>345.96</v>
      </c>
    </row>
    <row r="842" spans="1:22" x14ac:dyDescent="0.2">
      <c r="A842" s="1">
        <v>43929</v>
      </c>
      <c r="B842">
        <f>1716.07</f>
        <v>1716.07</v>
      </c>
      <c r="C842">
        <f>8451.28</f>
        <v>8451.2800000000007</v>
      </c>
      <c r="D842">
        <f>5306.38</f>
        <v>5306.38</v>
      </c>
      <c r="E842">
        <f>2024.665</f>
        <v>2024.665</v>
      </c>
      <c r="F842">
        <f>1524.8</f>
        <v>1524.8</v>
      </c>
      <c r="G842">
        <f>6555.205</f>
        <v>6555.2049999999999</v>
      </c>
      <c r="H842">
        <f>2858</f>
        <v>2858</v>
      </c>
      <c r="I842">
        <f>8879.059</f>
        <v>8879.0589999999993</v>
      </c>
      <c r="J842">
        <f>3915.89</f>
        <v>3915.89</v>
      </c>
      <c r="K842">
        <f>11633.79</f>
        <v>11633.79</v>
      </c>
      <c r="L842">
        <f>1910.81</f>
        <v>1910.81</v>
      </c>
      <c r="M842">
        <f>8266.02</f>
        <v>8266.02</v>
      </c>
      <c r="N842">
        <f>314.116</f>
        <v>314.11599999999999</v>
      </c>
      <c r="O842">
        <f>2642.29</f>
        <v>2642.29</v>
      </c>
      <c r="P842">
        <f>213.37</f>
        <v>213.37</v>
      </c>
      <c r="Q842">
        <f>2516.514</f>
        <v>2516.5140000000001</v>
      </c>
      <c r="R842">
        <f>5609.55</f>
        <v>5609.55</v>
      </c>
      <c r="S842">
        <f>2202.26</f>
        <v>2202.2600000000002</v>
      </c>
      <c r="T842">
        <f>3022.611</f>
        <v>3022.6109999999999</v>
      </c>
      <c r="U842">
        <f>46689.9</f>
        <v>46689.9</v>
      </c>
      <c r="V842">
        <f>326.5</f>
        <v>326.5</v>
      </c>
    </row>
    <row r="843" spans="1:22" x14ac:dyDescent="0.2">
      <c r="A843" s="1">
        <v>43928</v>
      </c>
      <c r="B843">
        <f>1700.87</f>
        <v>1700.87</v>
      </c>
      <c r="C843">
        <f>8478.71</f>
        <v>8478.7099999999991</v>
      </c>
      <c r="D843">
        <f>5331.36</f>
        <v>5331.36</v>
      </c>
      <c r="E843">
        <f>2034.602</f>
        <v>2034.6020000000001</v>
      </c>
      <c r="F843">
        <f>1520.13</f>
        <v>1520.13</v>
      </c>
      <c r="G843">
        <f>6547.376</f>
        <v>6547.3760000000002</v>
      </c>
      <c r="H843">
        <f>2820.52</f>
        <v>2820.52</v>
      </c>
      <c r="I843">
        <f>8906.647</f>
        <v>8906.6470000000008</v>
      </c>
      <c r="J843">
        <f>3793.82</f>
        <v>3793.82</v>
      </c>
      <c r="K843">
        <f>11242.39</f>
        <v>11242.39</v>
      </c>
      <c r="L843">
        <f>1878.34</f>
        <v>1878.34</v>
      </c>
      <c r="M843">
        <f>8072.5</f>
        <v>8072.5</v>
      </c>
      <c r="N843">
        <f>313.181</f>
        <v>313.18099999999998</v>
      </c>
      <c r="O843">
        <f>2645.26</f>
        <v>2645.26</v>
      </c>
      <c r="P843">
        <f>211.45</f>
        <v>211.45</v>
      </c>
      <c r="Q843">
        <f>2428.895</f>
        <v>2428.895</v>
      </c>
      <c r="R843">
        <f>5423.52</f>
        <v>5423.52</v>
      </c>
      <c r="S843">
        <f>2167.87</f>
        <v>2167.87</v>
      </c>
      <c r="T843">
        <f>3072.883</f>
        <v>3072.8829999999998</v>
      </c>
      <c r="U843">
        <f>47496.72</f>
        <v>47496.72</v>
      </c>
      <c r="V843">
        <f>336.41</f>
        <v>336.41</v>
      </c>
    </row>
    <row r="844" spans="1:22" x14ac:dyDescent="0.2">
      <c r="A844" s="1">
        <v>43927</v>
      </c>
      <c r="B844">
        <f>1611.38</f>
        <v>1611.38</v>
      </c>
      <c r="C844">
        <f>8282.49</f>
        <v>8282.49</v>
      </c>
      <c r="D844">
        <f>5217.28</f>
        <v>5217.28</v>
      </c>
      <c r="E844">
        <f>1978.11</f>
        <v>1978.11</v>
      </c>
      <c r="F844">
        <f>1451.46</f>
        <v>1451.46</v>
      </c>
      <c r="G844">
        <f>6377.588</f>
        <v>6377.5879999999997</v>
      </c>
      <c r="H844">
        <f>2763.77</f>
        <v>2763.77</v>
      </c>
      <c r="I844">
        <f>8671.787</f>
        <v>8671.7870000000003</v>
      </c>
      <c r="J844">
        <f>3812.39</f>
        <v>3812.39</v>
      </c>
      <c r="K844">
        <f>11254.59</f>
        <v>11254.59</v>
      </c>
      <c r="L844">
        <f>1866.31</f>
        <v>1866.31</v>
      </c>
      <c r="M844">
        <f>8014.41</f>
        <v>8014.41</v>
      </c>
      <c r="N844">
        <f>305.766</f>
        <v>305.76600000000002</v>
      </c>
      <c r="O844">
        <f>2598.45</f>
        <v>2598.4499999999998</v>
      </c>
      <c r="P844">
        <f>208.15</f>
        <v>208.15</v>
      </c>
      <c r="Q844">
        <f>2417.912</f>
        <v>2417.9119999999998</v>
      </c>
      <c r="R844">
        <f>5432.17</f>
        <v>5432.17</v>
      </c>
      <c r="S844">
        <f>2126.29</f>
        <v>2126.29</v>
      </c>
      <c r="T844">
        <f>2989.548</f>
        <v>2989.5479999999998</v>
      </c>
      <c r="U844">
        <f>46240.35</f>
        <v>46240.35</v>
      </c>
      <c r="V844">
        <f>322.03</f>
        <v>322.02999999999997</v>
      </c>
    </row>
    <row r="845" spans="1:22" x14ac:dyDescent="0.2">
      <c r="A845" s="1">
        <v>43924</v>
      </c>
      <c r="B845">
        <f>1540.28</f>
        <v>1540.28</v>
      </c>
      <c r="C845">
        <f>8114.36</f>
        <v>8114.36</v>
      </c>
      <c r="D845">
        <f>5061.3</f>
        <v>5061.3</v>
      </c>
      <c r="E845">
        <f>1926.86</f>
        <v>1926.86</v>
      </c>
      <c r="F845">
        <f>1370.13</f>
        <v>1370.13</v>
      </c>
      <c r="G845">
        <f>6193.471</f>
        <v>6193.4709999999995</v>
      </c>
      <c r="H845">
        <f>2670.1</f>
        <v>2670.1</v>
      </c>
      <c r="I845">
        <f>8363.251</f>
        <v>8363.2510000000002</v>
      </c>
      <c r="J845">
        <f>3601</f>
        <v>3601</v>
      </c>
      <c r="K845">
        <f>10506.55</f>
        <v>10506.55</v>
      </c>
      <c r="L845">
        <f>1786.75</f>
        <v>1786.75</v>
      </c>
      <c r="M845">
        <f>7568.57</f>
        <v>7568.57</v>
      </c>
      <c r="N845">
        <f>296.666</f>
        <v>296.666</v>
      </c>
      <c r="O845">
        <f>2505.4</f>
        <v>2505.4</v>
      </c>
      <c r="P845">
        <f>200.53</f>
        <v>200.53</v>
      </c>
      <c r="Q845">
        <f>2269.459</f>
        <v>2269.4589999999998</v>
      </c>
      <c r="R845">
        <f>5075.16</f>
        <v>5075.16</v>
      </c>
      <c r="S845">
        <f>2047.23</f>
        <v>2047.23</v>
      </c>
      <c r="T845">
        <f>2899.236</f>
        <v>2899.2359999999999</v>
      </c>
      <c r="U845">
        <f>44598.7</f>
        <v>44598.7</v>
      </c>
      <c r="V845">
        <f>310.61</f>
        <v>310.61</v>
      </c>
    </row>
    <row r="846" spans="1:22" x14ac:dyDescent="0.2">
      <c r="A846" s="1">
        <v>43923</v>
      </c>
      <c r="B846">
        <f>1593.93</f>
        <v>1593.93</v>
      </c>
      <c r="C846">
        <f>8092.59</f>
        <v>8092.59</v>
      </c>
      <c r="D846">
        <f>5122.1</f>
        <v>5122.1000000000004</v>
      </c>
      <c r="E846">
        <f>1942.592</f>
        <v>1942.5920000000001</v>
      </c>
      <c r="F846">
        <f>1430.48</f>
        <v>1430.48</v>
      </c>
      <c r="G846">
        <f>6331.899</f>
        <v>6331.8990000000003</v>
      </c>
      <c r="H846">
        <f>2684.65</f>
        <v>2684.65</v>
      </c>
      <c r="I846">
        <f>8473.575</f>
        <v>8473.5750000000007</v>
      </c>
      <c r="J846">
        <f>3643.32</f>
        <v>3643.32</v>
      </c>
      <c r="K846">
        <f>10670.73</f>
        <v>10670.73</v>
      </c>
      <c r="L846">
        <f>1809.33</f>
        <v>1809.33</v>
      </c>
      <c r="M846">
        <f>7678.52</f>
        <v>7678.52</v>
      </c>
      <c r="N846">
        <f>298.585</f>
        <v>298.58499999999998</v>
      </c>
      <c r="O846">
        <f>2533.05</f>
        <v>2533.0500000000002</v>
      </c>
      <c r="P846">
        <f>201.24</f>
        <v>201.24</v>
      </c>
      <c r="Q846">
        <f>2300.785</f>
        <v>2300.7849999999999</v>
      </c>
      <c r="R846">
        <f>5152.47</f>
        <v>5152.47</v>
      </c>
      <c r="S846">
        <f>2054.56</f>
        <v>2054.56</v>
      </c>
      <c r="T846">
        <f>2937.159</f>
        <v>2937.1590000000001</v>
      </c>
      <c r="U846">
        <f>45060.69</f>
        <v>45060.69</v>
      </c>
      <c r="V846">
        <f>316.77</f>
        <v>316.77</v>
      </c>
    </row>
    <row r="847" spans="1:22" x14ac:dyDescent="0.2">
      <c r="A847" s="1">
        <v>43922</v>
      </c>
      <c r="B847">
        <f>1585.05</f>
        <v>1585.05</v>
      </c>
      <c r="C847">
        <f>7942.99</f>
        <v>7942.99</v>
      </c>
      <c r="D847">
        <f>5113.04</f>
        <v>5113.04</v>
      </c>
      <c r="E847">
        <f>1916.333</f>
        <v>1916.3330000000001</v>
      </c>
      <c r="F847">
        <f>1422.66</f>
        <v>1422.66</v>
      </c>
      <c r="G847">
        <f>6344.771</f>
        <v>6344.7709999999997</v>
      </c>
      <c r="H847">
        <f>2756.09</f>
        <v>2756.09</v>
      </c>
      <c r="I847">
        <f>8478.404</f>
        <v>8478.4040000000005</v>
      </c>
      <c r="J847">
        <f>3536.23</f>
        <v>3536.23</v>
      </c>
      <c r="K847">
        <f>10439.72</f>
        <v>10439.719999999999</v>
      </c>
      <c r="L847">
        <f>1778.71</f>
        <v>1778.71</v>
      </c>
      <c r="M847">
        <f>7586.14</f>
        <v>7586.14</v>
      </c>
      <c r="N847">
        <f>298.124</f>
        <v>298.12400000000002</v>
      </c>
      <c r="O847">
        <f>2516.45</f>
        <v>2516.4499999999998</v>
      </c>
      <c r="P847">
        <f>205.08</f>
        <v>205.08</v>
      </c>
      <c r="Q847">
        <f>2258.659</f>
        <v>2258.6590000000001</v>
      </c>
      <c r="R847">
        <f>5036.64</f>
        <v>5036.6400000000003</v>
      </c>
      <c r="S847">
        <f>2087.33</f>
        <v>2087.33</v>
      </c>
      <c r="T847">
        <f>2887.74</f>
        <v>2887.74</v>
      </c>
      <c r="U847">
        <f>43732.44</f>
        <v>43732.44</v>
      </c>
      <c r="V847">
        <f>305.22</f>
        <v>305.22000000000003</v>
      </c>
    </row>
    <row r="848" spans="1:22" x14ac:dyDescent="0.2">
      <c r="A848" s="1">
        <v>43921</v>
      </c>
      <c r="B848">
        <f>1653.97</f>
        <v>1653.97</v>
      </c>
      <c r="C848">
        <f>8078.27</f>
        <v>8078.27</v>
      </c>
      <c r="D848">
        <f>5316.82</f>
        <v>5316.82</v>
      </c>
      <c r="E848">
        <f>1965.162</f>
        <v>1965.162</v>
      </c>
      <c r="F848">
        <f>1491.1</f>
        <v>1491.1</v>
      </c>
      <c r="G848">
        <f>6586.813</f>
        <v>6586.8130000000001</v>
      </c>
      <c r="H848">
        <f>2846.56</f>
        <v>2846.56</v>
      </c>
      <c r="I848">
        <f>8752.062</f>
        <v>8752.0619999999999</v>
      </c>
      <c r="J848">
        <f>3674.79</f>
        <v>3674.79</v>
      </c>
      <c r="K848">
        <f>10927.73</f>
        <v>10927.73</v>
      </c>
      <c r="L848">
        <f>1836.5</f>
        <v>1836.5</v>
      </c>
      <c r="M848">
        <f>7890.18</f>
        <v>7890.18</v>
      </c>
      <c r="N848">
        <f>307.193</f>
        <v>307.19299999999998</v>
      </c>
      <c r="O848">
        <f>2592.56</f>
        <v>2592.56</v>
      </c>
      <c r="P848">
        <f>212.95</f>
        <v>212.95</v>
      </c>
      <c r="Q848">
        <f>2353.191</f>
        <v>2353.1909999999998</v>
      </c>
      <c r="R848">
        <f>5269.2</f>
        <v>5269.2</v>
      </c>
      <c r="S848">
        <f>2167.6</f>
        <v>2167.6</v>
      </c>
      <c r="T848">
        <f>2887.361</f>
        <v>2887.3609999999999</v>
      </c>
      <c r="U848">
        <f>44490.31</f>
        <v>44490.31</v>
      </c>
      <c r="V848">
        <f>306.6</f>
        <v>306.60000000000002</v>
      </c>
    </row>
    <row r="849" spans="1:22" x14ac:dyDescent="0.2">
      <c r="A849" s="1">
        <v>43920</v>
      </c>
      <c r="B849">
        <f>1608.35</f>
        <v>1608.35</v>
      </c>
      <c r="C849">
        <f>7862.21</f>
        <v>7862.21</v>
      </c>
      <c r="D849">
        <f>5215.37</f>
        <v>5215.37</v>
      </c>
      <c r="E849">
        <f>1926.752</f>
        <v>1926.752</v>
      </c>
      <c r="F849">
        <f>1447.18</f>
        <v>1447.18</v>
      </c>
      <c r="G849">
        <f>6471.023</f>
        <v>6471.0230000000001</v>
      </c>
      <c r="H849">
        <f>2930.38</f>
        <v>2930.38</v>
      </c>
      <c r="I849">
        <f>8678.932</f>
        <v>8678.9320000000007</v>
      </c>
      <c r="J849">
        <f>3749.71</f>
        <v>3749.71</v>
      </c>
      <c r="K849">
        <f>11104.99</f>
        <v>11104.99</v>
      </c>
      <c r="L849">
        <f>1845.3</f>
        <v>1845.3</v>
      </c>
      <c r="M849">
        <f>7965.26</f>
        <v>7965.26</v>
      </c>
      <c r="N849">
        <f>301.764</f>
        <v>301.76400000000001</v>
      </c>
      <c r="O849">
        <f>2551.14</f>
        <v>2551.14</v>
      </c>
      <c r="P849">
        <f>219.42</f>
        <v>219.42</v>
      </c>
      <c r="Q849">
        <f>2393.441</f>
        <v>2393.4409999999998</v>
      </c>
      <c r="R849">
        <f>5354.39</f>
        <v>5354.39</v>
      </c>
      <c r="S849">
        <f>2217.8</f>
        <v>2217.8000000000002</v>
      </c>
      <c r="T849">
        <f>2770.513</f>
        <v>2770.5129999999999</v>
      </c>
      <c r="U849">
        <f>43413.63</f>
        <v>43413.63</v>
      </c>
      <c r="V849">
        <f>297.18</f>
        <v>297.18</v>
      </c>
    </row>
    <row r="850" spans="1:22" x14ac:dyDescent="0.2">
      <c r="A850" s="1">
        <v>43917</v>
      </c>
      <c r="B850">
        <f>1650.81</f>
        <v>1650.81</v>
      </c>
      <c r="C850">
        <f>7947.18</f>
        <v>7947.18</v>
      </c>
      <c r="D850">
        <f>5165.42</f>
        <v>5165.42</v>
      </c>
      <c r="E850">
        <f>1949.897</f>
        <v>1949.8969999999999</v>
      </c>
      <c r="F850">
        <f>1456.91</f>
        <v>1456.91</v>
      </c>
      <c r="G850">
        <f>6377.716</f>
        <v>6377.7160000000003</v>
      </c>
      <c r="H850">
        <f>2935.84</f>
        <v>2935.84</v>
      </c>
      <c r="I850">
        <f>8590.414</f>
        <v>8590.4140000000007</v>
      </c>
      <c r="J850">
        <f>3624.14</f>
        <v>3624.14</v>
      </c>
      <c r="K850">
        <f>10750.45</f>
        <v>10750.45</v>
      </c>
      <c r="L850">
        <f>1800.27</f>
        <v>1800.27</v>
      </c>
      <c r="M850">
        <f>7770.76</f>
        <v>7770.76</v>
      </c>
      <c r="N850">
        <f>299.188</f>
        <v>299.18799999999999</v>
      </c>
      <c r="O850">
        <f>2516.48</f>
        <v>2516.48</v>
      </c>
      <c r="P850">
        <f>220.09</f>
        <v>220.09</v>
      </c>
      <c r="Q850">
        <f>2319.537</f>
        <v>2319.5369999999998</v>
      </c>
      <c r="R850">
        <f>5179.92</f>
        <v>5179.92</v>
      </c>
      <c r="S850">
        <f>2227.81</f>
        <v>2227.81</v>
      </c>
      <c r="T850">
        <f>2802.357</f>
        <v>2802.357</v>
      </c>
      <c r="U850">
        <f>42946.83</f>
        <v>42946.83</v>
      </c>
      <c r="V850">
        <f>302.25</f>
        <v>302.25</v>
      </c>
    </row>
    <row r="851" spans="1:22" x14ac:dyDescent="0.2">
      <c r="A851" s="1">
        <v>43916</v>
      </c>
      <c r="B851">
        <f>1760.05</f>
        <v>1760.05</v>
      </c>
      <c r="C851">
        <f>8030.02</f>
        <v>8030.02</v>
      </c>
      <c r="D851">
        <f>5451.97</f>
        <v>5451.97</v>
      </c>
      <c r="E851">
        <f>1970.116</f>
        <v>1970.116</v>
      </c>
      <c r="F851">
        <f>1518.63</f>
        <v>1518.63</v>
      </c>
      <c r="G851">
        <f>6611.546</f>
        <v>6611.5460000000003</v>
      </c>
      <c r="H851">
        <f>2780.81</f>
        <v>2780.81</v>
      </c>
      <c r="I851">
        <f>8848.337</f>
        <v>8848.3369999999995</v>
      </c>
      <c r="J851">
        <f>3711.88</f>
        <v>3711.88</v>
      </c>
      <c r="K851">
        <f>11121.38</f>
        <v>11121.38</v>
      </c>
      <c r="L851">
        <f>1827.64</f>
        <v>1827.64</v>
      </c>
      <c r="M851">
        <f>7976.03</f>
        <v>7976.03</v>
      </c>
      <c r="N851">
        <f>306.874</f>
        <v>306.87400000000002</v>
      </c>
      <c r="O851">
        <f>2603.44</f>
        <v>2603.44</v>
      </c>
      <c r="P851">
        <f>210.74</f>
        <v>210.74</v>
      </c>
      <c r="Q851">
        <f>2378.723</f>
        <v>2378.723</v>
      </c>
      <c r="R851">
        <f>5360.49</f>
        <v>5360.49</v>
      </c>
      <c r="S851">
        <f>2135.96</f>
        <v>2135.96</v>
      </c>
      <c r="T851">
        <f>2953.609</f>
        <v>2953.6089999999999</v>
      </c>
      <c r="U851">
        <f>45046.35</f>
        <v>45046.35</v>
      </c>
      <c r="V851">
        <f>313.31</f>
        <v>313.31</v>
      </c>
    </row>
    <row r="852" spans="1:22" x14ac:dyDescent="0.2">
      <c r="A852" s="1">
        <v>43915</v>
      </c>
      <c r="B852">
        <f>1708.36</f>
        <v>1708.36</v>
      </c>
      <c r="C852">
        <f>7924.27</f>
        <v>7924.27</v>
      </c>
      <c r="D852">
        <f>5325.54</f>
        <v>5325.54</v>
      </c>
      <c r="E852">
        <f>1935.504</f>
        <v>1935.5039999999999</v>
      </c>
      <c r="F852">
        <f>1406.66</f>
        <v>1406.66</v>
      </c>
      <c r="G852">
        <f>6262.591</f>
        <v>6262.5910000000003</v>
      </c>
      <c r="H852">
        <f>2785.76</f>
        <v>2785.76</v>
      </c>
      <c r="I852">
        <f>8511.604</f>
        <v>8511.6039999999994</v>
      </c>
      <c r="J852">
        <f>3467.21</f>
        <v>3467.21</v>
      </c>
      <c r="K852">
        <f>10467.86</f>
        <v>10467.86</v>
      </c>
      <c r="L852">
        <f>1736.91</f>
        <v>1736.91</v>
      </c>
      <c r="M852">
        <f>7594.07</f>
        <v>7594.07</v>
      </c>
      <c r="N852">
        <f>295.57</f>
        <v>295.57</v>
      </c>
      <c r="O852">
        <f>2540.86</f>
        <v>2540.86</v>
      </c>
      <c r="P852">
        <f>213.57</f>
        <v>213.57</v>
      </c>
      <c r="Q852">
        <f>2244.102</f>
        <v>2244.1019999999999</v>
      </c>
      <c r="R852">
        <f>5045.35</f>
        <v>5045.3500000000004</v>
      </c>
      <c r="S852">
        <f>2174.58</f>
        <v>2174.58</v>
      </c>
      <c r="T852">
        <f>2830.849</f>
        <v>2830.8490000000002</v>
      </c>
      <c r="U852">
        <f>43278.25</f>
        <v>43278.25</v>
      </c>
      <c r="V852">
        <f>302.51</f>
        <v>302.51</v>
      </c>
    </row>
    <row r="853" spans="1:22" x14ac:dyDescent="0.2">
      <c r="A853" s="1">
        <v>43914</v>
      </c>
      <c r="B853">
        <f>1619.19</f>
        <v>1619.19</v>
      </c>
      <c r="C853">
        <f>7627.15</f>
        <v>7627.15</v>
      </c>
      <c r="D853">
        <f>5098.79</f>
        <v>5098.79</v>
      </c>
      <c r="E853">
        <f>1854.708</f>
        <v>1854.7080000000001</v>
      </c>
      <c r="F853">
        <f>1323.95</f>
        <v>1323.95</v>
      </c>
      <c r="G853">
        <f>6002.202</f>
        <v>6002.2020000000002</v>
      </c>
      <c r="H853">
        <f>2599.65</f>
        <v>2599.65</v>
      </c>
      <c r="I853">
        <f>8244.424</f>
        <v>8244.4240000000009</v>
      </c>
      <c r="J853">
        <f>3425.31</f>
        <v>3425.31</v>
      </c>
      <c r="K853">
        <f>10338.56</f>
        <v>10338.56</v>
      </c>
      <c r="L853">
        <f>1691.98</f>
        <v>1691.98</v>
      </c>
      <c r="M853">
        <f>7409.52</f>
        <v>7409.52</v>
      </c>
      <c r="N853">
        <f>285.449</f>
        <v>285.44900000000001</v>
      </c>
      <c r="O853">
        <f>2459.55</f>
        <v>2459.5500000000002</v>
      </c>
      <c r="P853">
        <f>202.12</f>
        <v>202.12</v>
      </c>
      <c r="Q853">
        <f>2197.031</f>
        <v>2197.0309999999999</v>
      </c>
      <c r="R853">
        <f>4987.8</f>
        <v>4987.8</v>
      </c>
      <c r="S853">
        <f>2034.88</f>
        <v>2034.88</v>
      </c>
      <c r="T853">
        <f>2721.525</f>
        <v>2721.5250000000001</v>
      </c>
      <c r="U853">
        <f>41149.35</f>
        <v>41149.35</v>
      </c>
      <c r="V853">
        <f>291.09</f>
        <v>291.08999999999997</v>
      </c>
    </row>
    <row r="854" spans="1:22" x14ac:dyDescent="0.2">
      <c r="A854" s="1">
        <v>43913</v>
      </c>
      <c r="B854">
        <f>1466.72</f>
        <v>1466.72</v>
      </c>
      <c r="C854">
        <f>7222.92</f>
        <v>7222.92</v>
      </c>
      <c r="D854">
        <f>4675.5</f>
        <v>4675.5</v>
      </c>
      <c r="E854">
        <f>1754.005</f>
        <v>1754.0050000000001</v>
      </c>
      <c r="F854">
        <f>1193.58</f>
        <v>1193.58</v>
      </c>
      <c r="G854">
        <f>5377.224</f>
        <v>5377.2240000000002</v>
      </c>
      <c r="H854">
        <f>2502.24</f>
        <v>2502.2399999999998</v>
      </c>
      <c r="I854">
        <f>7626.711</f>
        <v>7626.7110000000002</v>
      </c>
      <c r="J854">
        <f>3166.14</f>
        <v>3166.14</v>
      </c>
      <c r="K854">
        <f>9449.47</f>
        <v>9449.4699999999993</v>
      </c>
      <c r="L854">
        <f>1572.82</f>
        <v>1572.82</v>
      </c>
      <c r="M854">
        <f>6811.45</f>
        <v>6811.45</v>
      </c>
      <c r="N854">
        <f>265.137</f>
        <v>265.137</v>
      </c>
      <c r="O854">
        <f>2266.68</f>
        <v>2266.6799999999998</v>
      </c>
      <c r="P854">
        <f>196.28</f>
        <v>196.28</v>
      </c>
      <c r="Q854">
        <f>2000.102</f>
        <v>2000.1020000000001</v>
      </c>
      <c r="R854">
        <f>4559.5</f>
        <v>4559.5</v>
      </c>
      <c r="S854">
        <f>1972.16</f>
        <v>1972.16</v>
      </c>
      <c r="T854">
        <f>2610.618</f>
        <v>2610.6179999999999</v>
      </c>
      <c r="U854">
        <f>38267.21</f>
        <v>38267.21</v>
      </c>
      <c r="V854">
        <f>273.53</f>
        <v>273.52999999999997</v>
      </c>
    </row>
    <row r="855" spans="1:22" x14ac:dyDescent="0.2">
      <c r="A855" s="1">
        <v>43910</v>
      </c>
      <c r="B855">
        <f>1554.97</f>
        <v>1554.97</v>
      </c>
      <c r="C855">
        <f>7622.71</f>
        <v>7622.71</v>
      </c>
      <c r="D855">
        <f>4859.84</f>
        <v>4859.84</v>
      </c>
      <c r="E855">
        <f>1857.889</f>
        <v>1857.8889999999999</v>
      </c>
      <c r="F855">
        <f>1284.77</f>
        <v>1284.77</v>
      </c>
      <c r="G855">
        <f>5711.034</f>
        <v>5711.0339999999997</v>
      </c>
      <c r="H855">
        <f>2478.77</f>
        <v>2478.77</v>
      </c>
      <c r="I855">
        <f>7852.982</f>
        <v>7852.982</v>
      </c>
      <c r="J855">
        <f>3283.23</f>
        <v>3283.23</v>
      </c>
      <c r="K855">
        <f>9728.79</f>
        <v>9728.7900000000009</v>
      </c>
      <c r="L855">
        <f>1639.08</f>
        <v>1639.08</v>
      </c>
      <c r="M855">
        <f>7018.95</f>
        <v>7018.95</v>
      </c>
      <c r="N855">
        <f>281.512</f>
        <v>281.512</v>
      </c>
      <c r="O855">
        <f>2368.02</f>
        <v>2368.02</v>
      </c>
      <c r="P855" t="e">
        <f>NA()</f>
        <v>#N/A</v>
      </c>
      <c r="Q855">
        <f>2120.573</f>
        <v>2120.5729999999999</v>
      </c>
      <c r="R855">
        <f>4697.09</f>
        <v>4697.09</v>
      </c>
      <c r="S855" t="e">
        <f>NA()</f>
        <v>#N/A</v>
      </c>
      <c r="T855">
        <f>2827.706</f>
        <v>2827.7060000000001</v>
      </c>
      <c r="U855">
        <f>40272</f>
        <v>40272</v>
      </c>
      <c r="V855">
        <f>298.4</f>
        <v>298.39999999999998</v>
      </c>
    </row>
    <row r="856" spans="1:22" x14ac:dyDescent="0.2">
      <c r="A856" s="1">
        <v>43909</v>
      </c>
      <c r="B856">
        <f>1519.73</f>
        <v>1519.73</v>
      </c>
      <c r="C856">
        <f>7250.24</f>
        <v>7250.24</v>
      </c>
      <c r="D856">
        <f>4823.16</f>
        <v>4823.16</v>
      </c>
      <c r="E856">
        <f>1772.707</f>
        <v>1772.7070000000001</v>
      </c>
      <c r="F856">
        <f>1259.78</f>
        <v>1259.78</v>
      </c>
      <c r="G856">
        <f>5639.764</f>
        <v>5639.7640000000001</v>
      </c>
      <c r="H856">
        <f>2507.6</f>
        <v>2507.6</v>
      </c>
      <c r="I856">
        <f>7725.27</f>
        <v>7725.27</v>
      </c>
      <c r="J856">
        <f>3458.84</f>
        <v>3458.84</v>
      </c>
      <c r="K856">
        <f>10160.46</f>
        <v>10160.459999999999</v>
      </c>
      <c r="L856">
        <f>1688.11</f>
        <v>1688.11</v>
      </c>
      <c r="M856">
        <f>7203.14</f>
        <v>7203.14</v>
      </c>
      <c r="N856">
        <f>280.227</f>
        <v>280.22699999999998</v>
      </c>
      <c r="O856">
        <f>2330.07</f>
        <v>2330.0700000000002</v>
      </c>
      <c r="P856">
        <f>195.9</f>
        <v>195.9</v>
      </c>
      <c r="Q856">
        <f>2250.122</f>
        <v>2250.1219999999998</v>
      </c>
      <c r="R856">
        <f>4909.13</f>
        <v>4909.13</v>
      </c>
      <c r="S856">
        <f>1958.75</f>
        <v>1958.75</v>
      </c>
      <c r="T856">
        <f>2704.555</f>
        <v>2704.5549999999998</v>
      </c>
      <c r="U856">
        <f>37963.01</f>
        <v>37963.01</v>
      </c>
      <c r="V856">
        <f>290.51</f>
        <v>290.51</v>
      </c>
    </row>
    <row r="857" spans="1:22" x14ac:dyDescent="0.2">
      <c r="A857" s="1">
        <v>43908</v>
      </c>
      <c r="B857">
        <f>1545.53</f>
        <v>1545.53</v>
      </c>
      <c r="C857">
        <f>7422.14</f>
        <v>7422.14</v>
      </c>
      <c r="D857">
        <f>4755.16</f>
        <v>4755.16</v>
      </c>
      <c r="E857">
        <f>1821.007</f>
        <v>1821.0070000000001</v>
      </c>
      <c r="F857">
        <f>1287.52</f>
        <v>1287.52</v>
      </c>
      <c r="G857">
        <f>5605.128</f>
        <v>5605.1279999999997</v>
      </c>
      <c r="H857">
        <f>2499.49</f>
        <v>2499.4899999999998</v>
      </c>
      <c r="I857">
        <f>7546.869</f>
        <v>7546.8689999999997</v>
      </c>
      <c r="J857">
        <f>3511.49</f>
        <v>3511.49</v>
      </c>
      <c r="K857">
        <f>10088.06</f>
        <v>10088.06</v>
      </c>
      <c r="L857">
        <f>1698.03</f>
        <v>1698.03</v>
      </c>
      <c r="M857">
        <f>7149.18</f>
        <v>7149.18</v>
      </c>
      <c r="N857">
        <f>270.275</f>
        <v>270.27499999999998</v>
      </c>
      <c r="O857">
        <f>2247.28</f>
        <v>2247.2800000000002</v>
      </c>
      <c r="P857">
        <f>190.8</f>
        <v>190.8</v>
      </c>
      <c r="Q857">
        <f>2264.51</f>
        <v>2264.5100000000002</v>
      </c>
      <c r="R857">
        <f>4885.76</f>
        <v>4885.76</v>
      </c>
      <c r="S857">
        <f>1939.85</f>
        <v>1939.85</v>
      </c>
      <c r="T857">
        <f>2799.953</f>
        <v>2799.953</v>
      </c>
      <c r="U857">
        <f>38604.88</f>
        <v>38604.879999999997</v>
      </c>
      <c r="V857">
        <f>300.52</f>
        <v>300.52</v>
      </c>
    </row>
    <row r="858" spans="1:22" x14ac:dyDescent="0.2">
      <c r="A858" s="1">
        <v>43907</v>
      </c>
      <c r="B858">
        <f>1608.94</f>
        <v>1608.94</v>
      </c>
      <c r="C858">
        <f>7809.67</f>
        <v>7809.67</v>
      </c>
      <c r="D858">
        <f>4955.75</f>
        <v>4955.75</v>
      </c>
      <c r="E858">
        <f>1910.813</f>
        <v>1910.8130000000001</v>
      </c>
      <c r="F858">
        <f>1368.9</f>
        <v>1368.9</v>
      </c>
      <c r="G858">
        <f>5943.813</f>
        <v>5943.8130000000001</v>
      </c>
      <c r="H858">
        <f>2539.29</f>
        <v>2539.29</v>
      </c>
      <c r="I858">
        <f>7946.693</f>
        <v>7946.6930000000002</v>
      </c>
      <c r="J858">
        <f>3670.26</f>
        <v>3670.26</v>
      </c>
      <c r="K858">
        <f>10653.33</f>
        <v>10653.33</v>
      </c>
      <c r="L858">
        <f>1773.18</f>
        <v>1773.18</v>
      </c>
      <c r="M858">
        <f>7534.47</f>
        <v>7534.47</v>
      </c>
      <c r="N858">
        <f>281.87</f>
        <v>281.87</v>
      </c>
      <c r="O858">
        <f>2353.65</f>
        <v>2353.65</v>
      </c>
      <c r="P858">
        <f>191.75</f>
        <v>191.75</v>
      </c>
      <c r="Q858">
        <f>2406.832</f>
        <v>2406.8319999999999</v>
      </c>
      <c r="R858">
        <f>5152.83</f>
        <v>5152.83</v>
      </c>
      <c r="S858">
        <f>1936.1</f>
        <v>1936.1</v>
      </c>
      <c r="T858">
        <f>3029.801</f>
        <v>3029.8009999999999</v>
      </c>
      <c r="U858">
        <f>41579.58</f>
        <v>41579.58</v>
      </c>
      <c r="V858">
        <f>318.59</f>
        <v>318.58999999999997</v>
      </c>
    </row>
    <row r="859" spans="1:22" x14ac:dyDescent="0.2">
      <c r="A859" s="1">
        <v>43906</v>
      </c>
      <c r="B859">
        <f>1607.28</f>
        <v>1607.28</v>
      </c>
      <c r="C859">
        <f>7918.19</f>
        <v>7918.19</v>
      </c>
      <c r="D859">
        <f>4821.15</f>
        <v>4821.1499999999996</v>
      </c>
      <c r="E859">
        <f>1925.816</f>
        <v>1925.816</v>
      </c>
      <c r="F859">
        <f>1390.11</f>
        <v>1390.11</v>
      </c>
      <c r="G859">
        <f>5906.937</f>
        <v>5906.9369999999999</v>
      </c>
      <c r="H859">
        <f>2569.48</f>
        <v>2569.48</v>
      </c>
      <c r="I859">
        <f>7864.945</f>
        <v>7864.9449999999997</v>
      </c>
      <c r="J859">
        <f>3423.21</f>
        <v>3423.21</v>
      </c>
      <c r="K859">
        <f>10060.08</f>
        <v>10060.08</v>
      </c>
      <c r="L859">
        <f>1700.34</f>
        <v>1700.34</v>
      </c>
      <c r="M859">
        <f>7236.13</f>
        <v>7236.13</v>
      </c>
      <c r="N859">
        <f>276.888</f>
        <v>276.88799999999998</v>
      </c>
      <c r="O859">
        <f>2291.59</f>
        <v>2291.59</v>
      </c>
      <c r="P859">
        <f>187.55</f>
        <v>187.55</v>
      </c>
      <c r="Q859">
        <f>2247.454</f>
        <v>2247.4540000000002</v>
      </c>
      <c r="R859">
        <f>4861.22</f>
        <v>4861.22</v>
      </c>
      <c r="S859">
        <f>1887.08</f>
        <v>1887.08</v>
      </c>
      <c r="T859">
        <f>2973.87</f>
        <v>2973.87</v>
      </c>
      <c r="U859">
        <f>40500.23</f>
        <v>40500.230000000003</v>
      </c>
      <c r="V859">
        <f>309.93</f>
        <v>309.93</v>
      </c>
    </row>
    <row r="860" spans="1:22" x14ac:dyDescent="0.2">
      <c r="A860" s="1">
        <v>43903</v>
      </c>
      <c r="B860">
        <f>1703.69</f>
        <v>1703.69</v>
      </c>
      <c r="C860">
        <f>8326.04</f>
        <v>8326.0400000000009</v>
      </c>
      <c r="D860">
        <f>5022.41</f>
        <v>5022.41</v>
      </c>
      <c r="E860">
        <f>2059.626</f>
        <v>2059.6260000000002</v>
      </c>
      <c r="F860">
        <f>1482.17</f>
        <v>1482.17</v>
      </c>
      <c r="G860">
        <f>6204.666</f>
        <v>6204.6660000000002</v>
      </c>
      <c r="H860">
        <f>2590.47</f>
        <v>2590.4699999999998</v>
      </c>
      <c r="I860">
        <f>8189.493</f>
        <v>8189.4930000000004</v>
      </c>
      <c r="J860">
        <f>3828.03</f>
        <v>3828.03</v>
      </c>
      <c r="K860">
        <f>11447.21</f>
        <v>11447.21</v>
      </c>
      <c r="L860">
        <f>1826.1</f>
        <v>1826.1</v>
      </c>
      <c r="M860">
        <f>7995.9</f>
        <v>7995.9</v>
      </c>
      <c r="N860">
        <f>288.811</f>
        <v>288.81099999999998</v>
      </c>
      <c r="O860">
        <f>2403.21</f>
        <v>2403.21</v>
      </c>
      <c r="P860">
        <f>190.78</f>
        <v>190.78</v>
      </c>
      <c r="Q860">
        <f>2515.74</f>
        <v>2515.7399999999998</v>
      </c>
      <c r="R860">
        <f>5522.85</f>
        <v>5522.85</v>
      </c>
      <c r="S860">
        <f>1925.78</f>
        <v>1925.78</v>
      </c>
      <c r="T860">
        <f>3215.939</f>
        <v>3215.9389999999999</v>
      </c>
      <c r="U860">
        <f>44177.63</f>
        <v>44177.63</v>
      </c>
      <c r="V860">
        <f>336.06</f>
        <v>336.06</v>
      </c>
    </row>
    <row r="861" spans="1:22" x14ac:dyDescent="0.2">
      <c r="A861" s="1">
        <v>43902</v>
      </c>
      <c r="B861">
        <f>1699.96</f>
        <v>1699.96</v>
      </c>
      <c r="C861">
        <f>8370.23</f>
        <v>8370.23</v>
      </c>
      <c r="D861">
        <f>4902.01</f>
        <v>4902.01</v>
      </c>
      <c r="E861">
        <f>2040.916</f>
        <v>2040.9159999999999</v>
      </c>
      <c r="F861">
        <f>1475.71</f>
        <v>1475.71</v>
      </c>
      <c r="G861">
        <f>6132.116</f>
        <v>6132.116</v>
      </c>
      <c r="H861">
        <f>2767.21</f>
        <v>2767.21</v>
      </c>
      <c r="I861">
        <f>8076.512</f>
        <v>8076.5119999999997</v>
      </c>
      <c r="J861">
        <f>3530.88</f>
        <v>3530.88</v>
      </c>
      <c r="K861">
        <f>10489.13</f>
        <v>10489.13</v>
      </c>
      <c r="L861">
        <f>1746.69</f>
        <v>1746.69</v>
      </c>
      <c r="M861">
        <f>7547.61</f>
        <v>7547.61</v>
      </c>
      <c r="N861">
        <f>286.433</f>
        <v>286.43299999999999</v>
      </c>
      <c r="O861">
        <f>2372.29</f>
        <v>2372.29</v>
      </c>
      <c r="P861">
        <f>200.08</f>
        <v>200.08</v>
      </c>
      <c r="Q861">
        <f>2338.579</f>
        <v>2338.5790000000002</v>
      </c>
      <c r="R861">
        <f>5051.97</f>
        <v>5051.97</v>
      </c>
      <c r="S861">
        <f>2026.8</f>
        <v>2026.8</v>
      </c>
      <c r="T861">
        <f>3238.367</f>
        <v>3238.3670000000002</v>
      </c>
      <c r="U861">
        <f>44303.47</f>
        <v>44303.47</v>
      </c>
      <c r="V861">
        <f>338.46</f>
        <v>338.46</v>
      </c>
    </row>
    <row r="862" spans="1:22" x14ac:dyDescent="0.2">
      <c r="A862" s="1">
        <v>43901</v>
      </c>
      <c r="B862">
        <f>1926.89</f>
        <v>1926.89</v>
      </c>
      <c r="C862">
        <f>8893.18</f>
        <v>8893.18</v>
      </c>
      <c r="D862">
        <f>5496.48</f>
        <v>5496.48</v>
      </c>
      <c r="E862">
        <f>2187.542</f>
        <v>2187.5419999999999</v>
      </c>
      <c r="F862">
        <f>1716.58</f>
        <v>1716.58</v>
      </c>
      <c r="G862">
        <f>7064.969</f>
        <v>7064.9690000000001</v>
      </c>
      <c r="H862">
        <f>2885.66</f>
        <v>2885.66</v>
      </c>
      <c r="I862">
        <f>9290.339</f>
        <v>9290.3389999999999</v>
      </c>
      <c r="J862">
        <f>3908.89</f>
        <v>3908.89</v>
      </c>
      <c r="K862">
        <f>11589.95</f>
        <v>11589.95</v>
      </c>
      <c r="L862">
        <f>1943.3</f>
        <v>1943.3</v>
      </c>
      <c r="M862">
        <f>8376.69</f>
        <v>8376.69</v>
      </c>
      <c r="N862">
        <f>318.463</f>
        <v>318.46300000000002</v>
      </c>
      <c r="O862">
        <f>2681.51</f>
        <v>2681.51</v>
      </c>
      <c r="P862">
        <f>208.44</f>
        <v>208.44</v>
      </c>
      <c r="Q862">
        <f>2576.672</f>
        <v>2576.672</v>
      </c>
      <c r="R862">
        <f>5581.76</f>
        <v>5581.76</v>
      </c>
      <c r="S862">
        <f>2114.17</f>
        <v>2114.17</v>
      </c>
      <c r="T862">
        <f>3458.108</f>
        <v>3458.1080000000002</v>
      </c>
      <c r="U862">
        <f>49074.09</f>
        <v>49074.09</v>
      </c>
      <c r="V862">
        <f>369.04</f>
        <v>369.04</v>
      </c>
    </row>
    <row r="863" spans="1:22" x14ac:dyDescent="0.2">
      <c r="A863" s="1">
        <v>43900</v>
      </c>
      <c r="B863">
        <f>1965.25</f>
        <v>1965.25</v>
      </c>
      <c r="C863">
        <f>8972.79</f>
        <v>8972.7900000000009</v>
      </c>
      <c r="D863">
        <f>5574.77</f>
        <v>5574.77</v>
      </c>
      <c r="E863">
        <f>2228.633</f>
        <v>2228.6329999999998</v>
      </c>
      <c r="F863">
        <f>1743.41</f>
        <v>1743.41</v>
      </c>
      <c r="G863">
        <f>7196.335</f>
        <v>7196.335</v>
      </c>
      <c r="H863">
        <f>2966.21</f>
        <v>2966.21</v>
      </c>
      <c r="I863">
        <f>9402.493</f>
        <v>9402.4930000000004</v>
      </c>
      <c r="J863">
        <f>4121.8</f>
        <v>4121.8</v>
      </c>
      <c r="K863">
        <f>12190.56</f>
        <v>12190.56</v>
      </c>
      <c r="L863">
        <f>2007.9</f>
        <v>2007.9</v>
      </c>
      <c r="M863">
        <f>8715.4</f>
        <v>8715.4</v>
      </c>
      <c r="N863">
        <f>322.981</f>
        <v>322.98099999999999</v>
      </c>
      <c r="O863">
        <f>2702.98</f>
        <v>2702.98</v>
      </c>
      <c r="P863">
        <f>210.56</f>
        <v>210.56</v>
      </c>
      <c r="Q863">
        <f>2703.451</f>
        <v>2703.451</v>
      </c>
      <c r="R863">
        <f>5868.11</f>
        <v>5868.11</v>
      </c>
      <c r="S863">
        <f>2147.07</f>
        <v>2147.0700000000002</v>
      </c>
      <c r="T863">
        <f>3459.738</f>
        <v>3459.7379999999998</v>
      </c>
      <c r="U863">
        <f>49466.01</f>
        <v>49466.01</v>
      </c>
      <c r="V863">
        <f>370.82</f>
        <v>370.82</v>
      </c>
    </row>
    <row r="864" spans="1:22" x14ac:dyDescent="0.2">
      <c r="A864" s="1">
        <v>43899</v>
      </c>
      <c r="B864">
        <f>1971.97</f>
        <v>1971.97</v>
      </c>
      <c r="C864">
        <f>8928.41</f>
        <v>8928.41</v>
      </c>
      <c r="D864">
        <f>5579.95</f>
        <v>5579.95</v>
      </c>
      <c r="E864">
        <f>2190.161</f>
        <v>2190.1610000000001</v>
      </c>
      <c r="F864">
        <f>1765.27</f>
        <v>1765.27</v>
      </c>
      <c r="G864">
        <f>7294.312</f>
        <v>7294.3119999999999</v>
      </c>
      <c r="H864">
        <f>2983.63</f>
        <v>2983.63</v>
      </c>
      <c r="I864">
        <f>9574.18</f>
        <v>9574.18</v>
      </c>
      <c r="J864">
        <f>3969.15</f>
        <v>3969.15</v>
      </c>
      <c r="K864">
        <f>11622.41</f>
        <v>11622.41</v>
      </c>
      <c r="L864">
        <f>1980.99</f>
        <v>1980.99</v>
      </c>
      <c r="M864">
        <f>8474.22</f>
        <v>8474.2199999999993</v>
      </c>
      <c r="N864">
        <f>327.844</f>
        <v>327.84399999999999</v>
      </c>
      <c r="O864">
        <f>2728.6</f>
        <v>2728.6</v>
      </c>
      <c r="P864">
        <f>208.98</f>
        <v>208.98</v>
      </c>
      <c r="Q864">
        <f>2594.146</f>
        <v>2594.1460000000002</v>
      </c>
      <c r="R864">
        <f>5591.74</f>
        <v>5591.74</v>
      </c>
      <c r="S864">
        <f>2120.04</f>
        <v>2120.04</v>
      </c>
      <c r="T864">
        <f>3417.437</f>
        <v>3417.4369999999999</v>
      </c>
      <c r="U864">
        <f>48819.55</f>
        <v>48819.55</v>
      </c>
      <c r="V864">
        <f>365.27</f>
        <v>365.27</v>
      </c>
    </row>
    <row r="865" spans="1:22" x14ac:dyDescent="0.2">
      <c r="A865" s="1">
        <v>43896</v>
      </c>
      <c r="B865">
        <f>2150.27</f>
        <v>2150.27</v>
      </c>
      <c r="C865">
        <f>9596.65</f>
        <v>9596.65</v>
      </c>
      <c r="D865">
        <f>6044.61</f>
        <v>6044.61</v>
      </c>
      <c r="E865">
        <f>2338.366</f>
        <v>2338.366</v>
      </c>
      <c r="F865">
        <f>1891.95</f>
        <v>1891.95</v>
      </c>
      <c r="G865">
        <f>7870.493</f>
        <v>7870.4930000000004</v>
      </c>
      <c r="H865">
        <f>3058.57</f>
        <v>3058.57</v>
      </c>
      <c r="I865">
        <f>10236.32</f>
        <v>10236.32</v>
      </c>
      <c r="J865">
        <f>4258.33</f>
        <v>4258.33</v>
      </c>
      <c r="K865">
        <f>12588.42</f>
        <v>12588.42</v>
      </c>
      <c r="L865">
        <f>2112.96</f>
        <v>2112.96</v>
      </c>
      <c r="M865">
        <f>9127.76</f>
        <v>9127.76</v>
      </c>
      <c r="N865">
        <f>349.456</f>
        <v>349.45600000000002</v>
      </c>
      <c r="O865">
        <f>2950.94</f>
        <v>2950.94</v>
      </c>
      <c r="P865">
        <f>221.03</f>
        <v>221.03</v>
      </c>
      <c r="Q865">
        <f>2776.959</f>
        <v>2776.9589999999998</v>
      </c>
      <c r="R865">
        <f>6050.8</f>
        <v>6050.8</v>
      </c>
      <c r="S865">
        <f>2245.95</f>
        <v>2245.9499999999998</v>
      </c>
      <c r="T865">
        <f>3541.374</f>
        <v>3541.3739999999998</v>
      </c>
      <c r="U865">
        <f>52064.72</f>
        <v>52064.72</v>
      </c>
      <c r="V865">
        <f>385.78</f>
        <v>385.78</v>
      </c>
    </row>
    <row r="866" spans="1:22" x14ac:dyDescent="0.2">
      <c r="A866" s="1">
        <v>43895</v>
      </c>
      <c r="B866">
        <f>2215.86</f>
        <v>2215.86</v>
      </c>
      <c r="C866">
        <f>9859.97</f>
        <v>9859.9699999999993</v>
      </c>
      <c r="D866">
        <f>6271.78</f>
        <v>6271.78</v>
      </c>
      <c r="E866">
        <f>2401.32</f>
        <v>2401.3200000000002</v>
      </c>
      <c r="F866">
        <f>1923.88</f>
        <v>1923.88</v>
      </c>
      <c r="G866">
        <f>8094.722</f>
        <v>8094.7219999999998</v>
      </c>
      <c r="H866">
        <f>3122.27</f>
        <v>3122.27</v>
      </c>
      <c r="I866">
        <f>10508.52</f>
        <v>10508.52</v>
      </c>
      <c r="J866">
        <f>4307.12</f>
        <v>4307.12</v>
      </c>
      <c r="K866">
        <f>12811.98</f>
        <v>12811.98</v>
      </c>
      <c r="L866">
        <f>2147.92</f>
        <v>2147.92</v>
      </c>
      <c r="M866">
        <f>9310.32</f>
        <v>9310.32</v>
      </c>
      <c r="N866">
        <f>361.732</f>
        <v>361.73200000000003</v>
      </c>
      <c r="O866">
        <f>3065.73</f>
        <v>3065.73</v>
      </c>
      <c r="P866">
        <f>227.94</f>
        <v>227.94</v>
      </c>
      <c r="Q866">
        <f>2807.047</f>
        <v>2807.047</v>
      </c>
      <c r="R866">
        <f>6155.58</f>
        <v>6155.58</v>
      </c>
      <c r="S866">
        <f>2313.38</f>
        <v>2313.38</v>
      </c>
      <c r="T866">
        <f>3607.699</f>
        <v>3607.6990000000001</v>
      </c>
      <c r="U866">
        <f>52936.27</f>
        <v>52936.27</v>
      </c>
      <c r="V866">
        <f>395.06</f>
        <v>395.06</v>
      </c>
    </row>
    <row r="867" spans="1:22" x14ac:dyDescent="0.2">
      <c r="A867" s="1">
        <v>43894</v>
      </c>
      <c r="B867">
        <f>2287.39</f>
        <v>2287.39</v>
      </c>
      <c r="C867">
        <f>9857.73</f>
        <v>9857.73</v>
      </c>
      <c r="D867">
        <f>6359.38</f>
        <v>6359.38</v>
      </c>
      <c r="E867">
        <f>2397.68</f>
        <v>2397.6799999999998</v>
      </c>
      <c r="F867">
        <f>1963.99</f>
        <v>1963.99</v>
      </c>
      <c r="G867">
        <f>8141.85</f>
        <v>8141.85</v>
      </c>
      <c r="H867">
        <f>3087.61</f>
        <v>3087.61</v>
      </c>
      <c r="I867">
        <f>10624.49</f>
        <v>10624.49</v>
      </c>
      <c r="J867">
        <f>4439.25</f>
        <v>4439.25</v>
      </c>
      <c r="K867">
        <f>13253.71</f>
        <v>13253.71</v>
      </c>
      <c r="L867">
        <f>2185.21</f>
        <v>2185.21</v>
      </c>
      <c r="M867">
        <f>9522.49</f>
        <v>9522.49</v>
      </c>
      <c r="N867">
        <f>366.017</f>
        <v>366.017</v>
      </c>
      <c r="O867">
        <f>3109.43</f>
        <v>3109.43</v>
      </c>
      <c r="P867">
        <f>227.28</f>
        <v>227.28</v>
      </c>
      <c r="Q867">
        <f>2897.116</f>
        <v>2897.116</v>
      </c>
      <c r="R867">
        <f>6370.35</f>
        <v>6370.35</v>
      </c>
      <c r="S867">
        <f>2292.98</f>
        <v>2292.98</v>
      </c>
      <c r="T867">
        <f>3604.299</f>
        <v>3604.299</v>
      </c>
      <c r="U867">
        <f>52926.75</f>
        <v>52926.75</v>
      </c>
      <c r="V867">
        <f>398.86</f>
        <v>398.86</v>
      </c>
    </row>
    <row r="868" spans="1:22" x14ac:dyDescent="0.2">
      <c r="A868" s="1">
        <v>43893</v>
      </c>
      <c r="B868">
        <f>2267.91</f>
        <v>2267.91</v>
      </c>
      <c r="C868">
        <f>9804.66</f>
        <v>9804.66</v>
      </c>
      <c r="D868">
        <f>6268.51</f>
        <v>6268.51</v>
      </c>
      <c r="E868">
        <f>2374.1</f>
        <v>2374.1</v>
      </c>
      <c r="F868">
        <f>1935.8</f>
        <v>1935.8</v>
      </c>
      <c r="G868">
        <f>8021.103</f>
        <v>8021.1030000000001</v>
      </c>
      <c r="H868">
        <f>3072.73</f>
        <v>3072.73</v>
      </c>
      <c r="I868">
        <f>10517.47</f>
        <v>10517.47</v>
      </c>
      <c r="J868">
        <f>4251.8</f>
        <v>4251.8</v>
      </c>
      <c r="K868">
        <f>12723.77</f>
        <v>12723.77</v>
      </c>
      <c r="L868">
        <f>2120.85</f>
        <v>2120.85</v>
      </c>
      <c r="M868">
        <f>9251.94</f>
        <v>9251.94</v>
      </c>
      <c r="N868">
        <f>361.918</f>
        <v>361.91800000000001</v>
      </c>
      <c r="O868">
        <f>3062.44</f>
        <v>3062.44</v>
      </c>
      <c r="P868">
        <f>228.88</f>
        <v>228.88</v>
      </c>
      <c r="Q868">
        <f>2784.616</f>
        <v>2784.616</v>
      </c>
      <c r="R868">
        <f>6112.07</f>
        <v>6112.07</v>
      </c>
      <c r="S868">
        <f>2296.98</f>
        <v>2296.98</v>
      </c>
      <c r="T868">
        <f>3578.315</f>
        <v>3578.3150000000001</v>
      </c>
      <c r="U868">
        <f>52957.85</f>
        <v>52957.85</v>
      </c>
      <c r="V868">
        <f>394.64</f>
        <v>394.64</v>
      </c>
    </row>
    <row r="869" spans="1:22" x14ac:dyDescent="0.2">
      <c r="A869" s="1">
        <v>43892</v>
      </c>
      <c r="B869">
        <f>2226.35</f>
        <v>2226.35</v>
      </c>
      <c r="C869">
        <f>9654.15</f>
        <v>9654.15</v>
      </c>
      <c r="D869">
        <f>6209.44</f>
        <v>6209.44</v>
      </c>
      <c r="E869">
        <f>2349.058</f>
        <v>2349.058</v>
      </c>
      <c r="F869">
        <f>1890.18</f>
        <v>1890.18</v>
      </c>
      <c r="G869">
        <f>7907.723</f>
        <v>7907.723</v>
      </c>
      <c r="H869">
        <f>3106.32</f>
        <v>3106.32</v>
      </c>
      <c r="I869">
        <f>10328.36</f>
        <v>10328.36</v>
      </c>
      <c r="J869">
        <f>4355.66</f>
        <v>4355.66</v>
      </c>
      <c r="K869">
        <f>13083.61</f>
        <v>13083.61</v>
      </c>
      <c r="L869">
        <f>2136.75</f>
        <v>2136.75</v>
      </c>
      <c r="M869">
        <f>9389.58</f>
        <v>9389.58</v>
      </c>
      <c r="N869">
        <f>355.091</f>
        <v>355.09100000000001</v>
      </c>
      <c r="O869">
        <f>3022.39</f>
        <v>3022.39</v>
      </c>
      <c r="P869">
        <f>232.47</f>
        <v>232.47</v>
      </c>
      <c r="Q869">
        <f>2845.786</f>
        <v>2845.7860000000001</v>
      </c>
      <c r="R869">
        <f>6288.64</f>
        <v>6288.64</v>
      </c>
      <c r="S869">
        <f>2328.64</f>
        <v>2328.64</v>
      </c>
      <c r="T869">
        <f>3519.354</f>
        <v>3519.3539999999998</v>
      </c>
      <c r="U869">
        <f>51840.09</f>
        <v>51840.09</v>
      </c>
      <c r="V869">
        <f>387.28</f>
        <v>387.28</v>
      </c>
    </row>
    <row r="870" spans="1:22" x14ac:dyDescent="0.2">
      <c r="A870" s="1">
        <v>43889</v>
      </c>
      <c r="B870">
        <f>2244.34</f>
        <v>2244.34</v>
      </c>
      <c r="C870">
        <f>9587.77</f>
        <v>9587.77</v>
      </c>
      <c r="D870">
        <f>6140.13</f>
        <v>6140.13</v>
      </c>
      <c r="E870">
        <f>2322.259</f>
        <v>2322.259</v>
      </c>
      <c r="F870">
        <f>1887.98</f>
        <v>1887.98</v>
      </c>
      <c r="G870">
        <f>7838.39</f>
        <v>7838.39</v>
      </c>
      <c r="H870">
        <f>3105.48</f>
        <v>3105.48</v>
      </c>
      <c r="I870">
        <f>10155.48</f>
        <v>10155.48</v>
      </c>
      <c r="J870">
        <f>4161.49</f>
        <v>4161.49</v>
      </c>
      <c r="K870">
        <f>12515.1</f>
        <v>12515.1</v>
      </c>
      <c r="L870">
        <f>2072.28</f>
        <v>2072.2800000000002</v>
      </c>
      <c r="M870">
        <f>9086.79</f>
        <v>9086.7900000000009</v>
      </c>
      <c r="N870">
        <f>354.725</f>
        <v>354.72500000000002</v>
      </c>
      <c r="O870">
        <f>3016.44</f>
        <v>3016.44</v>
      </c>
      <c r="P870">
        <f>231</f>
        <v>231</v>
      </c>
      <c r="Q870">
        <f>2725.62</f>
        <v>2725.62</v>
      </c>
      <c r="R870">
        <f>6011.73</f>
        <v>6011.73</v>
      </c>
      <c r="S870">
        <f>2305.76</f>
        <v>2305.7600000000002</v>
      </c>
      <c r="T870">
        <f>3474.483</f>
        <v>3474.4830000000002</v>
      </c>
      <c r="U870">
        <f>51038.18</f>
        <v>51038.18</v>
      </c>
      <c r="V870">
        <f>383.12</f>
        <v>383.12</v>
      </c>
    </row>
    <row r="871" spans="1:22" x14ac:dyDescent="0.2">
      <c r="A871" s="1">
        <v>43888</v>
      </c>
      <c r="B871">
        <f>2296.08</f>
        <v>2296.08</v>
      </c>
      <c r="C871">
        <f>9857.92</f>
        <v>9857.92</v>
      </c>
      <c r="D871">
        <f>6341.48</f>
        <v>6341.48</v>
      </c>
      <c r="E871">
        <f>2380.107</f>
        <v>2380.107</v>
      </c>
      <c r="F871">
        <f>1949.22</f>
        <v>1949.22</v>
      </c>
      <c r="G871">
        <f>8155.972</f>
        <v>8155.9719999999998</v>
      </c>
      <c r="H871">
        <f>3164.22</f>
        <v>3164.22</v>
      </c>
      <c r="I871">
        <f>10510.44</f>
        <v>10510.44</v>
      </c>
      <c r="J871">
        <f>4235.61</f>
        <v>4235.6099999999997</v>
      </c>
      <c r="K871">
        <f>12618.14</f>
        <v>12618.14</v>
      </c>
      <c r="L871">
        <f>2122.69</f>
        <v>2122.69</v>
      </c>
      <c r="M871">
        <f>9239.07</f>
        <v>9239.07</v>
      </c>
      <c r="N871">
        <f>367.424</f>
        <v>367.42399999999998</v>
      </c>
      <c r="O871">
        <f>3128.69</f>
        <v>3128.69</v>
      </c>
      <c r="P871">
        <f>239.16</f>
        <v>239.16</v>
      </c>
      <c r="Q871">
        <f>2769.615</f>
        <v>2769.6149999999998</v>
      </c>
      <c r="R871">
        <f>6060.67</f>
        <v>6060.67</v>
      </c>
      <c r="S871">
        <f>2393.04</f>
        <v>2393.04</v>
      </c>
      <c r="T871">
        <f>3592.005</f>
        <v>3592.0050000000001</v>
      </c>
      <c r="U871">
        <f>53444.83</f>
        <v>53444.83</v>
      </c>
      <c r="V871">
        <f>397.5</f>
        <v>397.5</v>
      </c>
    </row>
    <row r="872" spans="1:22" x14ac:dyDescent="0.2">
      <c r="A872" s="1">
        <v>43887</v>
      </c>
      <c r="B872">
        <f>2404.24</f>
        <v>2404.2399999999998</v>
      </c>
      <c r="C872">
        <f>9982.1</f>
        <v>9982.1</v>
      </c>
      <c r="D872">
        <f>6545.12</f>
        <v>6545.12</v>
      </c>
      <c r="E872">
        <f>2409.007</f>
        <v>2409.0070000000001</v>
      </c>
      <c r="F872">
        <f>2062.1</f>
        <v>2062.1</v>
      </c>
      <c r="G872">
        <f>8444.54</f>
        <v>8444.5400000000009</v>
      </c>
      <c r="H872">
        <f>3210.94</f>
        <v>3210.94</v>
      </c>
      <c r="I872">
        <f>10754.06</f>
        <v>10754.06</v>
      </c>
      <c r="J872">
        <f>4423.69</f>
        <v>4423.6899999999996</v>
      </c>
      <c r="K872">
        <f>13198.5</f>
        <v>13198.5</v>
      </c>
      <c r="L872">
        <f>2192.15</f>
        <v>2192.15</v>
      </c>
      <c r="M872">
        <f>9580.5</f>
        <v>9580.5</v>
      </c>
      <c r="N872">
        <f>381.656</f>
        <v>381.65600000000001</v>
      </c>
      <c r="O872">
        <f>3244.06</f>
        <v>3244.06</v>
      </c>
      <c r="P872">
        <f>245.39</f>
        <v>245.39</v>
      </c>
      <c r="Q872">
        <f>2886.122</f>
        <v>2886.1219999999998</v>
      </c>
      <c r="R872">
        <f>6339.38</f>
        <v>6339.38</v>
      </c>
      <c r="S872">
        <f>2450.43</f>
        <v>2450.4299999999998</v>
      </c>
      <c r="T872">
        <f>3700.27</f>
        <v>3700.27</v>
      </c>
      <c r="U872">
        <f>55047.2</f>
        <v>55047.199999999997</v>
      </c>
      <c r="V872">
        <f>412.98</f>
        <v>412.98</v>
      </c>
    </row>
    <row r="873" spans="1:22" x14ac:dyDescent="0.2">
      <c r="A873" s="1">
        <v>43886</v>
      </c>
      <c r="B873">
        <f>2399.06</f>
        <v>2399.06</v>
      </c>
      <c r="C873">
        <f>10054.5</f>
        <v>10054.5</v>
      </c>
      <c r="D873">
        <f>6522.28</f>
        <v>6522.28</v>
      </c>
      <c r="E873">
        <f>2439.453</f>
        <v>2439.453</v>
      </c>
      <c r="F873">
        <f>2085.15</f>
        <v>2085.15</v>
      </c>
      <c r="G873">
        <f>8479.464</f>
        <v>8479.4639999999999</v>
      </c>
      <c r="H873">
        <f>3236.31</f>
        <v>3236.31</v>
      </c>
      <c r="I873">
        <f>10734.87</f>
        <v>10734.87</v>
      </c>
      <c r="J873">
        <f>4443.52</f>
        <v>4443.5200000000004</v>
      </c>
      <c r="K873">
        <f>13254.81</f>
        <v>13254.81</v>
      </c>
      <c r="L873">
        <f>2199.76</f>
        <v>2199.7600000000002</v>
      </c>
      <c r="M873">
        <f>9626.02</f>
        <v>9626.02</v>
      </c>
      <c r="N873">
        <f>381.649</f>
        <v>381.649</v>
      </c>
      <c r="O873">
        <f>3243.66</f>
        <v>3243.66</v>
      </c>
      <c r="P873">
        <f>246.7</f>
        <v>246.7</v>
      </c>
      <c r="Q873">
        <f>2910.592</f>
        <v>2910.5920000000001</v>
      </c>
      <c r="R873">
        <f>6363.37</f>
        <v>6363.37</v>
      </c>
      <c r="S873">
        <f>2468.87</f>
        <v>2468.87</v>
      </c>
      <c r="T873">
        <f>3596.571</f>
        <v>3596.5709999999999</v>
      </c>
      <c r="U873">
        <f>54809.51</f>
        <v>54809.51</v>
      </c>
      <c r="V873">
        <f>404.7</f>
        <v>404.7</v>
      </c>
    </row>
    <row r="874" spans="1:22" x14ac:dyDescent="0.2">
      <c r="A874" s="1">
        <v>43885</v>
      </c>
      <c r="B874">
        <f>2449.9</f>
        <v>2449.9</v>
      </c>
      <c r="C874">
        <f>10130.66</f>
        <v>10130.66</v>
      </c>
      <c r="D874">
        <f>6651.41</f>
        <v>6651.41</v>
      </c>
      <c r="E874">
        <f>2436.517</f>
        <v>2436.5169999999998</v>
      </c>
      <c r="F874">
        <f>2116.66</f>
        <v>2116.66</v>
      </c>
      <c r="G874">
        <f>8588.079</f>
        <v>8588.0789999999997</v>
      </c>
      <c r="H874">
        <f>3316.96</f>
        <v>3316.96</v>
      </c>
      <c r="I874">
        <f>10933.3</f>
        <v>10933.3</v>
      </c>
      <c r="J874">
        <f>4562.78</f>
        <v>4562.78</v>
      </c>
      <c r="K874">
        <f>13671.47</f>
        <v>13671.47</v>
      </c>
      <c r="L874">
        <f>2250.36</f>
        <v>2250.36</v>
      </c>
      <c r="M874">
        <f>9885.99</f>
        <v>9885.99</v>
      </c>
      <c r="N874">
        <f>387.689</f>
        <v>387.68900000000002</v>
      </c>
      <c r="O874">
        <f>3302.82</f>
        <v>3302.82</v>
      </c>
      <c r="P874" t="e">
        <f>NA()</f>
        <v>#N/A</v>
      </c>
      <c r="Q874">
        <f>2998.47</f>
        <v>2998.47</v>
      </c>
      <c r="R874">
        <f>6561.94</f>
        <v>6561.94</v>
      </c>
      <c r="S874" t="e">
        <f>NA()</f>
        <v>#N/A</v>
      </c>
      <c r="T874">
        <f>3618.789</f>
        <v>3618.7890000000002</v>
      </c>
      <c r="U874">
        <f>54881.56</f>
        <v>54881.56</v>
      </c>
      <c r="V874">
        <f>407.26</f>
        <v>407.26</v>
      </c>
    </row>
    <row r="875" spans="1:22" x14ac:dyDescent="0.2">
      <c r="A875" s="1">
        <v>43882</v>
      </c>
      <c r="B875">
        <f>2531.53</f>
        <v>2531.5300000000002</v>
      </c>
      <c r="C875">
        <f>10384.84</f>
        <v>10384.84</v>
      </c>
      <c r="D875">
        <f>6881.05</f>
        <v>6881.05</v>
      </c>
      <c r="E875">
        <f>2503.206</f>
        <v>2503.2060000000001</v>
      </c>
      <c r="F875">
        <f>2196.5</f>
        <v>2196.5</v>
      </c>
      <c r="G875">
        <f>8903.268</f>
        <v>8903.268</v>
      </c>
      <c r="H875">
        <f>3286.08</f>
        <v>3286.08</v>
      </c>
      <c r="I875">
        <f>11362.86</f>
        <v>11362.86</v>
      </c>
      <c r="J875">
        <f>4689.57</f>
        <v>4689.57</v>
      </c>
      <c r="K875">
        <f>14143.13</f>
        <v>14143.13</v>
      </c>
      <c r="L875">
        <f>2310.11</f>
        <v>2310.11</v>
      </c>
      <c r="M875">
        <f>10190.34</f>
        <v>10190.34</v>
      </c>
      <c r="N875">
        <f>401.583</f>
        <v>401.58300000000003</v>
      </c>
      <c r="O875">
        <f>3432.87</f>
        <v>3432.87</v>
      </c>
      <c r="P875">
        <f>254.97</f>
        <v>254.97</v>
      </c>
      <c r="Q875">
        <f>3072.654</f>
        <v>3072.654</v>
      </c>
      <c r="R875">
        <f>6788.6</f>
        <v>6788.6</v>
      </c>
      <c r="S875">
        <f>2553.9</f>
        <v>2553.9</v>
      </c>
      <c r="T875">
        <f>3751.663</f>
        <v>3751.663</v>
      </c>
      <c r="U875">
        <f>57336.21</f>
        <v>57336.21</v>
      </c>
      <c r="V875">
        <f>427.32</f>
        <v>427.32</v>
      </c>
    </row>
    <row r="876" spans="1:22" x14ac:dyDescent="0.2">
      <c r="A876" s="1">
        <v>43881</v>
      </c>
      <c r="B876">
        <f>2539.73</f>
        <v>2539.73</v>
      </c>
      <c r="C876">
        <f>10466.41</f>
        <v>10466.41</v>
      </c>
      <c r="D876">
        <f>6911.46</f>
        <v>6911.46</v>
      </c>
      <c r="E876">
        <f>2528.174</f>
        <v>2528.174</v>
      </c>
      <c r="F876">
        <f>2184.07</f>
        <v>2184.0700000000002</v>
      </c>
      <c r="G876">
        <f>8888.247</f>
        <v>8888.2469999999994</v>
      </c>
      <c r="H876">
        <f>3264.05</f>
        <v>3264.05</v>
      </c>
      <c r="I876">
        <f>11381.96</f>
        <v>11381.96</v>
      </c>
      <c r="J876">
        <f>4705.99</f>
        <v>4705.99</v>
      </c>
      <c r="K876">
        <f>14294.73</f>
        <v>14294.73</v>
      </c>
      <c r="L876">
        <f>2311.59</f>
        <v>2311.59</v>
      </c>
      <c r="M876">
        <f>10263.81</f>
        <v>10263.81</v>
      </c>
      <c r="N876">
        <f>403.488</f>
        <v>403.488</v>
      </c>
      <c r="O876">
        <f>3450.54</f>
        <v>3450.54</v>
      </c>
      <c r="P876">
        <f>254.55</f>
        <v>254.55</v>
      </c>
      <c r="Q876">
        <f>3087.152</f>
        <v>3087.152</v>
      </c>
      <c r="R876">
        <f>6860.52</f>
        <v>6860.52</v>
      </c>
      <c r="S876">
        <f>2554.63</f>
        <v>2554.63</v>
      </c>
      <c r="T876">
        <f>3783.568</f>
        <v>3783.5680000000002</v>
      </c>
      <c r="U876">
        <f>57793.03</f>
        <v>57793.03</v>
      </c>
      <c r="V876">
        <f>429.62</f>
        <v>429.62</v>
      </c>
    </row>
    <row r="877" spans="1:22" x14ac:dyDescent="0.2">
      <c r="A877" s="1">
        <v>43880</v>
      </c>
      <c r="B877">
        <f>2546.18</f>
        <v>2546.1799999999998</v>
      </c>
      <c r="C877">
        <f>10532.22</f>
        <v>10532.22</v>
      </c>
      <c r="D877">
        <f>6922.07</f>
        <v>6922.07</v>
      </c>
      <c r="E877">
        <f>2547.492</f>
        <v>2547.4920000000002</v>
      </c>
      <c r="F877">
        <f>2219.77</f>
        <v>2219.77</v>
      </c>
      <c r="G877">
        <f>8950.392</f>
        <v>8950.3919999999998</v>
      </c>
      <c r="H877">
        <f>3278.86</f>
        <v>3278.86</v>
      </c>
      <c r="I877">
        <f>11466.54</f>
        <v>11466.54</v>
      </c>
      <c r="J877">
        <f>4705.81</f>
        <v>4705.8100000000004</v>
      </c>
      <c r="K877">
        <f>14343.95</f>
        <v>14343.95</v>
      </c>
      <c r="L877">
        <f>2316.36</f>
        <v>2316.36</v>
      </c>
      <c r="M877">
        <f>10309.42</f>
        <v>10309.42</v>
      </c>
      <c r="N877">
        <f>406.624</f>
        <v>406.62400000000002</v>
      </c>
      <c r="O877">
        <f>3477.28</f>
        <v>3477.28</v>
      </c>
      <c r="P877">
        <f>253.71</f>
        <v>253.71</v>
      </c>
      <c r="Q877">
        <f>3084.215</f>
        <v>3084.2150000000001</v>
      </c>
      <c r="R877">
        <f>6886.47</f>
        <v>6886.47</v>
      </c>
      <c r="S877">
        <f>2550.64</f>
        <v>2550.64</v>
      </c>
      <c r="T877">
        <f>3830.186</f>
        <v>3830.1860000000001</v>
      </c>
      <c r="U877">
        <f>57940.97</f>
        <v>57940.97</v>
      </c>
      <c r="V877">
        <f>433.74</f>
        <v>433.74</v>
      </c>
    </row>
    <row r="878" spans="1:22" x14ac:dyDescent="0.2">
      <c r="A878" s="1">
        <v>43879</v>
      </c>
      <c r="B878">
        <f>2525.02</f>
        <v>2525.02</v>
      </c>
      <c r="C878">
        <f>10432.42</f>
        <v>10432.42</v>
      </c>
      <c r="D878">
        <f>6852.44</f>
        <v>6852.44</v>
      </c>
      <c r="E878">
        <f>2528.901</f>
        <v>2528.9009999999998</v>
      </c>
      <c r="F878">
        <f>2211.94</f>
        <v>2211.94</v>
      </c>
      <c r="G878">
        <f>8921.697</f>
        <v>8921.6970000000001</v>
      </c>
      <c r="H878">
        <f>3312.58</f>
        <v>3312.58</v>
      </c>
      <c r="I878">
        <f>11395.16</f>
        <v>11395.16</v>
      </c>
      <c r="J878">
        <f>4697.9</f>
        <v>4697.8999999999996</v>
      </c>
      <c r="K878">
        <f>14272.17</f>
        <v>14272.17</v>
      </c>
      <c r="L878">
        <f>2312.19</f>
        <v>2312.19</v>
      </c>
      <c r="M878">
        <f>10266.46</f>
        <v>10266.459999999999</v>
      </c>
      <c r="N878">
        <f>402.455</f>
        <v>402.45499999999998</v>
      </c>
      <c r="O878">
        <f>3450.43</f>
        <v>3450.43</v>
      </c>
      <c r="P878">
        <f>254.08</f>
        <v>254.08</v>
      </c>
      <c r="Q878">
        <f>3082.419</f>
        <v>3082.4189999999999</v>
      </c>
      <c r="R878">
        <f>6853.04</f>
        <v>6853.04</v>
      </c>
      <c r="S878">
        <f>2541.2</f>
        <v>2541.1999999999998</v>
      </c>
      <c r="T878">
        <f>3834.295</f>
        <v>3834.2950000000001</v>
      </c>
      <c r="U878">
        <f>57714.66</f>
        <v>57714.66</v>
      </c>
      <c r="V878">
        <f>433.37</f>
        <v>433.37</v>
      </c>
    </row>
    <row r="879" spans="1:22" x14ac:dyDescent="0.2">
      <c r="A879" s="1">
        <v>43878</v>
      </c>
      <c r="B879">
        <f>2547.75</f>
        <v>2547.75</v>
      </c>
      <c r="C879">
        <f>10549.9</f>
        <v>10549.9</v>
      </c>
      <c r="D879">
        <f>6900</f>
        <v>6900</v>
      </c>
      <c r="E879">
        <f>2557.296</f>
        <v>2557.2959999999998</v>
      </c>
      <c r="F879">
        <f>2211.91</f>
        <v>2211.91</v>
      </c>
      <c r="G879">
        <f>8962.317</f>
        <v>8962.3169999999991</v>
      </c>
      <c r="H879">
        <f>3341.99</f>
        <v>3341.99</v>
      </c>
      <c r="I879">
        <f>11446.53</f>
        <v>11446.53</v>
      </c>
      <c r="J879">
        <f>4725.14</f>
        <v>4725.1400000000003</v>
      </c>
      <c r="K879">
        <f>14308.85</f>
        <v>14308.85</v>
      </c>
      <c r="L879">
        <f>2323</f>
        <v>2323</v>
      </c>
      <c r="M879">
        <f>10305.05</f>
        <v>10305.049999999999</v>
      </c>
      <c r="N879">
        <f>403.1</f>
        <v>403.1</v>
      </c>
      <c r="O879">
        <f>3463.38</f>
        <v>3463.38</v>
      </c>
      <c r="P879">
        <f>256.23</f>
        <v>256.23</v>
      </c>
      <c r="Q879" t="e">
        <f>NA()</f>
        <v>#N/A</v>
      </c>
      <c r="R879" t="e">
        <f>NA()</f>
        <v>#N/A</v>
      </c>
      <c r="S879">
        <f>2574.86</f>
        <v>2574.86</v>
      </c>
      <c r="T879">
        <f>3864.603</f>
        <v>3864.6030000000001</v>
      </c>
      <c r="U879">
        <f>58187.96</f>
        <v>58187.96</v>
      </c>
      <c r="V879">
        <f>436.93</f>
        <v>436.93</v>
      </c>
    </row>
    <row r="880" spans="1:22" x14ac:dyDescent="0.2">
      <c r="A880" s="1">
        <v>43875</v>
      </c>
      <c r="B880">
        <f>2543.55</f>
        <v>2543.5500000000002</v>
      </c>
      <c r="C880">
        <f>10536.57</f>
        <v>10536.57</v>
      </c>
      <c r="D880">
        <f>6877.61</f>
        <v>6877.61</v>
      </c>
      <c r="E880">
        <f>2553.263</f>
        <v>2553.2629999999999</v>
      </c>
      <c r="F880">
        <f>2217.55</f>
        <v>2217.5500000000002</v>
      </c>
      <c r="G880">
        <f>8934.946</f>
        <v>8934.9459999999999</v>
      </c>
      <c r="H880">
        <f>3361.99</f>
        <v>3361.99</v>
      </c>
      <c r="I880">
        <f>11428.86</f>
        <v>11428.86</v>
      </c>
      <c r="J880">
        <f>4725.14</f>
        <v>4725.1400000000003</v>
      </c>
      <c r="K880">
        <f>14308.85</f>
        <v>14308.85</v>
      </c>
      <c r="L880">
        <f>2321.95</f>
        <v>2321.9499999999998</v>
      </c>
      <c r="M880">
        <f>10307.86</f>
        <v>10307.86</v>
      </c>
      <c r="N880">
        <f>402.784</f>
        <v>402.78399999999999</v>
      </c>
      <c r="O880">
        <f>3454.76</f>
        <v>3454.76</v>
      </c>
      <c r="P880">
        <f>258.58</f>
        <v>258.58</v>
      </c>
      <c r="Q880">
        <f>3096.199</f>
        <v>3096.1990000000001</v>
      </c>
      <c r="R880">
        <f>6872.68</f>
        <v>6872.68</v>
      </c>
      <c r="S880">
        <f>2597.9</f>
        <v>2597.9</v>
      </c>
      <c r="T880">
        <f>3863.472</f>
        <v>3863.4720000000002</v>
      </c>
      <c r="U880">
        <f>57861.76</f>
        <v>57861.760000000002</v>
      </c>
      <c r="V880">
        <f>433.94</f>
        <v>433.94</v>
      </c>
    </row>
    <row r="881" spans="1:22" x14ac:dyDescent="0.2">
      <c r="A881" s="1">
        <v>43874</v>
      </c>
      <c r="B881">
        <f>2536.67</f>
        <v>2536.67</v>
      </c>
      <c r="C881">
        <f>10526.92</f>
        <v>10526.92</v>
      </c>
      <c r="D881">
        <f>6917.43</f>
        <v>6917.43</v>
      </c>
      <c r="E881">
        <f>2552.594</f>
        <v>2552.5940000000001</v>
      </c>
      <c r="F881">
        <f>2211.94</f>
        <v>2211.94</v>
      </c>
      <c r="G881">
        <f>9014.183</f>
        <v>9014.1830000000009</v>
      </c>
      <c r="H881">
        <f>3375.94</f>
        <v>3375.94</v>
      </c>
      <c r="I881">
        <f>11428.11</f>
        <v>11428.11</v>
      </c>
      <c r="J881">
        <f>4726.94</f>
        <v>4726.9399999999996</v>
      </c>
      <c r="K881">
        <f>14277.3</f>
        <v>14277.3</v>
      </c>
      <c r="L881">
        <f>2326.42</f>
        <v>2326.42</v>
      </c>
      <c r="M881">
        <f>10300.56</f>
        <v>10300.56</v>
      </c>
      <c r="N881">
        <f>402.662</f>
        <v>402.66199999999998</v>
      </c>
      <c r="O881">
        <f>3458.58</f>
        <v>3458.58</v>
      </c>
      <c r="P881">
        <f>259.11</f>
        <v>259.11</v>
      </c>
      <c r="Q881">
        <f>3088.879</f>
        <v>3088.8789999999999</v>
      </c>
      <c r="R881">
        <f>6858.92</f>
        <v>6858.92</v>
      </c>
      <c r="S881">
        <f>2613.48</f>
        <v>2613.48</v>
      </c>
      <c r="T881">
        <f>3862.682</f>
        <v>3862.6819999999998</v>
      </c>
      <c r="U881">
        <f>57835.69</f>
        <v>57835.69</v>
      </c>
      <c r="V881">
        <f>435.63</f>
        <v>435.63</v>
      </c>
    </row>
    <row r="882" spans="1:22" x14ac:dyDescent="0.2">
      <c r="A882" s="1">
        <v>43873</v>
      </c>
      <c r="B882">
        <f>2565.68</f>
        <v>2565.6799999999998</v>
      </c>
      <c r="C882">
        <f>10577.84</f>
        <v>10577.84</v>
      </c>
      <c r="D882">
        <f>6977.98</f>
        <v>6977.98</v>
      </c>
      <c r="E882">
        <f>2560.881</f>
        <v>2560.8809999999999</v>
      </c>
      <c r="F882">
        <f>2210.77</f>
        <v>2210.77</v>
      </c>
      <c r="G882">
        <f>9035.708</f>
        <v>9035.7080000000005</v>
      </c>
      <c r="H882">
        <f>3373.31</f>
        <v>3373.31</v>
      </c>
      <c r="I882">
        <f>11490.23</f>
        <v>11490.23</v>
      </c>
      <c r="J882">
        <f>4743.42</f>
        <v>4743.42</v>
      </c>
      <c r="K882">
        <f>14289.87</f>
        <v>14289.87</v>
      </c>
      <c r="L882">
        <f>2335.01</f>
        <v>2335.0100000000002</v>
      </c>
      <c r="M882">
        <f>10318.2</f>
        <v>10318.200000000001</v>
      </c>
      <c r="N882">
        <f>402.147</f>
        <v>402.14699999999999</v>
      </c>
      <c r="O882">
        <f>3461.25</f>
        <v>3461.25</v>
      </c>
      <c r="P882">
        <f>259.73</f>
        <v>259.73</v>
      </c>
      <c r="Q882">
        <f>3090.455</f>
        <v>3090.4549999999999</v>
      </c>
      <c r="R882">
        <f>6867.92</f>
        <v>6867.92</v>
      </c>
      <c r="S882">
        <f>2622.39</f>
        <v>2622.39</v>
      </c>
      <c r="T882">
        <f>3874.182</f>
        <v>3874.1819999999998</v>
      </c>
      <c r="U882">
        <f>57744.13</f>
        <v>57744.13</v>
      </c>
      <c r="V882">
        <f>435.72</f>
        <v>435.72</v>
      </c>
    </row>
    <row r="883" spans="1:22" x14ac:dyDescent="0.2">
      <c r="A883" s="1">
        <v>43872</v>
      </c>
      <c r="B883">
        <f>2544.75</f>
        <v>2544.75</v>
      </c>
      <c r="C883">
        <f>10501.55</f>
        <v>10501.55</v>
      </c>
      <c r="D883">
        <f>6944.9</f>
        <v>6944.9</v>
      </c>
      <c r="E883">
        <f>2537.126</f>
        <v>2537.1260000000002</v>
      </c>
      <c r="F883">
        <f>2180.42</f>
        <v>2180.42</v>
      </c>
      <c r="G883">
        <f>8972.126</f>
        <v>8972.1260000000002</v>
      </c>
      <c r="H883">
        <f>3387.85</f>
        <v>3387.85</v>
      </c>
      <c r="I883">
        <f>11448.51</f>
        <v>11448.51</v>
      </c>
      <c r="J883">
        <f>4736.8</f>
        <v>4736.8</v>
      </c>
      <c r="K883">
        <f>14197.68</f>
        <v>14197.68</v>
      </c>
      <c r="L883">
        <f>2331.27</f>
        <v>2331.27</v>
      </c>
      <c r="M883">
        <f>10259.91</f>
        <v>10259.91</v>
      </c>
      <c r="N883">
        <f>401.05</f>
        <v>401.05</v>
      </c>
      <c r="O883">
        <f>3439.17</f>
        <v>3439.17</v>
      </c>
      <c r="P883" t="e">
        <f>NA()</f>
        <v>#N/A</v>
      </c>
      <c r="Q883">
        <f>3077.45898</f>
        <v>3077.4589799999999</v>
      </c>
      <c r="R883">
        <f>6823.59</f>
        <v>6823.59</v>
      </c>
      <c r="S883" t="e">
        <f>NA()</f>
        <v>#N/A</v>
      </c>
      <c r="T883">
        <f>3845.609</f>
        <v>3845.6089999999999</v>
      </c>
      <c r="U883">
        <f>56981.2</f>
        <v>56981.2</v>
      </c>
      <c r="V883">
        <f>431.22</f>
        <v>431.22</v>
      </c>
    </row>
    <row r="884" spans="1:22" x14ac:dyDescent="0.2">
      <c r="A884" s="1">
        <v>43871</v>
      </c>
      <c r="B884">
        <f>2511.68</f>
        <v>2511.6799999999998</v>
      </c>
      <c r="C884">
        <f>10387.97</f>
        <v>10387.969999999999</v>
      </c>
      <c r="D884">
        <f>6896.22</f>
        <v>6896.22</v>
      </c>
      <c r="E884">
        <f>2508.283</f>
        <v>2508.2829999999999</v>
      </c>
      <c r="F884">
        <f>2163.32</f>
        <v>2163.3200000000002</v>
      </c>
      <c r="G884">
        <f>8902.026</f>
        <v>8902.0259999999998</v>
      </c>
      <c r="H884">
        <f>3393.56</f>
        <v>3393.56</v>
      </c>
      <c r="I884">
        <f>11357.34</f>
        <v>11357.34</v>
      </c>
      <c r="J884">
        <f>4722.41</f>
        <v>4722.41</v>
      </c>
      <c r="K884">
        <f>14167.56</f>
        <v>14167.56</v>
      </c>
      <c r="L884">
        <f>2323.31</f>
        <v>2323.31</v>
      </c>
      <c r="M884">
        <f>10225.06</f>
        <v>10225.06</v>
      </c>
      <c r="N884">
        <f>397.409</f>
        <v>397.40899999999999</v>
      </c>
      <c r="O884">
        <f>3409.2</f>
        <v>3409.2</v>
      </c>
      <c r="P884">
        <f>261.79</f>
        <v>261.79000000000002</v>
      </c>
      <c r="Q884">
        <f>3068.499</f>
        <v>3068.4989999999998</v>
      </c>
      <c r="R884">
        <f>6811.83</f>
        <v>6811.83</v>
      </c>
      <c r="S884">
        <f>2623.48</f>
        <v>2623.48</v>
      </c>
      <c r="T884">
        <f>3854.063</f>
        <v>3854.0630000000001</v>
      </c>
      <c r="U884">
        <f>56847.74</f>
        <v>56847.74</v>
      </c>
      <c r="V884">
        <f>431.85</f>
        <v>431.85</v>
      </c>
    </row>
    <row r="885" spans="1:22" x14ac:dyDescent="0.2">
      <c r="A885" s="1">
        <v>43868</v>
      </c>
      <c r="B885">
        <f>2515.13</f>
        <v>2515.13</v>
      </c>
      <c r="C885">
        <f>10434.28</f>
        <v>10434.280000000001</v>
      </c>
      <c r="D885">
        <f>6914.57</f>
        <v>6914.57</v>
      </c>
      <c r="E885">
        <f>2518.813</f>
        <v>2518.8130000000001</v>
      </c>
      <c r="F885">
        <f>2157.5</f>
        <v>2157.5</v>
      </c>
      <c r="G885">
        <f>8935.527</f>
        <v>8935.527</v>
      </c>
      <c r="H885">
        <f>3412.01</f>
        <v>3412.01</v>
      </c>
      <c r="I885">
        <f>11390.3</f>
        <v>11390.3</v>
      </c>
      <c r="J885">
        <f>4700.58</f>
        <v>4700.58</v>
      </c>
      <c r="K885">
        <f>14061.73</f>
        <v>14061.73</v>
      </c>
      <c r="L885">
        <f>2321.11</f>
        <v>2321.11</v>
      </c>
      <c r="M885">
        <f>10188.73</f>
        <v>10188.73</v>
      </c>
      <c r="N885">
        <f>396.027</f>
        <v>396.02699999999999</v>
      </c>
      <c r="O885">
        <f>3405.88</f>
        <v>3405.88</v>
      </c>
      <c r="P885">
        <f>263.18</f>
        <v>263.18</v>
      </c>
      <c r="Q885">
        <f>3057.012</f>
        <v>3057.0120000000002</v>
      </c>
      <c r="R885">
        <f>6761.26</f>
        <v>6761.26</v>
      </c>
      <c r="S885">
        <f>2642.55</f>
        <v>2642.55</v>
      </c>
      <c r="T885">
        <f>3871.627</f>
        <v>3871.627</v>
      </c>
      <c r="U885">
        <f>57276.49</f>
        <v>57276.49</v>
      </c>
      <c r="V885">
        <f>434.33</f>
        <v>434.33</v>
      </c>
    </row>
    <row r="886" spans="1:22" x14ac:dyDescent="0.2">
      <c r="A886" s="1">
        <v>43867</v>
      </c>
      <c r="B886">
        <f>2526.47</f>
        <v>2526.4699999999998</v>
      </c>
      <c r="C886">
        <f>10530.58</f>
        <v>10530.58</v>
      </c>
      <c r="D886">
        <f>6949.85</f>
        <v>6949.85</v>
      </c>
      <c r="E886">
        <f>2543.513</f>
        <v>2543.5129999999999</v>
      </c>
      <c r="F886">
        <f>2168.46</f>
        <v>2168.46</v>
      </c>
      <c r="G886">
        <f>8975.794</f>
        <v>8975.7939999999999</v>
      </c>
      <c r="H886">
        <f>3427.29</f>
        <v>3427.29</v>
      </c>
      <c r="I886">
        <f>11432.77</f>
        <v>11432.77</v>
      </c>
      <c r="J886">
        <f>4726.19</f>
        <v>4726.1899999999996</v>
      </c>
      <c r="K886">
        <f>14135.04</f>
        <v>14135.04</v>
      </c>
      <c r="L886">
        <f>2330.36</f>
        <v>2330.36</v>
      </c>
      <c r="M886">
        <f>10237.04</f>
        <v>10237.040000000001</v>
      </c>
      <c r="N886">
        <f>397.231</f>
        <v>397.23099999999999</v>
      </c>
      <c r="O886">
        <f>3415.88</f>
        <v>3415.88</v>
      </c>
      <c r="P886">
        <f>263.77</f>
        <v>263.77</v>
      </c>
      <c r="Q886">
        <f>3077.819</f>
        <v>3077.819</v>
      </c>
      <c r="R886">
        <f>6796.64</f>
        <v>6796.64</v>
      </c>
      <c r="S886">
        <f>2649.94</f>
        <v>2649.94</v>
      </c>
      <c r="T886">
        <f>3902.427</f>
        <v>3902.4270000000001</v>
      </c>
      <c r="U886">
        <f>57531.49</f>
        <v>57531.49</v>
      </c>
      <c r="V886">
        <f>438.43</f>
        <v>438.43</v>
      </c>
    </row>
    <row r="887" spans="1:22" x14ac:dyDescent="0.2">
      <c r="A887" s="1">
        <v>43866</v>
      </c>
      <c r="B887">
        <f>2528.02</f>
        <v>2528.02</v>
      </c>
      <c r="C887">
        <f>10406.35</f>
        <v>10406.35</v>
      </c>
      <c r="D887">
        <f>6928.75</f>
        <v>6928.75</v>
      </c>
      <c r="E887">
        <f>2513.544</f>
        <v>2513.5439999999999</v>
      </c>
      <c r="F887">
        <f>2194.78</f>
        <v>2194.7800000000002</v>
      </c>
      <c r="G887">
        <f>8985.611</f>
        <v>8985.6110000000008</v>
      </c>
      <c r="H887">
        <f>3357.8</f>
        <v>3357.8</v>
      </c>
      <c r="I887">
        <f>11388.67</f>
        <v>11388.67</v>
      </c>
      <c r="J887">
        <f>4714.6</f>
        <v>4714.6000000000004</v>
      </c>
      <c r="K887">
        <f>14086.55</f>
        <v>14086.55</v>
      </c>
      <c r="L887">
        <f>2321.46</f>
        <v>2321.46</v>
      </c>
      <c r="M887">
        <f>10186.41</f>
        <v>10186.41</v>
      </c>
      <c r="N887">
        <f>395.555</f>
        <v>395.55500000000001</v>
      </c>
      <c r="O887">
        <f>3399.7</f>
        <v>3399.7</v>
      </c>
      <c r="P887">
        <f>258.13</f>
        <v>258.13</v>
      </c>
      <c r="Q887">
        <f>3080.688</f>
        <v>3080.6880000000001</v>
      </c>
      <c r="R887">
        <f>6772.98</f>
        <v>6772.98</v>
      </c>
      <c r="S887">
        <f>2596.31</f>
        <v>2596.31</v>
      </c>
      <c r="T887">
        <f>3877.062</f>
        <v>3877.0619999999999</v>
      </c>
      <c r="U887">
        <f>57426.2</f>
        <v>57426.2</v>
      </c>
      <c r="V887">
        <f>437.38</f>
        <v>437.38</v>
      </c>
    </row>
    <row r="888" spans="1:22" x14ac:dyDescent="0.2">
      <c r="A888" s="1">
        <v>43865</v>
      </c>
      <c r="B888">
        <f>2521.61</f>
        <v>2521.61</v>
      </c>
      <c r="C888">
        <f>10349.19</f>
        <v>10349.19</v>
      </c>
      <c r="D888">
        <f>6889.24</f>
        <v>6889.24</v>
      </c>
      <c r="E888">
        <f>2504.359</f>
        <v>2504.3589999999999</v>
      </c>
      <c r="F888">
        <f>2222.98</f>
        <v>2222.98</v>
      </c>
      <c r="G888">
        <f>8968.887</f>
        <v>8968.8870000000006</v>
      </c>
      <c r="H888">
        <f>3324.99</f>
        <v>3324.99</v>
      </c>
      <c r="I888">
        <f>11259.75</f>
        <v>11259.75</v>
      </c>
      <c r="J888">
        <f>4640.1</f>
        <v>4640.1000000000004</v>
      </c>
      <c r="K888">
        <f>13949.29</f>
        <v>13949.29</v>
      </c>
      <c r="L888">
        <f>2294.16</f>
        <v>2294.16</v>
      </c>
      <c r="M888">
        <f>10094.49</f>
        <v>10094.49</v>
      </c>
      <c r="N888">
        <f>390.222</f>
        <v>390.22199999999998</v>
      </c>
      <c r="O888">
        <f>3357.76</f>
        <v>3357.76</v>
      </c>
      <c r="P888">
        <f>256.48</f>
        <v>256.48</v>
      </c>
      <c r="Q888">
        <f>3039.667</f>
        <v>3039.6669999999999</v>
      </c>
      <c r="R888">
        <f>6697.49</f>
        <v>6697.49</v>
      </c>
      <c r="S888">
        <f>2569.47</f>
        <v>2569.4699999999998</v>
      </c>
      <c r="T888">
        <f>3831.335</f>
        <v>3831.335</v>
      </c>
      <c r="U888">
        <f>56817.03</f>
        <v>56817.03</v>
      </c>
      <c r="V888">
        <f>432.06</f>
        <v>432.06</v>
      </c>
    </row>
    <row r="889" spans="1:22" x14ac:dyDescent="0.2">
      <c r="A889" s="1">
        <v>43864</v>
      </c>
      <c r="B889">
        <f>2502.14</f>
        <v>2502.14</v>
      </c>
      <c r="C889">
        <f>10182.93</f>
        <v>10182.93</v>
      </c>
      <c r="D889">
        <f>6784.13</f>
        <v>6784.13</v>
      </c>
      <c r="E889">
        <f>2446.62</f>
        <v>2446.62</v>
      </c>
      <c r="F889">
        <f>2192.47</f>
        <v>2192.4699999999998</v>
      </c>
      <c r="G889">
        <f>8829.107</f>
        <v>8829.107</v>
      </c>
      <c r="H889">
        <f>3327.16</f>
        <v>3327.16</v>
      </c>
      <c r="I889">
        <f>11105.62</f>
        <v>11105.62</v>
      </c>
      <c r="J889">
        <f>4596.23</f>
        <v>4596.2299999999996</v>
      </c>
      <c r="K889">
        <f>13734.74</f>
        <v>13734.74</v>
      </c>
      <c r="L889">
        <f>2275.43</f>
        <v>2275.4299999999998</v>
      </c>
      <c r="M889">
        <f>9959.56</f>
        <v>9959.56</v>
      </c>
      <c r="N889">
        <f>386.041</f>
        <v>386.041</v>
      </c>
      <c r="O889">
        <f>3303.35</f>
        <v>3303.35</v>
      </c>
      <c r="P889">
        <f>255.11</f>
        <v>255.11</v>
      </c>
      <c r="Q889">
        <f>3001.055</f>
        <v>3001.0549999999998</v>
      </c>
      <c r="R889">
        <f>6598.63</f>
        <v>6598.63</v>
      </c>
      <c r="S889">
        <f>2551.81</f>
        <v>2551.81</v>
      </c>
      <c r="T889">
        <f>3793.079</f>
        <v>3793.0790000000002</v>
      </c>
      <c r="U889">
        <f>55828.49</f>
        <v>55828.49</v>
      </c>
      <c r="V889">
        <f>425.47</f>
        <v>425.47</v>
      </c>
    </row>
    <row r="890" spans="1:22" x14ac:dyDescent="0.2">
      <c r="A890" s="1">
        <v>43861</v>
      </c>
      <c r="B890">
        <f>2496.04</f>
        <v>2496.04</v>
      </c>
      <c r="C890">
        <f>10226.87</f>
        <v>10226.870000000001</v>
      </c>
      <c r="D890">
        <f>6746.81</f>
        <v>6746.81</v>
      </c>
      <c r="E890">
        <f>2451.389</f>
        <v>2451.3890000000001</v>
      </c>
      <c r="F890">
        <f>2207.36</f>
        <v>2207.36</v>
      </c>
      <c r="G890">
        <f>8899.672</f>
        <v>8899.6720000000005</v>
      </c>
      <c r="H890">
        <f>3364.31</f>
        <v>3364.31</v>
      </c>
      <c r="I890">
        <f>11079.07</f>
        <v>11079.07</v>
      </c>
      <c r="J890">
        <f>4584.87</f>
        <v>4584.87</v>
      </c>
      <c r="K890">
        <f>13626.25</f>
        <v>13626.25</v>
      </c>
      <c r="L890">
        <f>2278.95</f>
        <v>2278.9499999999998</v>
      </c>
      <c r="M890">
        <f>9921.11</f>
        <v>9921.11</v>
      </c>
      <c r="N890">
        <f>385.559</f>
        <v>385.55900000000003</v>
      </c>
      <c r="O890">
        <f>3299.06</f>
        <v>3299.06</v>
      </c>
      <c r="P890">
        <f>257.04</f>
        <v>257.04000000000002</v>
      </c>
      <c r="Q890">
        <f>2988.45367</f>
        <v>2988.4536699999999</v>
      </c>
      <c r="R890">
        <f>6551</f>
        <v>6551</v>
      </c>
      <c r="S890">
        <f>2569.77</f>
        <v>2569.77</v>
      </c>
      <c r="T890">
        <f>3791.377</f>
        <v>3791.377</v>
      </c>
      <c r="U890">
        <f>56079.54</f>
        <v>56079.54</v>
      </c>
      <c r="V890">
        <f>429.42</f>
        <v>429.42</v>
      </c>
    </row>
    <row r="891" spans="1:22" x14ac:dyDescent="0.2">
      <c r="A891" s="1">
        <v>43860</v>
      </c>
      <c r="B891">
        <f>2523.23</f>
        <v>2523.23</v>
      </c>
      <c r="C891">
        <f>10324</f>
        <v>10324</v>
      </c>
      <c r="D891">
        <f>6835.67</f>
        <v>6835.67</v>
      </c>
      <c r="E891">
        <f>2475.477</f>
        <v>2475.4769999999999</v>
      </c>
      <c r="F891">
        <f>2209.12</f>
        <v>2209.12</v>
      </c>
      <c r="G891">
        <f>8962.103</f>
        <v>8962.1029999999992</v>
      </c>
      <c r="H891">
        <f>3339.25</f>
        <v>3339.25</v>
      </c>
      <c r="I891">
        <f>11159.08</f>
        <v>11159.08</v>
      </c>
      <c r="J891">
        <f>4657.73</f>
        <v>4657.7299999999996</v>
      </c>
      <c r="K891">
        <f>13868.14</f>
        <v>13868.14</v>
      </c>
      <c r="L891">
        <f>2300.89</f>
        <v>2300.89</v>
      </c>
      <c r="M891">
        <f>10045.82</f>
        <v>10045.82</v>
      </c>
      <c r="N891">
        <f>389.074</f>
        <v>389.07400000000001</v>
      </c>
      <c r="O891">
        <f>3336.02</f>
        <v>3336.02</v>
      </c>
      <c r="P891">
        <f>255.85</f>
        <v>255.85</v>
      </c>
      <c r="Q891">
        <f>3047.665</f>
        <v>3047.665</v>
      </c>
      <c r="R891">
        <f>6668.52</f>
        <v>6668.52</v>
      </c>
      <c r="S891">
        <f>2555.02</f>
        <v>2555.02</v>
      </c>
      <c r="T891">
        <f>3851.802</f>
        <v>3851.8020000000001</v>
      </c>
      <c r="U891">
        <f>56590.93</f>
        <v>56590.93</v>
      </c>
      <c r="V891">
        <f>436.69</f>
        <v>436.69</v>
      </c>
    </row>
    <row r="892" spans="1:22" x14ac:dyDescent="0.2">
      <c r="A892" s="1">
        <v>43859</v>
      </c>
      <c r="B892">
        <f>2559.27</f>
        <v>2559.27</v>
      </c>
      <c r="C892">
        <f>10580.3</f>
        <v>10580.3</v>
      </c>
      <c r="D892">
        <f>6929.76</f>
        <v>6929.76</v>
      </c>
      <c r="E892">
        <f>2532.52</f>
        <v>2532.52</v>
      </c>
      <c r="F892">
        <f>2219.45</f>
        <v>2219.4499999999998</v>
      </c>
      <c r="G892">
        <f>9015.921</f>
        <v>9015.9210000000003</v>
      </c>
      <c r="H892">
        <f>3372.49</f>
        <v>3372.49</v>
      </c>
      <c r="I892">
        <f>11237.93</f>
        <v>11237.93</v>
      </c>
      <c r="J892">
        <f>4646.41</f>
        <v>4646.41</v>
      </c>
      <c r="K892">
        <f>13820.99</f>
        <v>13820.99</v>
      </c>
      <c r="L892">
        <f>2305.26</f>
        <v>2305.2600000000002</v>
      </c>
      <c r="M892">
        <f>10050.92</f>
        <v>10050.92</v>
      </c>
      <c r="N892">
        <f>392.69</f>
        <v>392.69</v>
      </c>
      <c r="O892">
        <f>3369.34</f>
        <v>3369.34</v>
      </c>
      <c r="P892">
        <f>258.4</f>
        <v>258.39999999999998</v>
      </c>
      <c r="Q892">
        <f>3030.46</f>
        <v>3030.46</v>
      </c>
      <c r="R892">
        <f>6646.69</f>
        <v>6646.69</v>
      </c>
      <c r="S892">
        <f>2593.25</f>
        <v>2593.25</v>
      </c>
      <c r="T892">
        <f>3853.094</f>
        <v>3853.0940000000001</v>
      </c>
      <c r="U892">
        <f>56370.72</f>
        <v>56370.720000000001</v>
      </c>
      <c r="V892">
        <f>437.95</f>
        <v>437.95</v>
      </c>
    </row>
    <row r="893" spans="1:22" x14ac:dyDescent="0.2">
      <c r="A893" s="1">
        <v>43858</v>
      </c>
      <c r="B893">
        <f>2556.43</f>
        <v>2556.4299999999998</v>
      </c>
      <c r="C893">
        <f>10683.68</f>
        <v>10683.68</v>
      </c>
      <c r="D893">
        <f>6927.09</f>
        <v>6927.09</v>
      </c>
      <c r="E893">
        <f>2542.222</f>
        <v>2542.2220000000002</v>
      </c>
      <c r="F893">
        <f>2212.74</f>
        <v>2212.7399999999998</v>
      </c>
      <c r="G893">
        <f>9000.281</f>
        <v>9000.2810000000009</v>
      </c>
      <c r="H893">
        <f>3354.43</f>
        <v>3354.43</v>
      </c>
      <c r="I893">
        <f>11186.77</f>
        <v>11186.77</v>
      </c>
      <c r="J893">
        <f>4668.78</f>
        <v>4668.78</v>
      </c>
      <c r="K893">
        <f>13830.76</f>
        <v>13830.76</v>
      </c>
      <c r="L893">
        <f>2311.78</f>
        <v>2311.7800000000002</v>
      </c>
      <c r="M893">
        <f>10046.55</f>
        <v>10046.549999999999</v>
      </c>
      <c r="N893">
        <f>390.804</f>
        <v>390.80399999999997</v>
      </c>
      <c r="O893">
        <f>3355.57</f>
        <v>3355.57</v>
      </c>
      <c r="P893">
        <f>257.66</f>
        <v>257.66000000000003</v>
      </c>
      <c r="Q893">
        <f>3045.083</f>
        <v>3045.0830000000001</v>
      </c>
      <c r="R893">
        <f>6652.3</f>
        <v>6652.3</v>
      </c>
      <c r="S893">
        <f>2581.55</f>
        <v>2581.5500000000002</v>
      </c>
      <c r="T893">
        <f>3816.968</f>
        <v>3816.9679999999998</v>
      </c>
      <c r="U893">
        <f>55748.24</f>
        <v>55748.24</v>
      </c>
      <c r="V893">
        <f>431.34</f>
        <v>431.34</v>
      </c>
    </row>
    <row r="894" spans="1:22" x14ac:dyDescent="0.2">
      <c r="A894" s="1">
        <v>43857</v>
      </c>
      <c r="B894">
        <f>2529.12</f>
        <v>2529.12</v>
      </c>
      <c r="C894">
        <f>10681.3</f>
        <v>10681.3</v>
      </c>
      <c r="D894">
        <f>6863.52</f>
        <v>6863.52</v>
      </c>
      <c r="E894">
        <f>2545.099</f>
        <v>2545.0990000000002</v>
      </c>
      <c r="F894">
        <f>2205.02</f>
        <v>2205.02</v>
      </c>
      <c r="G894">
        <f>8967.143</f>
        <v>8967.143</v>
      </c>
      <c r="H894">
        <f>3383.99</f>
        <v>3383.99</v>
      </c>
      <c r="I894">
        <f>11093.02</f>
        <v>11093.02</v>
      </c>
      <c r="J894">
        <f>4648.1</f>
        <v>4648.1000000000004</v>
      </c>
      <c r="K894">
        <f>13691.44</f>
        <v>13691.44</v>
      </c>
      <c r="L894">
        <f>2304.84</f>
        <v>2304.84</v>
      </c>
      <c r="M894">
        <f>9976.86</f>
        <v>9976.86</v>
      </c>
      <c r="N894">
        <f>388.415</f>
        <v>388.41500000000002</v>
      </c>
      <c r="O894">
        <f>3326.75</f>
        <v>3326.75</v>
      </c>
      <c r="P894">
        <f>258.92</f>
        <v>258.92</v>
      </c>
      <c r="Q894">
        <f>3030.483</f>
        <v>3030.4830000000002</v>
      </c>
      <c r="R894">
        <f>6585.95</f>
        <v>6585.95</v>
      </c>
      <c r="S894">
        <f>2597.26</f>
        <v>2597.2600000000002</v>
      </c>
      <c r="T894">
        <f>3832.658</f>
        <v>3832.6579999999999</v>
      </c>
      <c r="U894">
        <f>55902.94</f>
        <v>55902.94</v>
      </c>
      <c r="V894">
        <f>432.16</f>
        <v>432.16</v>
      </c>
    </row>
    <row r="895" spans="1:22" x14ac:dyDescent="0.2">
      <c r="A895" s="1">
        <v>43854</v>
      </c>
      <c r="B895">
        <f>2594.13</f>
        <v>2594.13</v>
      </c>
      <c r="C895">
        <f>10843.02</f>
        <v>10843.02</v>
      </c>
      <c r="D895">
        <f>7024.59</f>
        <v>7024.59</v>
      </c>
      <c r="E895">
        <f>2582.942</f>
        <v>2582.942</v>
      </c>
      <c r="F895">
        <f>2258.6</f>
        <v>2258.6</v>
      </c>
      <c r="G895">
        <f>9185.597</f>
        <v>9185.5969999999998</v>
      </c>
      <c r="H895">
        <f>3412.52</f>
        <v>3412.52</v>
      </c>
      <c r="I895">
        <f>11360.38</f>
        <v>11360.38</v>
      </c>
      <c r="J895">
        <f>4703.31</f>
        <v>4703.3100000000004</v>
      </c>
      <c r="K895">
        <f>13908.5</f>
        <v>13908.5</v>
      </c>
      <c r="L895">
        <f>2336.38</f>
        <v>2336.38</v>
      </c>
      <c r="M895">
        <f>10142.92</f>
        <v>10142.92</v>
      </c>
      <c r="N895">
        <f>396.404</f>
        <v>396.404</v>
      </c>
      <c r="O895">
        <f>3404.47</f>
        <v>3404.47</v>
      </c>
      <c r="P895">
        <f>263.04</f>
        <v>263.04000000000002</v>
      </c>
      <c r="Q895">
        <f>3066.963</f>
        <v>3066.9630000000002</v>
      </c>
      <c r="R895">
        <f>6691.22</f>
        <v>6691.22</v>
      </c>
      <c r="S895">
        <f>2639.77</f>
        <v>2639.77</v>
      </c>
      <c r="T895">
        <f>3900.68</f>
        <v>3900.68</v>
      </c>
      <c r="U895">
        <f>57261.04</f>
        <v>57261.04</v>
      </c>
      <c r="V895">
        <f>443.78</f>
        <v>443.78</v>
      </c>
    </row>
    <row r="896" spans="1:22" x14ac:dyDescent="0.2">
      <c r="A896" s="1">
        <v>43853</v>
      </c>
      <c r="B896">
        <f>2565.98</f>
        <v>2565.98</v>
      </c>
      <c r="C896">
        <f>10835.98</f>
        <v>10835.98</v>
      </c>
      <c r="D896">
        <f>6952.08</f>
        <v>6952.08</v>
      </c>
      <c r="E896">
        <f>2589.362</f>
        <v>2589.3620000000001</v>
      </c>
      <c r="F896">
        <f>2248.62</f>
        <v>2248.62</v>
      </c>
      <c r="G896">
        <f>9126.593</f>
        <v>9126.5930000000008</v>
      </c>
      <c r="H896">
        <f>3420.36</f>
        <v>3420.36</v>
      </c>
      <c r="I896">
        <f>11286.43</f>
        <v>11286.43</v>
      </c>
      <c r="J896">
        <f>4730.77</f>
        <v>4730.7700000000004</v>
      </c>
      <c r="K896">
        <f>14033.68</f>
        <v>14033.68</v>
      </c>
      <c r="L896">
        <f>2347.59</f>
        <v>2347.59</v>
      </c>
      <c r="M896">
        <f>10188.34</f>
        <v>10188.34</v>
      </c>
      <c r="N896">
        <f>393.07</f>
        <v>393.07</v>
      </c>
      <c r="O896">
        <f>3374.38</f>
        <v>3374.38</v>
      </c>
      <c r="P896">
        <f>263.87</f>
        <v>263.87</v>
      </c>
      <c r="Q896">
        <f>3090.812</f>
        <v>3090.8119999999999</v>
      </c>
      <c r="R896">
        <f>6752.09</f>
        <v>6752.09</v>
      </c>
      <c r="S896">
        <f>2639.86</f>
        <v>2639.86</v>
      </c>
      <c r="T896">
        <f>3890.702</f>
        <v>3890.7020000000002</v>
      </c>
      <c r="U896">
        <f>56894.67</f>
        <v>56894.67</v>
      </c>
      <c r="V896">
        <f>442.75</f>
        <v>442.75</v>
      </c>
    </row>
    <row r="897" spans="1:22" x14ac:dyDescent="0.2">
      <c r="A897" s="1">
        <v>43852</v>
      </c>
      <c r="B897">
        <f>2595.22</f>
        <v>2595.2199999999998</v>
      </c>
      <c r="C897">
        <f>10974.78</f>
        <v>10974.78</v>
      </c>
      <c r="D897">
        <f>7011.57</f>
        <v>7011.57</v>
      </c>
      <c r="E897">
        <f>2615.199</f>
        <v>2615.1990000000001</v>
      </c>
      <c r="F897">
        <f>2278.07</f>
        <v>2278.0700000000002</v>
      </c>
      <c r="G897">
        <f>9218.915</f>
        <v>9218.9150000000009</v>
      </c>
      <c r="H897">
        <f>3429.44</f>
        <v>3429.44</v>
      </c>
      <c r="I897">
        <f>11391.56</f>
        <v>11391.56</v>
      </c>
      <c r="J897">
        <f>4727.11</f>
        <v>4727.1099999999997</v>
      </c>
      <c r="K897">
        <f>14016.66</f>
        <v>14016.66</v>
      </c>
      <c r="L897">
        <f>2356.64</f>
        <v>2356.64</v>
      </c>
      <c r="M897">
        <f>10205.19</f>
        <v>10205.19</v>
      </c>
      <c r="N897">
        <f>394.266</f>
        <v>394.26600000000002</v>
      </c>
      <c r="O897">
        <f>3397.09</f>
        <v>3397.09</v>
      </c>
      <c r="P897">
        <f>266.3</f>
        <v>266.3</v>
      </c>
      <c r="Q897">
        <f>3092.806</f>
        <v>3092.806</v>
      </c>
      <c r="R897">
        <f>6743.9</f>
        <v>6743.9</v>
      </c>
      <c r="S897">
        <f>2660.66</f>
        <v>2660.66</v>
      </c>
      <c r="T897">
        <f>3939.231</f>
        <v>3939.2310000000002</v>
      </c>
      <c r="U897">
        <f>57918.89</f>
        <v>57918.89</v>
      </c>
      <c r="V897">
        <f>451.88</f>
        <v>451.88</v>
      </c>
    </row>
    <row r="898" spans="1:22" x14ac:dyDescent="0.2">
      <c r="A898" s="1">
        <v>43851</v>
      </c>
      <c r="B898">
        <f>2600.48</f>
        <v>2600.48</v>
      </c>
      <c r="C898">
        <f>10933.73</f>
        <v>10933.73</v>
      </c>
      <c r="D898">
        <f>7047.48</f>
        <v>7047.48</v>
      </c>
      <c r="E898">
        <f>2600.049</f>
        <v>2600.049</v>
      </c>
      <c r="F898">
        <f>2269.24</f>
        <v>2269.2399999999998</v>
      </c>
      <c r="G898">
        <f>9209.43</f>
        <v>9209.43</v>
      </c>
      <c r="H898">
        <f>3418.27</f>
        <v>3418.27</v>
      </c>
      <c r="I898">
        <f>11441.59</f>
        <v>11441.59</v>
      </c>
      <c r="J898">
        <f>4715.53</f>
        <v>4715.53</v>
      </c>
      <c r="K898">
        <f>14007.73</f>
        <v>14007.73</v>
      </c>
      <c r="L898">
        <f>2356.41</f>
        <v>2356.41</v>
      </c>
      <c r="M898">
        <f>10201</f>
        <v>10201</v>
      </c>
      <c r="N898">
        <f>393.553</f>
        <v>393.553</v>
      </c>
      <c r="O898">
        <f>3400.91</f>
        <v>3400.91</v>
      </c>
      <c r="P898">
        <f>265.26</f>
        <v>265.26</v>
      </c>
      <c r="Q898">
        <f>3091.341</f>
        <v>3091.3409999999999</v>
      </c>
      <c r="R898">
        <f>6741.71</f>
        <v>6741.71</v>
      </c>
      <c r="S898">
        <f>2646.68</f>
        <v>2646.68</v>
      </c>
      <c r="T898">
        <f>3949.23</f>
        <v>3949.23</v>
      </c>
      <c r="U898">
        <f>57976.39</f>
        <v>57976.39</v>
      </c>
      <c r="V898">
        <f>453.43</f>
        <v>453.43</v>
      </c>
    </row>
    <row r="899" spans="1:22" x14ac:dyDescent="0.2">
      <c r="A899" s="1">
        <v>43850</v>
      </c>
      <c r="B899">
        <f>2614.02</f>
        <v>2614.02</v>
      </c>
      <c r="C899">
        <f>11100.53</f>
        <v>11100.53</v>
      </c>
      <c r="D899">
        <f>7085.2</f>
        <v>7085.2</v>
      </c>
      <c r="E899">
        <f>2643.475</f>
        <v>2643.4749999999999</v>
      </c>
      <c r="F899">
        <f>2267.3</f>
        <v>2267.3000000000002</v>
      </c>
      <c r="G899">
        <f>9214.645</f>
        <v>9214.6450000000004</v>
      </c>
      <c r="H899">
        <f>3434.69</f>
        <v>3434.69</v>
      </c>
      <c r="I899">
        <f>11442.43</f>
        <v>11442.43</v>
      </c>
      <c r="J899">
        <f>4730.83</f>
        <v>4730.83</v>
      </c>
      <c r="K899">
        <f>14040.84</f>
        <v>14040.84</v>
      </c>
      <c r="L899">
        <f>2363.67</f>
        <v>2363.67</v>
      </c>
      <c r="M899">
        <f>10225.18</f>
        <v>10225.18</v>
      </c>
      <c r="N899">
        <f>393.234</f>
        <v>393.23399999999998</v>
      </c>
      <c r="O899">
        <f>3406.58</f>
        <v>3406.58</v>
      </c>
      <c r="P899">
        <f>266.31</f>
        <v>266.31</v>
      </c>
      <c r="Q899" t="e">
        <f>NA()</f>
        <v>#N/A</v>
      </c>
      <c r="R899" t="e">
        <f>NA()</f>
        <v>#N/A</v>
      </c>
      <c r="S899">
        <f>2660.7</f>
        <v>2660.7</v>
      </c>
      <c r="T899">
        <f>3978.384</f>
        <v>3978.384</v>
      </c>
      <c r="U899">
        <f>58850.41</f>
        <v>58850.41</v>
      </c>
      <c r="V899">
        <f>458.24</f>
        <v>458.24</v>
      </c>
    </row>
    <row r="900" spans="1:22" x14ac:dyDescent="0.2">
      <c r="A900" s="1">
        <v>43847</v>
      </c>
      <c r="B900">
        <f>2617.56</f>
        <v>2617.56</v>
      </c>
      <c r="C900">
        <f>11138.03</f>
        <v>11138.03</v>
      </c>
      <c r="D900">
        <f>7106.61</f>
        <v>7106.61</v>
      </c>
      <c r="E900">
        <f>2646.087</f>
        <v>2646.087</v>
      </c>
      <c r="F900">
        <f>2269.52</f>
        <v>2269.52</v>
      </c>
      <c r="G900">
        <f>9266.307</f>
        <v>9266.3070000000007</v>
      </c>
      <c r="H900">
        <f>3414.28</f>
        <v>3414.28</v>
      </c>
      <c r="I900">
        <f>11457.06</f>
        <v>11457.06</v>
      </c>
      <c r="J900">
        <f>4730.83</f>
        <v>4730.83</v>
      </c>
      <c r="K900">
        <f>14040.84</f>
        <v>14040.84</v>
      </c>
      <c r="L900">
        <f>2363.38</f>
        <v>2363.38</v>
      </c>
      <c r="M900">
        <f>10226.83</f>
        <v>10226.83</v>
      </c>
      <c r="N900">
        <f>394.177</f>
        <v>394.17700000000002</v>
      </c>
      <c r="O900">
        <f>3411.55</f>
        <v>3411.55</v>
      </c>
      <c r="P900">
        <f>264.94</f>
        <v>264.94</v>
      </c>
      <c r="Q900">
        <f>3102.081</f>
        <v>3102.0810000000001</v>
      </c>
      <c r="R900">
        <f>6759.51</f>
        <v>6759.51</v>
      </c>
      <c r="S900">
        <f>2647.39</f>
        <v>2647.39</v>
      </c>
      <c r="T900">
        <f>3997.554</f>
        <v>3997.5540000000001</v>
      </c>
      <c r="U900">
        <f>59001.87</f>
        <v>59001.87</v>
      </c>
      <c r="V900">
        <f>462.18</f>
        <v>462.18</v>
      </c>
    </row>
    <row r="901" spans="1:22" x14ac:dyDescent="0.2">
      <c r="A901" s="1">
        <v>43846</v>
      </c>
      <c r="B901">
        <f>2592.67</f>
        <v>2592.67</v>
      </c>
      <c r="C901">
        <f>11100.22</f>
        <v>11100.22</v>
      </c>
      <c r="D901">
        <f>7046.65</f>
        <v>7046.65</v>
      </c>
      <c r="E901">
        <f>2631.609</f>
        <v>2631.6089999999999</v>
      </c>
      <c r="F901">
        <f>2249.48</f>
        <v>2249.48</v>
      </c>
      <c r="G901">
        <f>9214.136</f>
        <v>9214.1360000000004</v>
      </c>
      <c r="H901">
        <f>3387.58</f>
        <v>3387.58</v>
      </c>
      <c r="I901">
        <f>11397.67</f>
        <v>11397.67</v>
      </c>
      <c r="J901">
        <f>4719.02</f>
        <v>4719.0200000000004</v>
      </c>
      <c r="K901">
        <f>13989.57</f>
        <v>13989.57</v>
      </c>
      <c r="L901">
        <f>2352.76</f>
        <v>2352.7600000000002</v>
      </c>
      <c r="M901">
        <f>10187.14</f>
        <v>10187.14</v>
      </c>
      <c r="N901">
        <f>390.626</f>
        <v>390.62599999999998</v>
      </c>
      <c r="O901">
        <f>3380.56</f>
        <v>3380.56</v>
      </c>
      <c r="P901">
        <f>264.13</f>
        <v>264.13</v>
      </c>
      <c r="Q901">
        <f>3093.319</f>
        <v>3093.319</v>
      </c>
      <c r="R901">
        <f>6733.35</f>
        <v>6733.35</v>
      </c>
      <c r="S901">
        <f>2637.13</f>
        <v>2637.13</v>
      </c>
      <c r="T901">
        <f>3989.289</f>
        <v>3989.2890000000002</v>
      </c>
      <c r="U901">
        <f>58217.43</f>
        <v>58217.43</v>
      </c>
      <c r="V901">
        <f>458.84</f>
        <v>458.84</v>
      </c>
    </row>
    <row r="902" spans="1:22" x14ac:dyDescent="0.2">
      <c r="A902" s="1">
        <v>43845</v>
      </c>
      <c r="B902">
        <f>2591.81</f>
        <v>2591.81</v>
      </c>
      <c r="C902">
        <f>11062.3</f>
        <v>11062.3</v>
      </c>
      <c r="D902">
        <f>7074.58</f>
        <v>7074.58</v>
      </c>
      <c r="E902">
        <f>2625.523</f>
        <v>2625.5230000000001</v>
      </c>
      <c r="F902">
        <f>2241.35</f>
        <v>2241.35</v>
      </c>
      <c r="G902">
        <f>9219.274</f>
        <v>9219.2739999999994</v>
      </c>
      <c r="H902">
        <f>3394.55</f>
        <v>3394.55</v>
      </c>
      <c r="I902">
        <f>11375.3</f>
        <v>11375.3</v>
      </c>
      <c r="J902">
        <f>4690.92</f>
        <v>4690.92</v>
      </c>
      <c r="K902">
        <f>13871.66</f>
        <v>13871.66</v>
      </c>
      <c r="L902">
        <f>2345.24</f>
        <v>2345.2399999999998</v>
      </c>
      <c r="M902">
        <f>10126.9</f>
        <v>10126.9</v>
      </c>
      <c r="N902">
        <f>389.637</f>
        <v>389.637</v>
      </c>
      <c r="O902">
        <f>3371.9</f>
        <v>3371.9</v>
      </c>
      <c r="P902">
        <f>263.68</f>
        <v>263.68</v>
      </c>
      <c r="Q902">
        <f>3070.868</f>
        <v>3070.8679999999999</v>
      </c>
      <c r="R902">
        <f>6677.25</f>
        <v>6677.25</v>
      </c>
      <c r="S902">
        <f>2640.71</f>
        <v>2640.71</v>
      </c>
      <c r="T902">
        <f>3994.07</f>
        <v>3994.07</v>
      </c>
      <c r="U902">
        <f>58063.59</f>
        <v>58063.59</v>
      </c>
      <c r="V902">
        <f>456.71</f>
        <v>456.71</v>
      </c>
    </row>
    <row r="903" spans="1:22" x14ac:dyDescent="0.2">
      <c r="A903" s="1">
        <v>43844</v>
      </c>
      <c r="B903">
        <f>2598.49</f>
        <v>2598.4899999999998</v>
      </c>
      <c r="C903">
        <f>11103.87</f>
        <v>11103.87</v>
      </c>
      <c r="D903">
        <f>7055.66</f>
        <v>7055.66</v>
      </c>
      <c r="E903">
        <f>2639.08</f>
        <v>2639.08</v>
      </c>
      <c r="F903">
        <f>2242.13</f>
        <v>2242.13</v>
      </c>
      <c r="G903">
        <f>9181.093</f>
        <v>9181.0930000000008</v>
      </c>
      <c r="H903">
        <f>3407.71</f>
        <v>3407.71</v>
      </c>
      <c r="I903">
        <f>11344.88</f>
        <v>11344.88</v>
      </c>
      <c r="J903">
        <f>4681.04</f>
        <v>4681.04</v>
      </c>
      <c r="K903">
        <f>13847.65</f>
        <v>13847.65</v>
      </c>
      <c r="L903">
        <f>2339.08</f>
        <v>2339.08</v>
      </c>
      <c r="M903">
        <f>10111.61</f>
        <v>10111.61</v>
      </c>
      <c r="N903">
        <f>387.714</f>
        <v>387.714</v>
      </c>
      <c r="O903">
        <f>3370.66</f>
        <v>3370.66</v>
      </c>
      <c r="P903">
        <f>264.74</f>
        <v>264.74</v>
      </c>
      <c r="Q903">
        <f>3064.786</f>
        <v>3064.7860000000001</v>
      </c>
      <c r="R903">
        <f>6664.66</f>
        <v>6664.66</v>
      </c>
      <c r="S903">
        <f>2655.16</f>
        <v>2655.16</v>
      </c>
      <c r="T903">
        <f>3972.022</f>
        <v>3972.0219999999999</v>
      </c>
      <c r="U903">
        <f>57967.13</f>
        <v>57967.13</v>
      </c>
      <c r="V903">
        <f>454.71</f>
        <v>454.71</v>
      </c>
    </row>
    <row r="904" spans="1:22" x14ac:dyDescent="0.2">
      <c r="A904" s="1">
        <v>43843</v>
      </c>
      <c r="B904">
        <f>2594.14</f>
        <v>2594.14</v>
      </c>
      <c r="C904">
        <f>11096.05</f>
        <v>11096.05</v>
      </c>
      <c r="D904">
        <f>7051.26</f>
        <v>7051.26</v>
      </c>
      <c r="E904">
        <f>2639.375</f>
        <v>2639.375</v>
      </c>
      <c r="F904">
        <f>2233.25</f>
        <v>2233.25</v>
      </c>
      <c r="G904">
        <f>9150.101</f>
        <v>9150.1010000000006</v>
      </c>
      <c r="H904">
        <f>3390.38</f>
        <v>3390.38</v>
      </c>
      <c r="I904">
        <f>11331.33</f>
        <v>11331.33</v>
      </c>
      <c r="J904">
        <f>4673.95</f>
        <v>4673.95</v>
      </c>
      <c r="K904">
        <f>13866.42</f>
        <v>13866.42</v>
      </c>
      <c r="L904">
        <f>2335.57</f>
        <v>2335.5700000000002</v>
      </c>
      <c r="M904">
        <f>10109.89</f>
        <v>10109.89</v>
      </c>
      <c r="N904">
        <f>386.055</f>
        <v>386.05500000000001</v>
      </c>
      <c r="O904">
        <f>3361.62</f>
        <v>3361.62</v>
      </c>
      <c r="P904" t="e">
        <f>NA()</f>
        <v>#N/A</v>
      </c>
      <c r="Q904">
        <f>3066.777</f>
        <v>3066.777</v>
      </c>
      <c r="R904">
        <f>6674.13</f>
        <v>6674.13</v>
      </c>
      <c r="S904" t="e">
        <f>NA()</f>
        <v>#N/A</v>
      </c>
      <c r="T904">
        <f>3935.266</f>
        <v>3935.2660000000001</v>
      </c>
      <c r="U904">
        <f>57572.72</f>
        <v>57572.72</v>
      </c>
      <c r="V904">
        <f>449.31</f>
        <v>449.31</v>
      </c>
    </row>
    <row r="905" spans="1:22" x14ac:dyDescent="0.2">
      <c r="A905" s="1">
        <v>43840</v>
      </c>
      <c r="B905">
        <f>2579.04</f>
        <v>2579.04</v>
      </c>
      <c r="C905">
        <f>11044.18</f>
        <v>11044.18</v>
      </c>
      <c r="D905">
        <f>7023.73</f>
        <v>7023.73</v>
      </c>
      <c r="E905">
        <f>2615.448</f>
        <v>2615.4479999999999</v>
      </c>
      <c r="F905">
        <f>2238.17</f>
        <v>2238.17</v>
      </c>
      <c r="G905">
        <f>9172.405</f>
        <v>9172.4050000000007</v>
      </c>
      <c r="H905">
        <f>3401.83</f>
        <v>3401.83</v>
      </c>
      <c r="I905">
        <f>11321.18</f>
        <v>11321.18</v>
      </c>
      <c r="J905">
        <f>4651.58</f>
        <v>4651.58</v>
      </c>
      <c r="K905">
        <f>13766.66</f>
        <v>13766.66</v>
      </c>
      <c r="L905">
        <f>2329.71</f>
        <v>2329.71</v>
      </c>
      <c r="M905">
        <f>10064.88</f>
        <v>10064.879999999999</v>
      </c>
      <c r="N905">
        <f>386.557</f>
        <v>386.55700000000002</v>
      </c>
      <c r="O905">
        <f>3367.45</f>
        <v>3367.45</v>
      </c>
      <c r="P905">
        <f>265.64</f>
        <v>265.64</v>
      </c>
      <c r="Q905">
        <f>3045.753</f>
        <v>3045.7530000000002</v>
      </c>
      <c r="R905">
        <f>6627.87</f>
        <v>6627.87</v>
      </c>
      <c r="S905">
        <f>2646.96</f>
        <v>2646.96</v>
      </c>
      <c r="T905">
        <f>3941.758</f>
        <v>3941.7579999999998</v>
      </c>
      <c r="U905">
        <f>57484.84</f>
        <v>57484.84</v>
      </c>
      <c r="V905">
        <f>447.68</f>
        <v>447.68</v>
      </c>
    </row>
    <row r="906" spans="1:22" x14ac:dyDescent="0.2">
      <c r="A906" s="1">
        <v>43839</v>
      </c>
      <c r="B906">
        <f>2589.8</f>
        <v>2589.8000000000002</v>
      </c>
      <c r="C906">
        <f>11037.2</f>
        <v>11037.2</v>
      </c>
      <c r="D906">
        <f>7033.23</f>
        <v>7033.23</v>
      </c>
      <c r="E906">
        <f>2605.617</f>
        <v>2605.6170000000002</v>
      </c>
      <c r="F906">
        <f>2238.96</f>
        <v>2238.96</v>
      </c>
      <c r="G906">
        <f>9177.927</f>
        <v>9177.9269999999997</v>
      </c>
      <c r="H906">
        <f>3403.91</f>
        <v>3403.91</v>
      </c>
      <c r="I906">
        <f>11323.29</f>
        <v>11323.29</v>
      </c>
      <c r="J906">
        <f>4669.18</f>
        <v>4669.18</v>
      </c>
      <c r="K906">
        <f>13804.16</f>
        <v>13804.16</v>
      </c>
      <c r="L906">
        <f>2332.29</f>
        <v>2332.29</v>
      </c>
      <c r="M906">
        <f>10074.33</f>
        <v>10074.33</v>
      </c>
      <c r="N906">
        <f>386.847</f>
        <v>386.84699999999998</v>
      </c>
      <c r="O906">
        <f>3373.44</f>
        <v>3373.44</v>
      </c>
      <c r="P906">
        <f>265.92</f>
        <v>265.92</v>
      </c>
      <c r="Q906">
        <f>3055.88</f>
        <v>3055.88</v>
      </c>
      <c r="R906">
        <f>6646.84</f>
        <v>6646.84</v>
      </c>
      <c r="S906">
        <f>2637.64</f>
        <v>2637.64</v>
      </c>
      <c r="T906">
        <f>3931.581</f>
        <v>3931.5810000000001</v>
      </c>
      <c r="U906">
        <f>57128.68</f>
        <v>57128.68</v>
      </c>
      <c r="V906">
        <f>444.53</f>
        <v>444.53</v>
      </c>
    </row>
    <row r="907" spans="1:22" x14ac:dyDescent="0.2">
      <c r="A907" s="1">
        <v>43838</v>
      </c>
      <c r="B907">
        <f>2598.24</f>
        <v>2598.2399999999998</v>
      </c>
      <c r="C907">
        <f>10892.87</f>
        <v>10892.87</v>
      </c>
      <c r="D907">
        <f>7011.73</f>
        <v>7011.73</v>
      </c>
      <c r="E907">
        <f>2563.973</f>
        <v>2563.973</v>
      </c>
      <c r="F907">
        <f>2246.01</f>
        <v>2246.0100000000002</v>
      </c>
      <c r="G907">
        <f>9190.262</f>
        <v>9190.2620000000006</v>
      </c>
      <c r="H907">
        <f>3379.93</f>
        <v>3379.93</v>
      </c>
      <c r="I907">
        <f>11300.76</f>
        <v>11300.76</v>
      </c>
      <c r="J907">
        <f>4643.09</f>
        <v>4643.09</v>
      </c>
      <c r="K907">
        <f>13709.33</f>
        <v>13709.33</v>
      </c>
      <c r="L907">
        <f>2324.23</f>
        <v>2324.23</v>
      </c>
      <c r="M907">
        <f>10017.77</f>
        <v>10017.77</v>
      </c>
      <c r="N907">
        <f>385.459</f>
        <v>385.459</v>
      </c>
      <c r="O907">
        <f>3363.47</f>
        <v>3363.47</v>
      </c>
      <c r="P907">
        <f>262.87</f>
        <v>262.87</v>
      </c>
      <c r="Q907">
        <f>3045.791</f>
        <v>3045.7910000000002</v>
      </c>
      <c r="R907">
        <f>6601.15</f>
        <v>6601.15</v>
      </c>
      <c r="S907">
        <f>2595.46</f>
        <v>2595.46</v>
      </c>
      <c r="T907">
        <f>3916.576</f>
        <v>3916.576</v>
      </c>
      <c r="U907">
        <f>57322.33</f>
        <v>57322.33</v>
      </c>
      <c r="V907">
        <f>442.39</f>
        <v>442.39</v>
      </c>
    </row>
    <row r="908" spans="1:22" x14ac:dyDescent="0.2">
      <c r="A908" s="1">
        <v>43837</v>
      </c>
      <c r="B908">
        <f>2620.7</f>
        <v>2620.6999999999998</v>
      </c>
      <c r="C908">
        <f>10924.64</f>
        <v>10924.64</v>
      </c>
      <c r="D908">
        <f>7010.73</f>
        <v>7010.73</v>
      </c>
      <c r="E908">
        <f>2574.158</f>
        <v>2574.1579999999999</v>
      </c>
      <c r="F908">
        <f>2243</f>
        <v>2243</v>
      </c>
      <c r="G908">
        <f>9202.975</f>
        <v>9202.9750000000004</v>
      </c>
      <c r="H908">
        <f>3430.48</f>
        <v>3430.48</v>
      </c>
      <c r="I908">
        <f>11297.61</f>
        <v>11297.61</v>
      </c>
      <c r="J908">
        <f>4634.95</f>
        <v>4634.95</v>
      </c>
      <c r="K908">
        <f>13640.66</f>
        <v>13640.66</v>
      </c>
      <c r="L908">
        <f>2325.88</f>
        <v>2325.88</v>
      </c>
      <c r="M908">
        <f>9998.51</f>
        <v>9998.51</v>
      </c>
      <c r="N908">
        <f>384.801</f>
        <v>384.80099999999999</v>
      </c>
      <c r="O908">
        <f>3358.42</f>
        <v>3358.42</v>
      </c>
      <c r="P908">
        <f>267.37</f>
        <v>267.37</v>
      </c>
      <c r="Q908">
        <f>3037.428</f>
        <v>3037.4279999999999</v>
      </c>
      <c r="R908">
        <f>6568.74</f>
        <v>6568.74</v>
      </c>
      <c r="S908">
        <f>2631.55</f>
        <v>2631.55</v>
      </c>
      <c r="T908">
        <f>3920.086</f>
        <v>3920.0859999999998</v>
      </c>
      <c r="U908">
        <f>57384.41</f>
        <v>57384.41</v>
      </c>
      <c r="V908">
        <f>441.57</f>
        <v>441.57</v>
      </c>
    </row>
    <row r="909" spans="1:22" x14ac:dyDescent="0.2">
      <c r="A909" s="1">
        <v>43836</v>
      </c>
      <c r="B909">
        <f>2604.95</f>
        <v>2604.9499999999998</v>
      </c>
      <c r="C909">
        <f>10941.48</f>
        <v>10941.48</v>
      </c>
      <c r="D909">
        <f>7012.1</f>
        <v>7012.1</v>
      </c>
      <c r="E909">
        <f>2566.513</f>
        <v>2566.5129999999999</v>
      </c>
      <c r="F909">
        <f>2242.01</f>
        <v>2242.0100000000002</v>
      </c>
      <c r="G909">
        <f>9233.998</f>
        <v>9233.9979999999996</v>
      </c>
      <c r="H909">
        <f>3394.06</f>
        <v>3394.06</v>
      </c>
      <c r="I909">
        <f>11316.72</f>
        <v>11316.72</v>
      </c>
      <c r="J909">
        <f>4650.2</f>
        <v>4650.2</v>
      </c>
      <c r="K909">
        <f>13674.49</f>
        <v>13674.49</v>
      </c>
      <c r="L909">
        <f>2332.37</f>
        <v>2332.37</v>
      </c>
      <c r="M909">
        <f>10006.64</f>
        <v>10006.64</v>
      </c>
      <c r="N909">
        <f>384.21</f>
        <v>384.21</v>
      </c>
      <c r="O909">
        <f>3350.67</f>
        <v>3350.67</v>
      </c>
      <c r="P909">
        <f>264.23</f>
        <v>264.23</v>
      </c>
      <c r="Q909">
        <f>3052.851</f>
        <v>3052.8510000000001</v>
      </c>
      <c r="R909">
        <f>6586.54</f>
        <v>6586.54</v>
      </c>
      <c r="S909">
        <f>2589.49</f>
        <v>2589.4899999999998</v>
      </c>
      <c r="T909">
        <f>3900.853</f>
        <v>3900.8530000000001</v>
      </c>
      <c r="U909">
        <f>57195.35</f>
        <v>57195.35</v>
      </c>
      <c r="V909">
        <f>441.04</f>
        <v>441.04</v>
      </c>
    </row>
    <row r="910" spans="1:22" x14ac:dyDescent="0.2">
      <c r="A910" s="1">
        <v>43833</v>
      </c>
      <c r="B910">
        <f>2631.19</f>
        <v>2631.19</v>
      </c>
      <c r="C910">
        <f>11040.23</f>
        <v>11040.23</v>
      </c>
      <c r="D910">
        <f>7055.67</f>
        <v>7055.67</v>
      </c>
      <c r="E910">
        <f>2592.573</f>
        <v>2592.5729999999999</v>
      </c>
      <c r="F910">
        <f>2240.74</f>
        <v>2240.7399999999998</v>
      </c>
      <c r="G910">
        <f>9225.597</f>
        <v>9225.5969999999998</v>
      </c>
      <c r="H910">
        <f>3449.91</f>
        <v>3449.91</v>
      </c>
      <c r="I910">
        <f>11340.71</f>
        <v>11340.71</v>
      </c>
      <c r="J910">
        <f>4646.25</f>
        <v>4646.25</v>
      </c>
      <c r="K910">
        <f>13625.84</f>
        <v>13625.84</v>
      </c>
      <c r="L910">
        <f>2334.31</f>
        <v>2334.31</v>
      </c>
      <c r="M910">
        <f>10000.21</f>
        <v>10000.209999999999</v>
      </c>
      <c r="N910">
        <f>384.734</f>
        <v>384.73399999999998</v>
      </c>
      <c r="O910">
        <f>3362.56</f>
        <v>3362.56</v>
      </c>
      <c r="P910" t="e">
        <f>NA()</f>
        <v>#N/A</v>
      </c>
      <c r="Q910">
        <f>3050.10372</f>
        <v>3050.1037200000001</v>
      </c>
      <c r="R910">
        <f>6563.32</f>
        <v>6563.32</v>
      </c>
      <c r="S910" t="e">
        <f>NA()</f>
        <v>#N/A</v>
      </c>
      <c r="T910">
        <f>3964.468</f>
        <v>3964.4679999999998</v>
      </c>
      <c r="U910">
        <f>57810</f>
        <v>57810</v>
      </c>
      <c r="V910">
        <f>449.79</f>
        <v>449.79</v>
      </c>
    </row>
    <row r="911" spans="1:22" x14ac:dyDescent="0.2">
      <c r="A911" s="1">
        <v>43832</v>
      </c>
      <c r="B911">
        <f>2648.2</f>
        <v>2648.2</v>
      </c>
      <c r="C911">
        <f>11062.69</f>
        <v>11062.69</v>
      </c>
      <c r="D911">
        <f>7038.92</f>
        <v>7038.92</v>
      </c>
      <c r="E911">
        <f>2602.091</f>
        <v>2602.0909999999999</v>
      </c>
      <c r="F911">
        <f>2271.5</f>
        <v>2271.5</v>
      </c>
      <c r="G911">
        <f>9283.417</f>
        <v>9283.4169999999995</v>
      </c>
      <c r="H911">
        <f>3441.95</f>
        <v>3441.95</v>
      </c>
      <c r="I911">
        <f>11405.16</f>
        <v>11405.16</v>
      </c>
      <c r="J911">
        <f>4679.99</f>
        <v>4679.99</v>
      </c>
      <c r="K911">
        <f>13716.57</f>
        <v>13716.57</v>
      </c>
      <c r="L911">
        <f>2347.73</f>
        <v>2347.73</v>
      </c>
      <c r="M911">
        <f>10053.78</f>
        <v>10053.780000000001</v>
      </c>
      <c r="N911">
        <f>385.209</f>
        <v>385.209</v>
      </c>
      <c r="O911">
        <f>3369.2</f>
        <v>3369.2</v>
      </c>
      <c r="P911" t="e">
        <f>NA()</f>
        <v>#N/A</v>
      </c>
      <c r="Q911">
        <f>3069.713</f>
        <v>3069.7130000000002</v>
      </c>
      <c r="R911">
        <f>6609.29</f>
        <v>6609.29</v>
      </c>
      <c r="S911" t="e">
        <f>NA()</f>
        <v>#N/A</v>
      </c>
      <c r="T911">
        <f>3980.585</f>
        <v>3980.585</v>
      </c>
      <c r="U911">
        <f>57718</f>
        <v>57718</v>
      </c>
      <c r="V911">
        <f>452.39</f>
        <v>452.39</v>
      </c>
    </row>
    <row r="912" spans="1:22" x14ac:dyDescent="0.2">
      <c r="A912" s="1">
        <v>43831</v>
      </c>
      <c r="B912" t="e">
        <f>NA()</f>
        <v>#N/A</v>
      </c>
      <c r="C912">
        <f>10983.6</f>
        <v>10983.6</v>
      </c>
      <c r="D912" t="e">
        <f>NA()</f>
        <v>#N/A</v>
      </c>
      <c r="E912">
        <f>2571.104</f>
        <v>2571.1039999999998</v>
      </c>
      <c r="F912">
        <f>2258.51</f>
        <v>2258.5100000000002</v>
      </c>
      <c r="G912">
        <f>9250.074</f>
        <v>9250.0740000000005</v>
      </c>
      <c r="H912">
        <f>3429.28</f>
        <v>3429.28</v>
      </c>
      <c r="I912">
        <f>11310.5</f>
        <v>11310.5</v>
      </c>
      <c r="J912">
        <f>4667.71</f>
        <v>4667.71</v>
      </c>
      <c r="K912">
        <f>13599.62</f>
        <v>13599.62</v>
      </c>
      <c r="L912">
        <f>2342.16</f>
        <v>2342.16</v>
      </c>
      <c r="M912">
        <f>9979.06</f>
        <v>9979.06</v>
      </c>
      <c r="N912" t="e">
        <f>NA()</f>
        <v>#N/A</v>
      </c>
      <c r="O912" t="e">
        <f>NA()</f>
        <v>#N/A</v>
      </c>
      <c r="P912" t="e">
        <f>NA()</f>
        <v>#N/A</v>
      </c>
      <c r="Q912" t="e">
        <f>NA()</f>
        <v>#N/A</v>
      </c>
      <c r="R912" t="e">
        <f>NA()</f>
        <v>#N/A</v>
      </c>
      <c r="S912" t="e">
        <f>NA()</f>
        <v>#N/A</v>
      </c>
      <c r="T912" t="e">
        <f>NA()</f>
        <v>#N/A</v>
      </c>
      <c r="U912" t="e">
        <f>NA()</f>
        <v>#N/A</v>
      </c>
      <c r="V912" t="e">
        <f>NA()</f>
        <v>#N/A</v>
      </c>
    </row>
    <row r="913" spans="1:22" x14ac:dyDescent="0.2">
      <c r="A913" s="1">
        <v>43830</v>
      </c>
      <c r="B913">
        <f>2622.15</f>
        <v>2622.15</v>
      </c>
      <c r="C913">
        <f>10989.56</f>
        <v>10989.56</v>
      </c>
      <c r="D913">
        <f>6980.94</f>
        <v>6980.94</v>
      </c>
      <c r="E913">
        <f>2571.142</f>
        <v>2571.1419999999998</v>
      </c>
      <c r="F913">
        <f>2258.51</f>
        <v>2258.5100000000002</v>
      </c>
      <c r="G913">
        <f>9250.074</f>
        <v>9250.0740000000005</v>
      </c>
      <c r="H913">
        <f>3429.28</f>
        <v>3429.28</v>
      </c>
      <c r="I913">
        <f>11310.5</f>
        <v>11310.5</v>
      </c>
      <c r="J913">
        <f>4667.71</f>
        <v>4667.71</v>
      </c>
      <c r="K913">
        <f>13599.62</f>
        <v>13599.62</v>
      </c>
      <c r="L913">
        <f>2342.16</f>
        <v>2342.16</v>
      </c>
      <c r="M913">
        <f>9979.03</f>
        <v>9979.0300000000007</v>
      </c>
      <c r="N913">
        <f>384.129</f>
        <v>384.12900000000002</v>
      </c>
      <c r="O913">
        <f>3341.1</f>
        <v>3341.1</v>
      </c>
      <c r="P913" t="e">
        <f>NA()</f>
        <v>#N/A</v>
      </c>
      <c r="Q913">
        <f>3067.569</f>
        <v>3067.569</v>
      </c>
      <c r="R913">
        <f>6553.57</f>
        <v>6553.57</v>
      </c>
      <c r="S913" t="e">
        <f>NA()</f>
        <v>#N/A</v>
      </c>
      <c r="T913">
        <f>3961.719</f>
        <v>3961.7190000000001</v>
      </c>
      <c r="U913">
        <f>57084.1</f>
        <v>57084.1</v>
      </c>
      <c r="V913">
        <f>449.48</f>
        <v>449.48</v>
      </c>
    </row>
    <row r="914" spans="1:22" x14ac:dyDescent="0.2">
      <c r="A914" s="1">
        <v>43829</v>
      </c>
      <c r="B914">
        <f>2638.53</f>
        <v>2638.53</v>
      </c>
      <c r="C914">
        <f>10999.8</f>
        <v>10999.8</v>
      </c>
      <c r="D914">
        <f>7022.22</f>
        <v>7022.22</v>
      </c>
      <c r="E914">
        <f>2579.796</f>
        <v>2579.7959999999998</v>
      </c>
      <c r="F914">
        <f>2247.85</f>
        <v>2247.85</v>
      </c>
      <c r="G914">
        <f>9211.645</f>
        <v>9211.6450000000004</v>
      </c>
      <c r="H914">
        <f>3419.52</f>
        <v>3419.52</v>
      </c>
      <c r="I914">
        <f>11308.36</f>
        <v>11308.36</v>
      </c>
      <c r="J914">
        <f>4653.97</f>
        <v>4653.97</v>
      </c>
      <c r="K914">
        <f>13558.16</f>
        <v>13558.16</v>
      </c>
      <c r="L914">
        <f>2336.53</f>
        <v>2336.5300000000002</v>
      </c>
      <c r="M914">
        <f>9956.56</f>
        <v>9956.56</v>
      </c>
      <c r="N914">
        <f>384.011</f>
        <v>384.01100000000002</v>
      </c>
      <c r="O914">
        <f>3342.42</f>
        <v>3342.42</v>
      </c>
      <c r="P914">
        <f>267.5</f>
        <v>267.5</v>
      </c>
      <c r="Q914">
        <f>3061.255</f>
        <v>3061.2550000000001</v>
      </c>
      <c r="R914">
        <f>6533.91</f>
        <v>6533.91</v>
      </c>
      <c r="S914">
        <f>2625.91</f>
        <v>2625.91</v>
      </c>
      <c r="T914">
        <f>4014.749</f>
        <v>4014.7489999999998</v>
      </c>
      <c r="U914">
        <f>57703.56</f>
        <v>57703.56</v>
      </c>
      <c r="V914">
        <f>455.77</f>
        <v>455.77</v>
      </c>
    </row>
    <row r="915" spans="1:22" x14ac:dyDescent="0.2">
      <c r="A915" s="1">
        <v>43826</v>
      </c>
      <c r="B915">
        <f>2647.88</f>
        <v>2647.88</v>
      </c>
      <c r="C915">
        <f>10988.25</f>
        <v>10988.25</v>
      </c>
      <c r="D915">
        <f>7075.77</f>
        <v>7075.77</v>
      </c>
      <c r="E915">
        <f>2580.228</f>
        <v>2580.2280000000001</v>
      </c>
      <c r="F915">
        <f>2253.75</f>
        <v>2253.75</v>
      </c>
      <c r="G915">
        <f>9264.577</f>
        <v>9264.5769999999993</v>
      </c>
      <c r="H915">
        <f>3422.43</f>
        <v>3422.43</v>
      </c>
      <c r="I915">
        <f>11364.67</f>
        <v>11364.67</v>
      </c>
      <c r="J915">
        <f>4681.54</f>
        <v>4681.54</v>
      </c>
      <c r="K915">
        <f>13636</f>
        <v>13636</v>
      </c>
      <c r="L915">
        <f>2347.85</f>
        <v>2347.85</v>
      </c>
      <c r="M915">
        <f>10004.06</f>
        <v>10004.06</v>
      </c>
      <c r="N915">
        <f>386.907</f>
        <v>386.90699999999998</v>
      </c>
      <c r="O915">
        <f>3370.57</f>
        <v>3370.57</v>
      </c>
      <c r="P915">
        <f>269.24</f>
        <v>269.24</v>
      </c>
      <c r="Q915">
        <f>3072.71</f>
        <v>3072.71</v>
      </c>
      <c r="R915">
        <f>6571.03</f>
        <v>6571.03</v>
      </c>
      <c r="S915">
        <f>2643.93</f>
        <v>2643.93</v>
      </c>
      <c r="T915">
        <f>3984.03</f>
        <v>3984.03</v>
      </c>
      <c r="U915">
        <f>57430.7</f>
        <v>57430.7</v>
      </c>
      <c r="V915">
        <f>452.56</f>
        <v>452.56</v>
      </c>
    </row>
    <row r="916" spans="1:22" x14ac:dyDescent="0.2">
      <c r="A916" s="1">
        <v>43825</v>
      </c>
      <c r="B916" t="e">
        <f>NA()</f>
        <v>#N/A</v>
      </c>
      <c r="C916">
        <f>10884.45</f>
        <v>10884.45</v>
      </c>
      <c r="D916" t="e">
        <f>NA()</f>
        <v>#N/A</v>
      </c>
      <c r="E916">
        <f>2560.042</f>
        <v>2560.0419999999999</v>
      </c>
      <c r="F916">
        <f>2231.62</f>
        <v>2231.62</v>
      </c>
      <c r="G916">
        <f>9188.92</f>
        <v>9188.92</v>
      </c>
      <c r="H916">
        <f>3416.36</f>
        <v>3416.36</v>
      </c>
      <c r="I916">
        <f>11284.99</f>
        <v>11284.99</v>
      </c>
      <c r="J916">
        <f>4678.83</f>
        <v>4678.83</v>
      </c>
      <c r="K916">
        <f>13635.64</f>
        <v>13635.64</v>
      </c>
      <c r="L916">
        <f>2340.04</f>
        <v>2340.04</v>
      </c>
      <c r="M916">
        <f>9982.78</f>
        <v>9982.7800000000007</v>
      </c>
      <c r="N916" t="e">
        <f>NA()</f>
        <v>#N/A</v>
      </c>
      <c r="O916" t="e">
        <f>NA()</f>
        <v>#N/A</v>
      </c>
      <c r="P916">
        <f>267.67</f>
        <v>267.67</v>
      </c>
      <c r="Q916">
        <f>3067.19</f>
        <v>3067.19</v>
      </c>
      <c r="R916">
        <f>6570.71</f>
        <v>6570.71</v>
      </c>
      <c r="S916">
        <f>2637.08</f>
        <v>2637.08</v>
      </c>
      <c r="T916" t="e">
        <f>NA()</f>
        <v>#N/A</v>
      </c>
      <c r="U916" t="e">
        <f>NA()</f>
        <v>#N/A</v>
      </c>
      <c r="V916" t="e">
        <f>NA()</f>
        <v>#N/A</v>
      </c>
    </row>
    <row r="917" spans="1:22" x14ac:dyDescent="0.2">
      <c r="A917" s="1">
        <v>43824</v>
      </c>
      <c r="B917" t="e">
        <f>NA()</f>
        <v>#N/A</v>
      </c>
      <c r="C917">
        <f>10877.75</f>
        <v>10877.75</v>
      </c>
      <c r="D917" t="e">
        <f>NA()</f>
        <v>#N/A</v>
      </c>
      <c r="E917">
        <f>2552.97</f>
        <v>2552.9699999999998</v>
      </c>
      <c r="F917">
        <f>2225.36</f>
        <v>2225.36</v>
      </c>
      <c r="G917">
        <f>9163.12</f>
        <v>9163.1200000000008</v>
      </c>
      <c r="H917">
        <f>3408.74</f>
        <v>3408.74</v>
      </c>
      <c r="I917">
        <f>11280.56</f>
        <v>11280.56</v>
      </c>
      <c r="J917">
        <f>4671.54</f>
        <v>4671.54</v>
      </c>
      <c r="K917">
        <f>13564.77</f>
        <v>13564.77</v>
      </c>
      <c r="L917">
        <f>2336.89</f>
        <v>2336.89</v>
      </c>
      <c r="M917">
        <f>9944.15</f>
        <v>9944.15</v>
      </c>
      <c r="N917" t="e">
        <f>NA()</f>
        <v>#N/A</v>
      </c>
      <c r="O917" t="e">
        <f>NA()</f>
        <v>#N/A</v>
      </c>
      <c r="P917">
        <f>266.17</f>
        <v>266.17</v>
      </c>
      <c r="Q917" t="e">
        <f>NA()</f>
        <v>#N/A</v>
      </c>
      <c r="R917" t="e">
        <f>NA()</f>
        <v>#N/A</v>
      </c>
      <c r="S917">
        <f>2622.18</f>
        <v>2622.18</v>
      </c>
      <c r="T917" t="e">
        <f>NA()</f>
        <v>#N/A</v>
      </c>
      <c r="U917" t="e">
        <f>NA()</f>
        <v>#N/A</v>
      </c>
      <c r="V917" t="e">
        <f>NA()</f>
        <v>#N/A</v>
      </c>
    </row>
    <row r="918" spans="1:22" x14ac:dyDescent="0.2">
      <c r="A918" s="1">
        <v>43823</v>
      </c>
      <c r="B918">
        <f>2639.19</f>
        <v>2639.19</v>
      </c>
      <c r="C918">
        <f>10887.77</f>
        <v>10887.77</v>
      </c>
      <c r="D918">
        <f>7064.04</f>
        <v>7064.04</v>
      </c>
      <c r="E918">
        <f>2552.815</f>
        <v>2552.8150000000001</v>
      </c>
      <c r="F918">
        <f>2225.36</f>
        <v>2225.36</v>
      </c>
      <c r="G918">
        <f>9163.12</f>
        <v>9163.1200000000008</v>
      </c>
      <c r="H918">
        <f>3418.17</f>
        <v>3418.17</v>
      </c>
      <c r="I918">
        <f>11280.56</f>
        <v>11280.56</v>
      </c>
      <c r="J918">
        <f>4671.54</f>
        <v>4671.54</v>
      </c>
      <c r="K918">
        <f>13564.77</f>
        <v>13564.77</v>
      </c>
      <c r="L918">
        <f>2337.23</f>
        <v>2337.23</v>
      </c>
      <c r="M918">
        <f>9946.78</f>
        <v>9946.7800000000007</v>
      </c>
      <c r="N918">
        <f>385.892</f>
        <v>385.892</v>
      </c>
      <c r="O918">
        <f>3365.11</f>
        <v>3365.11</v>
      </c>
      <c r="P918">
        <f>267.74</f>
        <v>267.74</v>
      </c>
      <c r="Q918">
        <f>3060.31722</f>
        <v>3060.3172199999999</v>
      </c>
      <c r="R918">
        <f>6536.58</f>
        <v>6536.58</v>
      </c>
      <c r="S918">
        <f>2632.54</f>
        <v>2632.54</v>
      </c>
      <c r="T918">
        <f>3972.671</f>
        <v>3972.6709999999998</v>
      </c>
      <c r="U918">
        <f>57244.87</f>
        <v>57244.87</v>
      </c>
      <c r="V918">
        <f>450.41</f>
        <v>450.41</v>
      </c>
    </row>
    <row r="919" spans="1:22" x14ac:dyDescent="0.2">
      <c r="A919" s="1">
        <v>43822</v>
      </c>
      <c r="B919">
        <f>2632.32</f>
        <v>2632.32</v>
      </c>
      <c r="C919">
        <f>10901.23</f>
        <v>10901.23</v>
      </c>
      <c r="D919">
        <f>7050.18</f>
        <v>7050.18</v>
      </c>
      <c r="E919">
        <f>2558.69</f>
        <v>2558.69</v>
      </c>
      <c r="F919">
        <f>2214.39</f>
        <v>2214.39</v>
      </c>
      <c r="G919">
        <f>9116.707</f>
        <v>9116.7070000000003</v>
      </c>
      <c r="H919">
        <f>3429.52</f>
        <v>3429.52</v>
      </c>
      <c r="I919">
        <f>11272.5</f>
        <v>11272.5</v>
      </c>
      <c r="J919">
        <f>4677.33</f>
        <v>4677.33</v>
      </c>
      <c r="K919">
        <f>13564.95</f>
        <v>13564.95</v>
      </c>
      <c r="L919">
        <f>2339.14</f>
        <v>2339.14</v>
      </c>
      <c r="M919">
        <f>9941.09</f>
        <v>9941.09</v>
      </c>
      <c r="N919">
        <f>384.054</f>
        <v>384.05399999999997</v>
      </c>
      <c r="O919">
        <f>3358.59</f>
        <v>3358.59</v>
      </c>
      <c r="P919">
        <f>268.38</f>
        <v>268.38</v>
      </c>
      <c r="Q919">
        <f>3063.425</f>
        <v>3063.4250000000002</v>
      </c>
      <c r="R919">
        <f>6537.4</f>
        <v>6537.4</v>
      </c>
      <c r="S919">
        <f>2634.37</f>
        <v>2634.37</v>
      </c>
      <c r="T919">
        <f>3972.644</f>
        <v>3972.6439999999998</v>
      </c>
      <c r="U919">
        <f>57092.85</f>
        <v>57092.85</v>
      </c>
      <c r="V919">
        <f>450.26</f>
        <v>450.26</v>
      </c>
    </row>
    <row r="920" spans="1:22" x14ac:dyDescent="0.2">
      <c r="A920" s="1">
        <v>43819</v>
      </c>
      <c r="B920">
        <f>2615.96</f>
        <v>2615.96</v>
      </c>
      <c r="C920">
        <f>10857.49</f>
        <v>10857.49</v>
      </c>
      <c r="D920">
        <f>7012.16</f>
        <v>7012.16</v>
      </c>
      <c r="E920">
        <f>2549.477</f>
        <v>2549.4769999999999</v>
      </c>
      <c r="F920">
        <f>2228.24</f>
        <v>2228.2399999999998</v>
      </c>
      <c r="G920">
        <f>9153.828</f>
        <v>9153.8279999999995</v>
      </c>
      <c r="H920">
        <f>3438.05</f>
        <v>3438.05</v>
      </c>
      <c r="I920">
        <f>11258.18</f>
        <v>11258.18</v>
      </c>
      <c r="J920">
        <f>4675.69</f>
        <v>4675.6899999999996</v>
      </c>
      <c r="K920">
        <f>13553.01</f>
        <v>13553.01</v>
      </c>
      <c r="L920">
        <f>2340.53</f>
        <v>2340.5300000000002</v>
      </c>
      <c r="M920">
        <f>9937.38</f>
        <v>9937.3799999999992</v>
      </c>
      <c r="N920">
        <f>383.815</f>
        <v>383.815</v>
      </c>
      <c r="O920">
        <f>3361.19</f>
        <v>3361.19</v>
      </c>
      <c r="P920">
        <f>269.01</f>
        <v>269.01</v>
      </c>
      <c r="Q920">
        <f>3062.145</f>
        <v>3062.145</v>
      </c>
      <c r="R920">
        <f>6531.75</f>
        <v>6531.75</v>
      </c>
      <c r="S920">
        <f>2639.92</f>
        <v>2639.92</v>
      </c>
      <c r="T920">
        <f>3988.119</f>
        <v>3988.1190000000001</v>
      </c>
      <c r="U920">
        <f>57411.21</f>
        <v>57411.21</v>
      </c>
      <c r="V920">
        <f>453.86</f>
        <v>453.86</v>
      </c>
    </row>
    <row r="921" spans="1:22" x14ac:dyDescent="0.2">
      <c r="A921" s="1">
        <v>43818</v>
      </c>
      <c r="B921">
        <f>2630.14</f>
        <v>2630.14</v>
      </c>
      <c r="C921">
        <f>10841.16</f>
        <v>10841.16</v>
      </c>
      <c r="D921">
        <f>7004.16</f>
        <v>7004.16</v>
      </c>
      <c r="E921">
        <f>2546.616</f>
        <v>2546.616</v>
      </c>
      <c r="F921">
        <f>2220.58</f>
        <v>2220.58</v>
      </c>
      <c r="G921">
        <f>9131.972</f>
        <v>9131.9719999999998</v>
      </c>
      <c r="H921">
        <f>3453.7</f>
        <v>3453.7</v>
      </c>
      <c r="I921">
        <f>11191.62</f>
        <v>11191.62</v>
      </c>
      <c r="J921">
        <f>4647.46</f>
        <v>4647.46</v>
      </c>
      <c r="K921">
        <f>13485.64</f>
        <v>13485.64</v>
      </c>
      <c r="L921">
        <f>2327.22</f>
        <v>2327.2199999999998</v>
      </c>
      <c r="M921">
        <f>9898.08</f>
        <v>9898.08</v>
      </c>
      <c r="N921">
        <f>379.682</f>
        <v>379.68200000000002</v>
      </c>
      <c r="O921">
        <f>3334.04</f>
        <v>3334.04</v>
      </c>
      <c r="P921">
        <f>268.86</f>
        <v>268.86</v>
      </c>
      <c r="Q921">
        <f>3044.355</f>
        <v>3044.355</v>
      </c>
      <c r="R921">
        <f>6499.26</f>
        <v>6499.26</v>
      </c>
      <c r="S921">
        <f>2644.56</f>
        <v>2644.56</v>
      </c>
      <c r="T921">
        <f>4012.44</f>
        <v>4012.44</v>
      </c>
      <c r="U921">
        <f>57558.92</f>
        <v>57558.92</v>
      </c>
      <c r="V921">
        <f>456.04</f>
        <v>456.04</v>
      </c>
    </row>
    <row r="922" spans="1:22" x14ac:dyDescent="0.2">
      <c r="A922" s="1">
        <v>43817</v>
      </c>
      <c r="B922">
        <f>2628.6</f>
        <v>2628.6</v>
      </c>
      <c r="C922">
        <f>10851.27</f>
        <v>10851.27</v>
      </c>
      <c r="D922">
        <f>6973.04</f>
        <v>6973.04</v>
      </c>
      <c r="E922">
        <f>2551.101</f>
        <v>2551.1010000000001</v>
      </c>
      <c r="F922">
        <f>2226.07</f>
        <v>2226.0700000000002</v>
      </c>
      <c r="G922">
        <f>9121.374</f>
        <v>9121.3739999999998</v>
      </c>
      <c r="H922">
        <f>3450.71</f>
        <v>3450.71</v>
      </c>
      <c r="I922">
        <f>11181.38</f>
        <v>11181.38</v>
      </c>
      <c r="J922">
        <f>4630.87</f>
        <v>4630.87</v>
      </c>
      <c r="K922">
        <f>13423.48</f>
        <v>13423.48</v>
      </c>
      <c r="L922">
        <f>2323.22</f>
        <v>2323.2199999999998</v>
      </c>
      <c r="M922">
        <f>9866.4</f>
        <v>9866.4</v>
      </c>
      <c r="N922">
        <f>379.161</f>
        <v>379.161</v>
      </c>
      <c r="O922">
        <f>3330.59</f>
        <v>3330.59</v>
      </c>
      <c r="P922">
        <f>269.5</f>
        <v>269.5</v>
      </c>
      <c r="Q922">
        <f>3033.629</f>
        <v>3033.6289999999999</v>
      </c>
      <c r="R922">
        <f>6470</f>
        <v>6470</v>
      </c>
      <c r="S922">
        <f>2648.04</f>
        <v>2648.04</v>
      </c>
      <c r="T922">
        <f>4035.276</f>
        <v>4035.2759999999998</v>
      </c>
      <c r="U922">
        <f>57767.81</f>
        <v>57767.81</v>
      </c>
      <c r="V922">
        <f>458.29</f>
        <v>458.29</v>
      </c>
    </row>
    <row r="923" spans="1:22" x14ac:dyDescent="0.2">
      <c r="A923" s="1">
        <v>43816</v>
      </c>
      <c r="B923">
        <f>2625.31</f>
        <v>2625.31</v>
      </c>
      <c r="C923">
        <f>10778.85</f>
        <v>10778.85</v>
      </c>
      <c r="D923">
        <f>6958.74</f>
        <v>6958.74</v>
      </c>
      <c r="E923">
        <f>2535.934</f>
        <v>2535.9340000000002</v>
      </c>
      <c r="F923">
        <f>2241.04</f>
        <v>2241.04</v>
      </c>
      <c r="G923">
        <f>9149.632</f>
        <v>9149.6319999999996</v>
      </c>
      <c r="H923">
        <f>3466.64</f>
        <v>3466.64</v>
      </c>
      <c r="I923">
        <f>11223.5</f>
        <v>11223.5</v>
      </c>
      <c r="J923">
        <f>4638.21</f>
        <v>4638.21</v>
      </c>
      <c r="K923">
        <f>13427.25</f>
        <v>13427.25</v>
      </c>
      <c r="L923">
        <f>2328.57</f>
        <v>2328.5700000000002</v>
      </c>
      <c r="M923">
        <f>9879.92</f>
        <v>9879.92</v>
      </c>
      <c r="N923">
        <f>379.342</f>
        <v>379.34199999999998</v>
      </c>
      <c r="O923">
        <f>3330.89</f>
        <v>3330.89</v>
      </c>
      <c r="P923">
        <f>270.36</f>
        <v>270.36</v>
      </c>
      <c r="Q923">
        <f>3041.607</f>
        <v>3041.607</v>
      </c>
      <c r="R923">
        <f>6472.24</f>
        <v>6472.24</v>
      </c>
      <c r="S923">
        <f>2661.45</f>
        <v>2661.45</v>
      </c>
      <c r="T923">
        <f>3990.585</f>
        <v>3990.585</v>
      </c>
      <c r="U923">
        <f>57326.18</f>
        <v>57326.18</v>
      </c>
      <c r="V923">
        <f>456.72</f>
        <v>456.72</v>
      </c>
    </row>
    <row r="924" spans="1:22" x14ac:dyDescent="0.2">
      <c r="A924" s="1">
        <v>43815</v>
      </c>
      <c r="B924">
        <f>2657.7</f>
        <v>2657.7</v>
      </c>
      <c r="C924">
        <f>10664.45</f>
        <v>10664.45</v>
      </c>
      <c r="D924">
        <f>6952.98</f>
        <v>6952.98</v>
      </c>
      <c r="E924">
        <f>2502.181</f>
        <v>2502.181</v>
      </c>
      <c r="F924">
        <f>2298.12</f>
        <v>2298.12</v>
      </c>
      <c r="G924">
        <f>9284.486</f>
        <v>9284.4860000000008</v>
      </c>
      <c r="H924">
        <f>3457.22</f>
        <v>3457.22</v>
      </c>
      <c r="I924">
        <f>11235.58</f>
        <v>11235.58</v>
      </c>
      <c r="J924">
        <f>4633.62</f>
        <v>4633.62</v>
      </c>
      <c r="K924">
        <f>13424.47</f>
        <v>13424.47</v>
      </c>
      <c r="L924">
        <f>2333.26</f>
        <v>2333.2600000000002</v>
      </c>
      <c r="M924">
        <f>9883.17</f>
        <v>9883.17</v>
      </c>
      <c r="N924">
        <f>385.271</f>
        <v>385.27100000000002</v>
      </c>
      <c r="O924">
        <f>3353.08</f>
        <v>3353.08</v>
      </c>
      <c r="P924">
        <f>268.01</f>
        <v>268.01</v>
      </c>
      <c r="Q924">
        <f>3042.855</f>
        <v>3042.855</v>
      </c>
      <c r="R924">
        <f>6470.03</f>
        <v>6470.03</v>
      </c>
      <c r="S924">
        <f>2645.71</f>
        <v>2645.71</v>
      </c>
      <c r="T924" t="e">
        <f>NA()</f>
        <v>#N/A</v>
      </c>
      <c r="U924" t="e">
        <f>NA()</f>
        <v>#N/A</v>
      </c>
      <c r="V924" t="e">
        <f>NA()</f>
        <v>#N/A</v>
      </c>
    </row>
    <row r="925" spans="1:22" x14ac:dyDescent="0.2">
      <c r="A925" s="1">
        <v>43812</v>
      </c>
      <c r="B925">
        <f>2589.19</f>
        <v>2589.19</v>
      </c>
      <c r="C925">
        <f>10632.86</f>
        <v>10632.86</v>
      </c>
      <c r="D925">
        <f>6799.83</f>
        <v>6799.83</v>
      </c>
      <c r="E925">
        <f>2499.773</f>
        <v>2499.7730000000001</v>
      </c>
      <c r="F925">
        <f>2250.29</f>
        <v>2250.29</v>
      </c>
      <c r="G925">
        <f>9082.741</f>
        <v>9082.741</v>
      </c>
      <c r="H925">
        <f>3483.44</f>
        <v>3483.44</v>
      </c>
      <c r="I925">
        <f>11112.54</f>
        <v>11112.54</v>
      </c>
      <c r="J925">
        <f>4609.21</f>
        <v>4609.21</v>
      </c>
      <c r="K925">
        <f>13326.51</f>
        <v>13326.51</v>
      </c>
      <c r="L925">
        <f>2313.95</f>
        <v>2313.9499999999998</v>
      </c>
      <c r="M925">
        <f>9808.03</f>
        <v>9808.0300000000007</v>
      </c>
      <c r="N925">
        <f>379.728</f>
        <v>379.72800000000001</v>
      </c>
      <c r="O925">
        <f>3308.6</f>
        <v>3308.6</v>
      </c>
      <c r="P925">
        <f>268.35</f>
        <v>268.35000000000002</v>
      </c>
      <c r="Q925">
        <f>3030.389</f>
        <v>3030.3890000000001</v>
      </c>
      <c r="R925">
        <f>6423.93</f>
        <v>6423.93</v>
      </c>
      <c r="S925">
        <f>2650.45</f>
        <v>2650.45</v>
      </c>
      <c r="T925">
        <f>3951.151</f>
        <v>3951.1509999999998</v>
      </c>
      <c r="U925">
        <f>56749.12</f>
        <v>56749.120000000003</v>
      </c>
      <c r="V925">
        <f>450.64</f>
        <v>450.64</v>
      </c>
    </row>
    <row r="926" spans="1:22" x14ac:dyDescent="0.2">
      <c r="A926" s="1">
        <v>43811</v>
      </c>
      <c r="B926">
        <f>2489.95</f>
        <v>2489.9499999999998</v>
      </c>
      <c r="C926">
        <f>10468.27</f>
        <v>10468.27</v>
      </c>
      <c r="D926">
        <f>6725.89</f>
        <v>6725.89</v>
      </c>
      <c r="E926">
        <f>2462.423</f>
        <v>2462.4229999999998</v>
      </c>
      <c r="F926">
        <f>2102.13</f>
        <v>2102.13</v>
      </c>
      <c r="G926">
        <f>8830.217</f>
        <v>8830.2170000000006</v>
      </c>
      <c r="H926">
        <f>3420.1</f>
        <v>3420.1</v>
      </c>
      <c r="I926">
        <f>11043.99</f>
        <v>11043.99</v>
      </c>
      <c r="J926">
        <f>4619.39</f>
        <v>4619.3900000000003</v>
      </c>
      <c r="K926">
        <f>13322.04</f>
        <v>13322.04</v>
      </c>
      <c r="L926">
        <f>2303.83</f>
        <v>2303.83</v>
      </c>
      <c r="M926">
        <f>9763.06</f>
        <v>9763.06</v>
      </c>
      <c r="N926">
        <f>372.402</f>
        <v>372.40199999999999</v>
      </c>
      <c r="O926">
        <f>3275.16</f>
        <v>3275.16</v>
      </c>
      <c r="P926">
        <f>264.41</f>
        <v>264.41000000000003</v>
      </c>
      <c r="Q926">
        <f>3041.388</f>
        <v>3041.3879999999999</v>
      </c>
      <c r="R926">
        <f>6422.35</f>
        <v>6422.35</v>
      </c>
      <c r="S926">
        <f>2609.08</f>
        <v>2609.08</v>
      </c>
      <c r="T926">
        <f>3869.939</f>
        <v>3869.9389999999999</v>
      </c>
      <c r="U926">
        <f>55824.08</f>
        <v>55824.08</v>
      </c>
      <c r="V926">
        <f>442.28</f>
        <v>442.28</v>
      </c>
    </row>
    <row r="927" spans="1:22" x14ac:dyDescent="0.2">
      <c r="A927" s="1">
        <v>43810</v>
      </c>
      <c r="B927">
        <f>2465.01</f>
        <v>2465.0100000000002</v>
      </c>
      <c r="C927">
        <f>10374.79</f>
        <v>10374.790000000001</v>
      </c>
      <c r="D927">
        <f>6671.92</f>
        <v>6671.92</v>
      </c>
      <c r="E927">
        <f>2433.634</f>
        <v>2433.634</v>
      </c>
      <c r="F927">
        <f>2091.7</f>
        <v>2091.6999999999998</v>
      </c>
      <c r="G927">
        <f>8798.886</f>
        <v>8798.8860000000004</v>
      </c>
      <c r="H927">
        <f>3441.74</f>
        <v>3441.74</v>
      </c>
      <c r="I927">
        <f>10965.68</f>
        <v>10965.68</v>
      </c>
      <c r="J927">
        <f>4578.53</f>
        <v>4578.53</v>
      </c>
      <c r="K927">
        <f>13213.69</f>
        <v>13213.69</v>
      </c>
      <c r="L927">
        <f>2288.04</f>
        <v>2288.04</v>
      </c>
      <c r="M927">
        <f>9701.47</f>
        <v>9701.4699999999993</v>
      </c>
      <c r="N927">
        <f>371.691</f>
        <v>371.69099999999997</v>
      </c>
      <c r="O927">
        <f>3262.51</f>
        <v>3262.51</v>
      </c>
      <c r="P927">
        <f>265.26</f>
        <v>265.26</v>
      </c>
      <c r="Q927">
        <f>3013.451</f>
        <v>3013.451</v>
      </c>
      <c r="R927">
        <f>6366.84</f>
        <v>6366.84</v>
      </c>
      <c r="S927">
        <f>2612.32</f>
        <v>2612.3200000000002</v>
      </c>
      <c r="T927">
        <f>3875.373</f>
        <v>3875.373</v>
      </c>
      <c r="U927">
        <f>55766.45</f>
        <v>55766.45</v>
      </c>
      <c r="V927">
        <f>442.25</f>
        <v>442.25</v>
      </c>
    </row>
    <row r="928" spans="1:22" x14ac:dyDescent="0.2">
      <c r="A928" s="1">
        <v>43809</v>
      </c>
      <c r="B928">
        <f>2474.87</f>
        <v>2474.87</v>
      </c>
      <c r="C928">
        <f>10295.85</f>
        <v>10295.85</v>
      </c>
      <c r="D928">
        <f>6669.62</f>
        <v>6669.62</v>
      </c>
      <c r="E928">
        <f>2413.5</f>
        <v>2413.5</v>
      </c>
      <c r="F928">
        <f>2091.91</f>
        <v>2091.91</v>
      </c>
      <c r="G928">
        <f>8794.366</f>
        <v>8794.366</v>
      </c>
      <c r="H928">
        <f>3437.85</f>
        <v>3437.85</v>
      </c>
      <c r="I928">
        <f>10938.04</f>
        <v>10938.04</v>
      </c>
      <c r="J928">
        <f>4570.48</f>
        <v>4570.4799999999996</v>
      </c>
      <c r="K928">
        <f>13177.1</f>
        <v>13177.1</v>
      </c>
      <c r="L928">
        <f>2282.84</f>
        <v>2282.84</v>
      </c>
      <c r="M928">
        <f>9678.75</f>
        <v>9678.75</v>
      </c>
      <c r="N928">
        <f>372.4</f>
        <v>372.4</v>
      </c>
      <c r="O928">
        <f>3256.63</f>
        <v>3256.63</v>
      </c>
      <c r="P928">
        <f>265.68</f>
        <v>265.68</v>
      </c>
      <c r="Q928">
        <f>3002.771</f>
        <v>3002.7710000000002</v>
      </c>
      <c r="R928">
        <f>6348.31</f>
        <v>6348.31</v>
      </c>
      <c r="S928">
        <f>2621.18</f>
        <v>2621.1799999999998</v>
      </c>
      <c r="T928">
        <f>3851.184</f>
        <v>3851.1840000000002</v>
      </c>
      <c r="U928">
        <f>55417.93</f>
        <v>55417.93</v>
      </c>
      <c r="V928">
        <f>437.34</f>
        <v>437.34</v>
      </c>
    </row>
    <row r="929" spans="1:22" x14ac:dyDescent="0.2">
      <c r="A929" s="1">
        <v>43808</v>
      </c>
      <c r="B929">
        <f>2491.4</f>
        <v>2491.4</v>
      </c>
      <c r="C929">
        <f>10329.43</f>
        <v>10329.43</v>
      </c>
      <c r="D929">
        <f>6688.24</f>
        <v>6688.24</v>
      </c>
      <c r="E929">
        <f>2417.168</f>
        <v>2417.1680000000001</v>
      </c>
      <c r="F929">
        <f>2102.69</f>
        <v>2102.69</v>
      </c>
      <c r="G929">
        <f>8811.312</f>
        <v>8811.3119999999999</v>
      </c>
      <c r="H929">
        <f>3447.79</f>
        <v>3447.79</v>
      </c>
      <c r="I929">
        <f>10941.08</f>
        <v>10941.08</v>
      </c>
      <c r="J929">
        <f>4577.12</f>
        <v>4577.12</v>
      </c>
      <c r="K929">
        <f>13191.12</f>
        <v>13191.12</v>
      </c>
      <c r="L929">
        <f>2283.59</f>
        <v>2283.59</v>
      </c>
      <c r="M929">
        <f>9690.73</f>
        <v>9690.73</v>
      </c>
      <c r="N929">
        <f>373.739</f>
        <v>373.73899999999998</v>
      </c>
      <c r="O929">
        <f>3264.4</f>
        <v>3264.4</v>
      </c>
      <c r="P929">
        <f>266.43</f>
        <v>266.43</v>
      </c>
      <c r="Q929">
        <f>3015.961</f>
        <v>3015.9609999999998</v>
      </c>
      <c r="R929">
        <f>6355.07</f>
        <v>6355.07</v>
      </c>
      <c r="S929">
        <f>2623.16</f>
        <v>2623.16</v>
      </c>
      <c r="T929">
        <f>3883.19</f>
        <v>3883.19</v>
      </c>
      <c r="U929">
        <f>55269.2</f>
        <v>55269.2</v>
      </c>
      <c r="V929">
        <f>440.73</f>
        <v>440.73</v>
      </c>
    </row>
    <row r="930" spans="1:22" x14ac:dyDescent="0.2">
      <c r="A930" s="1">
        <v>43805</v>
      </c>
      <c r="B930">
        <f>2486.85</f>
        <v>2486.85</v>
      </c>
      <c r="C930">
        <f>10265.94</f>
        <v>10265.94</v>
      </c>
      <c r="D930">
        <f>6693.57</f>
        <v>6693.57</v>
      </c>
      <c r="E930">
        <f>2412.194</f>
        <v>2412.194</v>
      </c>
      <c r="F930">
        <f>2093.51</f>
        <v>2093.5100000000002</v>
      </c>
      <c r="G930">
        <f>8783.8</f>
        <v>8783.7999999999993</v>
      </c>
      <c r="H930">
        <f>3423.94</f>
        <v>3423.94</v>
      </c>
      <c r="I930">
        <f>10958.77</f>
        <v>10958.77</v>
      </c>
      <c r="J930">
        <f>4579.57</f>
        <v>4579.57</v>
      </c>
      <c r="K930">
        <f>13232.72</f>
        <v>13232.72</v>
      </c>
      <c r="L930">
        <f>2284.01</f>
        <v>2284.0100000000002</v>
      </c>
      <c r="M930">
        <f>9706.33</f>
        <v>9706.33</v>
      </c>
      <c r="N930">
        <f>374.836</f>
        <v>374.83600000000001</v>
      </c>
      <c r="O930">
        <f>3272.17</f>
        <v>3272.17</v>
      </c>
      <c r="P930">
        <f>264.04</f>
        <v>264.04000000000002</v>
      </c>
      <c r="Q930">
        <f>3019.75</f>
        <v>3019.75</v>
      </c>
      <c r="R930">
        <f>6374.7</f>
        <v>6374.7</v>
      </c>
      <c r="S930">
        <f>2609.89</f>
        <v>2609.89</v>
      </c>
      <c r="T930">
        <f>3898.343</f>
        <v>3898.3429999999998</v>
      </c>
      <c r="U930">
        <f>55307.31</f>
        <v>55307.31</v>
      </c>
      <c r="V930">
        <f>440.18</f>
        <v>440.18</v>
      </c>
    </row>
    <row r="931" spans="1:22" x14ac:dyDescent="0.2">
      <c r="A931" s="1">
        <v>43804</v>
      </c>
      <c r="B931">
        <f>2448.03</f>
        <v>2448.0300000000002</v>
      </c>
      <c r="C931">
        <f>10193.91</f>
        <v>10193.91</v>
      </c>
      <c r="D931">
        <f>6599.44</f>
        <v>6599.44</v>
      </c>
      <c r="E931">
        <f>2398.108</f>
        <v>2398.1080000000002</v>
      </c>
      <c r="F931">
        <f>2071.02</f>
        <v>2071.02</v>
      </c>
      <c r="G931">
        <f>8690.969</f>
        <v>8690.9689999999991</v>
      </c>
      <c r="H931">
        <f>3416.93</f>
        <v>3416.93</v>
      </c>
      <c r="I931">
        <f>10882.53</f>
        <v>10882.53</v>
      </c>
      <c r="J931">
        <f>4544.22</f>
        <v>4544.22</v>
      </c>
      <c r="K931">
        <f>13114.82</f>
        <v>13114.82</v>
      </c>
      <c r="L931">
        <f>2268.53</f>
        <v>2268.5300000000002</v>
      </c>
      <c r="M931">
        <f>9630.69</f>
        <v>9630.69</v>
      </c>
      <c r="N931">
        <f>370.754</f>
        <v>370.75400000000002</v>
      </c>
      <c r="O931">
        <f>3231.72</f>
        <v>3231.72</v>
      </c>
      <c r="P931">
        <f>263.49</f>
        <v>263.49</v>
      </c>
      <c r="Q931">
        <f>2996.743</f>
        <v>2996.7429999999999</v>
      </c>
      <c r="R931">
        <f>6316.69</f>
        <v>6316.69</v>
      </c>
      <c r="S931">
        <f>2606.77</f>
        <v>2606.77</v>
      </c>
      <c r="T931">
        <f>3861.152</f>
        <v>3861.152</v>
      </c>
      <c r="U931">
        <f>54779.76</f>
        <v>54779.76</v>
      </c>
      <c r="V931">
        <f>433.5</f>
        <v>433.5</v>
      </c>
    </row>
    <row r="932" spans="1:22" x14ac:dyDescent="0.2">
      <c r="A932" s="1">
        <v>43803</v>
      </c>
      <c r="B932">
        <f>2451.97</f>
        <v>2451.9699999999998</v>
      </c>
      <c r="C932">
        <f>10164.86</f>
        <v>10164.86</v>
      </c>
      <c r="D932">
        <f>6646</f>
        <v>6646</v>
      </c>
      <c r="E932">
        <f>2383.377</f>
        <v>2383.377</v>
      </c>
      <c r="F932">
        <f>2066.17</f>
        <v>2066.17</v>
      </c>
      <c r="G932">
        <f>8719.766</f>
        <v>8719.7659999999996</v>
      </c>
      <c r="H932">
        <f>3391.72</f>
        <v>3391.72</v>
      </c>
      <c r="I932">
        <f>10883.87</f>
        <v>10883.87</v>
      </c>
      <c r="J932">
        <f>4541.5</f>
        <v>4541.5</v>
      </c>
      <c r="K932">
        <f>13092.43</f>
        <v>13092.43</v>
      </c>
      <c r="L932">
        <f>2267.26</f>
        <v>2267.2600000000002</v>
      </c>
      <c r="M932">
        <f>9615.66</f>
        <v>9615.66</v>
      </c>
      <c r="N932">
        <f>370.368</f>
        <v>370.36799999999999</v>
      </c>
      <c r="O932">
        <f>3236.62</f>
        <v>3236.62</v>
      </c>
      <c r="P932">
        <f>261.29</f>
        <v>261.29000000000002</v>
      </c>
      <c r="Q932">
        <f>2988.417</f>
        <v>2988.4169999999999</v>
      </c>
      <c r="R932">
        <f>6305.49</f>
        <v>6305.49</v>
      </c>
      <c r="S932">
        <f>2594.36</f>
        <v>2594.36</v>
      </c>
      <c r="T932">
        <f>3876.734</f>
        <v>3876.7339999999999</v>
      </c>
      <c r="U932">
        <f>55022.87</f>
        <v>55022.87</v>
      </c>
      <c r="V932">
        <f>437.32</f>
        <v>437.32</v>
      </c>
    </row>
    <row r="933" spans="1:22" x14ac:dyDescent="0.2">
      <c r="A933" s="1">
        <v>43802</v>
      </c>
      <c r="B933">
        <f>2417.59</f>
        <v>2417.59</v>
      </c>
      <c r="C933">
        <f>10160.28</f>
        <v>10160.280000000001</v>
      </c>
      <c r="D933">
        <f>6618.5</f>
        <v>6618.5</v>
      </c>
      <c r="E933">
        <f>2385.182</f>
        <v>2385.1819999999998</v>
      </c>
      <c r="F933">
        <f>2029.77</f>
        <v>2029.77</v>
      </c>
      <c r="G933">
        <f>8607.493</f>
        <v>8607.4930000000004</v>
      </c>
      <c r="H933">
        <f>3404.02</f>
        <v>3404.02</v>
      </c>
      <c r="I933">
        <f>10759.27</f>
        <v>10759.27</v>
      </c>
      <c r="J933">
        <f>4508.67</f>
        <v>4508.67</v>
      </c>
      <c r="K933">
        <f>13012.26</f>
        <v>13012.26</v>
      </c>
      <c r="L933">
        <f>2251.94</f>
        <v>2251.94</v>
      </c>
      <c r="M933">
        <f>9562.71</f>
        <v>9562.7099999999991</v>
      </c>
      <c r="N933">
        <f>367.431</f>
        <v>367.43099999999998</v>
      </c>
      <c r="O933">
        <f>3199.39</f>
        <v>3199.39</v>
      </c>
      <c r="P933">
        <f>261.06</f>
        <v>261.06</v>
      </c>
      <c r="Q933">
        <f>2968.385</f>
        <v>2968.3850000000002</v>
      </c>
      <c r="R933">
        <f>6265.22</f>
        <v>6265.22</v>
      </c>
      <c r="S933">
        <f>2599.63</f>
        <v>2599.63</v>
      </c>
      <c r="T933">
        <f>3840.653</f>
        <v>3840.6529999999998</v>
      </c>
      <c r="U933">
        <f>54485.41</f>
        <v>54485.41</v>
      </c>
      <c r="V933">
        <f>432.84</f>
        <v>432.84</v>
      </c>
    </row>
    <row r="934" spans="1:22" x14ac:dyDescent="0.2">
      <c r="A934" s="1">
        <v>43801</v>
      </c>
      <c r="B934">
        <f>2461.69</f>
        <v>2461.69</v>
      </c>
      <c r="C934">
        <f>10195.94</f>
        <v>10195.94</v>
      </c>
      <c r="D934">
        <f>6736.08</f>
        <v>6736.08</v>
      </c>
      <c r="E934">
        <f>2391.63</f>
        <v>2391.63</v>
      </c>
      <c r="F934">
        <f>2052.86</f>
        <v>2052.86</v>
      </c>
      <c r="G934">
        <f>8713.95</f>
        <v>8713.9500000000007</v>
      </c>
      <c r="H934">
        <f>3400.32</f>
        <v>3400.32</v>
      </c>
      <c r="I934">
        <f>10798.56</f>
        <v>10798.56</v>
      </c>
      <c r="J934">
        <f>4537.47</f>
        <v>4537.47</v>
      </c>
      <c r="K934">
        <f>13095.5</f>
        <v>13095.5</v>
      </c>
      <c r="L934">
        <f>2262.04</f>
        <v>2262.04</v>
      </c>
      <c r="M934">
        <f>9618.69</f>
        <v>9618.69</v>
      </c>
      <c r="N934">
        <f>370.274</f>
        <v>370.274</v>
      </c>
      <c r="O934">
        <f>3222.59</f>
        <v>3222.59</v>
      </c>
      <c r="P934">
        <f>262.44</f>
        <v>262.44</v>
      </c>
      <c r="Q934">
        <f>2986.556</f>
        <v>2986.556</v>
      </c>
      <c r="R934">
        <f>6306.88</f>
        <v>6306.88</v>
      </c>
      <c r="S934">
        <f>2611.46</f>
        <v>2611.46</v>
      </c>
      <c r="T934">
        <f>3860.172</f>
        <v>3860.172</v>
      </c>
      <c r="U934">
        <f>54814.07</f>
        <v>54814.07</v>
      </c>
      <c r="V934">
        <f>436.55</f>
        <v>436.55</v>
      </c>
    </row>
    <row r="935" spans="1:22" x14ac:dyDescent="0.2">
      <c r="A935" s="1">
        <v>43798</v>
      </c>
      <c r="B935">
        <f>2485.45</f>
        <v>2485.4499999999998</v>
      </c>
      <c r="C935">
        <f>10189.21</f>
        <v>10189.209999999999</v>
      </c>
      <c r="D935">
        <f>6792.1</f>
        <v>6792.1</v>
      </c>
      <c r="E935">
        <f>2391.173</f>
        <v>2391.1729999999998</v>
      </c>
      <c r="F935">
        <f>2076.25</f>
        <v>2076.25</v>
      </c>
      <c r="G935">
        <f>8796.918</f>
        <v>8796.9179999999997</v>
      </c>
      <c r="H935">
        <f>3357.08</f>
        <v>3357.08</v>
      </c>
      <c r="I935">
        <f>10929.45</f>
        <v>10929.45</v>
      </c>
      <c r="J935">
        <f>4560.87</f>
        <v>4560.87</v>
      </c>
      <c r="K935">
        <f>13212.26</f>
        <v>13212.26</v>
      </c>
      <c r="L935">
        <f>2271.61</f>
        <v>2271.61</v>
      </c>
      <c r="M935">
        <f>9685.17</f>
        <v>9685.17</v>
      </c>
      <c r="N935">
        <f>375.92</f>
        <v>375.92</v>
      </c>
      <c r="O935">
        <f>3273.31</f>
        <v>3273.31</v>
      </c>
      <c r="P935">
        <f>260.11</f>
        <v>260.11</v>
      </c>
      <c r="Q935">
        <f>3009.145</f>
        <v>3009.145</v>
      </c>
      <c r="R935">
        <f>6361.56</f>
        <v>6361.56</v>
      </c>
      <c r="S935">
        <f>2588.4</f>
        <v>2588.4</v>
      </c>
      <c r="T935">
        <f>3901.869</f>
        <v>3901.8690000000001</v>
      </c>
      <c r="U935">
        <f>55349.01</f>
        <v>55349.01</v>
      </c>
      <c r="V935">
        <f>442.71</f>
        <v>442.71</v>
      </c>
    </row>
    <row r="936" spans="1:22" x14ac:dyDescent="0.2">
      <c r="A936" s="1">
        <v>43797</v>
      </c>
      <c r="B936">
        <f>2518.08</f>
        <v>2518.08</v>
      </c>
      <c r="C936">
        <f>10285.5</f>
        <v>10285.5</v>
      </c>
      <c r="D936">
        <f>6856.73</f>
        <v>6856.73</v>
      </c>
      <c r="E936">
        <f>2414.915</f>
        <v>2414.915</v>
      </c>
      <c r="F936">
        <f>2096.33</f>
        <v>2096.33</v>
      </c>
      <c r="G936">
        <f>8859.928</f>
        <v>8859.9279999999999</v>
      </c>
      <c r="H936">
        <f>3371.88</f>
        <v>3371.88</v>
      </c>
      <c r="I936">
        <f>10945.15</f>
        <v>10945.15</v>
      </c>
      <c r="J936">
        <f>4576.91</f>
        <v>4576.91</v>
      </c>
      <c r="K936">
        <f>13265.45</f>
        <v>13265.45</v>
      </c>
      <c r="L936">
        <f>2279.49</f>
        <v>2279.4899999999998</v>
      </c>
      <c r="M936">
        <f>9724.07</f>
        <v>9724.07</v>
      </c>
      <c r="N936">
        <f>376.743</f>
        <v>376.74299999999999</v>
      </c>
      <c r="O936">
        <f>3287.61</f>
        <v>3287.61</v>
      </c>
      <c r="P936">
        <f>261.04</f>
        <v>261.04000000000002</v>
      </c>
      <c r="Q936" t="e">
        <f>NA()</f>
        <v>#N/A</v>
      </c>
      <c r="R936" t="e">
        <f>NA()</f>
        <v>#N/A</v>
      </c>
      <c r="S936">
        <f>2601.66</f>
        <v>2601.66</v>
      </c>
      <c r="T936">
        <f>3906.429</f>
        <v>3906.4290000000001</v>
      </c>
      <c r="U936">
        <f>55702.45</f>
        <v>55702.45</v>
      </c>
      <c r="V936">
        <f>444.58</f>
        <v>444.58</v>
      </c>
    </row>
    <row r="937" spans="1:22" x14ac:dyDescent="0.2">
      <c r="A937" s="1">
        <v>43796</v>
      </c>
      <c r="B937">
        <f>2515</f>
        <v>2515</v>
      </c>
      <c r="C937">
        <f>10332.76</f>
        <v>10332.76</v>
      </c>
      <c r="D937">
        <f>6861.58</f>
        <v>6861.58</v>
      </c>
      <c r="E937">
        <f>2420.726</f>
        <v>2420.7260000000001</v>
      </c>
      <c r="F937">
        <f>2087.69</f>
        <v>2087.69</v>
      </c>
      <c r="G937">
        <f>8848.154</f>
        <v>8848.1540000000005</v>
      </c>
      <c r="H937">
        <f>3379.35</f>
        <v>3379.35</v>
      </c>
      <c r="I937">
        <f>10957.5</f>
        <v>10957.5</v>
      </c>
      <c r="J937">
        <f>4576.91</f>
        <v>4576.91</v>
      </c>
      <c r="K937">
        <f>13265.45</f>
        <v>13265.45</v>
      </c>
      <c r="L937">
        <f>2279.4</f>
        <v>2279.4</v>
      </c>
      <c r="M937">
        <f>9727.1</f>
        <v>9727.1</v>
      </c>
      <c r="N937">
        <f>376.968</f>
        <v>376.96800000000002</v>
      </c>
      <c r="O937">
        <f>3290.47</f>
        <v>3290.47</v>
      </c>
      <c r="P937">
        <f>261.09</f>
        <v>261.08999999999997</v>
      </c>
      <c r="Q937">
        <f>3021.869</f>
        <v>3021.8690000000001</v>
      </c>
      <c r="R937">
        <f>6385.76</f>
        <v>6385.76</v>
      </c>
      <c r="S937">
        <f>2606.01</f>
        <v>2606.0100000000002</v>
      </c>
      <c r="T937">
        <f>3940.261</f>
        <v>3940.261</v>
      </c>
      <c r="U937">
        <f>56173.86</f>
        <v>56173.86</v>
      </c>
      <c r="V937">
        <f>449.85</f>
        <v>449.85</v>
      </c>
    </row>
    <row r="938" spans="1:22" x14ac:dyDescent="0.2">
      <c r="A938" s="1">
        <v>43795</v>
      </c>
      <c r="B938">
        <f>2494.99</f>
        <v>2494.9899999999998</v>
      </c>
      <c r="C938">
        <f>10311.23</f>
        <v>10311.23</v>
      </c>
      <c r="D938">
        <f>6836.98</f>
        <v>6836.98</v>
      </c>
      <c r="E938">
        <f>2408.898</f>
        <v>2408.8980000000001</v>
      </c>
      <c r="F938">
        <f>2056.36</f>
        <v>2056.36</v>
      </c>
      <c r="G938">
        <f>8792.709</f>
        <v>8792.7090000000007</v>
      </c>
      <c r="H938">
        <f>3380.06</f>
        <v>3380.06</v>
      </c>
      <c r="I938">
        <f>10955.55</f>
        <v>10955.55</v>
      </c>
      <c r="J938">
        <f>4565.55</f>
        <v>4565.55</v>
      </c>
      <c r="K938">
        <f>13208.26</f>
        <v>13208.26</v>
      </c>
      <c r="L938">
        <f>2273.6</f>
        <v>2273.6</v>
      </c>
      <c r="M938">
        <f>9692.94</f>
        <v>9692.94</v>
      </c>
      <c r="N938">
        <f>375.154</f>
        <v>375.154</v>
      </c>
      <c r="O938">
        <f>3281.21</f>
        <v>3281.21</v>
      </c>
      <c r="P938">
        <f>259.44</f>
        <v>259.44</v>
      </c>
      <c r="Q938">
        <f>3011.126</f>
        <v>3011.1260000000002</v>
      </c>
      <c r="R938">
        <f>6358.46</f>
        <v>6358.46</v>
      </c>
      <c r="S938">
        <f>2597.99</f>
        <v>2597.9899999999998</v>
      </c>
      <c r="T938">
        <f>3913.044</f>
        <v>3913.0439999999999</v>
      </c>
      <c r="U938">
        <f>56053.38</f>
        <v>56053.38</v>
      </c>
      <c r="V938">
        <f>446.23</f>
        <v>446.23</v>
      </c>
    </row>
    <row r="939" spans="1:22" x14ac:dyDescent="0.2">
      <c r="A939" s="1">
        <v>43794</v>
      </c>
      <c r="B939">
        <f>2487.24</f>
        <v>2487.2399999999998</v>
      </c>
      <c r="C939">
        <f>10394.12</f>
        <v>10394.120000000001</v>
      </c>
      <c r="D939">
        <f>6830.65</f>
        <v>6830.65</v>
      </c>
      <c r="E939">
        <f>2421.845</f>
        <v>2421.8449999999998</v>
      </c>
      <c r="F939">
        <f>2065.82</f>
        <v>2065.8200000000002</v>
      </c>
      <c r="G939">
        <f>8832.536</f>
        <v>8832.5360000000001</v>
      </c>
      <c r="H939">
        <f>3374.79</f>
        <v>3374.79</v>
      </c>
      <c r="I939">
        <f>10928.02</f>
        <v>10928.02</v>
      </c>
      <c r="J939">
        <f>4551.78</f>
        <v>4551.78</v>
      </c>
      <c r="K939">
        <f>13179.04</f>
        <v>13179.04</v>
      </c>
      <c r="L939">
        <f>2270.08</f>
        <v>2270.08</v>
      </c>
      <c r="M939">
        <f>9675.25</f>
        <v>9675.25</v>
      </c>
      <c r="N939">
        <f>373.94</f>
        <v>373.94</v>
      </c>
      <c r="O939">
        <f>3278.41</f>
        <v>3278.41</v>
      </c>
      <c r="P939">
        <f>260.06</f>
        <v>260.06</v>
      </c>
      <c r="Q939">
        <f>2997.05</f>
        <v>2997.05</v>
      </c>
      <c r="R939">
        <f>6344.36</f>
        <v>6344.36</v>
      </c>
      <c r="S939">
        <f>2593.8</f>
        <v>2593.8000000000002</v>
      </c>
      <c r="T939">
        <f>3978.463</f>
        <v>3978.4630000000002</v>
      </c>
      <c r="U939">
        <f>56747.88</f>
        <v>56747.88</v>
      </c>
      <c r="V939">
        <f>453.71</f>
        <v>453.71</v>
      </c>
    </row>
    <row r="940" spans="1:22" x14ac:dyDescent="0.2">
      <c r="A940" s="1">
        <v>43791</v>
      </c>
      <c r="B940">
        <f>2456</f>
        <v>2456</v>
      </c>
      <c r="C940">
        <f>10380.54</f>
        <v>10380.540000000001</v>
      </c>
      <c r="D940">
        <f>6766.48</f>
        <v>6766.48</v>
      </c>
      <c r="E940">
        <f>2410.364</f>
        <v>2410.364</v>
      </c>
      <c r="F940">
        <f>2031.67</f>
        <v>2031.67</v>
      </c>
      <c r="G940">
        <f>8696.124</f>
        <v>8696.1239999999998</v>
      </c>
      <c r="H940">
        <f>3364.68</f>
        <v>3364.68</v>
      </c>
      <c r="I940">
        <f>10866.26</f>
        <v>10866.26</v>
      </c>
      <c r="J940">
        <f>4532.23</f>
        <v>4532.2299999999996</v>
      </c>
      <c r="K940">
        <f>13075.72</f>
        <v>13075.72</v>
      </c>
      <c r="L940">
        <f>2259.2</f>
        <v>2259.1999999999998</v>
      </c>
      <c r="M940">
        <f>9603.64</f>
        <v>9603.64</v>
      </c>
      <c r="N940">
        <f>368.265</f>
        <v>368.26499999999999</v>
      </c>
      <c r="O940">
        <f>3246.03</f>
        <v>3246.03</v>
      </c>
      <c r="P940">
        <f>257.99</f>
        <v>257.99</v>
      </c>
      <c r="Q940">
        <f>2983.622</f>
        <v>2983.6219999999998</v>
      </c>
      <c r="R940">
        <f>6296.34</f>
        <v>6296.34</v>
      </c>
      <c r="S940">
        <f>2576.1</f>
        <v>2576.1</v>
      </c>
      <c r="T940">
        <f>4005.19</f>
        <v>4005.19</v>
      </c>
      <c r="U940">
        <f>56759.62</f>
        <v>56759.62</v>
      </c>
      <c r="V940">
        <f>453.92</f>
        <v>453.92</v>
      </c>
    </row>
    <row r="941" spans="1:22" x14ac:dyDescent="0.2">
      <c r="A941" s="1">
        <v>43790</v>
      </c>
      <c r="B941">
        <f>2426.51</f>
        <v>2426.5100000000002</v>
      </c>
      <c r="C941">
        <f>10351.34</f>
        <v>10351.34</v>
      </c>
      <c r="D941">
        <f>6684.98</f>
        <v>6684.98</v>
      </c>
      <c r="E941">
        <f>2401.206</f>
        <v>2401.2060000000001</v>
      </c>
      <c r="F941">
        <f>2017.48</f>
        <v>2017.48</v>
      </c>
      <c r="G941">
        <f>8654.935</f>
        <v>8654.9349999999995</v>
      </c>
      <c r="H941">
        <f>3365.07</f>
        <v>3365.07</v>
      </c>
      <c r="I941">
        <f>10873.54</f>
        <v>10873.54</v>
      </c>
      <c r="J941">
        <f>4521.75</f>
        <v>4521.75</v>
      </c>
      <c r="K941">
        <f>13047.08</f>
        <v>13047.08</v>
      </c>
      <c r="L941">
        <f>2256.92</f>
        <v>2256.92</v>
      </c>
      <c r="M941">
        <f>9588.65</f>
        <v>9588.65</v>
      </c>
      <c r="N941">
        <f>366.702</f>
        <v>366.702</v>
      </c>
      <c r="O941">
        <f>3232.01</f>
        <v>3232.01</v>
      </c>
      <c r="P941">
        <f>257.37</f>
        <v>257.37</v>
      </c>
      <c r="Q941">
        <f>2974.563</f>
        <v>2974.5630000000001</v>
      </c>
      <c r="R941">
        <f>6282.59</f>
        <v>6282.59</v>
      </c>
      <c r="S941">
        <f>2573.11</f>
        <v>2573.11</v>
      </c>
      <c r="T941">
        <f>4020.309</f>
        <v>4020.3090000000002</v>
      </c>
      <c r="U941">
        <f>56540.25</f>
        <v>56540.25</v>
      </c>
      <c r="V941">
        <f>452.67</f>
        <v>452.67</v>
      </c>
    </row>
    <row r="942" spans="1:22" x14ac:dyDescent="0.2">
      <c r="A942" s="1">
        <v>43789</v>
      </c>
      <c r="B942">
        <f>2437.85</f>
        <v>2437.85</v>
      </c>
      <c r="C942">
        <f>10433.84</f>
        <v>10433.84</v>
      </c>
      <c r="D942">
        <f>6704.08</f>
        <v>6704.08</v>
      </c>
      <c r="E942">
        <f>2418.239</f>
        <v>2418.239</v>
      </c>
      <c r="F942">
        <f>2020.18</f>
        <v>2020.18</v>
      </c>
      <c r="G942">
        <f>8670.813</f>
        <v>8670.8130000000001</v>
      </c>
      <c r="H942">
        <f>3364.56</f>
        <v>3364.56</v>
      </c>
      <c r="I942">
        <f>10905.22</f>
        <v>10905.22</v>
      </c>
      <c r="J942">
        <f>4519.43</f>
        <v>4519.43</v>
      </c>
      <c r="K942">
        <f>13067.74</f>
        <v>13067.74</v>
      </c>
      <c r="L942">
        <f>2255.48</f>
        <v>2255.48</v>
      </c>
      <c r="M942">
        <f>9607.06</f>
        <v>9607.06</v>
      </c>
      <c r="N942">
        <f>369.035</f>
        <v>369.03500000000003</v>
      </c>
      <c r="O942">
        <f>3243.89</f>
        <v>3243.89</v>
      </c>
      <c r="P942">
        <f>257.09</f>
        <v>257.08999999999997</v>
      </c>
      <c r="Q942">
        <f>2982.328</f>
        <v>2982.328</v>
      </c>
      <c r="R942">
        <f>6292.17</f>
        <v>6292.17</v>
      </c>
      <c r="S942">
        <f>2575.74</f>
        <v>2575.7399999999998</v>
      </c>
      <c r="T942">
        <f>4041.851</f>
        <v>4041.8510000000001</v>
      </c>
      <c r="U942">
        <f>57313.44</f>
        <v>57313.440000000002</v>
      </c>
      <c r="V942">
        <f>461.22</f>
        <v>461.22</v>
      </c>
    </row>
    <row r="943" spans="1:22" x14ac:dyDescent="0.2">
      <c r="A943" s="1">
        <v>43788</v>
      </c>
      <c r="B943">
        <f>2454.32</f>
        <v>2454.3200000000002</v>
      </c>
      <c r="C943">
        <f>10452.44</f>
        <v>10452.44</v>
      </c>
      <c r="D943">
        <f>6760.68</f>
        <v>6760.68</v>
      </c>
      <c r="E943">
        <f>2430.015</f>
        <v>2430.0149999999999</v>
      </c>
      <c r="F943">
        <f>2036.97</f>
        <v>2036.97</v>
      </c>
      <c r="G943">
        <f>8757.594</f>
        <v>8757.5939999999991</v>
      </c>
      <c r="H943">
        <f>3395.11</f>
        <v>3395.11</v>
      </c>
      <c r="I943">
        <f>10947.93</f>
        <v>10947.93</v>
      </c>
      <c r="J943">
        <f>4531.64</f>
        <v>4531.6400000000003</v>
      </c>
      <c r="K943">
        <f>13108.71</f>
        <v>13108.71</v>
      </c>
      <c r="L943">
        <f>2264.31</f>
        <v>2264.31</v>
      </c>
      <c r="M943">
        <f>9647.88</f>
        <v>9647.8799999999992</v>
      </c>
      <c r="N943">
        <f>370.87</f>
        <v>370.87</v>
      </c>
      <c r="O943">
        <f>3256.66</f>
        <v>3256.66</v>
      </c>
      <c r="P943">
        <f>258.65</f>
        <v>258.64999999999998</v>
      </c>
      <c r="Q943">
        <f>2985.112</f>
        <v>2985.1120000000001</v>
      </c>
      <c r="R943">
        <f>6314.66</f>
        <v>6314.66</v>
      </c>
      <c r="S943">
        <f>2584.31</f>
        <v>2584.31</v>
      </c>
      <c r="T943">
        <f>4018.979</f>
        <v>4018.9789999999998</v>
      </c>
      <c r="U943">
        <f>57372.55</f>
        <v>57372.55</v>
      </c>
      <c r="V943">
        <f>459.05</f>
        <v>459.05</v>
      </c>
    </row>
    <row r="944" spans="1:22" x14ac:dyDescent="0.2">
      <c r="A944" s="1">
        <v>43787</v>
      </c>
      <c r="B944">
        <f>2451.02</f>
        <v>2451.02</v>
      </c>
      <c r="C944">
        <f>10389.04</f>
        <v>10389.040000000001</v>
      </c>
      <c r="D944">
        <f>6745.81</f>
        <v>6745.81</v>
      </c>
      <c r="E944">
        <f>2418.385</f>
        <v>2418.3850000000002</v>
      </c>
      <c r="F944">
        <f>2039.02</f>
        <v>2039.02</v>
      </c>
      <c r="G944">
        <f>8760.07</f>
        <v>8760.07</v>
      </c>
      <c r="H944">
        <f>3405.15</f>
        <v>3405.15</v>
      </c>
      <c r="I944">
        <f>10967.55</f>
        <v>10967.55</v>
      </c>
      <c r="J944">
        <f>4555.17</f>
        <v>4555.17</v>
      </c>
      <c r="K944">
        <f>13111.3</f>
        <v>13111.3</v>
      </c>
      <c r="L944">
        <f>2270.61</f>
        <v>2270.61</v>
      </c>
      <c r="M944">
        <f>9651.21</f>
        <v>9651.2099999999991</v>
      </c>
      <c r="N944">
        <f>370.158</f>
        <v>370.15800000000002</v>
      </c>
      <c r="O944">
        <f>3261.14</f>
        <v>3261.14</v>
      </c>
      <c r="P944">
        <f>258.99</f>
        <v>258.99</v>
      </c>
      <c r="Q944">
        <f>2992.113</f>
        <v>2992.1129999999998</v>
      </c>
      <c r="R944">
        <f>6318.02</f>
        <v>6318.02</v>
      </c>
      <c r="S944">
        <f>2590.37</f>
        <v>2590.37</v>
      </c>
      <c r="T944">
        <f>3969.524</f>
        <v>3969.5239999999999</v>
      </c>
      <c r="U944">
        <f>56467.03</f>
        <v>56467.03</v>
      </c>
      <c r="V944">
        <f>453.84</f>
        <v>453.84</v>
      </c>
    </row>
    <row r="945" spans="1:22" x14ac:dyDescent="0.2">
      <c r="A945" s="1">
        <v>43784</v>
      </c>
      <c r="B945">
        <f>2451.4</f>
        <v>2451.4</v>
      </c>
      <c r="C945">
        <f>10355.54</f>
        <v>10355.540000000001</v>
      </c>
      <c r="D945">
        <f>6741.42</f>
        <v>6741.42</v>
      </c>
      <c r="E945">
        <f>2410.714</f>
        <v>2410.7139999999999</v>
      </c>
      <c r="F945">
        <f>2018.19</f>
        <v>2018.19</v>
      </c>
      <c r="G945">
        <f>8712.397</f>
        <v>8712.3970000000008</v>
      </c>
      <c r="H945">
        <f>3398.02</f>
        <v>3398.02</v>
      </c>
      <c r="I945">
        <f>10953.86</f>
        <v>10953.86</v>
      </c>
      <c r="J945">
        <f>4554.73</f>
        <v>4554.7299999999996</v>
      </c>
      <c r="K945">
        <f>13103.42</f>
        <v>13103.42</v>
      </c>
      <c r="L945">
        <f>2267.52</f>
        <v>2267.52</v>
      </c>
      <c r="M945">
        <f>9638.17</f>
        <v>9638.17</v>
      </c>
      <c r="N945">
        <f>368.603</f>
        <v>368.60300000000001</v>
      </c>
      <c r="O945">
        <f>3261.59</f>
        <v>3261.59</v>
      </c>
      <c r="P945">
        <f>259.54</f>
        <v>259.54000000000002</v>
      </c>
      <c r="Q945">
        <f>2998.169</f>
        <v>2998.1689999999999</v>
      </c>
      <c r="R945">
        <f>6314.74</f>
        <v>6314.74</v>
      </c>
      <c r="S945">
        <f>2584.21</f>
        <v>2584.21</v>
      </c>
      <c r="T945">
        <f>3952.882</f>
        <v>3952.8820000000001</v>
      </c>
      <c r="U945">
        <f>56054.77</f>
        <v>56054.77</v>
      </c>
      <c r="V945">
        <f>453.59</f>
        <v>453.59</v>
      </c>
    </row>
    <row r="946" spans="1:22" x14ac:dyDescent="0.2">
      <c r="A946" s="1">
        <v>43783</v>
      </c>
      <c r="B946">
        <f>2428.64</f>
        <v>2428.64</v>
      </c>
      <c r="C946">
        <f>10296.47</f>
        <v>10296.469999999999</v>
      </c>
      <c r="D946">
        <f>6732.02</f>
        <v>6732.02</v>
      </c>
      <c r="E946">
        <f>2395.65</f>
        <v>2395.65</v>
      </c>
      <c r="F946">
        <f>2000.84</f>
        <v>2000.84</v>
      </c>
      <c r="G946">
        <f>8669.758</f>
        <v>8669.7579999999998</v>
      </c>
      <c r="H946">
        <f>3380.58</f>
        <v>3380.58</v>
      </c>
      <c r="I946">
        <f>10847.21</f>
        <v>10847.21</v>
      </c>
      <c r="J946">
        <f>4523.88</f>
        <v>4523.88</v>
      </c>
      <c r="K946">
        <f>12999.94</f>
        <v>12999.94</v>
      </c>
      <c r="L946">
        <f>2252.61</f>
        <v>2252.61</v>
      </c>
      <c r="M946">
        <f>9563.16</f>
        <v>9563.16</v>
      </c>
      <c r="N946">
        <f>367.685</f>
        <v>367.685</v>
      </c>
      <c r="O946">
        <f>3248.76</f>
        <v>3248.76</v>
      </c>
      <c r="P946">
        <f>258.08</f>
        <v>258.08</v>
      </c>
      <c r="Q946">
        <f>2982.575</f>
        <v>2982.5749999999998</v>
      </c>
      <c r="R946">
        <f>6265.42</f>
        <v>6265.42</v>
      </c>
      <c r="S946">
        <f>2565.52</f>
        <v>2565.52</v>
      </c>
      <c r="T946">
        <f>3934.756</f>
        <v>3934.7559999999999</v>
      </c>
      <c r="U946">
        <f>56235.94</f>
        <v>56235.94</v>
      </c>
      <c r="V946">
        <f>452.94</f>
        <v>452.94</v>
      </c>
    </row>
    <row r="947" spans="1:22" x14ac:dyDescent="0.2">
      <c r="A947" s="1">
        <v>43782</v>
      </c>
      <c r="B947">
        <f>2444.04</f>
        <v>2444.04</v>
      </c>
      <c r="C947">
        <f>10326.95</f>
        <v>10326.950000000001</v>
      </c>
      <c r="D947">
        <f>6772.2</f>
        <v>6772.2</v>
      </c>
      <c r="E947">
        <f>2399.231</f>
        <v>2399.2310000000002</v>
      </c>
      <c r="F947">
        <f>2004.59</f>
        <v>2004.59</v>
      </c>
      <c r="G947">
        <f>8709.959</f>
        <v>8709.9590000000007</v>
      </c>
      <c r="H947">
        <f>3416.6</f>
        <v>3416.6</v>
      </c>
      <c r="I947">
        <f>10890.47</f>
        <v>10890.47</v>
      </c>
      <c r="J947">
        <f>4530.05</f>
        <v>4530.05</v>
      </c>
      <c r="K947">
        <f>12985.45</f>
        <v>12985.45</v>
      </c>
      <c r="L947">
        <f>2261.77</f>
        <v>2261.77</v>
      </c>
      <c r="M947">
        <f>9572.74</f>
        <v>9572.74</v>
      </c>
      <c r="N947">
        <f>369.056</f>
        <v>369.05599999999998</v>
      </c>
      <c r="O947">
        <f>3261.3</f>
        <v>3261.3</v>
      </c>
      <c r="P947">
        <f>260.55</f>
        <v>260.55</v>
      </c>
      <c r="Q947">
        <f>2980.517</f>
        <v>2980.5169999999998</v>
      </c>
      <c r="R947">
        <f>6258.58</f>
        <v>6258.58</v>
      </c>
      <c r="S947">
        <f>2589.76</f>
        <v>2589.7600000000002</v>
      </c>
      <c r="T947">
        <f>3929.835</f>
        <v>3929.835</v>
      </c>
      <c r="U947">
        <f>56338.33</f>
        <v>56338.33</v>
      </c>
      <c r="V947">
        <f>455.6</f>
        <v>455.6</v>
      </c>
    </row>
    <row r="948" spans="1:22" x14ac:dyDescent="0.2">
      <c r="A948" s="1">
        <v>43781</v>
      </c>
      <c r="B948">
        <f>2471.65</f>
        <v>2471.65</v>
      </c>
      <c r="C948">
        <f>10445.15</f>
        <v>10445.15</v>
      </c>
      <c r="D948">
        <f>6785.3</f>
        <v>6785.3</v>
      </c>
      <c r="E948">
        <f>2426.765</f>
        <v>2426.7649999999999</v>
      </c>
      <c r="F948">
        <f>2026.3</f>
        <v>2026.3</v>
      </c>
      <c r="G948">
        <f>8731.171</f>
        <v>8731.1710000000003</v>
      </c>
      <c r="H948">
        <f>3430.82</f>
        <v>3430.82</v>
      </c>
      <c r="I948">
        <f>10923.9</f>
        <v>10923.9</v>
      </c>
      <c r="J948">
        <f>4526.09</f>
        <v>4526.09</v>
      </c>
      <c r="K948">
        <f>12974.65</f>
        <v>12974.65</v>
      </c>
      <c r="L948">
        <f>2265.63</f>
        <v>2265.63</v>
      </c>
      <c r="M948">
        <f>9579.58</f>
        <v>9579.58</v>
      </c>
      <c r="N948">
        <f>369.036</f>
        <v>369.036</v>
      </c>
      <c r="O948">
        <f>3269.76</f>
        <v>3269.76</v>
      </c>
      <c r="P948">
        <f>262.96</f>
        <v>262.95999999999998</v>
      </c>
      <c r="Q948">
        <f>2976.453</f>
        <v>2976.453</v>
      </c>
      <c r="R948">
        <f>6253.91</f>
        <v>6253.91</v>
      </c>
      <c r="S948">
        <f>2603.99</f>
        <v>2603.9899999999998</v>
      </c>
      <c r="T948">
        <f>3931.043</f>
        <v>3931.0430000000001</v>
      </c>
      <c r="U948">
        <f>56399.1</f>
        <v>56399.1</v>
      </c>
      <c r="V948">
        <f>454.01</f>
        <v>454.01</v>
      </c>
    </row>
    <row r="949" spans="1:22" x14ac:dyDescent="0.2">
      <c r="A949" s="1">
        <v>43780</v>
      </c>
      <c r="B949">
        <f>2455.33</f>
        <v>2455.33</v>
      </c>
      <c r="C949">
        <f>10417.85</f>
        <v>10417.85</v>
      </c>
      <c r="D949">
        <f>6751.31</f>
        <v>6751.31</v>
      </c>
      <c r="E949">
        <f>2419.753</f>
        <v>2419.7530000000002</v>
      </c>
      <c r="F949">
        <f>2019.42</f>
        <v>2019.42</v>
      </c>
      <c r="G949">
        <f>8712.504</f>
        <v>8712.5040000000008</v>
      </c>
      <c r="H949">
        <f>3415.88</f>
        <v>3415.88</v>
      </c>
      <c r="I949">
        <f>10904.71</f>
        <v>10904.71</v>
      </c>
      <c r="J949">
        <f>4526.21</f>
        <v>4526.21</v>
      </c>
      <c r="K949">
        <f>12953.9</f>
        <v>12953.9</v>
      </c>
      <c r="L949">
        <f>2262.63</f>
        <v>2262.63</v>
      </c>
      <c r="M949">
        <f>9563.43</f>
        <v>9563.43</v>
      </c>
      <c r="N949">
        <f>367.292</f>
        <v>367.29199999999997</v>
      </c>
      <c r="O949">
        <f>3254.35</f>
        <v>3254.35</v>
      </c>
      <c r="P949">
        <f>261.06</f>
        <v>261.06</v>
      </c>
      <c r="Q949">
        <f>2975.674</f>
        <v>2975.674</v>
      </c>
      <c r="R949">
        <f>6243.81</f>
        <v>6243.81</v>
      </c>
      <c r="S949">
        <f>2595.39</f>
        <v>2595.39</v>
      </c>
      <c r="T949">
        <f>3921.218</f>
        <v>3921.2179999999998</v>
      </c>
      <c r="U949">
        <f>56174.93</f>
        <v>56174.93</v>
      </c>
      <c r="V949">
        <f>450.44</f>
        <v>450.44</v>
      </c>
    </row>
    <row r="950" spans="1:22" x14ac:dyDescent="0.2">
      <c r="A950" s="1">
        <v>43777</v>
      </c>
      <c r="B950">
        <f>2440.07</f>
        <v>2440.0700000000002</v>
      </c>
      <c r="C950">
        <f>10551.05</f>
        <v>10551.05</v>
      </c>
      <c r="D950">
        <f>6779.72</f>
        <v>6779.72</v>
      </c>
      <c r="E950">
        <f>2447.237</f>
        <v>2447.2370000000001</v>
      </c>
      <c r="F950">
        <f>1991.85</f>
        <v>1991.85</v>
      </c>
      <c r="G950">
        <f>8693.4</f>
        <v>8693.4</v>
      </c>
      <c r="H950">
        <f>3411.68</f>
        <v>3411.68</v>
      </c>
      <c r="I950">
        <f>10898.24</f>
        <v>10898.24</v>
      </c>
      <c r="J950">
        <f>4537.81</f>
        <v>4537.8100000000004</v>
      </c>
      <c r="K950">
        <f>12975.55</f>
        <v>12975.55</v>
      </c>
      <c r="L950">
        <f>2268.08</f>
        <v>2268.08</v>
      </c>
      <c r="M950">
        <f>9573.11</f>
        <v>9573.11</v>
      </c>
      <c r="N950">
        <f>367.039</f>
        <v>367.03899999999999</v>
      </c>
      <c r="O950">
        <f>3255.6</f>
        <v>3255.6</v>
      </c>
      <c r="P950">
        <f>260.7</f>
        <v>260.7</v>
      </c>
      <c r="Q950">
        <f>2979.523</f>
        <v>2979.5230000000001</v>
      </c>
      <c r="R950">
        <f>6256.11</f>
        <v>6256.11</v>
      </c>
      <c r="S950">
        <f>2593.48</f>
        <v>2593.48</v>
      </c>
      <c r="T950">
        <f>3953.641</f>
        <v>3953.6410000000001</v>
      </c>
      <c r="U950">
        <f>56617.02</f>
        <v>56617.02</v>
      </c>
      <c r="V950">
        <f>455.63</f>
        <v>455.63</v>
      </c>
    </row>
    <row r="951" spans="1:22" x14ac:dyDescent="0.2">
      <c r="A951" s="1">
        <v>43776</v>
      </c>
      <c r="B951">
        <f>2463.61</f>
        <v>2463.61</v>
      </c>
      <c r="C951">
        <f>10620.13</f>
        <v>10620.13</v>
      </c>
      <c r="D951">
        <f>6823.05</f>
        <v>6823.05</v>
      </c>
      <c r="E951">
        <f>2467.279</f>
        <v>2467.279</v>
      </c>
      <c r="F951">
        <f>2016.24</f>
        <v>2016.24</v>
      </c>
      <c r="G951">
        <f>8767.829</f>
        <v>8767.8289999999997</v>
      </c>
      <c r="H951">
        <f>3387.98</f>
        <v>3387.98</v>
      </c>
      <c r="I951">
        <f>10937.44</f>
        <v>10937.44</v>
      </c>
      <c r="J951">
        <f>4531.76</f>
        <v>4531.76</v>
      </c>
      <c r="K951">
        <f>12938.05</f>
        <v>12938.05</v>
      </c>
      <c r="L951">
        <f>2268.3</f>
        <v>2268.3000000000002</v>
      </c>
      <c r="M951">
        <f>9562.89</f>
        <v>9562.89</v>
      </c>
      <c r="N951">
        <f>368.35</f>
        <v>368.35</v>
      </c>
      <c r="O951">
        <f>3264.5</f>
        <v>3264.5</v>
      </c>
      <c r="P951">
        <f>258.95</f>
        <v>258.95</v>
      </c>
      <c r="Q951">
        <f>2974.98</f>
        <v>2974.98</v>
      </c>
      <c r="R951">
        <f>6238.99</f>
        <v>6238.99</v>
      </c>
      <c r="S951">
        <f>2586.42</f>
        <v>2586.42</v>
      </c>
      <c r="T951">
        <f>3995.846</f>
        <v>3995.846</v>
      </c>
      <c r="U951">
        <f>57483</f>
        <v>57483</v>
      </c>
      <c r="V951">
        <f>460.94</f>
        <v>460.94</v>
      </c>
    </row>
    <row r="952" spans="1:22" x14ac:dyDescent="0.2">
      <c r="A952" s="1">
        <v>43775</v>
      </c>
      <c r="B952">
        <f>2448.98</f>
        <v>2448.98</v>
      </c>
      <c r="C952">
        <f>10578.77</f>
        <v>10578.77</v>
      </c>
      <c r="D952">
        <f>6808.07</f>
        <v>6808.07</v>
      </c>
      <c r="E952">
        <f>2456.282</f>
        <v>2456.2820000000002</v>
      </c>
      <c r="F952">
        <f>2011.73</f>
        <v>2011.73</v>
      </c>
      <c r="G952">
        <f>8780.764</f>
        <v>8780.7639999999992</v>
      </c>
      <c r="H952">
        <f>3385.83</f>
        <v>3385.83</v>
      </c>
      <c r="I952">
        <f>10919.18</f>
        <v>10919.18</v>
      </c>
      <c r="J952">
        <f>4526.66</f>
        <v>4526.66</v>
      </c>
      <c r="K952">
        <f>12894.61</f>
        <v>12894.61</v>
      </c>
      <c r="L952">
        <f>2266.27</f>
        <v>2266.27</v>
      </c>
      <c r="M952">
        <f>9537.16</f>
        <v>9537.16</v>
      </c>
      <c r="N952">
        <f>367.088</f>
        <v>367.08800000000002</v>
      </c>
      <c r="O952">
        <f>3252.95</f>
        <v>3252.95</v>
      </c>
      <c r="P952">
        <f>258.57</f>
        <v>258.57</v>
      </c>
      <c r="Q952">
        <f>2970.56</f>
        <v>2970.56</v>
      </c>
      <c r="R952">
        <f>6219.1</f>
        <v>6219.1</v>
      </c>
      <c r="S952">
        <f>2580.8</f>
        <v>2580.8000000000002</v>
      </c>
      <c r="T952">
        <f>4006.401</f>
        <v>4006.4009999999998</v>
      </c>
      <c r="U952">
        <f>57652.58</f>
        <v>57652.58</v>
      </c>
      <c r="V952">
        <f>462.79</f>
        <v>462.79</v>
      </c>
    </row>
    <row r="953" spans="1:22" x14ac:dyDescent="0.2">
      <c r="A953" s="1">
        <v>43774</v>
      </c>
      <c r="B953">
        <f>2465.11</f>
        <v>2465.11</v>
      </c>
      <c r="C953">
        <f>10589.73</f>
        <v>10589.73</v>
      </c>
      <c r="D953">
        <f>6800.19</f>
        <v>6800.19</v>
      </c>
      <c r="E953">
        <f>2461.631</f>
        <v>2461.6309999999999</v>
      </c>
      <c r="F953">
        <f>2019.16</f>
        <v>2019.16</v>
      </c>
      <c r="G953">
        <f>8766.221</f>
        <v>8766.2209999999995</v>
      </c>
      <c r="H953">
        <f>3379.1</f>
        <v>3379.1</v>
      </c>
      <c r="I953">
        <f>10895</f>
        <v>10895</v>
      </c>
      <c r="J953">
        <f>4513.24</f>
        <v>4513.24</v>
      </c>
      <c r="K953">
        <f>12886.18</f>
        <v>12886.18</v>
      </c>
      <c r="L953">
        <f>2260.67</f>
        <v>2260.67</v>
      </c>
      <c r="M953">
        <f>9527.8</f>
        <v>9527.7999999999993</v>
      </c>
      <c r="N953">
        <f>364.927</f>
        <v>364.92700000000002</v>
      </c>
      <c r="O953">
        <f>3245.47</f>
        <v>3245.47</v>
      </c>
      <c r="P953">
        <f>257.73</f>
        <v>257.73</v>
      </c>
      <c r="Q953">
        <f>2962.161</f>
        <v>2962.1610000000001</v>
      </c>
      <c r="R953">
        <f>6214.28</f>
        <v>6214.28</v>
      </c>
      <c r="S953">
        <f>2580.37</f>
        <v>2580.37</v>
      </c>
      <c r="T953">
        <f>3976.854</f>
        <v>3976.8539999999998</v>
      </c>
      <c r="U953">
        <f>57246.91</f>
        <v>57246.91</v>
      </c>
      <c r="V953">
        <f>460.76</f>
        <v>460.76</v>
      </c>
    </row>
    <row r="954" spans="1:22" x14ac:dyDescent="0.2">
      <c r="A954" s="1">
        <v>43773</v>
      </c>
      <c r="B954">
        <f>2458.58</f>
        <v>2458.58</v>
      </c>
      <c r="C954">
        <f>10496.75</f>
        <v>10496.75</v>
      </c>
      <c r="D954">
        <f>6783.25</f>
        <v>6783.25</v>
      </c>
      <c r="E954">
        <f>2446.296</f>
        <v>2446.2959999999998</v>
      </c>
      <c r="F954">
        <f>2020.17</f>
        <v>2020.17</v>
      </c>
      <c r="G954">
        <f>8775.976</f>
        <v>8775.9760000000006</v>
      </c>
      <c r="H954">
        <f>3338.94</f>
        <v>3338.94</v>
      </c>
      <c r="I954">
        <f>10965.14</f>
        <v>10965.14</v>
      </c>
      <c r="J954">
        <f>4506.78</f>
        <v>4506.78</v>
      </c>
      <c r="K954">
        <f>12903.86</f>
        <v>12903.86</v>
      </c>
      <c r="L954">
        <f>2260.66</f>
        <v>2260.66</v>
      </c>
      <c r="M954">
        <f>9536.86</f>
        <v>9536.86</v>
      </c>
      <c r="N954">
        <f>363.764</f>
        <v>363.76400000000001</v>
      </c>
      <c r="O954">
        <f>3238.79</f>
        <v>3238.79</v>
      </c>
      <c r="P954" t="e">
        <f>NA()</f>
        <v>#N/A</v>
      </c>
      <c r="Q954">
        <f>2957.685</f>
        <v>2957.6849999999999</v>
      </c>
      <c r="R954">
        <f>6221.63</f>
        <v>6221.63</v>
      </c>
      <c r="S954" t="e">
        <f>NA()</f>
        <v>#N/A</v>
      </c>
      <c r="T954">
        <f>3936.33</f>
        <v>3936.33</v>
      </c>
      <c r="U954">
        <f>56928.87</f>
        <v>56928.87</v>
      </c>
      <c r="V954">
        <f>455.33</f>
        <v>455.33</v>
      </c>
    </row>
    <row r="955" spans="1:22" x14ac:dyDescent="0.2">
      <c r="A955" s="1">
        <v>43770</v>
      </c>
      <c r="B955">
        <f>2440.62</f>
        <v>2440.62</v>
      </c>
      <c r="C955">
        <f>10352.67</f>
        <v>10352.67</v>
      </c>
      <c r="D955">
        <f>6721.34</f>
        <v>6721.34</v>
      </c>
      <c r="E955">
        <f>2410.969</f>
        <v>2410.9690000000001</v>
      </c>
      <c r="F955">
        <f>2005.85</f>
        <v>2005.85</v>
      </c>
      <c r="G955">
        <f>8715.488</f>
        <v>8715.4879999999994</v>
      </c>
      <c r="H955">
        <f>3350.21</f>
        <v>3350.21</v>
      </c>
      <c r="I955">
        <f>10862.71</f>
        <v>10862.71</v>
      </c>
      <c r="J955">
        <f>4498.76</f>
        <v>4498.76</v>
      </c>
      <c r="K955">
        <f>12858.64</f>
        <v>12858.64</v>
      </c>
      <c r="L955">
        <f>2252.65</f>
        <v>2252.65</v>
      </c>
      <c r="M955">
        <f>9497.08</f>
        <v>9497.08</v>
      </c>
      <c r="N955">
        <f>362.398</f>
        <v>362.39800000000002</v>
      </c>
      <c r="O955">
        <f>3205.35</f>
        <v>3205.35</v>
      </c>
      <c r="P955">
        <f>253.04</f>
        <v>253.04</v>
      </c>
      <c r="Q955">
        <f>2946.604</f>
        <v>2946.6039999999998</v>
      </c>
      <c r="R955">
        <f>6198.59</f>
        <v>6198.59</v>
      </c>
      <c r="S955">
        <f>2538.24</f>
        <v>2538.2399999999998</v>
      </c>
      <c r="T955">
        <f>3893.222</f>
        <v>3893.2220000000002</v>
      </c>
      <c r="U955">
        <f>56650.01</f>
        <v>56650.01</v>
      </c>
      <c r="V955">
        <f>449.84</f>
        <v>449.84</v>
      </c>
    </row>
    <row r="956" spans="1:22" x14ac:dyDescent="0.2">
      <c r="A956" s="1">
        <v>43769</v>
      </c>
      <c r="B956">
        <f>2427.84</f>
        <v>2427.84</v>
      </c>
      <c r="C956">
        <f>10266.11</f>
        <v>10266.11</v>
      </c>
      <c r="D956">
        <f>6671.59</f>
        <v>6671.59</v>
      </c>
      <c r="E956">
        <f>2394.31</f>
        <v>2394.31</v>
      </c>
      <c r="F956">
        <f>1994.14</f>
        <v>1994.14</v>
      </c>
      <c r="G956">
        <f>8647.763</f>
        <v>8647.7630000000008</v>
      </c>
      <c r="H956">
        <f>3347.72</f>
        <v>3347.72</v>
      </c>
      <c r="I956">
        <f>10773.74</f>
        <v>10773.74</v>
      </c>
      <c r="J956">
        <f>4467.38</f>
        <v>4467.38</v>
      </c>
      <c r="K956">
        <f>12733.56</f>
        <v>12733.56</v>
      </c>
      <c r="L956">
        <f>2237.08</f>
        <v>2237.08</v>
      </c>
      <c r="M956">
        <f>9418.38</f>
        <v>9418.3799999999992</v>
      </c>
      <c r="N956">
        <f>361.197</f>
        <v>361.197</v>
      </c>
      <c r="O956">
        <f>3185.54</f>
        <v>3185.54</v>
      </c>
      <c r="P956">
        <f>253.47</f>
        <v>253.47</v>
      </c>
      <c r="Q956">
        <f>2920.00252</f>
        <v>2920.00252</v>
      </c>
      <c r="R956">
        <f>6138.73</f>
        <v>6138.73</v>
      </c>
      <c r="S956">
        <f>2539.02</f>
        <v>2539.02</v>
      </c>
      <c r="T956">
        <f>3896.052</f>
        <v>3896.0520000000001</v>
      </c>
      <c r="U956">
        <f>56425.11</f>
        <v>56425.11</v>
      </c>
      <c r="V956">
        <f>448.67</f>
        <v>448.67</v>
      </c>
    </row>
    <row r="957" spans="1:22" x14ac:dyDescent="0.2">
      <c r="A957" s="1">
        <v>43768</v>
      </c>
      <c r="B957">
        <f>2443.17</f>
        <v>2443.17</v>
      </c>
      <c r="C957">
        <f>10289.12</f>
        <v>10289.120000000001</v>
      </c>
      <c r="D957">
        <f>6746.01</f>
        <v>6746.01</v>
      </c>
      <c r="E957">
        <f>2393.147</f>
        <v>2393.1469999999999</v>
      </c>
      <c r="F957">
        <f>1995.29</f>
        <v>1995.29</v>
      </c>
      <c r="G957">
        <f>8700.819</f>
        <v>8700.8189999999995</v>
      </c>
      <c r="H957">
        <f>3325.01</f>
        <v>3325.01</v>
      </c>
      <c r="I957">
        <f>10786.28</f>
        <v>10786.28</v>
      </c>
      <c r="J957">
        <f>4482</f>
        <v>4482</v>
      </c>
      <c r="K957">
        <f>12772.2</f>
        <v>12772.2</v>
      </c>
      <c r="L957">
        <f>2238.83</f>
        <v>2238.83</v>
      </c>
      <c r="M957">
        <f>9433.3</f>
        <v>9433.2999999999993</v>
      </c>
      <c r="N957">
        <f>361.151</f>
        <v>361.15100000000001</v>
      </c>
      <c r="O957">
        <f>3201.96</f>
        <v>3201.96</v>
      </c>
      <c r="P957">
        <f>253.08</f>
        <v>253.08</v>
      </c>
      <c r="Q957">
        <f>2938.41</f>
        <v>2938.41</v>
      </c>
      <c r="R957">
        <f>6156.93</f>
        <v>6156.93</v>
      </c>
      <c r="S957">
        <f>2537.33</f>
        <v>2537.33</v>
      </c>
      <c r="T957">
        <f>3882.833</f>
        <v>3882.8330000000001</v>
      </c>
      <c r="U957">
        <f>55872.6</f>
        <v>55872.6</v>
      </c>
      <c r="V957">
        <f>448.99</f>
        <v>448.99</v>
      </c>
    </row>
    <row r="958" spans="1:22" x14ac:dyDescent="0.2">
      <c r="A958" s="1">
        <v>43767</v>
      </c>
      <c r="B958">
        <f>2462.76</f>
        <v>2462.7600000000002</v>
      </c>
      <c r="C958">
        <f>10322.39</f>
        <v>10322.39</v>
      </c>
      <c r="D958">
        <f>6723.45</f>
        <v>6723.45</v>
      </c>
      <c r="E958">
        <f>2398.167</f>
        <v>2398.1669999999999</v>
      </c>
      <c r="F958">
        <f>2013.05</f>
        <v>2013.05</v>
      </c>
      <c r="G958">
        <f>8691.243</f>
        <v>8691.2430000000004</v>
      </c>
      <c r="H958">
        <f>3328.21</f>
        <v>3328.21</v>
      </c>
      <c r="I958">
        <f>10763.02</f>
        <v>10763.02</v>
      </c>
      <c r="J958">
        <f>4464.04</f>
        <v>4464.04</v>
      </c>
      <c r="K958">
        <f>12729.79</f>
        <v>12729.79</v>
      </c>
      <c r="L958">
        <f>2235.89</f>
        <v>2235.89</v>
      </c>
      <c r="M958">
        <f>9411.83</f>
        <v>9411.83</v>
      </c>
      <c r="N958">
        <f>358.265</f>
        <v>358.26499999999999</v>
      </c>
      <c r="O958">
        <f>3196.51</f>
        <v>3196.51</v>
      </c>
      <c r="P958">
        <f>253.76</f>
        <v>253.76</v>
      </c>
      <c r="Q958">
        <f>2929.772</f>
        <v>2929.7719999999999</v>
      </c>
      <c r="R958">
        <f>6136.47</f>
        <v>6136.47</v>
      </c>
      <c r="S958">
        <f>2532.34</f>
        <v>2532.34</v>
      </c>
      <c r="T958">
        <f>3921.083</f>
        <v>3921.0830000000001</v>
      </c>
      <c r="U958">
        <f>55716.69</f>
        <v>55716.69</v>
      </c>
      <c r="V958">
        <f>451.72</f>
        <v>451.72</v>
      </c>
    </row>
    <row r="959" spans="1:22" x14ac:dyDescent="0.2">
      <c r="A959" s="1">
        <v>43766</v>
      </c>
      <c r="B959">
        <f>2476.53</f>
        <v>2476.5300000000002</v>
      </c>
      <c r="C959">
        <f>10319.38</f>
        <v>10319.379999999999</v>
      </c>
      <c r="D959">
        <f>6746.47</f>
        <v>6746.47</v>
      </c>
      <c r="E959">
        <f>2396.409</f>
        <v>2396.4090000000001</v>
      </c>
      <c r="F959">
        <f>2015.06</f>
        <v>2015.06</v>
      </c>
      <c r="G959">
        <f>8693.085</f>
        <v>8693.0849999999991</v>
      </c>
      <c r="H959">
        <f>3287.04</f>
        <v>3287.04</v>
      </c>
      <c r="I959">
        <f>10754.26</f>
        <v>10754.26</v>
      </c>
      <c r="J959">
        <f>4457.81</f>
        <v>4457.8100000000004</v>
      </c>
      <c r="K959">
        <f>12742.33</f>
        <v>12742.33</v>
      </c>
      <c r="L959">
        <f>2228.36</f>
        <v>2228.36</v>
      </c>
      <c r="M959">
        <f>9407.3</f>
        <v>9407.2999999999993</v>
      </c>
      <c r="N959">
        <f>357.484</f>
        <v>357.48399999999998</v>
      </c>
      <c r="O959">
        <f>3202.43</f>
        <v>3202.43</v>
      </c>
      <c r="P959">
        <f>251.03</f>
        <v>251.03</v>
      </c>
      <c r="Q959">
        <f>2913.112</f>
        <v>2913.1120000000001</v>
      </c>
      <c r="R959">
        <f>6141.51</f>
        <v>6141.51</v>
      </c>
      <c r="S959">
        <f>2510.63</f>
        <v>2510.63</v>
      </c>
      <c r="T959">
        <f>3914.538</f>
        <v>3914.538</v>
      </c>
      <c r="U959">
        <f>55761.98</f>
        <v>55761.98</v>
      </c>
      <c r="V959">
        <f>451.23</f>
        <v>451.23</v>
      </c>
    </row>
    <row r="960" spans="1:22" x14ac:dyDescent="0.2">
      <c r="A960" s="1">
        <v>43763</v>
      </c>
      <c r="B960">
        <f>2464.21</f>
        <v>2464.21</v>
      </c>
      <c r="C960">
        <f>10284.77</f>
        <v>10284.77</v>
      </c>
      <c r="D960">
        <f>6740.2</f>
        <v>6740.2</v>
      </c>
      <c r="E960">
        <f>2380.023</f>
        <v>2380.0230000000001</v>
      </c>
      <c r="F960">
        <f>2002.33</f>
        <v>2002.33</v>
      </c>
      <c r="G960">
        <f>8669.965</f>
        <v>8669.9650000000001</v>
      </c>
      <c r="H960">
        <f>3289.33</f>
        <v>3289.33</v>
      </c>
      <c r="I960">
        <f>10730.24</f>
        <v>10730.24</v>
      </c>
      <c r="J960">
        <f>4441.33</f>
        <v>4441.33</v>
      </c>
      <c r="K960">
        <f>12671.55</f>
        <v>12671.55</v>
      </c>
      <c r="L960">
        <f>2221.96</f>
        <v>2221.96</v>
      </c>
      <c r="M960">
        <f>9370.81</f>
        <v>9370.81</v>
      </c>
      <c r="N960">
        <f>356.534</f>
        <v>356.53399999999999</v>
      </c>
      <c r="O960">
        <f>3196.58</f>
        <v>3196.58</v>
      </c>
      <c r="P960">
        <f>251.2</f>
        <v>251.2</v>
      </c>
      <c r="Q960">
        <f>2904.933</f>
        <v>2904.933</v>
      </c>
      <c r="R960">
        <f>6107.42</f>
        <v>6107.42</v>
      </c>
      <c r="S960">
        <f>2510.65</f>
        <v>2510.65</v>
      </c>
      <c r="T960">
        <f>3883.459</f>
        <v>3883.4589999999998</v>
      </c>
      <c r="U960">
        <f>55141.98</f>
        <v>55141.98</v>
      </c>
      <c r="V960">
        <f>445.96</f>
        <v>445.96</v>
      </c>
    </row>
    <row r="961" spans="1:22" x14ac:dyDescent="0.2">
      <c r="A961" s="1">
        <v>43762</v>
      </c>
      <c r="B961">
        <f>2478.49</f>
        <v>2478.4899999999998</v>
      </c>
      <c r="C961">
        <f>10310.08</f>
        <v>10310.08</v>
      </c>
      <c r="D961">
        <f>6743.68</f>
        <v>6743.68</v>
      </c>
      <c r="E961">
        <f>2383.617</f>
        <v>2383.6170000000002</v>
      </c>
      <c r="F961">
        <f>2004.16</f>
        <v>2004.16</v>
      </c>
      <c r="G961">
        <f>8686.284</f>
        <v>8686.2839999999997</v>
      </c>
      <c r="H961">
        <f>3298.07</f>
        <v>3298.07</v>
      </c>
      <c r="I961">
        <f>10718.23</f>
        <v>10718.23</v>
      </c>
      <c r="J961">
        <f>4423.99</f>
        <v>4423.99</v>
      </c>
      <c r="K961">
        <f>12617.61</f>
        <v>12617.61</v>
      </c>
      <c r="L961">
        <f>2219.25</f>
        <v>2219.25</v>
      </c>
      <c r="M961">
        <f>9340.64</f>
        <v>9340.64</v>
      </c>
      <c r="N961">
        <f>354.207</f>
        <v>354.20699999999999</v>
      </c>
      <c r="O961">
        <f>3188.43</f>
        <v>3188.43</v>
      </c>
      <c r="P961">
        <f>251.71</f>
        <v>251.71</v>
      </c>
      <c r="Q961">
        <f>2900.934</f>
        <v>2900.9340000000002</v>
      </c>
      <c r="R961">
        <f>6082.54</f>
        <v>6082.54</v>
      </c>
      <c r="S961">
        <f>2503.48</f>
        <v>2503.48</v>
      </c>
      <c r="T961">
        <f>3903.172</f>
        <v>3903.172</v>
      </c>
      <c r="U961">
        <f>55478.45</f>
        <v>55478.45</v>
      </c>
      <c r="V961">
        <f>451.49</f>
        <v>451.49</v>
      </c>
    </row>
    <row r="962" spans="1:22" x14ac:dyDescent="0.2">
      <c r="A962" s="1">
        <v>43761</v>
      </c>
      <c r="B962">
        <f>2487</f>
        <v>2487</v>
      </c>
      <c r="C962">
        <f>10239.63</f>
        <v>10239.629999999999</v>
      </c>
      <c r="D962">
        <f>6680.25</f>
        <v>6680.25</v>
      </c>
      <c r="E962">
        <f>2368.772</f>
        <v>2368.7719999999999</v>
      </c>
      <c r="F962">
        <f>2009.54</f>
        <v>2009.54</v>
      </c>
      <c r="G962">
        <f>8632.381</f>
        <v>8632.3809999999994</v>
      </c>
      <c r="H962">
        <f>3267.43</f>
        <v>3267.43</v>
      </c>
      <c r="I962">
        <f>10667.7</f>
        <v>10667.7</v>
      </c>
      <c r="J962">
        <f>4432.9</f>
        <v>4432.8999999999996</v>
      </c>
      <c r="K962">
        <f>12585.83</f>
        <v>12585.83</v>
      </c>
      <c r="L962">
        <f>2215.96</f>
        <v>2215.96</v>
      </c>
      <c r="M962">
        <f>9309.43</f>
        <v>9309.43</v>
      </c>
      <c r="N962">
        <f>351.723</f>
        <v>351.72300000000001</v>
      </c>
      <c r="O962">
        <f>3170.39</f>
        <v>3170.39</v>
      </c>
      <c r="P962">
        <f>249.98</f>
        <v>249.98</v>
      </c>
      <c r="Q962">
        <f>2903.489</f>
        <v>2903.489</v>
      </c>
      <c r="R962">
        <f>6070.87</f>
        <v>6070.87</v>
      </c>
      <c r="S962">
        <f>2494.96</f>
        <v>2494.96</v>
      </c>
      <c r="T962">
        <f>3922.785</f>
        <v>3922.7849999999999</v>
      </c>
      <c r="U962">
        <f>55571.45</f>
        <v>55571.45</v>
      </c>
      <c r="V962">
        <f>450.44</f>
        <v>450.44</v>
      </c>
    </row>
    <row r="963" spans="1:22" x14ac:dyDescent="0.2">
      <c r="A963" s="1">
        <v>43760</v>
      </c>
      <c r="B963">
        <f>2477.61</f>
        <v>2477.61</v>
      </c>
      <c r="C963">
        <f>10264.12</f>
        <v>10264.120000000001</v>
      </c>
      <c r="D963">
        <f>6635.86</f>
        <v>6635.86</v>
      </c>
      <c r="E963">
        <f>2375.752</f>
        <v>2375.752</v>
      </c>
      <c r="F963">
        <f>2013.27</f>
        <v>2013.27</v>
      </c>
      <c r="G963">
        <f>8592.421</f>
        <v>8592.4210000000003</v>
      </c>
      <c r="H963">
        <f>3257.77</f>
        <v>3257.77</v>
      </c>
      <c r="I963">
        <f>10689.66</f>
        <v>10689.66</v>
      </c>
      <c r="J963">
        <f>4429.97</f>
        <v>4429.97</v>
      </c>
      <c r="K963">
        <f>12550.19</f>
        <v>12550.19</v>
      </c>
      <c r="L963">
        <f>2212.37</f>
        <v>2212.37</v>
      </c>
      <c r="M963">
        <f>9292.1</f>
        <v>9292.1</v>
      </c>
      <c r="N963">
        <f>350.807</f>
        <v>350.80700000000002</v>
      </c>
      <c r="O963">
        <f>3167.91</f>
        <v>3167.91</v>
      </c>
      <c r="P963" t="e">
        <f>NA()</f>
        <v>#N/A</v>
      </c>
      <c r="Q963">
        <f>2897.60452</f>
        <v>2897.6045199999999</v>
      </c>
      <c r="R963">
        <f>6053.42</f>
        <v>6053.42</v>
      </c>
      <c r="S963" t="e">
        <f>NA()</f>
        <v>#N/A</v>
      </c>
      <c r="T963">
        <f>3952.092</f>
        <v>3952.0920000000001</v>
      </c>
      <c r="U963">
        <f>55936.83</f>
        <v>55936.83</v>
      </c>
      <c r="V963">
        <f>452.06</f>
        <v>452.06</v>
      </c>
    </row>
    <row r="964" spans="1:22" x14ac:dyDescent="0.2">
      <c r="A964" s="1">
        <v>43759</v>
      </c>
      <c r="B964">
        <f>2480.36</f>
        <v>2480.36</v>
      </c>
      <c r="C964">
        <f>10176.69</f>
        <v>10176.69</v>
      </c>
      <c r="D964">
        <f>6590.91</f>
        <v>6590.91</v>
      </c>
      <c r="E964">
        <f>2362.884</f>
        <v>2362.884</v>
      </c>
      <c r="F964">
        <f>2030.54</f>
        <v>2030.54</v>
      </c>
      <c r="G964">
        <f>8588.394</f>
        <v>8588.3940000000002</v>
      </c>
      <c r="H964">
        <f>3258.07</f>
        <v>3258.07</v>
      </c>
      <c r="I964">
        <f>10692.85</f>
        <v>10692.85</v>
      </c>
      <c r="J964">
        <f>4431.16</f>
        <v>4431.16</v>
      </c>
      <c r="K964">
        <f>12597.48</f>
        <v>12597.48</v>
      </c>
      <c r="L964">
        <f>2209.68</f>
        <v>2209.6799999999998</v>
      </c>
      <c r="M964">
        <f>9313.22</f>
        <v>9313.2199999999993</v>
      </c>
      <c r="N964">
        <f>350.943</f>
        <v>350.94299999999998</v>
      </c>
      <c r="O964">
        <f>3161.59</f>
        <v>3161.59</v>
      </c>
      <c r="P964">
        <f>247.4</f>
        <v>247.4</v>
      </c>
      <c r="Q964">
        <f>2902.597</f>
        <v>2902.5970000000002</v>
      </c>
      <c r="R964">
        <f>6074.9</f>
        <v>6074.9</v>
      </c>
      <c r="S964">
        <f>2480.43</f>
        <v>2480.4299999999998</v>
      </c>
      <c r="T964">
        <f>3909.828</f>
        <v>3909.828</v>
      </c>
      <c r="U964">
        <f>56110.78</f>
        <v>56110.78</v>
      </c>
      <c r="V964">
        <f>448.72</f>
        <v>448.72</v>
      </c>
    </row>
    <row r="965" spans="1:22" x14ac:dyDescent="0.2">
      <c r="A965" s="1">
        <v>43756</v>
      </c>
      <c r="B965">
        <f>2463.03</f>
        <v>2463.0300000000002</v>
      </c>
      <c r="C965">
        <f>10132.66</f>
        <v>10132.66</v>
      </c>
      <c r="D965">
        <f>6578.89</f>
        <v>6578.89</v>
      </c>
      <c r="E965">
        <f>2352.514</f>
        <v>2352.5140000000001</v>
      </c>
      <c r="F965">
        <f>2014.14</f>
        <v>2014.14</v>
      </c>
      <c r="G965">
        <f>8518.761</f>
        <v>8518.7610000000004</v>
      </c>
      <c r="H965">
        <f>3238.88</f>
        <v>3238.88</v>
      </c>
      <c r="I965">
        <f>10624.47</f>
        <v>10624.47</v>
      </c>
      <c r="J965">
        <f>4412.47</f>
        <v>4412.47</v>
      </c>
      <c r="K965">
        <f>12511.66</f>
        <v>12511.66</v>
      </c>
      <c r="L965">
        <f>2198.68</f>
        <v>2198.6799999999998</v>
      </c>
      <c r="M965">
        <f>9253.76</f>
        <v>9253.76</v>
      </c>
      <c r="N965">
        <f>349.884</f>
        <v>349.88400000000001</v>
      </c>
      <c r="O965">
        <f>3140.8</f>
        <v>3140.8</v>
      </c>
      <c r="P965">
        <f>245.52</f>
        <v>245.52</v>
      </c>
      <c r="Q965">
        <f>2893.469</f>
        <v>2893.4690000000001</v>
      </c>
      <c r="R965">
        <f>6033.26</f>
        <v>6033.26</v>
      </c>
      <c r="S965">
        <f>2470.37</f>
        <v>2470.37</v>
      </c>
      <c r="T965">
        <f>3888.103</f>
        <v>3888.1030000000001</v>
      </c>
      <c r="U965">
        <f>55722.79</f>
        <v>55722.79</v>
      </c>
      <c r="V965">
        <f>444.2</f>
        <v>444.2</v>
      </c>
    </row>
    <row r="966" spans="1:22" x14ac:dyDescent="0.2">
      <c r="A966" s="1">
        <v>43755</v>
      </c>
      <c r="B966">
        <f>2466.85</f>
        <v>2466.85</v>
      </c>
      <c r="C966">
        <f>10147.09</f>
        <v>10147.09</v>
      </c>
      <c r="D966">
        <f>6608.1</f>
        <v>6608.1</v>
      </c>
      <c r="E966">
        <f>2361.958</f>
        <v>2361.9580000000001</v>
      </c>
      <c r="F966">
        <f>1997.58</f>
        <v>1997.58</v>
      </c>
      <c r="G966">
        <f>8518.11</f>
        <v>8518.11</v>
      </c>
      <c r="H966">
        <f>3242.48</f>
        <v>3242.48</v>
      </c>
      <c r="I966">
        <f>10639.4</f>
        <v>10639.4</v>
      </c>
      <c r="J966">
        <f>4424.34</f>
        <v>4424.34</v>
      </c>
      <c r="K966">
        <f>12561.72</f>
        <v>12561.72</v>
      </c>
      <c r="L966">
        <f>2194.78</f>
        <v>2194.7800000000002</v>
      </c>
      <c r="M966">
        <f>9281.6</f>
        <v>9281.6</v>
      </c>
      <c r="N966">
        <f>351.828</f>
        <v>351.82799999999997</v>
      </c>
      <c r="O966">
        <f>3151</f>
        <v>3151</v>
      </c>
      <c r="P966">
        <f>245.8</f>
        <v>245.8</v>
      </c>
      <c r="Q966">
        <f>2887.445</f>
        <v>2887.4450000000002</v>
      </c>
      <c r="R966">
        <f>6056.84</f>
        <v>6056.84</v>
      </c>
      <c r="S966">
        <f>2473.67</f>
        <v>2473.67</v>
      </c>
      <c r="T966">
        <f>3938.057</f>
        <v>3938.0569999999998</v>
      </c>
      <c r="U966">
        <f>55993.42</f>
        <v>55993.42</v>
      </c>
      <c r="V966">
        <f>447.54</f>
        <v>447.54</v>
      </c>
    </row>
    <row r="967" spans="1:22" x14ac:dyDescent="0.2">
      <c r="A967" s="1">
        <v>43754</v>
      </c>
      <c r="B967">
        <f>2459.51</f>
        <v>2459.5100000000002</v>
      </c>
      <c r="C967">
        <f>10093.87</f>
        <v>10093.870000000001</v>
      </c>
      <c r="D967">
        <f>6593.32</f>
        <v>6593.32</v>
      </c>
      <c r="E967">
        <f>2351.828</f>
        <v>2351.828</v>
      </c>
      <c r="F967">
        <f>1979.28</f>
        <v>1979.28</v>
      </c>
      <c r="G967">
        <f>8472.809</f>
        <v>8472.8089999999993</v>
      </c>
      <c r="H967">
        <f>3254.52</f>
        <v>3254.52</v>
      </c>
      <c r="I967">
        <f>10585.77</f>
        <v>10585.77</v>
      </c>
      <c r="J967">
        <f>4417.47</f>
        <v>4417.47</v>
      </c>
      <c r="K967">
        <f>12524.82</f>
        <v>12524.82</v>
      </c>
      <c r="L967">
        <f>2188.28</f>
        <v>2188.2800000000002</v>
      </c>
      <c r="M967">
        <f>9253.35</f>
        <v>9253.35</v>
      </c>
      <c r="N967">
        <f>352.924</f>
        <v>352.92399999999998</v>
      </c>
      <c r="O967">
        <f>3156.02</f>
        <v>3156.02</v>
      </c>
      <c r="P967">
        <f>246.86</f>
        <v>246.86</v>
      </c>
      <c r="Q967">
        <f>2867.858</f>
        <v>2867.8580000000002</v>
      </c>
      <c r="R967">
        <f>6039.69</f>
        <v>6039.69</v>
      </c>
      <c r="S967">
        <f>2484.86</f>
        <v>2484.86</v>
      </c>
      <c r="T967">
        <f>3947.122</f>
        <v>3947.1219999999998</v>
      </c>
      <c r="U967">
        <f>56090.51</f>
        <v>56090.51</v>
      </c>
      <c r="V967">
        <f>446.92</f>
        <v>446.92</v>
      </c>
    </row>
    <row r="968" spans="1:22" x14ac:dyDescent="0.2">
      <c r="A968" s="1">
        <v>43753</v>
      </c>
      <c r="B968">
        <f>2466.55</f>
        <v>2466.5500000000002</v>
      </c>
      <c r="C968">
        <f>10047.37</f>
        <v>10047.370000000001</v>
      </c>
      <c r="D968">
        <f>6633.51</f>
        <v>6633.51</v>
      </c>
      <c r="E968">
        <f>2340.695</f>
        <v>2340.6950000000002</v>
      </c>
      <c r="F968">
        <f>1993.13</f>
        <v>1993.13</v>
      </c>
      <c r="G968">
        <f>8503.637</f>
        <v>8503.6370000000006</v>
      </c>
      <c r="H968">
        <f>3238.03</f>
        <v>3238.03</v>
      </c>
      <c r="I968">
        <f>10577.01</f>
        <v>10577.01</v>
      </c>
      <c r="J968">
        <f>4420.34</f>
        <v>4420.34</v>
      </c>
      <c r="K968">
        <f>12554.99</f>
        <v>12554.99</v>
      </c>
      <c r="L968">
        <f>2187.86</f>
        <v>2187.86</v>
      </c>
      <c r="M968">
        <f>9258.3</f>
        <v>9258.2999999999993</v>
      </c>
      <c r="N968">
        <f>353.339</f>
        <v>353.339</v>
      </c>
      <c r="O968">
        <f>3156.64</f>
        <v>3156.64</v>
      </c>
      <c r="P968">
        <f>245.02</f>
        <v>245.02</v>
      </c>
      <c r="Q968">
        <f>2869.902</f>
        <v>2869.902</v>
      </c>
      <c r="R968">
        <f>6051.39</f>
        <v>6051.39</v>
      </c>
      <c r="S968">
        <f>2467.63</f>
        <v>2467.63</v>
      </c>
      <c r="T968">
        <f>3901.874</f>
        <v>3901.8739999999998</v>
      </c>
      <c r="U968">
        <f>55573.79</f>
        <v>55573.79</v>
      </c>
      <c r="V968">
        <f>441.13</f>
        <v>441.13</v>
      </c>
    </row>
    <row r="969" spans="1:22" x14ac:dyDescent="0.2">
      <c r="A969" s="1">
        <v>43752</v>
      </c>
      <c r="B969">
        <f>2410.94</f>
        <v>2410.94</v>
      </c>
      <c r="C969">
        <f>10040.69</f>
        <v>10040.69</v>
      </c>
      <c r="D969">
        <f>6635.17</f>
        <v>6635.17</v>
      </c>
      <c r="E969">
        <f>2336.558</f>
        <v>2336.558</v>
      </c>
      <c r="F969">
        <f>1936.66</f>
        <v>1936.66</v>
      </c>
      <c r="G969">
        <f>8378.027</f>
        <v>8378.027</v>
      </c>
      <c r="H969">
        <f>3198.65</f>
        <v>3198.65</v>
      </c>
      <c r="I969">
        <f>10466.77</f>
        <v>10466.77</v>
      </c>
      <c r="J969">
        <f>4394.05</f>
        <v>4394.05</v>
      </c>
      <c r="K969">
        <f>12431.5</f>
        <v>12431.5</v>
      </c>
      <c r="L969">
        <f>2172.86</f>
        <v>2172.86</v>
      </c>
      <c r="M969">
        <f>9168.35</f>
        <v>9168.35</v>
      </c>
      <c r="N969">
        <f>349.852</f>
        <v>349.85199999999998</v>
      </c>
      <c r="O969">
        <f>3126.01</f>
        <v>3126.01</v>
      </c>
      <c r="P969" t="e">
        <f>NA()</f>
        <v>#N/A</v>
      </c>
      <c r="Q969">
        <f>2852.786</f>
        <v>2852.7860000000001</v>
      </c>
      <c r="R969">
        <f>5991.72</f>
        <v>5991.72</v>
      </c>
      <c r="S969" t="e">
        <f>NA()</f>
        <v>#N/A</v>
      </c>
      <c r="T969">
        <f>3868.188</f>
        <v>3868.1880000000001</v>
      </c>
      <c r="U969">
        <f>55219.21</f>
        <v>55219.21</v>
      </c>
      <c r="V969">
        <f>439.29</f>
        <v>439.29</v>
      </c>
    </row>
    <row r="970" spans="1:22" x14ac:dyDescent="0.2">
      <c r="A970" s="1">
        <v>43749</v>
      </c>
      <c r="B970">
        <f>2435.53</f>
        <v>2435.5300000000002</v>
      </c>
      <c r="C970">
        <f>9983.5</f>
        <v>9983.5</v>
      </c>
      <c r="D970">
        <f>6666.1</f>
        <v>6666.1</v>
      </c>
      <c r="E970">
        <f>2322.969</f>
        <v>2322.9690000000001</v>
      </c>
      <c r="F970">
        <f>1955.57</f>
        <v>1955.57</v>
      </c>
      <c r="G970">
        <f>8486.777</f>
        <v>8486.777</v>
      </c>
      <c r="H970">
        <f>3193.64</f>
        <v>3193.64</v>
      </c>
      <c r="I970">
        <f>10500.36</f>
        <v>10500.36</v>
      </c>
      <c r="J970">
        <f>4405.06</f>
        <v>4405.0600000000004</v>
      </c>
      <c r="K970">
        <f>12448.21</f>
        <v>12448.21</v>
      </c>
      <c r="L970">
        <f>2177.91</f>
        <v>2177.91</v>
      </c>
      <c r="M970">
        <f>9185.38</f>
        <v>9185.3799999999992</v>
      </c>
      <c r="N970">
        <f>351.228</f>
        <v>351.22800000000001</v>
      </c>
      <c r="O970">
        <f>3141.68</f>
        <v>3141.68</v>
      </c>
      <c r="P970">
        <f>241.05</f>
        <v>241.05</v>
      </c>
      <c r="Q970">
        <f>2863.926</f>
        <v>2863.9259999999999</v>
      </c>
      <c r="R970">
        <f>6000.04</f>
        <v>6000.04</v>
      </c>
      <c r="S970">
        <f>2429.67</f>
        <v>2429.67</v>
      </c>
      <c r="T970">
        <f>3875.122</f>
        <v>3875.1219999999998</v>
      </c>
      <c r="U970">
        <f>55537.02</f>
        <v>55537.02</v>
      </c>
      <c r="V970">
        <f>446.9</f>
        <v>446.9</v>
      </c>
    </row>
    <row r="971" spans="1:22" x14ac:dyDescent="0.2">
      <c r="A971" s="1">
        <v>43748</v>
      </c>
      <c r="B971">
        <f>2317.86</f>
        <v>2317.86</v>
      </c>
      <c r="C971">
        <f>9825.98</f>
        <v>9825.98</v>
      </c>
      <c r="D971">
        <f>6610.25</f>
        <v>6610.25</v>
      </c>
      <c r="E971">
        <f>2288.349</f>
        <v>2288.3490000000002</v>
      </c>
      <c r="F971">
        <f>1822.9</f>
        <v>1822.9</v>
      </c>
      <c r="G971">
        <f>8147.902</f>
        <v>8147.902</v>
      </c>
      <c r="H971">
        <f>3164.82</f>
        <v>3164.82</v>
      </c>
      <c r="I971">
        <f>10307.72</f>
        <v>10307.719999999999</v>
      </c>
      <c r="J971">
        <f>4364.25</f>
        <v>4364.25</v>
      </c>
      <c r="K971">
        <f>12307.94</f>
        <v>12307.94</v>
      </c>
      <c r="L971">
        <f>2149.92</f>
        <v>2149.92</v>
      </c>
      <c r="M971">
        <f>9061.74</f>
        <v>9061.74</v>
      </c>
      <c r="N971">
        <f>346.017</f>
        <v>346.017</v>
      </c>
      <c r="O971">
        <f>3078.12</f>
        <v>3078.12</v>
      </c>
      <c r="P971">
        <f>238.48</f>
        <v>238.48</v>
      </c>
      <c r="Q971">
        <f>2825.758</f>
        <v>2825.7579999999998</v>
      </c>
      <c r="R971">
        <f>5934.56</f>
        <v>5934.56</v>
      </c>
      <c r="S971">
        <f>2408.57</f>
        <v>2408.5700000000002</v>
      </c>
      <c r="T971">
        <f>3829.442</f>
        <v>3829.442</v>
      </c>
      <c r="U971">
        <f>55071.77</f>
        <v>55071.77</v>
      </c>
      <c r="V971">
        <f>441.02</f>
        <v>441.02</v>
      </c>
    </row>
    <row r="972" spans="1:22" x14ac:dyDescent="0.2">
      <c r="A972" s="1">
        <v>43747</v>
      </c>
      <c r="B972">
        <f>2288.93</f>
        <v>2288.9299999999998</v>
      </c>
      <c r="C972">
        <f>9778.09</f>
        <v>9778.09</v>
      </c>
      <c r="D972">
        <f>6583.86</f>
        <v>6583.86</v>
      </c>
      <c r="E972">
        <f>2280.021</f>
        <v>2280.0210000000002</v>
      </c>
      <c r="F972">
        <f>1784.32</f>
        <v>1784.32</v>
      </c>
      <c r="G972">
        <f>8072.401</f>
        <v>8072.4009999999998</v>
      </c>
      <c r="H972">
        <f>3173.76</f>
        <v>3173.76</v>
      </c>
      <c r="I972">
        <f>10208.83</f>
        <v>10208.83</v>
      </c>
      <c r="J972">
        <f>4342.38</f>
        <v>4342.38</v>
      </c>
      <c r="K972">
        <f>12230.15</f>
        <v>12230.15</v>
      </c>
      <c r="L972">
        <f>2137.1</f>
        <v>2137.1</v>
      </c>
      <c r="M972">
        <f>9007.96</f>
        <v>9007.9599999999991</v>
      </c>
      <c r="N972">
        <f>344.481</f>
        <v>344.48099999999999</v>
      </c>
      <c r="O972">
        <f>3051.5</f>
        <v>3051.5</v>
      </c>
      <c r="P972">
        <f>238.13</f>
        <v>238.13</v>
      </c>
      <c r="Q972">
        <f>2802.623</f>
        <v>2802.623</v>
      </c>
      <c r="R972">
        <f>5896.6</f>
        <v>5896.6</v>
      </c>
      <c r="S972">
        <f>2409</f>
        <v>2409</v>
      </c>
      <c r="T972">
        <f>3771.997</f>
        <v>3771.9969999999998</v>
      </c>
      <c r="U972">
        <f>54339.47</f>
        <v>54339.47</v>
      </c>
      <c r="V972">
        <f>434.14</f>
        <v>434.14</v>
      </c>
    </row>
    <row r="973" spans="1:22" x14ac:dyDescent="0.2">
      <c r="A973" s="1">
        <v>43746</v>
      </c>
      <c r="B973">
        <f>2298.72</f>
        <v>2298.7199999999998</v>
      </c>
      <c r="C973">
        <f>9812.92</f>
        <v>9812.92</v>
      </c>
      <c r="D973">
        <f>6562.41</f>
        <v>6562.41</v>
      </c>
      <c r="E973">
        <f>2281.893</f>
        <v>2281.893</v>
      </c>
      <c r="F973">
        <f>1782.84</f>
        <v>1782.84</v>
      </c>
      <c r="G973">
        <f>8043.912</f>
        <v>8043.9120000000003</v>
      </c>
      <c r="H973">
        <f>3196.92</f>
        <v>3196.92</v>
      </c>
      <c r="I973">
        <f>10133.65</f>
        <v>10133.65</v>
      </c>
      <c r="J973">
        <f>4313.78</f>
        <v>4313.78</v>
      </c>
      <c r="K973">
        <f>12115.29</f>
        <v>12115.29</v>
      </c>
      <c r="L973">
        <f>2127.26</f>
        <v>2127.2600000000002</v>
      </c>
      <c r="M973">
        <f>8949.26</f>
        <v>8949.26</v>
      </c>
      <c r="N973">
        <f>344.003</f>
        <v>344.00299999999999</v>
      </c>
      <c r="O973">
        <f>3037.71</f>
        <v>3037.71</v>
      </c>
      <c r="P973">
        <f>238.94</f>
        <v>238.94</v>
      </c>
      <c r="Q973">
        <f>2779.738</f>
        <v>2779.7379999999998</v>
      </c>
      <c r="R973">
        <f>5841.57</f>
        <v>5841.57</v>
      </c>
      <c r="S973">
        <f>2416.31</f>
        <v>2416.31</v>
      </c>
      <c r="T973">
        <f>3786.884</f>
        <v>3786.884</v>
      </c>
      <c r="U973">
        <f>54532.68</f>
        <v>54532.68</v>
      </c>
      <c r="V973">
        <f>435.74</f>
        <v>435.74</v>
      </c>
    </row>
    <row r="974" spans="1:22" x14ac:dyDescent="0.2">
      <c r="A974" s="1">
        <v>43745</v>
      </c>
      <c r="B974">
        <f>2329.18</f>
        <v>2329.1799999999998</v>
      </c>
      <c r="C974">
        <f>9810.58</f>
        <v>9810.58</v>
      </c>
      <c r="D974">
        <f>6612.69</f>
        <v>6612.69</v>
      </c>
      <c r="E974">
        <f>2282.346</f>
        <v>2282.346</v>
      </c>
      <c r="F974">
        <f>1820.02</f>
        <v>1820.02</v>
      </c>
      <c r="G974">
        <f>8176.645</f>
        <v>8176.6450000000004</v>
      </c>
      <c r="H974">
        <f>3173.98</f>
        <v>3173.98</v>
      </c>
      <c r="I974">
        <f>10276.68</f>
        <v>10276.68</v>
      </c>
      <c r="J974">
        <f>4374.14</f>
        <v>4374.1400000000003</v>
      </c>
      <c r="K974">
        <f>12311.31</f>
        <v>12311.31</v>
      </c>
      <c r="L974">
        <f>2152.92</f>
        <v>2152.92</v>
      </c>
      <c r="M974">
        <f>9065.72</f>
        <v>9065.7199999999993</v>
      </c>
      <c r="N974">
        <f>348.283</f>
        <v>348.28300000000002</v>
      </c>
      <c r="O974">
        <f>3071.91</f>
        <v>3071.91</v>
      </c>
      <c r="P974">
        <f>237.03</f>
        <v>237.03</v>
      </c>
      <c r="Q974">
        <f>2823.401</f>
        <v>2823.4009999999998</v>
      </c>
      <c r="R974">
        <f>5933.76</f>
        <v>5933.76</v>
      </c>
      <c r="S974">
        <f>2395.37</f>
        <v>2395.37</v>
      </c>
      <c r="T974">
        <f>3800.884</f>
        <v>3800.884</v>
      </c>
      <c r="U974">
        <f>54714.75</f>
        <v>54714.75</v>
      </c>
      <c r="V974">
        <f>439.9</f>
        <v>439.9</v>
      </c>
    </row>
    <row r="975" spans="1:22" x14ac:dyDescent="0.2">
      <c r="A975" s="1">
        <v>43742</v>
      </c>
      <c r="B975">
        <f>2325.1</f>
        <v>2325.1</v>
      </c>
      <c r="C975">
        <f>9819.59</f>
        <v>9819.59</v>
      </c>
      <c r="D975">
        <f>6573.64</f>
        <v>6573.64</v>
      </c>
      <c r="E975">
        <f>2287.858</f>
        <v>2287.8580000000002</v>
      </c>
      <c r="F975">
        <f>1811.66</f>
        <v>1811.66</v>
      </c>
      <c r="G975">
        <f>8110.986</f>
        <v>8110.9859999999999</v>
      </c>
      <c r="H975">
        <f>3185.53</f>
        <v>3185.53</v>
      </c>
      <c r="I975">
        <f>10186.75</f>
        <v>10186.75</v>
      </c>
      <c r="J975">
        <f>4396.59</f>
        <v>4396.59</v>
      </c>
      <c r="K975">
        <f>12365.03</f>
        <v>12365.03</v>
      </c>
      <c r="L975">
        <f>2153.9</f>
        <v>2153.9</v>
      </c>
      <c r="M975">
        <f>9074.07</f>
        <v>9074.07</v>
      </c>
      <c r="N975">
        <f>346.567</f>
        <v>346.56700000000001</v>
      </c>
      <c r="O975">
        <f>3049.96</f>
        <v>3049.96</v>
      </c>
      <c r="P975">
        <f>237.5</f>
        <v>237.5</v>
      </c>
      <c r="Q975">
        <f>2841.688</f>
        <v>2841.6880000000001</v>
      </c>
      <c r="R975">
        <f>5960.43</f>
        <v>5960.43</v>
      </c>
      <c r="S975">
        <f>2395.6</f>
        <v>2395.6</v>
      </c>
      <c r="T975">
        <f>3755.477</f>
        <v>3755.4769999999999</v>
      </c>
      <c r="U975">
        <f>53993.87</f>
        <v>53993.87</v>
      </c>
      <c r="V975">
        <f>435.56</f>
        <v>435.56</v>
      </c>
    </row>
    <row r="976" spans="1:22" x14ac:dyDescent="0.2">
      <c r="A976" s="1">
        <v>43741</v>
      </c>
      <c r="B976">
        <f>2307.7</f>
        <v>2307.6999999999998</v>
      </c>
      <c r="C976">
        <f>9785.4</f>
        <v>9785.4</v>
      </c>
      <c r="D976">
        <f>6502.22</f>
        <v>6502.22</v>
      </c>
      <c r="E976">
        <f>2277.455</f>
        <v>2277.4549999999999</v>
      </c>
      <c r="F976">
        <f>1818.7</f>
        <v>1818.7</v>
      </c>
      <c r="G976">
        <f>8097.971</f>
        <v>8097.9709999999995</v>
      </c>
      <c r="H976">
        <f>3188.86</f>
        <v>3188.86</v>
      </c>
      <c r="I976">
        <f>10102.65</f>
        <v>10102.65</v>
      </c>
      <c r="J976">
        <f>4336.28</f>
        <v>4336.28</v>
      </c>
      <c r="K976">
        <f>12192.68</f>
        <v>12192.68</v>
      </c>
      <c r="L976">
        <f>2134.94</f>
        <v>2134.94</v>
      </c>
      <c r="M976">
        <f>8979.38</f>
        <v>8979.3799999999992</v>
      </c>
      <c r="N976">
        <f>343.386</f>
        <v>343.38600000000002</v>
      </c>
      <c r="O976">
        <f>3025.55</f>
        <v>3025.55</v>
      </c>
      <c r="P976">
        <f>237.78</f>
        <v>237.78</v>
      </c>
      <c r="Q976">
        <f>2803.63</f>
        <v>2803.63</v>
      </c>
      <c r="R976">
        <f>5876.86</f>
        <v>5876.86</v>
      </c>
      <c r="S976">
        <f>2389.45</f>
        <v>2389.4499999999998</v>
      </c>
      <c r="T976">
        <f>3710.522</f>
        <v>3710.5219999999999</v>
      </c>
      <c r="U976">
        <f>53727.29</f>
        <v>53727.29</v>
      </c>
      <c r="V976">
        <f>430.38</f>
        <v>430.38</v>
      </c>
    </row>
    <row r="977" spans="1:22" x14ac:dyDescent="0.2">
      <c r="A977" s="1">
        <v>43740</v>
      </c>
      <c r="B977">
        <f>2332.31</f>
        <v>2332.31</v>
      </c>
      <c r="C977">
        <f>9794.67</f>
        <v>9794.67</v>
      </c>
      <c r="D977">
        <f>6536.26</f>
        <v>6536.26</v>
      </c>
      <c r="E977">
        <f>2270.319</f>
        <v>2270.319</v>
      </c>
      <c r="F977">
        <f>1808.12</f>
        <v>1808.12</v>
      </c>
      <c r="G977">
        <f>8072.275</f>
        <v>8072.2749999999996</v>
      </c>
      <c r="H977">
        <f>3224.94</f>
        <v>3224.94</v>
      </c>
      <c r="I977">
        <f>10063.16</f>
        <v>10063.16</v>
      </c>
      <c r="J977">
        <f>4303.51</f>
        <v>4303.51</v>
      </c>
      <c r="K977">
        <f>12090.98</f>
        <v>12090.98</v>
      </c>
      <c r="L977">
        <f>2125.08</f>
        <v>2125.08</v>
      </c>
      <c r="M977">
        <f>8935.84</f>
        <v>8935.84</v>
      </c>
      <c r="N977">
        <f>343.87</f>
        <v>343.87</v>
      </c>
      <c r="O977">
        <f>3027.38</f>
        <v>3027.38</v>
      </c>
      <c r="P977">
        <f>242.2</f>
        <v>242.2</v>
      </c>
      <c r="Q977">
        <f>2788.565</f>
        <v>2788.5650000000001</v>
      </c>
      <c r="R977">
        <f>5828.93</f>
        <v>5828.93</v>
      </c>
      <c r="S977">
        <f>2431.22</f>
        <v>2431.2199999999998</v>
      </c>
      <c r="T977">
        <f>3732.29</f>
        <v>3732.29</v>
      </c>
      <c r="U977">
        <f>54003.82</f>
        <v>54003.82</v>
      </c>
      <c r="V977">
        <f>431.98</f>
        <v>431.98</v>
      </c>
    </row>
    <row r="978" spans="1:22" x14ac:dyDescent="0.2">
      <c r="A978" s="1">
        <v>43739</v>
      </c>
      <c r="B978">
        <f>2402.14</f>
        <v>2402.14</v>
      </c>
      <c r="C978">
        <f>9864.71</f>
        <v>9864.7099999999991</v>
      </c>
      <c r="D978">
        <f>6754.47</f>
        <v>6754.47</v>
      </c>
      <c r="E978">
        <f>2291.449</f>
        <v>2291.4490000000001</v>
      </c>
      <c r="F978">
        <f>1857.95</f>
        <v>1857.95</v>
      </c>
      <c r="G978">
        <f>8288.012</f>
        <v>8288.0120000000006</v>
      </c>
      <c r="H978">
        <f>3221.33</f>
        <v>3221.33</v>
      </c>
      <c r="I978">
        <f>10310.71</f>
        <v>10310.709999999999</v>
      </c>
      <c r="J978">
        <f>4381.3</f>
        <v>4381.3</v>
      </c>
      <c r="K978">
        <f>12308.49</f>
        <v>12308.49</v>
      </c>
      <c r="L978">
        <f>2164.41</f>
        <v>2164.41</v>
      </c>
      <c r="M978">
        <f>9091.69</f>
        <v>9091.69</v>
      </c>
      <c r="N978">
        <f>352.415</f>
        <v>352.41500000000002</v>
      </c>
      <c r="O978">
        <f>3112.44</f>
        <v>3112.44</v>
      </c>
      <c r="P978">
        <f>242.75</f>
        <v>242.75</v>
      </c>
      <c r="Q978">
        <f>2842.87</f>
        <v>2842.87</v>
      </c>
      <c r="R978">
        <f>5935.2</f>
        <v>5935.2</v>
      </c>
      <c r="S978">
        <f>2441.44</f>
        <v>2441.44</v>
      </c>
      <c r="T978">
        <f>3762.394</f>
        <v>3762.3939999999998</v>
      </c>
      <c r="U978">
        <f>54945.89</f>
        <v>54945.89</v>
      </c>
      <c r="V978">
        <f>437.35</f>
        <v>437.35</v>
      </c>
    </row>
    <row r="979" spans="1:22" x14ac:dyDescent="0.2">
      <c r="A979" s="1">
        <v>43738</v>
      </c>
      <c r="B979">
        <f>2414.56</f>
        <v>2414.56</v>
      </c>
      <c r="C979">
        <f>9859.18</f>
        <v>9859.18</v>
      </c>
      <c r="D979">
        <f>6798.42</f>
        <v>6798.42</v>
      </c>
      <c r="E979">
        <f>2297.199</f>
        <v>2297.1990000000001</v>
      </c>
      <c r="F979">
        <f>1873.32</f>
        <v>1873.32</v>
      </c>
      <c r="G979">
        <f>8411.644</f>
        <v>8411.6440000000002</v>
      </c>
      <c r="H979">
        <f>3166.56</f>
        <v>3166.56</v>
      </c>
      <c r="I979">
        <f>10422.27</f>
        <v>10422.27</v>
      </c>
      <c r="J979">
        <f>4434.51</f>
        <v>4434.51</v>
      </c>
      <c r="K979">
        <f>12462.25</f>
        <v>12462.25</v>
      </c>
      <c r="L979">
        <f>2183.25</f>
        <v>2183.25</v>
      </c>
      <c r="M979">
        <f>9182.17</f>
        <v>9182.17</v>
      </c>
      <c r="N979">
        <f>357.19</f>
        <v>357.19</v>
      </c>
      <c r="O979">
        <f>3151.66</f>
        <v>3151.66</v>
      </c>
      <c r="P979">
        <f>239.87</f>
        <v>239.87</v>
      </c>
      <c r="Q979">
        <f>2883.293</f>
        <v>2883.2930000000001</v>
      </c>
      <c r="R979">
        <f>6008.59</f>
        <v>6008.59</v>
      </c>
      <c r="S979">
        <f>2418.29</f>
        <v>2418.29</v>
      </c>
      <c r="T979">
        <f>3763.902</f>
        <v>3763.902</v>
      </c>
      <c r="U979">
        <f>54824.97</f>
        <v>54824.97</v>
      </c>
      <c r="V979">
        <f>437.25</f>
        <v>437.25</v>
      </c>
    </row>
    <row r="980" spans="1:22" x14ac:dyDescent="0.2">
      <c r="A980" s="1">
        <v>43735</v>
      </c>
      <c r="B980">
        <f>2416.61</f>
        <v>2416.61</v>
      </c>
      <c r="C980">
        <f>9871.09</f>
        <v>9871.09</v>
      </c>
      <c r="D980">
        <f>6814.94</f>
        <v>6814.94</v>
      </c>
      <c r="E980">
        <f>2298.329</f>
        <v>2298.3290000000002</v>
      </c>
      <c r="F980">
        <f>1862.24</f>
        <v>1862.24</v>
      </c>
      <c r="G980">
        <f>8427.754</f>
        <v>8427.7540000000008</v>
      </c>
      <c r="H980">
        <f>3202.28</f>
        <v>3202.28</v>
      </c>
      <c r="I980">
        <f>10425.07</f>
        <v>10425.07</v>
      </c>
      <c r="J980">
        <f>4414.04</f>
        <v>4414.04</v>
      </c>
      <c r="K980">
        <f>12397.08</f>
        <v>12397.08</v>
      </c>
      <c r="L980">
        <f>2179.83</f>
        <v>2179.83</v>
      </c>
      <c r="M980">
        <f>9162.81</f>
        <v>9162.81</v>
      </c>
      <c r="N980">
        <f>356.086</f>
        <v>356.08600000000001</v>
      </c>
      <c r="O980">
        <f>3143.04</f>
        <v>3143.04</v>
      </c>
      <c r="P980">
        <f>241.97</f>
        <v>241.97</v>
      </c>
      <c r="Q980">
        <f>2869.885</f>
        <v>2869.8850000000002</v>
      </c>
      <c r="R980">
        <f>5978.11</f>
        <v>5978.11</v>
      </c>
      <c r="S980">
        <f>2443.35</f>
        <v>2443.35</v>
      </c>
      <c r="T980">
        <f>3793.645</f>
        <v>3793.645</v>
      </c>
      <c r="U980">
        <f>55209.03</f>
        <v>55209.03</v>
      </c>
      <c r="V980">
        <f>441.25</f>
        <v>441.25</v>
      </c>
    </row>
    <row r="981" spans="1:22" x14ac:dyDescent="0.2">
      <c r="A981" s="1">
        <v>43734</v>
      </c>
      <c r="B981">
        <f>2387.25</f>
        <v>2387.25</v>
      </c>
      <c r="C981">
        <f>9916.5</f>
        <v>9916.5</v>
      </c>
      <c r="D981">
        <f>6745.99</f>
        <v>6745.99</v>
      </c>
      <c r="E981">
        <f>2315.33</f>
        <v>2315.33</v>
      </c>
      <c r="F981">
        <f>1840.47</f>
        <v>1840.47</v>
      </c>
      <c r="G981">
        <f>8359.839</f>
        <v>8359.8389999999999</v>
      </c>
      <c r="H981">
        <f>3220.88</f>
        <v>3220.88</v>
      </c>
      <c r="I981">
        <f>10377.64</f>
        <v>10377.64</v>
      </c>
      <c r="J981">
        <f>4413.19</f>
        <v>4413.1899999999996</v>
      </c>
      <c r="K981">
        <f>12465.14</f>
        <v>12465.14</v>
      </c>
      <c r="L981">
        <f>2174.49</f>
        <v>2174.4899999999998</v>
      </c>
      <c r="M981">
        <f>9186.88</f>
        <v>9186.8799999999992</v>
      </c>
      <c r="N981">
        <f>354.86</f>
        <v>354.86</v>
      </c>
      <c r="O981">
        <f>3126.9</f>
        <v>3126.9</v>
      </c>
      <c r="P981">
        <f>242.95</f>
        <v>242.95</v>
      </c>
      <c r="Q981">
        <f>2868.823</f>
        <v>2868.8229999999999</v>
      </c>
      <c r="R981">
        <f>6009.19</f>
        <v>6009.19</v>
      </c>
      <c r="S981">
        <f>2448.69</f>
        <v>2448.69</v>
      </c>
      <c r="T981">
        <f>3782.694</f>
        <v>3782.694</v>
      </c>
      <c r="U981">
        <f>55271.38</f>
        <v>55271.38</v>
      </c>
      <c r="V981">
        <f>440.39</f>
        <v>440.39</v>
      </c>
    </row>
    <row r="982" spans="1:22" x14ac:dyDescent="0.2">
      <c r="A982" s="1">
        <v>43733</v>
      </c>
      <c r="B982">
        <f>2390.42</f>
        <v>2390.42</v>
      </c>
      <c r="C982">
        <f>9873.65</f>
        <v>9873.65</v>
      </c>
      <c r="D982">
        <f>6689.13</f>
        <v>6689.13</v>
      </c>
      <c r="E982">
        <f>2306.33</f>
        <v>2306.33</v>
      </c>
      <c r="F982">
        <f>1866.9</f>
        <v>1866.9</v>
      </c>
      <c r="G982">
        <f>8319.67</f>
        <v>8319.67</v>
      </c>
      <c r="H982">
        <f>3199.63</f>
        <v>3199.63</v>
      </c>
      <c r="I982">
        <f>10330.25</f>
        <v>10330.25</v>
      </c>
      <c r="J982">
        <f>4412.9</f>
        <v>4412.8999999999996</v>
      </c>
      <c r="K982">
        <f>12495.19</f>
        <v>12495.19</v>
      </c>
      <c r="L982">
        <f>2170.1</f>
        <v>2170.1</v>
      </c>
      <c r="M982">
        <f>9190.97</f>
        <v>9190.9699999999993</v>
      </c>
      <c r="N982">
        <f>352.567</f>
        <v>352.56700000000001</v>
      </c>
      <c r="O982">
        <f>3105.87</f>
        <v>3105.87</v>
      </c>
      <c r="P982">
        <f>241.63</f>
        <v>241.63</v>
      </c>
      <c r="Q982">
        <f>2867.42</f>
        <v>2867.42</v>
      </c>
      <c r="R982">
        <f>6023.46</f>
        <v>6023.46</v>
      </c>
      <c r="S982">
        <f>2443.88</f>
        <v>2443.88</v>
      </c>
      <c r="T982">
        <f>3739.864</f>
        <v>3739.864</v>
      </c>
      <c r="U982">
        <f>54876.83</f>
        <v>54876.83</v>
      </c>
      <c r="V982">
        <f>433.45</f>
        <v>433.45</v>
      </c>
    </row>
    <row r="983" spans="1:22" x14ac:dyDescent="0.2">
      <c r="A983" s="1">
        <v>43732</v>
      </c>
      <c r="B983">
        <f>2392.37</f>
        <v>2392.37</v>
      </c>
      <c r="C983">
        <f>9929.25</f>
        <v>9929.25</v>
      </c>
      <c r="D983">
        <f>6690.45</f>
        <v>6690.45</v>
      </c>
      <c r="E983">
        <f>2319.159</f>
        <v>2319.1590000000001</v>
      </c>
      <c r="F983">
        <f>1889.74</f>
        <v>1889.74</v>
      </c>
      <c r="G983">
        <f>8386.134</f>
        <v>8386.134</v>
      </c>
      <c r="H983">
        <f>3216.23</f>
        <v>3216.23</v>
      </c>
      <c r="I983">
        <f>10428.54</f>
        <v>10428.540000000001</v>
      </c>
      <c r="J983">
        <f>4394.91</f>
        <v>4394.91</v>
      </c>
      <c r="K983">
        <f>12416.75</f>
        <v>12416.75</v>
      </c>
      <c r="L983">
        <f>2174.05</f>
        <v>2174.0500000000002</v>
      </c>
      <c r="M983">
        <f>9180.49</f>
        <v>9180.49</v>
      </c>
      <c r="N983">
        <f>355.694</f>
        <v>355.69400000000002</v>
      </c>
      <c r="O983">
        <f>3124.23</f>
        <v>3124.23</v>
      </c>
      <c r="P983">
        <f>241.76</f>
        <v>241.76</v>
      </c>
      <c r="Q983">
        <f>2852.001</f>
        <v>2852.0010000000002</v>
      </c>
      <c r="R983">
        <f>5986.58</f>
        <v>5986.58</v>
      </c>
      <c r="S983">
        <f>2448.2</f>
        <v>2448.1999999999998</v>
      </c>
      <c r="T983" t="e">
        <f>NA()</f>
        <v>#N/A</v>
      </c>
      <c r="U983" t="e">
        <f>NA()</f>
        <v>#N/A</v>
      </c>
      <c r="V983" t="e">
        <f>NA()</f>
        <v>#N/A</v>
      </c>
    </row>
    <row r="984" spans="1:22" x14ac:dyDescent="0.2">
      <c r="A984" s="1">
        <v>43731</v>
      </c>
      <c r="B984">
        <f>2417.28</f>
        <v>2417.2800000000002</v>
      </c>
      <c r="C984">
        <f>9956.23</f>
        <v>9956.23</v>
      </c>
      <c r="D984">
        <f>6722.25</f>
        <v>6722.25</v>
      </c>
      <c r="E984">
        <f>2328.034</f>
        <v>2328.0340000000001</v>
      </c>
      <c r="F984">
        <f>1904.4</f>
        <v>1904.4</v>
      </c>
      <c r="G984">
        <f>8397.153</f>
        <v>8397.1530000000002</v>
      </c>
      <c r="H984">
        <f>3207.9</f>
        <v>3207.9</v>
      </c>
      <c r="I984">
        <f>10427.74</f>
        <v>10427.74</v>
      </c>
      <c r="J984">
        <f>4411.43</f>
        <v>4411.43</v>
      </c>
      <c r="K984">
        <f>12525.22</f>
        <v>12525.22</v>
      </c>
      <c r="L984">
        <f>2178.44</f>
        <v>2178.44</v>
      </c>
      <c r="M984">
        <f>9229.08</f>
        <v>9229.08</v>
      </c>
      <c r="N984">
        <f>355.037</f>
        <v>355.03699999999998</v>
      </c>
      <c r="O984">
        <f>3126.06</f>
        <v>3126.06</v>
      </c>
      <c r="P984" t="e">
        <f>NA()</f>
        <v>#N/A</v>
      </c>
      <c r="Q984">
        <f>2867.953</f>
        <v>2867.953</v>
      </c>
      <c r="R984">
        <f>6036.9</f>
        <v>6036.9</v>
      </c>
      <c r="S984" t="e">
        <f>NA()</f>
        <v>#N/A</v>
      </c>
      <c r="T984">
        <f>3781.088</f>
        <v>3781.0880000000002</v>
      </c>
      <c r="U984">
        <f>55622.8</f>
        <v>55622.8</v>
      </c>
      <c r="V984">
        <f>441.87</f>
        <v>441.87</v>
      </c>
    </row>
    <row r="985" spans="1:22" x14ac:dyDescent="0.2">
      <c r="A985" s="1">
        <v>43728</v>
      </c>
      <c r="B985">
        <f>2436.26</f>
        <v>2436.2600000000002</v>
      </c>
      <c r="C985">
        <f>10005.88</f>
        <v>10005.879999999999</v>
      </c>
      <c r="D985">
        <f>6739.53</f>
        <v>6739.53</v>
      </c>
      <c r="E985">
        <f>2341.79</f>
        <v>2341.79</v>
      </c>
      <c r="F985">
        <f>1928.47</f>
        <v>1928.47</v>
      </c>
      <c r="G985">
        <f>8467.565</f>
        <v>8467.5650000000005</v>
      </c>
      <c r="H985">
        <f>3192.15</f>
        <v>3192.15</v>
      </c>
      <c r="I985">
        <f>10521.03</f>
        <v>10521.03</v>
      </c>
      <c r="J985">
        <f>4406.86</f>
        <v>4406.8599999999997</v>
      </c>
      <c r="K985">
        <f>12526.62</f>
        <v>12526.62</v>
      </c>
      <c r="L985">
        <f>2183.14</f>
        <v>2183.14</v>
      </c>
      <c r="M985">
        <f>9244.81</f>
        <v>9244.81</v>
      </c>
      <c r="N985">
        <f>357.107</f>
        <v>357.10700000000003</v>
      </c>
      <c r="O985">
        <f>3147.93</f>
        <v>3147.93</v>
      </c>
      <c r="P985">
        <f>240.28</f>
        <v>240.28</v>
      </c>
      <c r="Q985">
        <f>2866.398</f>
        <v>2866.3980000000001</v>
      </c>
      <c r="R985">
        <f>6037.5</f>
        <v>6037.5</v>
      </c>
      <c r="S985">
        <f>2438.08</f>
        <v>2438.08</v>
      </c>
      <c r="T985">
        <f>3821.82</f>
        <v>3821.82</v>
      </c>
      <c r="U985">
        <f>56406.89</f>
        <v>56406.89</v>
      </c>
      <c r="V985">
        <f>448.74</f>
        <v>448.74</v>
      </c>
    </row>
    <row r="986" spans="1:22" x14ac:dyDescent="0.2">
      <c r="A986" s="1">
        <v>43727</v>
      </c>
      <c r="B986">
        <f>2430.35</f>
        <v>2430.35</v>
      </c>
      <c r="C986">
        <f>10001.13</f>
        <v>10001.129999999999</v>
      </c>
      <c r="D986">
        <f>6750.08</f>
        <v>6750.08</v>
      </c>
      <c r="E986">
        <f>2331.015</f>
        <v>2331.0149999999999</v>
      </c>
      <c r="F986">
        <f>1913.83</f>
        <v>1913.83</v>
      </c>
      <c r="G986">
        <f>8470.676</f>
        <v>8470.6759999999995</v>
      </c>
      <c r="H986">
        <f>3185.44</f>
        <v>3185.44</v>
      </c>
      <c r="I986">
        <f>10536.07</f>
        <v>10536.07</v>
      </c>
      <c r="J986">
        <f>4410.25</f>
        <v>4410.25</v>
      </c>
      <c r="K986">
        <f>12588.23</f>
        <v>12588.23</v>
      </c>
      <c r="L986">
        <f>2180.45</f>
        <v>2180.4499999999998</v>
      </c>
      <c r="M986">
        <f>9274.51</f>
        <v>9274.51</v>
      </c>
      <c r="N986">
        <f>357.108</f>
        <v>357.108</v>
      </c>
      <c r="O986">
        <f>3138.74</f>
        <v>3138.74</v>
      </c>
      <c r="P986">
        <f>240.45</f>
        <v>240.45</v>
      </c>
      <c r="Q986">
        <f>2876.379</f>
        <v>2876.3789999999999</v>
      </c>
      <c r="R986">
        <f>6066.9</f>
        <v>6066.9</v>
      </c>
      <c r="S986">
        <f>2437.22</f>
        <v>2437.2199999999998</v>
      </c>
      <c r="T986">
        <f>3852.09</f>
        <v>3852.09</v>
      </c>
      <c r="U986">
        <f>56123.83</f>
        <v>56123.83</v>
      </c>
      <c r="V986">
        <f>449.72</f>
        <v>449.72</v>
      </c>
    </row>
    <row r="987" spans="1:22" x14ac:dyDescent="0.2">
      <c r="A987" s="1">
        <v>43726</v>
      </c>
      <c r="B987">
        <f>2413.38</f>
        <v>2413.38</v>
      </c>
      <c r="C987">
        <f>10059.26</f>
        <v>10059.26</v>
      </c>
      <c r="D987">
        <f>6711.2</f>
        <v>6711.2</v>
      </c>
      <c r="E987">
        <f>2341.321</f>
        <v>2341.3209999999999</v>
      </c>
      <c r="F987">
        <f>1900.03</f>
        <v>1900.03</v>
      </c>
      <c r="G987">
        <f>8419.369</f>
        <v>8419.3690000000006</v>
      </c>
      <c r="H987">
        <f>3182.32</f>
        <v>3182.32</v>
      </c>
      <c r="I987">
        <f>10471.74</f>
        <v>10471.74</v>
      </c>
      <c r="J987">
        <f>4414.3</f>
        <v>4414.3</v>
      </c>
      <c r="K987">
        <f>12586.98</f>
        <v>12586.98</v>
      </c>
      <c r="L987">
        <f>2176.39</f>
        <v>2176.39</v>
      </c>
      <c r="M987">
        <f>9258.7</f>
        <v>9258.7000000000007</v>
      </c>
      <c r="N987">
        <f>355.19</f>
        <v>355.19</v>
      </c>
      <c r="O987">
        <f>3118.16</f>
        <v>3118.16</v>
      </c>
      <c r="P987">
        <f>239.03</f>
        <v>239.03</v>
      </c>
      <c r="Q987">
        <f>2879.73</f>
        <v>2879.73</v>
      </c>
      <c r="R987">
        <f>6066.42</f>
        <v>6066.42</v>
      </c>
      <c r="S987">
        <f>2423.52</f>
        <v>2423.52</v>
      </c>
      <c r="T987">
        <f>3858.26</f>
        <v>3858.26</v>
      </c>
      <c r="U987">
        <f>56220.41</f>
        <v>56220.41</v>
      </c>
      <c r="V987">
        <f>453.51</f>
        <v>453.51</v>
      </c>
    </row>
    <row r="988" spans="1:22" x14ac:dyDescent="0.2">
      <c r="A988" s="1">
        <v>43725</v>
      </c>
      <c r="B988">
        <f>2417.34</f>
        <v>2417.34</v>
      </c>
      <c r="C988">
        <f>10042.95</f>
        <v>10042.950000000001</v>
      </c>
      <c r="D988">
        <f>6717.03</f>
        <v>6717.03</v>
      </c>
      <c r="E988">
        <f>2335.471</f>
        <v>2335.471</v>
      </c>
      <c r="F988">
        <f>1904.1</f>
        <v>1904.1</v>
      </c>
      <c r="G988">
        <f>8427.826</f>
        <v>8427.8259999999991</v>
      </c>
      <c r="H988">
        <f>3203.86</f>
        <v>3203.86</v>
      </c>
      <c r="I988">
        <f>10454.58</f>
        <v>10454.58</v>
      </c>
      <c r="J988">
        <f>4414.47</f>
        <v>4414.47</v>
      </c>
      <c r="K988">
        <f>12585.62</f>
        <v>12585.62</v>
      </c>
      <c r="L988">
        <f>2178.84</f>
        <v>2178.84</v>
      </c>
      <c r="M988">
        <f>9261.56</f>
        <v>9261.56</v>
      </c>
      <c r="N988">
        <f>354.807</f>
        <v>354.80700000000002</v>
      </c>
      <c r="O988">
        <f>3118.18</f>
        <v>3118.18</v>
      </c>
      <c r="P988">
        <f>241.83</f>
        <v>241.83</v>
      </c>
      <c r="Q988">
        <f>2878.8</f>
        <v>2878.8</v>
      </c>
      <c r="R988">
        <f>6064.31</f>
        <v>6064.31</v>
      </c>
      <c r="S988">
        <f>2435.54</f>
        <v>2435.54</v>
      </c>
      <c r="T988">
        <f>3875.095</f>
        <v>3875.0949999999998</v>
      </c>
      <c r="U988">
        <f>56895.23</f>
        <v>56895.23</v>
      </c>
      <c r="V988">
        <f>452.23</f>
        <v>452.23</v>
      </c>
    </row>
    <row r="989" spans="1:22" x14ac:dyDescent="0.2">
      <c r="A989" s="1">
        <v>43724</v>
      </c>
      <c r="B989">
        <f>2433.52</f>
        <v>2433.52</v>
      </c>
      <c r="C989">
        <f>10145.09</f>
        <v>10145.09</v>
      </c>
      <c r="D989">
        <f>6717.96</f>
        <v>6717.96</v>
      </c>
      <c r="E989">
        <f>2353.856</f>
        <v>2353.8560000000002</v>
      </c>
      <c r="F989">
        <f>1913.69</f>
        <v>1913.69</v>
      </c>
      <c r="G989">
        <f>8384.056</f>
        <v>8384.0560000000005</v>
      </c>
      <c r="H989">
        <f>3203.78</f>
        <v>3203.78</v>
      </c>
      <c r="I989">
        <f>10415.62</f>
        <v>10415.620000000001</v>
      </c>
      <c r="J989">
        <f>4404.1</f>
        <v>4404.1000000000004</v>
      </c>
      <c r="K989">
        <f>12551.39</f>
        <v>12551.39</v>
      </c>
      <c r="L989">
        <f>2174.21</f>
        <v>2174.21</v>
      </c>
      <c r="M989">
        <f>9236.66</f>
        <v>9236.66</v>
      </c>
      <c r="N989">
        <f>352.356</f>
        <v>352.35599999999999</v>
      </c>
      <c r="O989">
        <f>3119.01</f>
        <v>3119.01</v>
      </c>
      <c r="P989" t="e">
        <f>NA()</f>
        <v>#N/A</v>
      </c>
      <c r="Q989">
        <f>2865.679</f>
        <v>2865.6790000000001</v>
      </c>
      <c r="R989">
        <f>6048.67</f>
        <v>6048.67</v>
      </c>
      <c r="S989" t="e">
        <f>NA()</f>
        <v>#N/A</v>
      </c>
      <c r="T989">
        <f>3957.281</f>
        <v>3957.2809999999999</v>
      </c>
      <c r="U989">
        <f>57853.9</f>
        <v>57853.9</v>
      </c>
      <c r="V989">
        <f>462.74</f>
        <v>462.74</v>
      </c>
    </row>
    <row r="990" spans="1:22" x14ac:dyDescent="0.2">
      <c r="A990" s="1">
        <v>43721</v>
      </c>
      <c r="B990">
        <f>2447.31</f>
        <v>2447.31</v>
      </c>
      <c r="C990">
        <f>10060.06</f>
        <v>10060.06</v>
      </c>
      <c r="D990">
        <f>6760.21</f>
        <v>6760.21</v>
      </c>
      <c r="E990">
        <f>2352.482</f>
        <v>2352.482</v>
      </c>
      <c r="F990">
        <f>1933.23</f>
        <v>1933.23</v>
      </c>
      <c r="G990">
        <f>8458.079</f>
        <v>8458.0789999999997</v>
      </c>
      <c r="H990">
        <f>3202.29</f>
        <v>3202.29</v>
      </c>
      <c r="I990">
        <f>10574.26</f>
        <v>10574.26</v>
      </c>
      <c r="J990">
        <f>4431.32</f>
        <v>4431.32</v>
      </c>
      <c r="K990">
        <f>12582.62</f>
        <v>12582.62</v>
      </c>
      <c r="L990">
        <f>2188.73</f>
        <v>2188.73</v>
      </c>
      <c r="M990">
        <f>9278.21</f>
        <v>9278.2099999999991</v>
      </c>
      <c r="N990">
        <f>354.356</f>
        <v>354.35599999999999</v>
      </c>
      <c r="O990">
        <f>3137.75</f>
        <v>3137.75</v>
      </c>
      <c r="P990">
        <f>240.31</f>
        <v>240.31</v>
      </c>
      <c r="Q990">
        <f>2890.266</f>
        <v>2890.2660000000001</v>
      </c>
      <c r="R990">
        <f>6067.5</f>
        <v>6067.5</v>
      </c>
      <c r="S990">
        <f>2428.43</f>
        <v>2428.4299999999998</v>
      </c>
      <c r="T990">
        <f>3892.412</f>
        <v>3892.4119999999998</v>
      </c>
      <c r="U990">
        <f>57123.78</f>
        <v>57123.78</v>
      </c>
      <c r="V990">
        <f>454.67</f>
        <v>454.67</v>
      </c>
    </row>
    <row r="991" spans="1:22" x14ac:dyDescent="0.2">
      <c r="A991" s="1">
        <v>43720</v>
      </c>
      <c r="B991">
        <f>2411.85</f>
        <v>2411.85</v>
      </c>
      <c r="C991">
        <f>10003.42</f>
        <v>10003.42</v>
      </c>
      <c r="D991">
        <f>6739.3</f>
        <v>6739.3</v>
      </c>
      <c r="E991">
        <f>2342.58</f>
        <v>2342.58</v>
      </c>
      <c r="F991">
        <f>1881.21</f>
        <v>1881.21</v>
      </c>
      <c r="G991">
        <f>8346.473</f>
        <v>8346.473</v>
      </c>
      <c r="H991">
        <f>3191.72</f>
        <v>3191.72</v>
      </c>
      <c r="I991">
        <f>10515</f>
        <v>10515</v>
      </c>
      <c r="J991">
        <f>4439.69</f>
        <v>4439.6899999999996</v>
      </c>
      <c r="K991">
        <f>12592.47</f>
        <v>12592.47</v>
      </c>
      <c r="L991">
        <f>2184.6</f>
        <v>2184.6</v>
      </c>
      <c r="M991">
        <f>9259.73</f>
        <v>9259.73</v>
      </c>
      <c r="N991">
        <f>354.176</f>
        <v>354.17599999999999</v>
      </c>
      <c r="O991">
        <f>3125.39</f>
        <v>3125.39</v>
      </c>
      <c r="P991">
        <f>237.98</f>
        <v>237.98</v>
      </c>
      <c r="Q991">
        <f>2894.821</f>
        <v>2894.8209999999999</v>
      </c>
      <c r="R991">
        <f>6070.23</f>
        <v>6070.23</v>
      </c>
      <c r="S991">
        <f>2406.14</f>
        <v>2406.14</v>
      </c>
      <c r="T991">
        <f>3853.368</f>
        <v>3853.3679999999999</v>
      </c>
      <c r="U991">
        <f>56781.94</f>
        <v>56781.94</v>
      </c>
      <c r="V991">
        <f>449.54</f>
        <v>449.54</v>
      </c>
    </row>
    <row r="992" spans="1:22" x14ac:dyDescent="0.2">
      <c r="A992" s="1">
        <v>43719</v>
      </c>
      <c r="B992">
        <f>2411.85</f>
        <v>2411.85</v>
      </c>
      <c r="C992">
        <f>9959.01</f>
        <v>9959.01</v>
      </c>
      <c r="D992">
        <f>6732.91</f>
        <v>6732.91</v>
      </c>
      <c r="E992">
        <f>2329.932</f>
        <v>2329.9319999999998</v>
      </c>
      <c r="F992">
        <f>1891.62</f>
        <v>1891.62</v>
      </c>
      <c r="G992">
        <f>8350.203</f>
        <v>8350.2029999999995</v>
      </c>
      <c r="H992">
        <f>3174.88</f>
        <v>3174.88</v>
      </c>
      <c r="I992">
        <f>10445.17</f>
        <v>10445.17</v>
      </c>
      <c r="J992">
        <f>4432.84</f>
        <v>4432.84</v>
      </c>
      <c r="K992">
        <f>12555.12</f>
        <v>12555.12</v>
      </c>
      <c r="L992">
        <f>2179.44</f>
        <v>2179.44</v>
      </c>
      <c r="M992">
        <f>9227.58</f>
        <v>9227.58</v>
      </c>
      <c r="N992">
        <f>355.227</f>
        <v>355.22699999999998</v>
      </c>
      <c r="O992">
        <f>3121.12</f>
        <v>3121.12</v>
      </c>
      <c r="P992">
        <f>237.34</f>
        <v>237.34</v>
      </c>
      <c r="Q992">
        <f>2885.453</f>
        <v>2885.453</v>
      </c>
      <c r="R992">
        <f>6051.87</f>
        <v>6051.87</v>
      </c>
      <c r="S992">
        <f>2388.89</f>
        <v>2388.89</v>
      </c>
      <c r="T992">
        <f>3800.091</f>
        <v>3800.0909999999999</v>
      </c>
      <c r="U992">
        <f>56243.78</f>
        <v>56243.78</v>
      </c>
      <c r="V992">
        <f>442.92</f>
        <v>442.92</v>
      </c>
    </row>
    <row r="993" spans="1:22" x14ac:dyDescent="0.2">
      <c r="A993" s="1">
        <v>43718</v>
      </c>
      <c r="B993">
        <f>2368.74</f>
        <v>2368.7399999999998</v>
      </c>
      <c r="C993">
        <f>9869.22</f>
        <v>9869.2199999999993</v>
      </c>
      <c r="D993">
        <f>6668.61</f>
        <v>6668.61</v>
      </c>
      <c r="E993">
        <f>2308.927</f>
        <v>2308.9270000000001</v>
      </c>
      <c r="F993">
        <f>1860.88</f>
        <v>1860.88</v>
      </c>
      <c r="G993">
        <f>8279.768</f>
        <v>8279.768</v>
      </c>
      <c r="H993">
        <f>3124.23</f>
        <v>3124.23</v>
      </c>
      <c r="I993">
        <f>10419.18</f>
        <v>10419.18</v>
      </c>
      <c r="J993">
        <f>4393.34</f>
        <v>4393.34</v>
      </c>
      <c r="K993">
        <f>12463.29</f>
        <v>12463.29</v>
      </c>
      <c r="L993">
        <f>2164.33</f>
        <v>2164.33</v>
      </c>
      <c r="M993">
        <f>9164.14</f>
        <v>9164.14</v>
      </c>
      <c r="N993">
        <f>350.65</f>
        <v>350.65</v>
      </c>
      <c r="O993">
        <f>3097.06</f>
        <v>3097.06</v>
      </c>
      <c r="P993">
        <f>231.82</f>
        <v>231.82</v>
      </c>
      <c r="Q993">
        <f>2861.977</f>
        <v>2861.9769999999999</v>
      </c>
      <c r="R993">
        <f>6008.12</f>
        <v>6008.12</v>
      </c>
      <c r="S993">
        <f>2350.16</f>
        <v>2350.16</v>
      </c>
      <c r="T993">
        <f>3762.792</f>
        <v>3762.7919999999999</v>
      </c>
      <c r="U993">
        <f>55335.81</f>
        <v>55335.81</v>
      </c>
      <c r="V993">
        <f>438.46</f>
        <v>438.46</v>
      </c>
    </row>
    <row r="994" spans="1:22" x14ac:dyDescent="0.2">
      <c r="A994" s="1">
        <v>43717</v>
      </c>
      <c r="B994">
        <f>2331.48</f>
        <v>2331.48</v>
      </c>
      <c r="C994">
        <f>9861.56</f>
        <v>9861.56</v>
      </c>
      <c r="D994">
        <f>6639.11</f>
        <v>6639.11</v>
      </c>
      <c r="E994">
        <f>2314.488</f>
        <v>2314.4879999999998</v>
      </c>
      <c r="F994">
        <f>1835.3</f>
        <v>1835.3</v>
      </c>
      <c r="G994">
        <f>8233.456</f>
        <v>8233.4560000000001</v>
      </c>
      <c r="H994">
        <f>3078.95</f>
        <v>3078.95</v>
      </c>
      <c r="I994">
        <f>10434.14</f>
        <v>10434.14</v>
      </c>
      <c r="J994">
        <f>4369.01</f>
        <v>4369.01</v>
      </c>
      <c r="K994">
        <f>12460.37</f>
        <v>12460.37</v>
      </c>
      <c r="L994">
        <f>2154.23</f>
        <v>2154.23</v>
      </c>
      <c r="M994">
        <f>9159.45</f>
        <v>9159.4500000000007</v>
      </c>
      <c r="N994">
        <f>351.679</f>
        <v>351.67899999999997</v>
      </c>
      <c r="O994">
        <f>3093.34</f>
        <v>3093.34</v>
      </c>
      <c r="P994">
        <f>227.55</f>
        <v>227.55</v>
      </c>
      <c r="Q994">
        <f>2850.787</f>
        <v>2850.7869999999998</v>
      </c>
      <c r="R994">
        <f>6005.99</f>
        <v>6005.99</v>
      </c>
      <c r="S994">
        <f>2339.78</f>
        <v>2339.7800000000002</v>
      </c>
      <c r="T994">
        <f>3763.525</f>
        <v>3763.5250000000001</v>
      </c>
      <c r="U994">
        <f>55523.07</f>
        <v>55523.07</v>
      </c>
      <c r="V994">
        <f>440.28</f>
        <v>440.28</v>
      </c>
    </row>
    <row r="995" spans="1:22" x14ac:dyDescent="0.2">
      <c r="A995" s="1">
        <v>43714</v>
      </c>
      <c r="B995">
        <f>2330.78</f>
        <v>2330.7800000000002</v>
      </c>
      <c r="C995">
        <f>9845.77</f>
        <v>9845.77</v>
      </c>
      <c r="D995">
        <f>6681.81</f>
        <v>6681.81</v>
      </c>
      <c r="E995">
        <f>2308.324</f>
        <v>2308.3240000000001</v>
      </c>
      <c r="F995">
        <f>1831.92</f>
        <v>1831.92</v>
      </c>
      <c r="G995">
        <f>8265.382</f>
        <v>8265.3819999999996</v>
      </c>
      <c r="H995">
        <f>3066.14</f>
        <v>3066.14</v>
      </c>
      <c r="I995">
        <f>10445.14</f>
        <v>10445.14</v>
      </c>
      <c r="J995">
        <f>4360.82</f>
        <v>4360.82</v>
      </c>
      <c r="K995">
        <f>12465.98</f>
        <v>12465.98</v>
      </c>
      <c r="L995">
        <f>2152.64</f>
        <v>2152.64</v>
      </c>
      <c r="M995">
        <f>9160.92</f>
        <v>9160.92</v>
      </c>
      <c r="N995">
        <f>354.95</f>
        <v>354.95</v>
      </c>
      <c r="O995">
        <f>3099.48</f>
        <v>3099.48</v>
      </c>
      <c r="P995">
        <f>224.86</f>
        <v>224.86</v>
      </c>
      <c r="Q995">
        <f>2850.108</f>
        <v>2850.1080000000002</v>
      </c>
      <c r="R995">
        <f>6006.07</f>
        <v>6006.07</v>
      </c>
      <c r="S995">
        <f>2318.65</f>
        <v>2318.65</v>
      </c>
      <c r="T995">
        <f>3744.266</f>
        <v>3744.2660000000001</v>
      </c>
      <c r="U995">
        <f>55591.09</f>
        <v>55591.09</v>
      </c>
      <c r="V995">
        <f>439.8</f>
        <v>439.8</v>
      </c>
    </row>
    <row r="996" spans="1:22" x14ac:dyDescent="0.2">
      <c r="A996" s="1">
        <v>43713</v>
      </c>
      <c r="B996">
        <f>2329.57</f>
        <v>2329.5700000000002</v>
      </c>
      <c r="C996">
        <f>9794.52</f>
        <v>9794.52</v>
      </c>
      <c r="D996">
        <f>6671.57</f>
        <v>6671.57</v>
      </c>
      <c r="E996">
        <f>2296.738</f>
        <v>2296.7379999999998</v>
      </c>
      <c r="F996">
        <f>1829.73</f>
        <v>1829.73</v>
      </c>
      <c r="G996">
        <f>8259.488</f>
        <v>8259.4879999999994</v>
      </c>
      <c r="H996">
        <f>3036.47</f>
        <v>3036.47</v>
      </c>
      <c r="I996">
        <f>10400.77</f>
        <v>10400.77</v>
      </c>
      <c r="J996">
        <f>4343.21</f>
        <v>4343.21</v>
      </c>
      <c r="K996">
        <f>12455.29</f>
        <v>12455.29</v>
      </c>
      <c r="L996">
        <f>2143.05</f>
        <v>2143.0500000000002</v>
      </c>
      <c r="M996">
        <f>9141.09</f>
        <v>9141.09</v>
      </c>
      <c r="N996">
        <f>354.937</f>
        <v>354.93700000000001</v>
      </c>
      <c r="O996">
        <f>3091.83</f>
        <v>3091.83</v>
      </c>
      <c r="P996">
        <f>224.62</f>
        <v>224.62</v>
      </c>
      <c r="Q996">
        <f>2834.779</f>
        <v>2834.779</v>
      </c>
      <c r="R996">
        <f>6000.38</f>
        <v>6000.38</v>
      </c>
      <c r="S996">
        <f>2314.67</f>
        <v>2314.67</v>
      </c>
      <c r="T996">
        <f>3716.958</f>
        <v>3716.9580000000001</v>
      </c>
      <c r="U996">
        <f>55476.36</f>
        <v>55476.36</v>
      </c>
      <c r="V996">
        <f>437.23</f>
        <v>437.23</v>
      </c>
    </row>
    <row r="997" spans="1:22" x14ac:dyDescent="0.2">
      <c r="A997" s="1">
        <v>43712</v>
      </c>
      <c r="B997">
        <f>2317.39</f>
        <v>2317.39</v>
      </c>
      <c r="C997">
        <f>9669.36</f>
        <v>9669.36</v>
      </c>
      <c r="D997">
        <f>6697.84</f>
        <v>6697.84</v>
      </c>
      <c r="E997">
        <f>2268.208</f>
        <v>2268.2080000000001</v>
      </c>
      <c r="F997">
        <f>1794.9</f>
        <v>1794.9</v>
      </c>
      <c r="G997">
        <f>8203.931</f>
        <v>8203.9310000000005</v>
      </c>
      <c r="H997">
        <f>3012.41</f>
        <v>3012.41</v>
      </c>
      <c r="I997">
        <f>10300.77</f>
        <v>10300.77</v>
      </c>
      <c r="J997">
        <f>4307.67</f>
        <v>4307.67</v>
      </c>
      <c r="K997">
        <f>12293.96</f>
        <v>12293.96</v>
      </c>
      <c r="L997">
        <f>2128.1</f>
        <v>2128.1</v>
      </c>
      <c r="M997">
        <f>9035.52</f>
        <v>9035.52</v>
      </c>
      <c r="N997">
        <f>353.501</f>
        <v>353.50099999999998</v>
      </c>
      <c r="O997">
        <f>3067.47</f>
        <v>3067.47</v>
      </c>
      <c r="P997">
        <f>221.37</f>
        <v>221.37</v>
      </c>
      <c r="Q997">
        <f>2803.596</f>
        <v>2803.596</v>
      </c>
      <c r="R997">
        <f>5921.96</f>
        <v>5921.96</v>
      </c>
      <c r="S997">
        <f>2272.97</f>
        <v>2272.9699999999998</v>
      </c>
      <c r="T997">
        <f>3658.022</f>
        <v>3658.0219999999999</v>
      </c>
      <c r="U997">
        <f>54907.17</f>
        <v>54907.17</v>
      </c>
      <c r="V997">
        <f>428.4</f>
        <v>428.4</v>
      </c>
    </row>
    <row r="998" spans="1:22" x14ac:dyDescent="0.2">
      <c r="A998" s="1">
        <v>43711</v>
      </c>
      <c r="B998">
        <f>2300.05</f>
        <v>2300.0500000000002</v>
      </c>
      <c r="C998">
        <f>9494.38</f>
        <v>9494.3799999999992</v>
      </c>
      <c r="D998">
        <f>6658.38</f>
        <v>6658.38</v>
      </c>
      <c r="E998">
        <f>2228.167</f>
        <v>2228.1669999999999</v>
      </c>
      <c r="F998">
        <f>1776.45</f>
        <v>1776.45</v>
      </c>
      <c r="G998">
        <f>8089.776</f>
        <v>8089.7759999999998</v>
      </c>
      <c r="H998">
        <f>3033.52</f>
        <v>3033.52</v>
      </c>
      <c r="I998">
        <f>10142.56</f>
        <v>10142.56</v>
      </c>
      <c r="J998">
        <f>4265.29</f>
        <v>4265.29</v>
      </c>
      <c r="K998">
        <f>12160.27</f>
        <v>12160.27</v>
      </c>
      <c r="L998">
        <f>2106.65</f>
        <v>2106.65</v>
      </c>
      <c r="M998">
        <f>8938.84</f>
        <v>8938.84</v>
      </c>
      <c r="N998">
        <f>350.675</f>
        <v>350.67500000000001</v>
      </c>
      <c r="O998">
        <f>3039.09</f>
        <v>3039.09</v>
      </c>
      <c r="P998">
        <f>223.16</f>
        <v>223.16</v>
      </c>
      <c r="Q998">
        <f>2774.569</f>
        <v>2774.569</v>
      </c>
      <c r="R998">
        <f>5857.95</f>
        <v>5857.95</v>
      </c>
      <c r="S998">
        <f>2278.97</f>
        <v>2278.9699999999998</v>
      </c>
      <c r="T998">
        <f>3642.88</f>
        <v>3642.88</v>
      </c>
      <c r="U998">
        <f>54742.07</f>
        <v>54742.07</v>
      </c>
      <c r="V998">
        <f>427.32</f>
        <v>427.32</v>
      </c>
    </row>
    <row r="999" spans="1:22" x14ac:dyDescent="0.2">
      <c r="A999" s="1">
        <v>43710</v>
      </c>
      <c r="B999">
        <f>2305.52</f>
        <v>2305.52</v>
      </c>
      <c r="C999">
        <f>9579.22</f>
        <v>9579.2199999999993</v>
      </c>
      <c r="D999">
        <f>6670.98</f>
        <v>6670.98</v>
      </c>
      <c r="E999">
        <f>2252.161</f>
        <v>2252.1610000000001</v>
      </c>
      <c r="F999">
        <f>1782.28</f>
        <v>1782.28</v>
      </c>
      <c r="G999">
        <f>8081.323</f>
        <v>8081.3230000000003</v>
      </c>
      <c r="H999">
        <f>3014.61</f>
        <v>3014.61</v>
      </c>
      <c r="I999">
        <f>10182.11</f>
        <v>10182.11</v>
      </c>
      <c r="J999">
        <f>4278.97</f>
        <v>4278.97</v>
      </c>
      <c r="K999">
        <f>12244.45</f>
        <v>12244.45</v>
      </c>
      <c r="L999">
        <f>2108.67</f>
        <v>2108.67</v>
      </c>
      <c r="M999">
        <f>8978.74</f>
        <v>8978.74</v>
      </c>
      <c r="N999">
        <f>349.528</f>
        <v>349.52800000000002</v>
      </c>
      <c r="O999">
        <f>3046.03</f>
        <v>3046.03</v>
      </c>
      <c r="P999">
        <f>222.32</f>
        <v>222.32</v>
      </c>
      <c r="Q999" t="e">
        <f>NA()</f>
        <v>#N/A</v>
      </c>
      <c r="R999" t="e">
        <f>NA()</f>
        <v>#N/A</v>
      </c>
      <c r="S999">
        <f>2270.56</f>
        <v>2270.56</v>
      </c>
      <c r="T999">
        <f>3619.092</f>
        <v>3619.0920000000001</v>
      </c>
      <c r="U999">
        <f>54785.18</f>
        <v>54785.18</v>
      </c>
      <c r="V999">
        <f>426.82</f>
        <v>426.82</v>
      </c>
    </row>
    <row r="1000" spans="1:22" x14ac:dyDescent="0.2">
      <c r="A1000" s="1">
        <v>43707</v>
      </c>
      <c r="B1000">
        <f>2292.89</f>
        <v>2292.89</v>
      </c>
      <c r="C1000">
        <f>9603.63</f>
        <v>9603.6299999999992</v>
      </c>
      <c r="D1000">
        <f>6602.49</f>
        <v>6602.49</v>
      </c>
      <c r="E1000">
        <f>2253.439</f>
        <v>2253.4389999999999</v>
      </c>
      <c r="F1000">
        <f>1788.74</f>
        <v>1788.74</v>
      </c>
      <c r="G1000">
        <f>8074.957</f>
        <v>8074.9570000000003</v>
      </c>
      <c r="H1000">
        <f>3019.65</f>
        <v>3019.65</v>
      </c>
      <c r="I1000">
        <f>10193.71</f>
        <v>10193.709999999999</v>
      </c>
      <c r="J1000">
        <f>4278.97</f>
        <v>4278.97</v>
      </c>
      <c r="K1000">
        <f>12244.45</f>
        <v>12244.45</v>
      </c>
      <c r="L1000">
        <f>2109.66</f>
        <v>2109.66</v>
      </c>
      <c r="M1000">
        <f>8986.64</f>
        <v>8986.64</v>
      </c>
      <c r="N1000">
        <f>348.169</f>
        <v>348.16899999999998</v>
      </c>
      <c r="O1000">
        <f>3037.12</f>
        <v>3037.12</v>
      </c>
      <c r="P1000">
        <f>223.08</f>
        <v>223.08</v>
      </c>
      <c r="Q1000">
        <f>2788.266</f>
        <v>2788.2660000000001</v>
      </c>
      <c r="R1000">
        <f>5898.23</f>
        <v>5898.23</v>
      </c>
      <c r="S1000">
        <f>2280.58</f>
        <v>2280.58</v>
      </c>
      <c r="T1000">
        <f>3653.805</f>
        <v>3653.8049999999998</v>
      </c>
      <c r="U1000">
        <f>55259.57</f>
        <v>55259.57</v>
      </c>
      <c r="V1000">
        <f>431.97</f>
        <v>431.97</v>
      </c>
    </row>
    <row r="1001" spans="1:22" x14ac:dyDescent="0.2">
      <c r="A1001" s="1">
        <v>43706</v>
      </c>
      <c r="B1001">
        <f>2278.63</f>
        <v>2278.63</v>
      </c>
      <c r="C1001">
        <f>9462.87</f>
        <v>9462.8700000000008</v>
      </c>
      <c r="D1001">
        <f>6581.55</f>
        <v>6581.55</v>
      </c>
      <c r="E1001">
        <f>2220.728</f>
        <v>2220.7280000000001</v>
      </c>
      <c r="F1001">
        <f>1777.63</f>
        <v>1777.63</v>
      </c>
      <c r="G1001">
        <f>8064.845</f>
        <v>8064.8450000000003</v>
      </c>
      <c r="H1001">
        <f>2972.68</f>
        <v>2972.68</v>
      </c>
      <c r="I1001">
        <f>10171.31</f>
        <v>10171.31</v>
      </c>
      <c r="J1001">
        <f>4271.11</f>
        <v>4271.1099999999997</v>
      </c>
      <c r="K1001">
        <f>12235.56</f>
        <v>12235.56</v>
      </c>
      <c r="L1001">
        <f>2102.96</f>
        <v>2102.96</v>
      </c>
      <c r="M1001">
        <f>8962.76</f>
        <v>8962.76</v>
      </c>
      <c r="N1001">
        <f>344.699</f>
        <v>344.69900000000001</v>
      </c>
      <c r="O1001">
        <f>3015.27</f>
        <v>3015.27</v>
      </c>
      <c r="P1001">
        <f>220.08</f>
        <v>220.08</v>
      </c>
      <c r="Q1001">
        <f>2782.318</f>
        <v>2782.3180000000002</v>
      </c>
      <c r="R1001">
        <f>5893.65</f>
        <v>5893.65</v>
      </c>
      <c r="S1001">
        <f>2247.87</f>
        <v>2247.87</v>
      </c>
      <c r="T1001">
        <f>3578.654</f>
        <v>3578.654</v>
      </c>
      <c r="U1001">
        <f>54411.47</f>
        <v>54411.47</v>
      </c>
      <c r="V1001">
        <f>420.06</f>
        <v>420.06</v>
      </c>
    </row>
    <row r="1002" spans="1:22" x14ac:dyDescent="0.2">
      <c r="A1002" s="1">
        <v>43705</v>
      </c>
      <c r="B1002">
        <f>2266.99</f>
        <v>2266.9899999999998</v>
      </c>
      <c r="C1002">
        <f>9428.06</f>
        <v>9428.06</v>
      </c>
      <c r="D1002">
        <f>6517.06</f>
        <v>6517.06</v>
      </c>
      <c r="E1002">
        <f>2209.345</f>
        <v>2209.3449999999998</v>
      </c>
      <c r="F1002">
        <f>1761.86</f>
        <v>1761.86</v>
      </c>
      <c r="G1002">
        <f>7998.726</f>
        <v>7998.7259999999997</v>
      </c>
      <c r="H1002">
        <f>2991.37</f>
        <v>2991.37</v>
      </c>
      <c r="I1002">
        <f>10068.04</f>
        <v>10068.040000000001</v>
      </c>
      <c r="J1002">
        <f>4237.65</f>
        <v>4237.6499999999996</v>
      </c>
      <c r="K1002">
        <f>12080.56</f>
        <v>12080.56</v>
      </c>
      <c r="L1002">
        <f>2089.78</f>
        <v>2089.7800000000002</v>
      </c>
      <c r="M1002">
        <f>8872.46</f>
        <v>8872.4599999999991</v>
      </c>
      <c r="N1002">
        <f>344.807</f>
        <v>344.80700000000002</v>
      </c>
      <c r="O1002">
        <f>2984.6</f>
        <v>2984.6</v>
      </c>
      <c r="P1002">
        <f>219.19</f>
        <v>219.19</v>
      </c>
      <c r="Q1002">
        <f>2752.402</f>
        <v>2752.402</v>
      </c>
      <c r="R1002">
        <f>5818.84</f>
        <v>5818.84</v>
      </c>
      <c r="S1002">
        <f>2247.47</f>
        <v>2247.4699999999998</v>
      </c>
      <c r="T1002">
        <f>3571.462</f>
        <v>3571.462</v>
      </c>
      <c r="U1002">
        <f>54255.62</f>
        <v>54255.62</v>
      </c>
      <c r="V1002">
        <f>420.8</f>
        <v>420.8</v>
      </c>
    </row>
    <row r="1003" spans="1:22" x14ac:dyDescent="0.2">
      <c r="A1003" s="1">
        <v>43704</v>
      </c>
      <c r="B1003">
        <f>2273.55</f>
        <v>2273.5500000000002</v>
      </c>
      <c r="C1003">
        <f>9402.16</f>
        <v>9402.16</v>
      </c>
      <c r="D1003">
        <f>6494.04</f>
        <v>6494.04</v>
      </c>
      <c r="E1003">
        <f>2207.317</f>
        <v>2207.317</v>
      </c>
      <c r="F1003">
        <f>1777.46</f>
        <v>1777.46</v>
      </c>
      <c r="G1003">
        <f>8004.748</f>
        <v>8004.7479999999996</v>
      </c>
      <c r="H1003">
        <f>2984.86</f>
        <v>2984.86</v>
      </c>
      <c r="I1003">
        <f>10115.28</f>
        <v>10115.280000000001</v>
      </c>
      <c r="J1003">
        <f>4204.62</f>
        <v>4204.62</v>
      </c>
      <c r="K1003">
        <f>12004.55</f>
        <v>12004.55</v>
      </c>
      <c r="L1003">
        <f>2081.2</f>
        <v>2081.1999999999998</v>
      </c>
      <c r="M1003">
        <f>8842.35</f>
        <v>8842.35</v>
      </c>
      <c r="N1003">
        <f>346.033</f>
        <v>346.03300000000002</v>
      </c>
      <c r="O1003">
        <f>2989.4</f>
        <v>2989.4</v>
      </c>
      <c r="P1003">
        <f>219.23</f>
        <v>219.23</v>
      </c>
      <c r="Q1003">
        <f>2732.229</f>
        <v>2732.2289999999998</v>
      </c>
      <c r="R1003">
        <f>5780.79</f>
        <v>5780.79</v>
      </c>
      <c r="S1003">
        <f>2246.47</f>
        <v>2246.4699999999998</v>
      </c>
      <c r="T1003">
        <f>3550.978</f>
        <v>3550.9780000000001</v>
      </c>
      <c r="U1003">
        <f>53895.75</f>
        <v>53895.75</v>
      </c>
      <c r="V1003">
        <f>414.63</f>
        <v>414.63</v>
      </c>
    </row>
    <row r="1004" spans="1:22" x14ac:dyDescent="0.2">
      <c r="A1004" s="1">
        <v>43703</v>
      </c>
      <c r="B1004" t="e">
        <f>NA()</f>
        <v>#N/A</v>
      </c>
      <c r="C1004">
        <f>9397.94</f>
        <v>9397.94</v>
      </c>
      <c r="D1004" t="e">
        <f>NA()</f>
        <v>#N/A</v>
      </c>
      <c r="E1004">
        <f>2198.592</f>
        <v>2198.5920000000001</v>
      </c>
      <c r="F1004">
        <f>1765.07</f>
        <v>1765.07</v>
      </c>
      <c r="G1004">
        <f>7976.017</f>
        <v>7976.0169999999998</v>
      </c>
      <c r="H1004">
        <f>2956.99</f>
        <v>2956.99</v>
      </c>
      <c r="I1004">
        <f>10059.84</f>
        <v>10059.84</v>
      </c>
      <c r="J1004">
        <f>4217.06</f>
        <v>4217.0600000000004</v>
      </c>
      <c r="K1004">
        <f>12044.79</f>
        <v>12044.79</v>
      </c>
      <c r="L1004">
        <f>2081.45</f>
        <v>2081.4499999999998</v>
      </c>
      <c r="M1004">
        <f>8843.56</f>
        <v>8843.56</v>
      </c>
      <c r="N1004">
        <f>343.403</f>
        <v>343.40300000000002</v>
      </c>
      <c r="O1004">
        <f>2970.13</f>
        <v>2970.13</v>
      </c>
      <c r="P1004">
        <f>217.36</f>
        <v>217.36</v>
      </c>
      <c r="Q1004">
        <f>2735.336</f>
        <v>2735.3359999999998</v>
      </c>
      <c r="R1004">
        <f>5799.34</f>
        <v>5799.34</v>
      </c>
      <c r="S1004">
        <f>2228.89</f>
        <v>2228.89</v>
      </c>
      <c r="T1004">
        <f>3554.729</f>
        <v>3554.7289999999998</v>
      </c>
      <c r="U1004">
        <f>53811.89</f>
        <v>53811.89</v>
      </c>
      <c r="V1004">
        <f>416.86</f>
        <v>416.86</v>
      </c>
    </row>
    <row r="1005" spans="1:22" x14ac:dyDescent="0.2">
      <c r="A1005" s="1">
        <v>43700</v>
      </c>
      <c r="B1005">
        <f>2262.79</f>
        <v>2262.79</v>
      </c>
      <c r="C1005">
        <f>9541.38</f>
        <v>9541.3799999999992</v>
      </c>
      <c r="D1005">
        <f>6498.99</f>
        <v>6498.99</v>
      </c>
      <c r="E1005">
        <f>2227.569</f>
        <v>2227.569</v>
      </c>
      <c r="F1005">
        <f>1772.58</f>
        <v>1772.58</v>
      </c>
      <c r="G1005">
        <f>8009.951</f>
        <v>8009.951</v>
      </c>
      <c r="H1005">
        <f>2997.9</f>
        <v>2997.9</v>
      </c>
      <c r="I1005">
        <f>10039.53</f>
        <v>10039.530000000001</v>
      </c>
      <c r="J1005">
        <f>4176.13</f>
        <v>4176.13</v>
      </c>
      <c r="K1005">
        <f>11914.77</f>
        <v>11914.77</v>
      </c>
      <c r="L1005">
        <f>2073.36</f>
        <v>2073.36</v>
      </c>
      <c r="M1005">
        <f>8798.31</f>
        <v>8798.31</v>
      </c>
      <c r="N1005">
        <f>343.558</f>
        <v>343.55799999999999</v>
      </c>
      <c r="O1005">
        <f>2966.75</f>
        <v>2966.75</v>
      </c>
      <c r="P1005">
        <f>220.72</f>
        <v>220.72</v>
      </c>
      <c r="Q1005">
        <f>2712.856</f>
        <v>2712.8560000000002</v>
      </c>
      <c r="R1005">
        <f>5735.63</f>
        <v>5735.63</v>
      </c>
      <c r="S1005">
        <f>2265.41</f>
        <v>2265.41</v>
      </c>
      <c r="T1005">
        <f>3564.629</f>
        <v>3564.6289999999999</v>
      </c>
      <c r="U1005">
        <f>53995.82</f>
        <v>53995.82</v>
      </c>
      <c r="V1005">
        <f>418.18</f>
        <v>418.18</v>
      </c>
    </row>
    <row r="1006" spans="1:22" x14ac:dyDescent="0.2">
      <c r="A1006" s="1">
        <v>43699</v>
      </c>
      <c r="B1006">
        <f>2263.47</f>
        <v>2263.4699999999998</v>
      </c>
      <c r="C1006">
        <f>9540.6</f>
        <v>9540.6</v>
      </c>
      <c r="D1006">
        <f>6529.39</f>
        <v>6529.39</v>
      </c>
      <c r="E1006">
        <f>2232.091</f>
        <v>2232.0909999999999</v>
      </c>
      <c r="F1006">
        <f>1770.87</f>
        <v>1770.87</v>
      </c>
      <c r="G1006">
        <f>8033.689</f>
        <v>8033.6890000000003</v>
      </c>
      <c r="H1006">
        <f>2978.66</f>
        <v>2978.66</v>
      </c>
      <c r="I1006">
        <f>10105.35</f>
        <v>10105.35</v>
      </c>
      <c r="J1006">
        <f>4274.45</f>
        <v>4274.45</v>
      </c>
      <c r="K1006">
        <f>12231.29</f>
        <v>12231.29</v>
      </c>
      <c r="L1006">
        <f>2103.51</f>
        <v>2103.5100000000002</v>
      </c>
      <c r="M1006">
        <f>8953.66</f>
        <v>8953.66</v>
      </c>
      <c r="N1006">
        <f>345.553</f>
        <v>345.553</v>
      </c>
      <c r="O1006">
        <f>2992.28</f>
        <v>2992.28</v>
      </c>
      <c r="P1006">
        <f>220.15</f>
        <v>220.15</v>
      </c>
      <c r="Q1006">
        <f>2780.677</f>
        <v>2780.6770000000001</v>
      </c>
      <c r="R1006">
        <f>5888.37</f>
        <v>5888.37</v>
      </c>
      <c r="S1006">
        <f>2259.1</f>
        <v>2259.1</v>
      </c>
      <c r="T1006">
        <f>3581.45</f>
        <v>3581.45</v>
      </c>
      <c r="U1006">
        <f>54187.93</f>
        <v>54187.93</v>
      </c>
      <c r="V1006">
        <f>421.46</f>
        <v>421.46</v>
      </c>
    </row>
    <row r="1007" spans="1:22" x14ac:dyDescent="0.2">
      <c r="A1007" s="1">
        <v>43698</v>
      </c>
      <c r="B1007">
        <f>2264.66</f>
        <v>2264.66</v>
      </c>
      <c r="C1007">
        <f>9600.95</f>
        <v>9600.9500000000007</v>
      </c>
      <c r="D1007">
        <f>6593.62</f>
        <v>6593.62</v>
      </c>
      <c r="E1007">
        <f>2248.999</f>
        <v>2248.9989999999998</v>
      </c>
      <c r="F1007">
        <f>1752.89</f>
        <v>1752.89</v>
      </c>
      <c r="G1007">
        <f>8028.273</f>
        <v>8028.2730000000001</v>
      </c>
      <c r="H1007">
        <f>2971.91</f>
        <v>2971.91</v>
      </c>
      <c r="I1007">
        <f>10174.16</f>
        <v>10174.16</v>
      </c>
      <c r="J1007">
        <f>4268.46</f>
        <v>4268.46</v>
      </c>
      <c r="K1007">
        <f>12239.4</f>
        <v>12239.4</v>
      </c>
      <c r="L1007">
        <f>2104.9</f>
        <v>2104.9</v>
      </c>
      <c r="M1007">
        <f>8969.02</f>
        <v>8969.02</v>
      </c>
      <c r="N1007">
        <f>347.047</f>
        <v>347.04700000000003</v>
      </c>
      <c r="O1007">
        <f>3004.18</f>
        <v>3004.18</v>
      </c>
      <c r="P1007">
        <f>220.17</f>
        <v>220.17</v>
      </c>
      <c r="Q1007">
        <f>2777.266</f>
        <v>2777.2660000000001</v>
      </c>
      <c r="R1007">
        <f>5891.19</f>
        <v>5891.19</v>
      </c>
      <c r="S1007">
        <f>2258.27</f>
        <v>2258.27</v>
      </c>
      <c r="T1007">
        <f>3618.916</f>
        <v>3618.9160000000002</v>
      </c>
      <c r="U1007">
        <f>54638.03</f>
        <v>54638.03</v>
      </c>
      <c r="V1007">
        <f>428.23</f>
        <v>428.23</v>
      </c>
    </row>
    <row r="1008" spans="1:22" x14ac:dyDescent="0.2">
      <c r="A1008" s="1">
        <v>43697</v>
      </c>
      <c r="B1008">
        <f>2244.99</f>
        <v>2244.9899999999998</v>
      </c>
      <c r="C1008">
        <f>9557.38</f>
        <v>9557.3799999999992</v>
      </c>
      <c r="D1008">
        <f>6521.34</f>
        <v>6521.34</v>
      </c>
      <c r="E1008">
        <f>2242.019</f>
        <v>2242.0189999999998</v>
      </c>
      <c r="F1008">
        <f>1746.27</f>
        <v>1746.27</v>
      </c>
      <c r="G1008">
        <f>7945.271</f>
        <v>7945.2709999999997</v>
      </c>
      <c r="H1008">
        <f>2985.06</f>
        <v>2985.06</v>
      </c>
      <c r="I1008">
        <f>10039.76</f>
        <v>10039.76</v>
      </c>
      <c r="J1008">
        <f>4230.98</f>
        <v>4230.9799999999996</v>
      </c>
      <c r="K1008">
        <f>12136.59</f>
        <v>12136.59</v>
      </c>
      <c r="L1008">
        <f>2087.86</f>
        <v>2087.86</v>
      </c>
      <c r="M1008">
        <f>8901.63</f>
        <v>8901.6299999999992</v>
      </c>
      <c r="N1008">
        <f>343.098</f>
        <v>343.09800000000001</v>
      </c>
      <c r="O1008">
        <f>2969.61</f>
        <v>2969.61</v>
      </c>
      <c r="P1008">
        <f>221.74</f>
        <v>221.74</v>
      </c>
      <c r="Q1008">
        <f>2749.97</f>
        <v>2749.97</v>
      </c>
      <c r="R1008">
        <f>5842.76</f>
        <v>5842.76</v>
      </c>
      <c r="S1008">
        <f>2272.23</f>
        <v>2272.23</v>
      </c>
      <c r="T1008">
        <f>3579.115</f>
        <v>3579.1149999999998</v>
      </c>
      <c r="U1008">
        <f>54280.8</f>
        <v>54280.800000000003</v>
      </c>
      <c r="V1008">
        <f>427.04</f>
        <v>427.04</v>
      </c>
    </row>
    <row r="1009" spans="1:22" x14ac:dyDescent="0.2">
      <c r="A1009" s="1">
        <v>43696</v>
      </c>
      <c r="B1009">
        <f>2271.16</f>
        <v>2271.16</v>
      </c>
      <c r="C1009">
        <f>9513.06</f>
        <v>9513.06</v>
      </c>
      <c r="D1009">
        <f>6580.51</f>
        <v>6580.51</v>
      </c>
      <c r="E1009">
        <f>2236.449</f>
        <v>2236.4490000000001</v>
      </c>
      <c r="F1009">
        <f>1767.14</f>
        <v>1767.14</v>
      </c>
      <c r="G1009">
        <f>8018.539</f>
        <v>8018.5389999999998</v>
      </c>
      <c r="H1009">
        <f>2963.37</f>
        <v>2963.37</v>
      </c>
      <c r="I1009">
        <f>10111.96</f>
        <v>10111.959999999999</v>
      </c>
      <c r="J1009">
        <f>4264.6</f>
        <v>4264.6000000000004</v>
      </c>
      <c r="K1009">
        <f>12229.13</f>
        <v>12229.13</v>
      </c>
      <c r="L1009">
        <f>2102.94</f>
        <v>2102.94</v>
      </c>
      <c r="M1009">
        <f>8952.56</f>
        <v>8952.56</v>
      </c>
      <c r="N1009">
        <f>344.878</f>
        <v>344.87799999999999</v>
      </c>
      <c r="O1009">
        <f>2989.68</f>
        <v>2989.68</v>
      </c>
      <c r="P1009">
        <f>220.8</f>
        <v>220.8</v>
      </c>
      <c r="Q1009">
        <f>2771.523</f>
        <v>2771.5230000000001</v>
      </c>
      <c r="R1009">
        <f>5888.93</f>
        <v>5888.93</v>
      </c>
      <c r="S1009">
        <f>2253.46</f>
        <v>2253.46</v>
      </c>
      <c r="T1009">
        <f>3577.365</f>
        <v>3577.3649999999998</v>
      </c>
      <c r="U1009">
        <f>54386.31</f>
        <v>54386.31</v>
      </c>
      <c r="V1009">
        <f>428.91</f>
        <v>428.91</v>
      </c>
    </row>
    <row r="1010" spans="1:22" x14ac:dyDescent="0.2">
      <c r="A1010" s="1">
        <v>43693</v>
      </c>
      <c r="B1010">
        <f>2226.11</f>
        <v>2226.11</v>
      </c>
      <c r="C1010">
        <f>9454.14</f>
        <v>9454.14</v>
      </c>
      <c r="D1010">
        <f>6514.15</f>
        <v>6514.15</v>
      </c>
      <c r="E1010">
        <f>2219.238</f>
        <v>2219.2379999999998</v>
      </c>
      <c r="F1010">
        <f>1748.11</f>
        <v>1748.11</v>
      </c>
      <c r="G1010">
        <f>7941.849</f>
        <v>7941.8490000000002</v>
      </c>
      <c r="H1010">
        <f>2945.44</f>
        <v>2945.44</v>
      </c>
      <c r="I1010">
        <f>10003.85</f>
        <v>10003.85</v>
      </c>
      <c r="J1010">
        <f>4214.36</f>
        <v>4214.3599999999997</v>
      </c>
      <c r="K1010">
        <f>12084.93</f>
        <v>12084.93</v>
      </c>
      <c r="L1010">
        <f>2079.18</f>
        <v>2079.1799999999998</v>
      </c>
      <c r="M1010">
        <f>8854.05</f>
        <v>8854.0499999999993</v>
      </c>
      <c r="N1010">
        <f>342.306</f>
        <v>342.30599999999998</v>
      </c>
      <c r="O1010">
        <f>2958.29</f>
        <v>2958.29</v>
      </c>
      <c r="P1010">
        <f>218.24</f>
        <v>218.24</v>
      </c>
      <c r="Q1010">
        <f>2743.209</f>
        <v>2743.2089999999998</v>
      </c>
      <c r="R1010">
        <f>5818.17</f>
        <v>5818.17</v>
      </c>
      <c r="S1010">
        <f>2239.79</f>
        <v>2239.79</v>
      </c>
      <c r="T1010">
        <f>3563.44</f>
        <v>3563.44</v>
      </c>
      <c r="U1010">
        <f>53874.52</f>
        <v>53874.52</v>
      </c>
      <c r="V1010">
        <f>425.95</f>
        <v>425.95</v>
      </c>
    </row>
    <row r="1011" spans="1:22" x14ac:dyDescent="0.2">
      <c r="A1011" s="1">
        <v>43692</v>
      </c>
      <c r="B1011">
        <f>2207.42</f>
        <v>2207.42</v>
      </c>
      <c r="C1011">
        <f>9416.19</f>
        <v>9416.19</v>
      </c>
      <c r="D1011">
        <f>6468.27</f>
        <v>6468.27</v>
      </c>
      <c r="E1011">
        <f>2203.129</f>
        <v>2203.1289999999999</v>
      </c>
      <c r="F1011">
        <f>1731.68</f>
        <v>1731.68</v>
      </c>
      <c r="G1011">
        <f>7868.981</f>
        <v>7868.9809999999998</v>
      </c>
      <c r="H1011">
        <f>2939.62</f>
        <v>2939.62</v>
      </c>
      <c r="I1011">
        <f>9872.313</f>
        <v>9872.3130000000001</v>
      </c>
      <c r="J1011">
        <f>4156.75</f>
        <v>4156.75</v>
      </c>
      <c r="K1011">
        <f>11909.4</f>
        <v>11909.4</v>
      </c>
      <c r="L1011">
        <f>2054.12</f>
        <v>2054.12</v>
      </c>
      <c r="M1011">
        <f>8745.23</f>
        <v>8745.23</v>
      </c>
      <c r="N1011">
        <f>338.241</f>
        <v>338.24099999999999</v>
      </c>
      <c r="O1011">
        <f>2920.48</f>
        <v>2920.48</v>
      </c>
      <c r="P1011">
        <f>217.73</f>
        <v>217.73</v>
      </c>
      <c r="Q1011">
        <f>2706.465</f>
        <v>2706.4650000000001</v>
      </c>
      <c r="R1011">
        <f>5734.49</f>
        <v>5734.49</v>
      </c>
      <c r="S1011">
        <f>2237.62</f>
        <v>2237.62</v>
      </c>
      <c r="T1011">
        <f>3573.151</f>
        <v>3573.1509999999998</v>
      </c>
      <c r="U1011">
        <f>53840.93</f>
        <v>53840.93</v>
      </c>
      <c r="V1011">
        <f>424.96</f>
        <v>424.96</v>
      </c>
    </row>
    <row r="1012" spans="1:22" x14ac:dyDescent="0.2">
      <c r="A1012" s="1">
        <v>43691</v>
      </c>
      <c r="B1012">
        <f>2228.64</f>
        <v>2228.64</v>
      </c>
      <c r="C1012">
        <f>9396.3</f>
        <v>9396.2999999999993</v>
      </c>
      <c r="D1012">
        <f>6517.88</f>
        <v>6517.88</v>
      </c>
      <c r="E1012">
        <f>2205.118</f>
        <v>2205.1179999999999</v>
      </c>
      <c r="F1012">
        <f>1743.83</f>
        <v>1743.83</v>
      </c>
      <c r="G1012">
        <f>7896.075</f>
        <v>7896.0749999999998</v>
      </c>
      <c r="H1012">
        <f>2978.14</f>
        <v>2978.14</v>
      </c>
      <c r="I1012">
        <f>9937.667</f>
        <v>9937.6669999999995</v>
      </c>
      <c r="J1012">
        <f>4146.93</f>
        <v>4146.93</v>
      </c>
      <c r="K1012">
        <f>11880.77</f>
        <v>11880.77</v>
      </c>
      <c r="L1012">
        <f>2060.5</f>
        <v>2060.5</v>
      </c>
      <c r="M1012">
        <f>8756.5</f>
        <v>8756.5</v>
      </c>
      <c r="N1012">
        <f>337.959</f>
        <v>337.959</v>
      </c>
      <c r="O1012">
        <f>2926.28</f>
        <v>2926.28</v>
      </c>
      <c r="P1012">
        <f>220.63</f>
        <v>220.63</v>
      </c>
      <c r="Q1012">
        <f>2690.381</f>
        <v>2690.3809999999999</v>
      </c>
      <c r="R1012">
        <f>5719.3</f>
        <v>5719.3</v>
      </c>
      <c r="S1012">
        <f>2261.21</f>
        <v>2261.21</v>
      </c>
      <c r="T1012">
        <f>3542.054</f>
        <v>3542.0540000000001</v>
      </c>
      <c r="U1012">
        <f>54029.43</f>
        <v>54029.43</v>
      </c>
      <c r="V1012">
        <f>424.13</f>
        <v>424.13</v>
      </c>
    </row>
    <row r="1013" spans="1:22" x14ac:dyDescent="0.2">
      <c r="A1013" s="1">
        <v>43690</v>
      </c>
      <c r="B1013">
        <f>2268.16</f>
        <v>2268.16</v>
      </c>
      <c r="C1013">
        <f>9457.04</f>
        <v>9457.0400000000009</v>
      </c>
      <c r="D1013">
        <f>6611.81</f>
        <v>6611.81</v>
      </c>
      <c r="E1013">
        <f>2215.008</f>
        <v>2215.0079999999998</v>
      </c>
      <c r="F1013">
        <f>1770.79</f>
        <v>1770.79</v>
      </c>
      <c r="G1013">
        <f>8009.515</f>
        <v>8009.5150000000003</v>
      </c>
      <c r="H1013">
        <f>2923.22</f>
        <v>2923.22</v>
      </c>
      <c r="I1013">
        <f>10158.58</f>
        <v>10158.58</v>
      </c>
      <c r="J1013">
        <f>4254.33</f>
        <v>4254.33</v>
      </c>
      <c r="K1013">
        <f>12237.4</f>
        <v>12237.4</v>
      </c>
      <c r="L1013">
        <f>2099.68</f>
        <v>2099.6799999999998</v>
      </c>
      <c r="M1013">
        <f>8956.47</f>
        <v>8956.4699999999993</v>
      </c>
      <c r="N1013">
        <f>342.07</f>
        <v>342.07</v>
      </c>
      <c r="O1013">
        <f>2975.28</f>
        <v>2975.28</v>
      </c>
      <c r="P1013">
        <f>218.97</f>
        <v>218.97</v>
      </c>
      <c r="Q1013">
        <f>2765.58554</f>
        <v>2765.58554</v>
      </c>
      <c r="R1013">
        <f>5890.16</f>
        <v>5890.16</v>
      </c>
      <c r="S1013">
        <f>2241.72</f>
        <v>2241.7199999999998</v>
      </c>
      <c r="T1013">
        <f>3603.541</f>
        <v>3603.5410000000002</v>
      </c>
      <c r="U1013">
        <f>55191.97</f>
        <v>55191.97</v>
      </c>
      <c r="V1013">
        <f>433.14</f>
        <v>433.14</v>
      </c>
    </row>
    <row r="1014" spans="1:22" x14ac:dyDescent="0.2">
      <c r="A1014" s="1">
        <v>43689</v>
      </c>
      <c r="B1014">
        <f>2244.34</f>
        <v>2244.34</v>
      </c>
      <c r="C1014">
        <f>9536.22</f>
        <v>9536.2199999999993</v>
      </c>
      <c r="D1014">
        <f>6589.77</f>
        <v>6589.77</v>
      </c>
      <c r="E1014">
        <f>2227.107</f>
        <v>2227.107</v>
      </c>
      <c r="F1014">
        <f>1765.4</f>
        <v>1765.4</v>
      </c>
      <c r="G1014">
        <f>7993.026</f>
        <v>7993.0259999999998</v>
      </c>
      <c r="H1014">
        <f>3011.58</f>
        <v>3011.58</v>
      </c>
      <c r="I1014">
        <f>10127.44</f>
        <v>10127.44</v>
      </c>
      <c r="J1014">
        <f>4203.59</f>
        <v>4203.59</v>
      </c>
      <c r="K1014">
        <f>12059.08</f>
        <v>12059.08</v>
      </c>
      <c r="L1014">
        <f>2089.1</f>
        <v>2089.1</v>
      </c>
      <c r="M1014">
        <f>8885.36</f>
        <v>8885.36</v>
      </c>
      <c r="N1014">
        <f>340.962</f>
        <v>340.96199999999999</v>
      </c>
      <c r="O1014">
        <f>2957.95</f>
        <v>2957.95</v>
      </c>
      <c r="P1014" t="e">
        <f>NA()</f>
        <v>#N/A</v>
      </c>
      <c r="Q1014">
        <f>2729.67719</f>
        <v>2729.6771899999999</v>
      </c>
      <c r="R1014">
        <f>5804.25</f>
        <v>5804.25</v>
      </c>
      <c r="S1014" t="e">
        <f>NA()</f>
        <v>#N/A</v>
      </c>
      <c r="T1014">
        <f>3612.147</f>
        <v>3612.1469999999999</v>
      </c>
      <c r="U1014">
        <f>55371.53</f>
        <v>55371.53</v>
      </c>
      <c r="V1014">
        <f>432.35</f>
        <v>432.35</v>
      </c>
    </row>
    <row r="1015" spans="1:22" x14ac:dyDescent="0.2">
      <c r="A1015" s="1">
        <v>43686</v>
      </c>
      <c r="B1015">
        <f>2262.42</f>
        <v>2262.42</v>
      </c>
      <c r="C1015">
        <f>9588.63</f>
        <v>9588.6299999999992</v>
      </c>
      <c r="D1015">
        <f>6614.5</f>
        <v>6614.5</v>
      </c>
      <c r="E1015">
        <f>2241.908</f>
        <v>2241.9079999999999</v>
      </c>
      <c r="F1015">
        <f>1774.85</f>
        <v>1774.85</v>
      </c>
      <c r="G1015">
        <f>8020.915</f>
        <v>8020.915</v>
      </c>
      <c r="H1015">
        <f>3001.6</f>
        <v>3001.6</v>
      </c>
      <c r="I1015">
        <f>10136.62</f>
        <v>10136.620000000001</v>
      </c>
      <c r="J1015">
        <f>4241.06</f>
        <v>4241.0600000000004</v>
      </c>
      <c r="K1015">
        <f>12206.43</f>
        <v>12206.43</v>
      </c>
      <c r="L1015">
        <f>2098.71</f>
        <v>2098.71</v>
      </c>
      <c r="M1015">
        <f>8958.67</f>
        <v>8958.67</v>
      </c>
      <c r="N1015">
        <f>342.458</f>
        <v>342.45800000000003</v>
      </c>
      <c r="O1015">
        <f>2966.33</f>
        <v>2966.33</v>
      </c>
      <c r="P1015">
        <f>222.08</f>
        <v>222.08</v>
      </c>
      <c r="Q1015">
        <f>2760.636</f>
        <v>2760.636</v>
      </c>
      <c r="R1015">
        <f>5873.47</f>
        <v>5873.47</v>
      </c>
      <c r="S1015">
        <f>2267.76</f>
        <v>2267.7600000000002</v>
      </c>
      <c r="T1015" t="e">
        <f>NA()</f>
        <v>#N/A</v>
      </c>
      <c r="U1015" t="e">
        <f>NA()</f>
        <v>#N/A</v>
      </c>
      <c r="V1015" t="e">
        <f>NA()</f>
        <v>#N/A</v>
      </c>
    </row>
    <row r="1016" spans="1:22" x14ac:dyDescent="0.2">
      <c r="A1016" s="1">
        <v>43685</v>
      </c>
      <c r="B1016">
        <f>2281.87</f>
        <v>2281.87</v>
      </c>
      <c r="C1016">
        <f>9605.8</f>
        <v>9605.7999999999993</v>
      </c>
      <c r="D1016">
        <f>6643.73</f>
        <v>6643.73</v>
      </c>
      <c r="E1016">
        <f>2248.936</f>
        <v>2248.9360000000001</v>
      </c>
      <c r="F1016">
        <f>1782.5</f>
        <v>1782.5</v>
      </c>
      <c r="G1016">
        <f>8092.187</f>
        <v>8092.1869999999999</v>
      </c>
      <c r="H1016">
        <f>2971.35</f>
        <v>2971.35</v>
      </c>
      <c r="I1016">
        <f>10217.58</f>
        <v>10217.58</v>
      </c>
      <c r="J1016">
        <f>4261.63</f>
        <v>4261.63</v>
      </c>
      <c r="K1016">
        <f>12287.73</f>
        <v>12287.73</v>
      </c>
      <c r="L1016">
        <f>2106.28</f>
        <v>2106.2800000000002</v>
      </c>
      <c r="M1016">
        <f>9006.1</f>
        <v>9006.1</v>
      </c>
      <c r="N1016">
        <f>344.499</f>
        <v>344.49900000000002</v>
      </c>
      <c r="O1016">
        <f>2992.05</f>
        <v>2992.05</v>
      </c>
      <c r="P1016">
        <f>221.27</f>
        <v>221.27</v>
      </c>
      <c r="Q1016">
        <f>2775.73</f>
        <v>2775.73</v>
      </c>
      <c r="R1016">
        <f>5911.66</f>
        <v>5911.66</v>
      </c>
      <c r="S1016">
        <f>2259.94</f>
        <v>2259.94</v>
      </c>
      <c r="T1016">
        <f>3647.249</f>
        <v>3647.2489999999998</v>
      </c>
      <c r="U1016">
        <f>55535.24</f>
        <v>55535.24</v>
      </c>
      <c r="V1016">
        <f>435.76</f>
        <v>435.76</v>
      </c>
    </row>
    <row r="1017" spans="1:22" x14ac:dyDescent="0.2">
      <c r="A1017" s="1">
        <v>43684</v>
      </c>
      <c r="B1017">
        <f>2263.1</f>
        <v>2263.1</v>
      </c>
      <c r="C1017">
        <f>9525.11</f>
        <v>9525.11</v>
      </c>
      <c r="D1017">
        <f>6531.83</f>
        <v>6531.83</v>
      </c>
      <c r="E1017">
        <f>2222.022</f>
        <v>2222.0219999999999</v>
      </c>
      <c r="F1017">
        <f>1765.26</f>
        <v>1765.26</v>
      </c>
      <c r="G1017">
        <f>7971.858</f>
        <v>7971.8580000000002</v>
      </c>
      <c r="H1017">
        <f>2986.93</f>
        <v>2986.93</v>
      </c>
      <c r="I1017">
        <f>10045.47</f>
        <v>10045.469999999999</v>
      </c>
      <c r="J1017">
        <f>4199.7</f>
        <v>4199.7</v>
      </c>
      <c r="K1017">
        <f>12054.88</f>
        <v>12054.88</v>
      </c>
      <c r="L1017">
        <f>2078.18</f>
        <v>2078.1799999999998</v>
      </c>
      <c r="M1017">
        <f>8864.01</f>
        <v>8864.01</v>
      </c>
      <c r="N1017">
        <f>338.471</f>
        <v>338.471</v>
      </c>
      <c r="O1017">
        <f>2936.82</f>
        <v>2936.82</v>
      </c>
      <c r="P1017">
        <f>222.18</f>
        <v>222.18</v>
      </c>
      <c r="Q1017">
        <f>2726.865</f>
        <v>2726.8649999999998</v>
      </c>
      <c r="R1017">
        <f>5801.32</f>
        <v>5801.32</v>
      </c>
      <c r="S1017">
        <f>2261.86</f>
        <v>2261.86</v>
      </c>
      <c r="T1017">
        <f>3659.488</f>
        <v>3659.4879999999998</v>
      </c>
      <c r="U1017">
        <f>55225.32</f>
        <v>55225.32</v>
      </c>
      <c r="V1017">
        <f>434.65</f>
        <v>434.65</v>
      </c>
    </row>
    <row r="1018" spans="1:22" x14ac:dyDescent="0.2">
      <c r="A1018" s="1">
        <v>43683</v>
      </c>
      <c r="B1018">
        <f>2258.37</f>
        <v>2258.37</v>
      </c>
      <c r="C1018">
        <f>9543.48</f>
        <v>9543.48</v>
      </c>
      <c r="D1018">
        <f>6507.32</f>
        <v>6507.32</v>
      </c>
      <c r="E1018">
        <f>2221.983</f>
        <v>2221.9830000000002</v>
      </c>
      <c r="F1018">
        <f>1763.8</f>
        <v>1763.8</v>
      </c>
      <c r="G1018">
        <f>7956.33</f>
        <v>7956.33</v>
      </c>
      <c r="H1018">
        <f>2982.31</f>
        <v>2982.31</v>
      </c>
      <c r="I1018">
        <f>9985.823</f>
        <v>9985.8230000000003</v>
      </c>
      <c r="J1018">
        <f>4193.42</f>
        <v>4193.42</v>
      </c>
      <c r="K1018">
        <f>12042.73</f>
        <v>12042.73</v>
      </c>
      <c r="L1018">
        <f>2075.03</f>
        <v>2075.0300000000002</v>
      </c>
      <c r="M1018">
        <f>8843.5</f>
        <v>8843.5</v>
      </c>
      <c r="N1018">
        <f>335.727</f>
        <v>335.72699999999998</v>
      </c>
      <c r="O1018">
        <f>2929.28</f>
        <v>2929.28</v>
      </c>
      <c r="P1018">
        <f>223.01</f>
        <v>223.01</v>
      </c>
      <c r="Q1018">
        <f>2713.789</f>
        <v>2713.7890000000002</v>
      </c>
      <c r="R1018">
        <f>5796.72</f>
        <v>5796.72</v>
      </c>
      <c r="S1018">
        <f>2260.8</f>
        <v>2260.8000000000002</v>
      </c>
      <c r="T1018">
        <f>3670.719</f>
        <v>3670.7190000000001</v>
      </c>
      <c r="U1018">
        <f>55062.01</f>
        <v>55062.01</v>
      </c>
      <c r="V1018">
        <f>437.55</f>
        <v>437.55</v>
      </c>
    </row>
    <row r="1019" spans="1:22" x14ac:dyDescent="0.2">
      <c r="A1019" s="1">
        <v>43682</v>
      </c>
      <c r="B1019">
        <f>2268.49</f>
        <v>2268.4899999999998</v>
      </c>
      <c r="C1019">
        <f>9549.18</f>
        <v>9549.18</v>
      </c>
      <c r="D1019">
        <f>6554.66</f>
        <v>6554.66</v>
      </c>
      <c r="E1019">
        <f>2222.558</f>
        <v>2222.558</v>
      </c>
      <c r="F1019">
        <f>1768.46</f>
        <v>1768.46</v>
      </c>
      <c r="G1019">
        <f>7995.146</f>
        <v>7995.1459999999997</v>
      </c>
      <c r="H1019">
        <f>3000.76</f>
        <v>3000.76</v>
      </c>
      <c r="I1019">
        <f>10027.32</f>
        <v>10027.32</v>
      </c>
      <c r="J1019">
        <f>4151.81</f>
        <v>4151.8100000000004</v>
      </c>
      <c r="K1019">
        <f>11885.72</f>
        <v>11885.72</v>
      </c>
      <c r="L1019">
        <f>2071.31</f>
        <v>2071.31</v>
      </c>
      <c r="M1019">
        <f>8793.28</f>
        <v>8793.2800000000007</v>
      </c>
      <c r="N1019">
        <f>337.585</f>
        <v>337.58499999999998</v>
      </c>
      <c r="O1019">
        <f>2947.06</f>
        <v>2947.06</v>
      </c>
      <c r="P1019">
        <f>224.94</f>
        <v>224.94</v>
      </c>
      <c r="Q1019">
        <f>2685.379</f>
        <v>2685.3789999999999</v>
      </c>
      <c r="R1019">
        <f>5721.8</f>
        <v>5721.8</v>
      </c>
      <c r="S1019">
        <f>2270.82</f>
        <v>2270.8200000000002</v>
      </c>
      <c r="T1019">
        <f>3656.005</f>
        <v>3656.0050000000001</v>
      </c>
      <c r="U1019">
        <f>54975.38</f>
        <v>54975.38</v>
      </c>
      <c r="V1019">
        <f>435.77</f>
        <v>435.77</v>
      </c>
    </row>
    <row r="1020" spans="1:22" x14ac:dyDescent="0.2">
      <c r="A1020" s="1">
        <v>43679</v>
      </c>
      <c r="B1020">
        <f>2324.47</f>
        <v>2324.4699999999998</v>
      </c>
      <c r="C1020">
        <f>9783.07</f>
        <v>9783.07</v>
      </c>
      <c r="D1020">
        <f>6720.89</f>
        <v>6720.89</v>
      </c>
      <c r="E1020">
        <f>2292.738</f>
        <v>2292.7379999999998</v>
      </c>
      <c r="F1020">
        <f>1812.03</f>
        <v>1812.03</v>
      </c>
      <c r="G1020">
        <f>8182.911</f>
        <v>8182.9110000000001</v>
      </c>
      <c r="H1020">
        <f>3039.95</f>
        <v>3039.95</v>
      </c>
      <c r="I1020">
        <f>10167.97</f>
        <v>10167.969999999999</v>
      </c>
      <c r="J1020">
        <f>4260.76</f>
        <v>4260.76</v>
      </c>
      <c r="K1020">
        <f>12253.09</f>
        <v>12253.09</v>
      </c>
      <c r="L1020">
        <f>2111.71</f>
        <v>2111.71</v>
      </c>
      <c r="M1020">
        <f>9013.5</f>
        <v>9013.5</v>
      </c>
      <c r="N1020">
        <f>346.777</f>
        <v>346.77699999999999</v>
      </c>
      <c r="O1020">
        <f>3016.7</f>
        <v>3016.7</v>
      </c>
      <c r="P1020">
        <f>229.28</f>
        <v>229.28</v>
      </c>
      <c r="Q1020">
        <f>2754.776</f>
        <v>2754.7759999999998</v>
      </c>
      <c r="R1020">
        <f>5897.1</f>
        <v>5897.1</v>
      </c>
      <c r="S1020">
        <f>2312.42</f>
        <v>2312.42</v>
      </c>
      <c r="T1020">
        <f>3739.275</f>
        <v>3739.2750000000001</v>
      </c>
      <c r="U1020">
        <f>56273.92</f>
        <v>56273.919999999998</v>
      </c>
      <c r="V1020">
        <f>444.76</f>
        <v>444.76</v>
      </c>
    </row>
    <row r="1021" spans="1:22" x14ac:dyDescent="0.2">
      <c r="A1021" s="1">
        <v>43678</v>
      </c>
      <c r="B1021">
        <f>2376.22</f>
        <v>2376.2199999999998</v>
      </c>
      <c r="C1021">
        <f>10008.3</f>
        <v>10008.299999999999</v>
      </c>
      <c r="D1021">
        <f>6882.23</f>
        <v>6882.23</v>
      </c>
      <c r="E1021">
        <f>2340.119</f>
        <v>2340.1190000000001</v>
      </c>
      <c r="F1021">
        <f>1861.37</f>
        <v>1861.37</v>
      </c>
      <c r="G1021">
        <f>8402.621</f>
        <v>8402.6209999999992</v>
      </c>
      <c r="H1021">
        <f>3065.78</f>
        <v>3065.78</v>
      </c>
      <c r="I1021">
        <f>10365.13</f>
        <v>10365.129999999999</v>
      </c>
      <c r="J1021">
        <f>4278.49</f>
        <v>4278.49</v>
      </c>
      <c r="K1021">
        <f>12348.87</f>
        <v>12348.87</v>
      </c>
      <c r="L1021">
        <f>2131.33</f>
        <v>2131.33</v>
      </c>
      <c r="M1021">
        <f>9110.16</f>
        <v>9110.16</v>
      </c>
      <c r="N1021">
        <f>354.498</f>
        <v>354.49799999999999</v>
      </c>
      <c r="O1021">
        <f>3093.05</f>
        <v>3093.05</v>
      </c>
      <c r="P1021">
        <f>235.25</f>
        <v>235.25</v>
      </c>
      <c r="Q1021">
        <f>2769.091</f>
        <v>2769.0909999999999</v>
      </c>
      <c r="R1021">
        <f>5939.83</f>
        <v>5939.83</v>
      </c>
      <c r="S1021">
        <f>2363.52</f>
        <v>2363.52</v>
      </c>
      <c r="T1021">
        <f>3769.994</f>
        <v>3769.9940000000001</v>
      </c>
      <c r="U1021">
        <f>57223.61</f>
        <v>57223.61</v>
      </c>
      <c r="V1021">
        <f>449.77</f>
        <v>449.77</v>
      </c>
    </row>
    <row r="1022" spans="1:22" x14ac:dyDescent="0.2">
      <c r="A1022" s="1">
        <v>43677</v>
      </c>
      <c r="B1022">
        <f>2376.59</f>
        <v>2376.59</v>
      </c>
      <c r="C1022">
        <f>10134.49</f>
        <v>10134.49</v>
      </c>
      <c r="D1022">
        <f>6883.04</f>
        <v>6883.04</v>
      </c>
      <c r="E1022">
        <f>2368.229</f>
        <v>2368.2289999999998</v>
      </c>
      <c r="F1022">
        <f>1878.57</f>
        <v>1878.57</v>
      </c>
      <c r="G1022">
        <f>8469.931</f>
        <v>8469.9310000000005</v>
      </c>
      <c r="H1022">
        <f>3058.58</f>
        <v>3058.58</v>
      </c>
      <c r="I1022">
        <f>10371.75</f>
        <v>10371.75</v>
      </c>
      <c r="J1022">
        <f>4314.77</f>
        <v>4314.7700000000004</v>
      </c>
      <c r="K1022">
        <f>12461.15</f>
        <v>12461.15</v>
      </c>
      <c r="L1022">
        <f>2142.98</f>
        <v>2142.98</v>
      </c>
      <c r="M1022">
        <f>9169.82</f>
        <v>9169.82</v>
      </c>
      <c r="N1022">
        <f>349.793</f>
        <v>349.79300000000001</v>
      </c>
      <c r="O1022">
        <f>3079.27</f>
        <v>3079.27</v>
      </c>
      <c r="P1022">
        <f>236.26</f>
        <v>236.26</v>
      </c>
      <c r="Q1022">
        <f>2804.69683</f>
        <v>2804.6968299999999</v>
      </c>
      <c r="R1022">
        <f>5993.17</f>
        <v>5993.17</v>
      </c>
      <c r="S1022">
        <f>2360.18</f>
        <v>2360.1799999999998</v>
      </c>
      <c r="T1022">
        <f>3768.499</f>
        <v>3768.4989999999998</v>
      </c>
      <c r="U1022">
        <f>56784.61</f>
        <v>56784.61</v>
      </c>
      <c r="V1022">
        <f>452.5</f>
        <v>452.5</v>
      </c>
    </row>
    <row r="1023" spans="1:22" x14ac:dyDescent="0.2">
      <c r="A1023" s="1">
        <v>43676</v>
      </c>
      <c r="B1023">
        <f>2399.28</f>
        <v>2399.2800000000002</v>
      </c>
      <c r="C1023">
        <f>10178.58</f>
        <v>10178.58</v>
      </c>
      <c r="D1023">
        <f>6937.47</f>
        <v>6937.47</v>
      </c>
      <c r="E1023">
        <f>2381.93</f>
        <v>2381.9299999999998</v>
      </c>
      <c r="F1023">
        <f>1884.92</f>
        <v>1884.92</v>
      </c>
      <c r="G1023">
        <f>8476.046</f>
        <v>8476.0460000000003</v>
      </c>
      <c r="H1023">
        <f>3084.07</f>
        <v>3084.07</v>
      </c>
      <c r="I1023">
        <f>10351.46</f>
        <v>10351.459999999999</v>
      </c>
      <c r="J1023">
        <f>4370.88</f>
        <v>4370.88</v>
      </c>
      <c r="K1023">
        <f>12593.63</f>
        <v>12593.63</v>
      </c>
      <c r="L1023">
        <f>2158.05</f>
        <v>2158.0500000000002</v>
      </c>
      <c r="M1023">
        <f>9235.84</f>
        <v>9235.84</v>
      </c>
      <c r="N1023">
        <f>349.057</f>
        <v>349.05700000000002</v>
      </c>
      <c r="O1023">
        <f>3073.96</f>
        <v>3073.96</v>
      </c>
      <c r="P1023">
        <f>238.6</f>
        <v>238.6</v>
      </c>
      <c r="Q1023">
        <f>2839.86</f>
        <v>2839.86</v>
      </c>
      <c r="R1023">
        <f>6058.96</f>
        <v>6058.96</v>
      </c>
      <c r="S1023">
        <f>2375.93</f>
        <v>2375.9299999999998</v>
      </c>
      <c r="T1023">
        <f>3788.665</f>
        <v>3788.665</v>
      </c>
      <c r="U1023">
        <f>57241.55</f>
        <v>57241.55</v>
      </c>
      <c r="V1023">
        <f>454.5</f>
        <v>454.5</v>
      </c>
    </row>
    <row r="1024" spans="1:22" x14ac:dyDescent="0.2">
      <c r="A1024" s="1">
        <v>43675</v>
      </c>
      <c r="B1024">
        <f>2430.35</f>
        <v>2430.35</v>
      </c>
      <c r="C1024">
        <f>10196.48</f>
        <v>10196.48</v>
      </c>
      <c r="D1024">
        <f>6973.61</f>
        <v>6973.61</v>
      </c>
      <c r="E1024">
        <f>2387.612</f>
        <v>2387.6120000000001</v>
      </c>
      <c r="F1024">
        <f>1919.99</f>
        <v>1919.99</v>
      </c>
      <c r="G1024">
        <f>8572.563</f>
        <v>8572.5630000000001</v>
      </c>
      <c r="H1024">
        <f>3061.6</f>
        <v>3061.6</v>
      </c>
      <c r="I1024">
        <f>10502.83</f>
        <v>10502.83</v>
      </c>
      <c r="J1024">
        <f>4388.1</f>
        <v>4388.1000000000004</v>
      </c>
      <c r="K1024">
        <f>12625.13</f>
        <v>12625.13</v>
      </c>
      <c r="L1024">
        <f>2170.85</f>
        <v>2170.85</v>
      </c>
      <c r="M1024">
        <f>9273.24</f>
        <v>9273.24</v>
      </c>
      <c r="N1024">
        <f>354.068</f>
        <v>354.06799999999998</v>
      </c>
      <c r="O1024">
        <f>3119.36</f>
        <v>3119.36</v>
      </c>
      <c r="P1024">
        <f>237.8</f>
        <v>237.8</v>
      </c>
      <c r="Q1024">
        <f>2834.679</f>
        <v>2834.6790000000001</v>
      </c>
      <c r="R1024">
        <f>6074.01</f>
        <v>6074.01</v>
      </c>
      <c r="S1024">
        <f>2365.16</f>
        <v>2365.16</v>
      </c>
      <c r="T1024">
        <f>3826.771</f>
        <v>3826.7710000000002</v>
      </c>
      <c r="U1024">
        <f>58034.77</f>
        <v>58034.77</v>
      </c>
      <c r="V1024">
        <f>459.86</f>
        <v>459.86</v>
      </c>
    </row>
    <row r="1025" spans="1:22" x14ac:dyDescent="0.2">
      <c r="A1025" s="1">
        <v>43672</v>
      </c>
      <c r="B1025">
        <f>2410.34</f>
        <v>2410.34</v>
      </c>
      <c r="C1025">
        <f>10222.17</f>
        <v>10222.17</v>
      </c>
      <c r="D1025">
        <f>6848.82</f>
        <v>6848.82</v>
      </c>
      <c r="E1025">
        <f>2394.144</f>
        <v>2394.1439999999998</v>
      </c>
      <c r="F1025">
        <f>1920.77</f>
        <v>1920.77</v>
      </c>
      <c r="G1025">
        <f>8529.172</f>
        <v>8529.1720000000005</v>
      </c>
      <c r="H1025">
        <f>3085.73</f>
        <v>3085.73</v>
      </c>
      <c r="I1025">
        <f>10503.07</f>
        <v>10503.07</v>
      </c>
      <c r="J1025">
        <f>4381.02</f>
        <v>4381.0200000000004</v>
      </c>
      <c r="K1025">
        <f>12649.01</f>
        <v>12649.01</v>
      </c>
      <c r="L1025">
        <f>2169.73</f>
        <v>2169.73</v>
      </c>
      <c r="M1025">
        <f>9286.54</f>
        <v>9286.5400000000009</v>
      </c>
      <c r="N1025">
        <f>353.805</f>
        <v>353.80500000000001</v>
      </c>
      <c r="O1025">
        <f>3118.1</f>
        <v>3118.1</v>
      </c>
      <c r="P1025">
        <f>238.8</f>
        <v>238.8</v>
      </c>
      <c r="Q1025">
        <f>2837.446</f>
        <v>2837.4459999999999</v>
      </c>
      <c r="R1025">
        <f>6083.82</f>
        <v>6083.82</v>
      </c>
      <c r="S1025">
        <f>2369.61</f>
        <v>2369.61</v>
      </c>
      <c r="T1025">
        <f>3804.89</f>
        <v>3804.89</v>
      </c>
      <c r="U1025">
        <f>57570.54</f>
        <v>57570.54</v>
      </c>
      <c r="V1025">
        <f>455.3</f>
        <v>455.3</v>
      </c>
    </row>
    <row r="1026" spans="1:22" x14ac:dyDescent="0.2">
      <c r="A1026" s="1">
        <v>43671</v>
      </c>
      <c r="B1026">
        <f>2400.93</f>
        <v>2400.9299999999998</v>
      </c>
      <c r="C1026">
        <f>10286.41</f>
        <v>10286.41</v>
      </c>
      <c r="D1026">
        <f>6794.38</f>
        <v>6794.38</v>
      </c>
      <c r="E1026">
        <f>2406.953</f>
        <v>2406.953</v>
      </c>
      <c r="F1026">
        <f>1925.32</f>
        <v>1925.32</v>
      </c>
      <c r="G1026">
        <f>8535.673</f>
        <v>8535.6730000000007</v>
      </c>
      <c r="H1026">
        <f>3112.5</f>
        <v>3112.5</v>
      </c>
      <c r="I1026">
        <f>10496.54</f>
        <v>10496.54</v>
      </c>
      <c r="J1026">
        <f>4360.1</f>
        <v>4360.1000000000004</v>
      </c>
      <c r="K1026">
        <f>12553.92</f>
        <v>12553.92</v>
      </c>
      <c r="L1026">
        <f>2165.36</f>
        <v>2165.36</v>
      </c>
      <c r="M1026">
        <f>9249.47</f>
        <v>9249.4699999999993</v>
      </c>
      <c r="N1026">
        <f>352.061</f>
        <v>352.06099999999998</v>
      </c>
      <c r="O1026">
        <f>3106.27</f>
        <v>3106.27</v>
      </c>
      <c r="P1026">
        <f>239.94</f>
        <v>239.94</v>
      </c>
      <c r="Q1026">
        <f>2825.427</f>
        <v>2825.4270000000001</v>
      </c>
      <c r="R1026">
        <f>6039.13</f>
        <v>6039.13</v>
      </c>
      <c r="S1026">
        <f>2379.16</f>
        <v>2379.16</v>
      </c>
      <c r="T1026">
        <f>3838.733</f>
        <v>3838.7330000000002</v>
      </c>
      <c r="U1026">
        <f>57662.89</f>
        <v>57662.89</v>
      </c>
      <c r="V1026">
        <f>459.13</f>
        <v>459.13</v>
      </c>
    </row>
    <row r="1027" spans="1:22" x14ac:dyDescent="0.2">
      <c r="A1027" s="1">
        <v>43670</v>
      </c>
      <c r="B1027">
        <f>2420.63</f>
        <v>2420.63</v>
      </c>
      <c r="C1027">
        <f>10289.29</f>
        <v>10289.290000000001</v>
      </c>
      <c r="D1027">
        <f>6803.09</f>
        <v>6803.09</v>
      </c>
      <c r="E1027">
        <f>2407.94</f>
        <v>2407.94</v>
      </c>
      <c r="F1027">
        <f>1926.58</f>
        <v>1926.58</v>
      </c>
      <c r="G1027">
        <f>8551.86</f>
        <v>8551.86</v>
      </c>
      <c r="H1027">
        <f>3133.79</f>
        <v>3133.79</v>
      </c>
      <c r="I1027">
        <f>10550.49</f>
        <v>10550.49</v>
      </c>
      <c r="J1027">
        <f>4373.26</f>
        <v>4373.26</v>
      </c>
      <c r="K1027">
        <f>12623.28</f>
        <v>12623.28</v>
      </c>
      <c r="L1027">
        <f>2171.48</f>
        <v>2171.48</v>
      </c>
      <c r="M1027">
        <f>9294.57</f>
        <v>9294.57</v>
      </c>
      <c r="N1027">
        <f>355.069</f>
        <v>355.06900000000002</v>
      </c>
      <c r="O1027">
        <f>3124.31</f>
        <v>3124.31</v>
      </c>
      <c r="P1027">
        <f>239.13</f>
        <v>239.13</v>
      </c>
      <c r="Q1027">
        <f>2827.747</f>
        <v>2827.7469999999998</v>
      </c>
      <c r="R1027">
        <f>6071.05</f>
        <v>6071.05</v>
      </c>
      <c r="S1027">
        <f>2375</f>
        <v>2375</v>
      </c>
      <c r="T1027">
        <f>3891.933</f>
        <v>3891.933</v>
      </c>
      <c r="U1027">
        <f>57718.1</f>
        <v>57718.1</v>
      </c>
      <c r="V1027">
        <f>462.21</f>
        <v>462.21</v>
      </c>
    </row>
    <row r="1028" spans="1:22" x14ac:dyDescent="0.2">
      <c r="A1028" s="1">
        <v>43669</v>
      </c>
      <c r="B1028">
        <f>2418.5</f>
        <v>2418.5</v>
      </c>
      <c r="C1028">
        <f>10320.85</f>
        <v>10320.85</v>
      </c>
      <c r="D1028">
        <f>6853.33</f>
        <v>6853.33</v>
      </c>
      <c r="E1028">
        <f>2408.046</f>
        <v>2408.0459999999998</v>
      </c>
      <c r="F1028">
        <f>1914.26</f>
        <v>1914.26</v>
      </c>
      <c r="G1028">
        <f>8574.432</f>
        <v>8574.4320000000007</v>
      </c>
      <c r="H1028">
        <f>3121.21</f>
        <v>3121.21</v>
      </c>
      <c r="I1028">
        <f>10543.83</f>
        <v>10543.83</v>
      </c>
      <c r="J1028">
        <f>4352.58</f>
        <v>4352.58</v>
      </c>
      <c r="K1028">
        <f>12560.17</f>
        <v>12560.17</v>
      </c>
      <c r="L1028">
        <f>2167.46</f>
        <v>2167.46</v>
      </c>
      <c r="M1028">
        <f>9259.89</f>
        <v>9259.89</v>
      </c>
      <c r="N1028">
        <f>354.52</f>
        <v>354.52</v>
      </c>
      <c r="O1028">
        <f>3124.03</f>
        <v>3124.03</v>
      </c>
      <c r="P1028">
        <f>238.88</f>
        <v>238.88</v>
      </c>
      <c r="Q1028">
        <f>2822.72</f>
        <v>2822.72</v>
      </c>
      <c r="R1028">
        <f>6042.48</f>
        <v>6042.48</v>
      </c>
      <c r="S1028">
        <f>2365.55</f>
        <v>2365.5500000000002</v>
      </c>
      <c r="T1028">
        <f>3927.899</f>
        <v>3927.8989999999999</v>
      </c>
      <c r="U1028">
        <f>58309.59</f>
        <v>58309.59</v>
      </c>
      <c r="V1028">
        <f>469.82</f>
        <v>469.82</v>
      </c>
    </row>
    <row r="1029" spans="1:22" x14ac:dyDescent="0.2">
      <c r="A1029" s="1">
        <v>43668</v>
      </c>
      <c r="B1029">
        <f>2407.08</f>
        <v>2407.08</v>
      </c>
      <c r="C1029">
        <f>10317.93</f>
        <v>10317.93</v>
      </c>
      <c r="D1029">
        <f>6815.3</f>
        <v>6815.3</v>
      </c>
      <c r="E1029">
        <f>2404.132</f>
        <v>2404.1320000000001</v>
      </c>
      <c r="F1029">
        <f>1919.48</f>
        <v>1919.48</v>
      </c>
      <c r="G1029">
        <f>8565.239</f>
        <v>8565.2389999999996</v>
      </c>
      <c r="H1029">
        <f>3106.72</f>
        <v>3106.72</v>
      </c>
      <c r="I1029">
        <f>10497.9</f>
        <v>10497.9</v>
      </c>
      <c r="J1029">
        <f>4323.91</f>
        <v>4323.91</v>
      </c>
      <c r="K1029">
        <f>12475.4</f>
        <v>12475.4</v>
      </c>
      <c r="L1029">
        <f>2155.73</f>
        <v>2155.73</v>
      </c>
      <c r="M1029">
        <f>9209.87</f>
        <v>9209.8700000000008</v>
      </c>
      <c r="N1029">
        <f>352.54</f>
        <v>352.54</v>
      </c>
      <c r="O1029">
        <f>3091.81</f>
        <v>3091.81</v>
      </c>
      <c r="P1029">
        <f>237.28</f>
        <v>237.28</v>
      </c>
      <c r="Q1029">
        <f>2789.847</f>
        <v>2789.8470000000002</v>
      </c>
      <c r="R1029">
        <f>6001.28</f>
        <v>6001.28</v>
      </c>
      <c r="S1029">
        <f>2346.77</f>
        <v>2346.77</v>
      </c>
      <c r="T1029">
        <f>3920.376</f>
        <v>3920.3760000000002</v>
      </c>
      <c r="U1029">
        <f>58015.09</f>
        <v>58015.09</v>
      </c>
      <c r="V1029">
        <f>468.94</f>
        <v>468.94</v>
      </c>
    </row>
    <row r="1030" spans="1:22" x14ac:dyDescent="0.2">
      <c r="A1030" s="1">
        <v>43665</v>
      </c>
      <c r="B1030">
        <f>2404.9</f>
        <v>2404.9</v>
      </c>
      <c r="C1030">
        <f>10363.77</f>
        <v>10363.77</v>
      </c>
      <c r="D1030">
        <f>6809.65</f>
        <v>6809.65</v>
      </c>
      <c r="E1030">
        <f>2412.326</f>
        <v>2412.326</v>
      </c>
      <c r="F1030">
        <f>1919.79</f>
        <v>1919.79</v>
      </c>
      <c r="G1030">
        <f>8564.246</f>
        <v>8564.2459999999992</v>
      </c>
      <c r="H1030">
        <f>3116.52</f>
        <v>3116.52</v>
      </c>
      <c r="I1030">
        <f>10476.94</f>
        <v>10476.94</v>
      </c>
      <c r="J1030">
        <f>4333.1</f>
        <v>4333.1000000000004</v>
      </c>
      <c r="K1030">
        <f>12439.37</f>
        <v>12439.37</v>
      </c>
      <c r="L1030">
        <f>2160.09</f>
        <v>2160.09</v>
      </c>
      <c r="M1030">
        <f>9196.63</f>
        <v>9196.6299999999992</v>
      </c>
      <c r="N1030">
        <f>353.227</f>
        <v>353.22699999999998</v>
      </c>
      <c r="O1030">
        <f>3087.94</f>
        <v>3087.94</v>
      </c>
      <c r="P1030">
        <f>238.57</f>
        <v>238.57</v>
      </c>
      <c r="Q1030">
        <f>2795.415</f>
        <v>2795.415</v>
      </c>
      <c r="R1030">
        <f>5984.2</f>
        <v>5984.2</v>
      </c>
      <c r="S1030">
        <f>2358.22</f>
        <v>2358.2199999999998</v>
      </c>
      <c r="T1030">
        <f>3943.933</f>
        <v>3943.933</v>
      </c>
      <c r="U1030">
        <f>58248.73</f>
        <v>58248.73</v>
      </c>
      <c r="V1030">
        <f>470.37</f>
        <v>470.37</v>
      </c>
    </row>
    <row r="1031" spans="1:22" x14ac:dyDescent="0.2">
      <c r="A1031" s="1">
        <v>43664</v>
      </c>
      <c r="B1031">
        <f>2396.62</f>
        <v>2396.62</v>
      </c>
      <c r="C1031">
        <f>10293.01</f>
        <v>10293.01</v>
      </c>
      <c r="D1031">
        <f>6795.5</f>
        <v>6795.5</v>
      </c>
      <c r="E1031">
        <f>2398.751</f>
        <v>2398.7510000000002</v>
      </c>
      <c r="F1031">
        <f>1918.9</f>
        <v>1918.9</v>
      </c>
      <c r="G1031">
        <f>8530.543</f>
        <v>8530.5429999999997</v>
      </c>
      <c r="H1031">
        <f>3058.37</f>
        <v>3058.37</v>
      </c>
      <c r="I1031">
        <f>10473.07</f>
        <v>10473.07</v>
      </c>
      <c r="J1031">
        <f>4351.12</f>
        <v>4351.12</v>
      </c>
      <c r="K1031">
        <f>12516.8</f>
        <v>12516.8</v>
      </c>
      <c r="L1031">
        <f>2162.01</f>
        <v>2162.0100000000002</v>
      </c>
      <c r="M1031">
        <f>9212.25</f>
        <v>9212.25</v>
      </c>
      <c r="N1031">
        <f>353.174</f>
        <v>353.17399999999998</v>
      </c>
      <c r="O1031">
        <f>3085.11</f>
        <v>3085.11</v>
      </c>
      <c r="P1031">
        <f>234.3</f>
        <v>234.3</v>
      </c>
      <c r="Q1031">
        <f>2807.724</f>
        <v>2807.7240000000002</v>
      </c>
      <c r="R1031">
        <f>6021.15</f>
        <v>6021.15</v>
      </c>
      <c r="S1031">
        <f>2313.45</f>
        <v>2313.4499999999998</v>
      </c>
      <c r="T1031">
        <f>3931.961</f>
        <v>3931.9609999999998</v>
      </c>
      <c r="U1031">
        <f>57872.53</f>
        <v>57872.53</v>
      </c>
      <c r="V1031">
        <f>464.25</f>
        <v>464.25</v>
      </c>
    </row>
    <row r="1032" spans="1:22" x14ac:dyDescent="0.2">
      <c r="A1032" s="1">
        <v>43663</v>
      </c>
      <c r="B1032">
        <f>2396.14</f>
        <v>2396.14</v>
      </c>
      <c r="C1032">
        <f>10318.3</f>
        <v>10318.299999999999</v>
      </c>
      <c r="D1032">
        <f>6833.92</f>
        <v>6833.92</v>
      </c>
      <c r="E1032">
        <f>2405.83</f>
        <v>2405.83</v>
      </c>
      <c r="F1032">
        <f>1908.66</f>
        <v>1908.66</v>
      </c>
      <c r="G1032">
        <f>8541.167</f>
        <v>8541.1669999999995</v>
      </c>
      <c r="H1032">
        <f>3112.68</f>
        <v>3112.68</v>
      </c>
      <c r="I1032">
        <f>10508.44</f>
        <v>10508.44</v>
      </c>
      <c r="J1032">
        <f>4326.5</f>
        <v>4326.5</v>
      </c>
      <c r="K1032">
        <f>12470.48</f>
        <v>12470.48</v>
      </c>
      <c r="L1032">
        <f>2157.61</f>
        <v>2157.61</v>
      </c>
      <c r="M1032">
        <f>9209.76</f>
        <v>9209.76</v>
      </c>
      <c r="N1032">
        <f>352.933</f>
        <v>352.93299999999999</v>
      </c>
      <c r="O1032">
        <f>3091.73</f>
        <v>3091.73</v>
      </c>
      <c r="P1032">
        <f>239.73</f>
        <v>239.73</v>
      </c>
      <c r="Q1032">
        <f>2801.518</f>
        <v>2801.518</v>
      </c>
      <c r="R1032">
        <f>5999.05</f>
        <v>5999.05</v>
      </c>
      <c r="S1032">
        <f>2363.41</f>
        <v>2363.41</v>
      </c>
      <c r="T1032">
        <f>3912.637</f>
        <v>3912.6370000000002</v>
      </c>
      <c r="U1032">
        <f>57636.01</f>
        <v>57636.01</v>
      </c>
      <c r="V1032">
        <f>459.97</f>
        <v>459.97</v>
      </c>
    </row>
    <row r="1033" spans="1:22" x14ac:dyDescent="0.2">
      <c r="A1033" s="1">
        <v>43662</v>
      </c>
      <c r="B1033">
        <f>2404.02</f>
        <v>2404.02</v>
      </c>
      <c r="C1033">
        <f>10372.01</f>
        <v>10372.01</v>
      </c>
      <c r="D1033">
        <f>6871.78</f>
        <v>6871.78</v>
      </c>
      <c r="E1033">
        <f>2416.435</f>
        <v>2416.4349999999999</v>
      </c>
      <c r="F1033">
        <f>1907.61</f>
        <v>1907.61</v>
      </c>
      <c r="G1033">
        <f>8579.21</f>
        <v>8579.2099999999991</v>
      </c>
      <c r="H1033">
        <f>3109.77</f>
        <v>3109.77</v>
      </c>
      <c r="I1033">
        <f>10542.68</f>
        <v>10542.68</v>
      </c>
      <c r="J1033">
        <f>4347.14</f>
        <v>4347.1400000000003</v>
      </c>
      <c r="K1033">
        <f>12546.88</f>
        <v>12546.88</v>
      </c>
      <c r="L1033">
        <f>2166.31</f>
        <v>2166.31</v>
      </c>
      <c r="M1033">
        <f>9252.21</f>
        <v>9252.2099999999991</v>
      </c>
      <c r="N1033">
        <f>352.783</f>
        <v>352.78300000000002</v>
      </c>
      <c r="O1033">
        <f>3102.39</f>
        <v>3102.39</v>
      </c>
      <c r="P1033">
        <f>240.02</f>
        <v>240.02</v>
      </c>
      <c r="Q1033">
        <f>2823.211</f>
        <v>2823.2109999999998</v>
      </c>
      <c r="R1033">
        <f>6038.4</f>
        <v>6038.4</v>
      </c>
      <c r="S1033">
        <f>2365.42</f>
        <v>2365.42</v>
      </c>
      <c r="T1033">
        <f>3949.018</f>
        <v>3949.018</v>
      </c>
      <c r="U1033">
        <f>58052.72</f>
        <v>58052.72</v>
      </c>
      <c r="V1033">
        <f>462.91</f>
        <v>462.91</v>
      </c>
    </row>
    <row r="1034" spans="1:22" x14ac:dyDescent="0.2">
      <c r="A1034" s="1">
        <v>43661</v>
      </c>
      <c r="B1034">
        <f>2395.11</f>
        <v>2395.11</v>
      </c>
      <c r="C1034">
        <f>10348.2</f>
        <v>10348.200000000001</v>
      </c>
      <c r="D1034">
        <f>6830.53</f>
        <v>6830.53</v>
      </c>
      <c r="E1034">
        <f>2410.157</f>
        <v>2410.1570000000002</v>
      </c>
      <c r="F1034">
        <f>1912.7</f>
        <v>1912.7</v>
      </c>
      <c r="G1034">
        <f>8592.502</f>
        <v>8592.5020000000004</v>
      </c>
      <c r="H1034">
        <f>3127.92</f>
        <v>3127.92</v>
      </c>
      <c r="I1034">
        <f>10534.99</f>
        <v>10534.99</v>
      </c>
      <c r="J1034">
        <f>4359.27</f>
        <v>4359.2700000000004</v>
      </c>
      <c r="K1034">
        <f>12591.38</f>
        <v>12591.38</v>
      </c>
      <c r="L1034">
        <f>2168.4</f>
        <v>2168.4</v>
      </c>
      <c r="M1034">
        <f>9278.23</f>
        <v>9278.23</v>
      </c>
      <c r="N1034">
        <f>351.231</f>
        <v>351.23099999999999</v>
      </c>
      <c r="O1034">
        <f>3092.06</f>
        <v>3092.06</v>
      </c>
      <c r="P1034" t="e">
        <f>NA()</f>
        <v>#N/A</v>
      </c>
      <c r="Q1034">
        <f>2827.064</f>
        <v>2827.0639999999999</v>
      </c>
      <c r="R1034">
        <f>6058.83</f>
        <v>6058.83</v>
      </c>
      <c r="S1034" t="e">
        <f>NA()</f>
        <v>#N/A</v>
      </c>
      <c r="T1034">
        <f>3904.891</f>
        <v>3904.8910000000001</v>
      </c>
      <c r="U1034">
        <f>57537.23</f>
        <v>57537.23</v>
      </c>
      <c r="V1034">
        <f>459.5</f>
        <v>459.5</v>
      </c>
    </row>
    <row r="1035" spans="1:22" x14ac:dyDescent="0.2">
      <c r="A1035" s="1">
        <v>43658</v>
      </c>
      <c r="B1035">
        <f>2392.25</f>
        <v>2392.25</v>
      </c>
      <c r="C1035">
        <f>10309.99</f>
        <v>10309.99</v>
      </c>
      <c r="D1035">
        <f>6807.18</f>
        <v>6807.18</v>
      </c>
      <c r="E1035">
        <f>2394.082</f>
        <v>2394.0819999999999</v>
      </c>
      <c r="F1035">
        <f>1922.01</f>
        <v>1922.01</v>
      </c>
      <c r="G1035">
        <f>8598.349</f>
        <v>8598.3490000000002</v>
      </c>
      <c r="H1035">
        <f>3126.76</f>
        <v>3126.76</v>
      </c>
      <c r="I1035">
        <f>10490.69</f>
        <v>10490.69</v>
      </c>
      <c r="J1035">
        <f>4351.14</f>
        <v>4351.1400000000003</v>
      </c>
      <c r="K1035">
        <f>12587.86</f>
        <v>12587.86</v>
      </c>
      <c r="L1035">
        <f>2162.78</f>
        <v>2162.7800000000002</v>
      </c>
      <c r="M1035">
        <f>9271.12</f>
        <v>9271.1200000000008</v>
      </c>
      <c r="N1035">
        <f>350.452</f>
        <v>350.452</v>
      </c>
      <c r="O1035">
        <f>3085.12</f>
        <v>3085.12</v>
      </c>
      <c r="P1035">
        <f>241.36</f>
        <v>241.36</v>
      </c>
      <c r="Q1035">
        <f>2826.774</f>
        <v>2826.7739999999999</v>
      </c>
      <c r="R1035">
        <f>6057.77</f>
        <v>6057.77</v>
      </c>
      <c r="S1035">
        <f>2376.84</f>
        <v>2376.84</v>
      </c>
      <c r="T1035">
        <f>3905.197</f>
        <v>3905.1970000000001</v>
      </c>
      <c r="U1035">
        <f>57277.35</f>
        <v>57277.35</v>
      </c>
      <c r="V1035">
        <f>457.8</f>
        <v>457.8</v>
      </c>
    </row>
    <row r="1036" spans="1:22" x14ac:dyDescent="0.2">
      <c r="A1036" s="1">
        <v>43657</v>
      </c>
      <c r="B1036">
        <f>2375.86</f>
        <v>2375.86</v>
      </c>
      <c r="C1036">
        <f>10336.05</f>
        <v>10336.049999999999</v>
      </c>
      <c r="D1036">
        <f>6810.67</f>
        <v>6810.67</v>
      </c>
      <c r="E1036">
        <f>2403.467</f>
        <v>2403.4670000000001</v>
      </c>
      <c r="F1036">
        <f>1906.3</f>
        <v>1906.3</v>
      </c>
      <c r="G1036">
        <f>8587.274</f>
        <v>8587.2739999999994</v>
      </c>
      <c r="H1036">
        <f>3115.64</f>
        <v>3115.64</v>
      </c>
      <c r="I1036">
        <f>10493.29</f>
        <v>10493.29</v>
      </c>
      <c r="J1036">
        <f>4333.22</f>
        <v>4333.22</v>
      </c>
      <c r="K1036">
        <f>12527.29</f>
        <v>12527.29</v>
      </c>
      <c r="L1036">
        <f>2158.39</f>
        <v>2158.39</v>
      </c>
      <c r="M1036">
        <f>9239.99</f>
        <v>9239.99</v>
      </c>
      <c r="N1036">
        <f>350.733</f>
        <v>350.733</v>
      </c>
      <c r="O1036">
        <f>3086.01</f>
        <v>3086.01</v>
      </c>
      <c r="P1036">
        <f>241.55</f>
        <v>241.55</v>
      </c>
      <c r="Q1036">
        <f>2806.238</f>
        <v>2806.2379999999998</v>
      </c>
      <c r="R1036">
        <f>6029.33</f>
        <v>6029.33</v>
      </c>
      <c r="S1036">
        <f>2380.33</f>
        <v>2380.33</v>
      </c>
      <c r="T1036">
        <f>3886.314</f>
        <v>3886.3139999999999</v>
      </c>
      <c r="U1036">
        <f>57273.14</f>
        <v>57273.14</v>
      </c>
      <c r="V1036">
        <f>454.93</f>
        <v>454.93</v>
      </c>
    </row>
    <row r="1037" spans="1:22" x14ac:dyDescent="0.2">
      <c r="A1037" s="1">
        <v>43656</v>
      </c>
      <c r="B1037">
        <f>2381.98</f>
        <v>2381.98</v>
      </c>
      <c r="C1037">
        <f>10282.11</f>
        <v>10282.11</v>
      </c>
      <c r="D1037">
        <f>6829.46</f>
        <v>6829.46</v>
      </c>
      <c r="E1037">
        <f>2388.706</f>
        <v>2388.7060000000001</v>
      </c>
      <c r="F1037">
        <f>1898.57</f>
        <v>1898.57</v>
      </c>
      <c r="G1037">
        <f>8581.028</f>
        <v>8581.0280000000002</v>
      </c>
      <c r="H1037">
        <f>3097.44</f>
        <v>3097.44</v>
      </c>
      <c r="I1037">
        <f>10513.11</f>
        <v>10513.11</v>
      </c>
      <c r="J1037">
        <f>4331.5</f>
        <v>4331.5</v>
      </c>
      <c r="K1037">
        <f>12499.39</f>
        <v>12499.39</v>
      </c>
      <c r="L1037">
        <f>2160.63</f>
        <v>2160.63</v>
      </c>
      <c r="M1037">
        <f>9222.28</f>
        <v>9222.2800000000007</v>
      </c>
      <c r="N1037">
        <f>350.536</f>
        <v>350.536</v>
      </c>
      <c r="O1037">
        <f>3090.26</f>
        <v>3090.26</v>
      </c>
      <c r="P1037">
        <f>240.25</f>
        <v>240.25</v>
      </c>
      <c r="Q1037">
        <f>2796.29</f>
        <v>2796.29</v>
      </c>
      <c r="R1037">
        <f>6015.56</f>
        <v>6015.56</v>
      </c>
      <c r="S1037">
        <f>2369.3</f>
        <v>2369.3000000000002</v>
      </c>
      <c r="T1037">
        <f>3893.352</f>
        <v>3893.3519999999999</v>
      </c>
      <c r="U1037">
        <f>57597.87</f>
        <v>57597.87</v>
      </c>
      <c r="V1037">
        <f>456.23</f>
        <v>456.23</v>
      </c>
    </row>
    <row r="1038" spans="1:22" x14ac:dyDescent="0.2">
      <c r="A1038" s="1">
        <v>43655</v>
      </c>
      <c r="B1038">
        <f>2387.68</f>
        <v>2387.6799999999998</v>
      </c>
      <c r="C1038">
        <f>10206.2</f>
        <v>10206.200000000001</v>
      </c>
      <c r="D1038">
        <f>6834.71</f>
        <v>6834.71</v>
      </c>
      <c r="E1038">
        <f>2373.855</f>
        <v>2373.855</v>
      </c>
      <c r="F1038">
        <f>1896.9</f>
        <v>1896.9</v>
      </c>
      <c r="G1038">
        <f>8568.79</f>
        <v>8568.7900000000009</v>
      </c>
      <c r="H1038">
        <f>3096.44</f>
        <v>3096.44</v>
      </c>
      <c r="I1038">
        <f>10490.06</f>
        <v>10490.06</v>
      </c>
      <c r="J1038">
        <f>4317.11</f>
        <v>4317.1099999999997</v>
      </c>
      <c r="K1038">
        <f>12444.15</f>
        <v>12444.15</v>
      </c>
      <c r="L1038">
        <f>2154.2</f>
        <v>2154.1999999999998</v>
      </c>
      <c r="M1038">
        <f>9190.76</f>
        <v>9190.76</v>
      </c>
      <c r="N1038">
        <f>352.755</f>
        <v>352.755</v>
      </c>
      <c r="O1038">
        <f>3096.33</f>
        <v>3096.33</v>
      </c>
      <c r="P1038">
        <f>240.06</f>
        <v>240.06</v>
      </c>
      <c r="Q1038">
        <f>2795.666</f>
        <v>2795.6660000000002</v>
      </c>
      <c r="R1038">
        <f>5988.48</f>
        <v>5988.48</v>
      </c>
      <c r="S1038">
        <f>2374.69</f>
        <v>2374.69</v>
      </c>
      <c r="T1038">
        <f>3845.345</f>
        <v>3845.3449999999998</v>
      </c>
      <c r="U1038">
        <f>56963.8</f>
        <v>56963.8</v>
      </c>
      <c r="V1038">
        <f>451.71</f>
        <v>451.71</v>
      </c>
    </row>
    <row r="1039" spans="1:22" x14ac:dyDescent="0.2">
      <c r="A1039" s="1">
        <v>43654</v>
      </c>
      <c r="B1039">
        <f>2400.08</f>
        <v>2400.08</v>
      </c>
      <c r="C1039">
        <f>10268.33</f>
        <v>10268.33</v>
      </c>
      <c r="D1039">
        <f>6846.31</f>
        <v>6846.31</v>
      </c>
      <c r="E1039">
        <f>2382.107</f>
        <v>2382.107</v>
      </c>
      <c r="F1039">
        <f>1914.09</f>
        <v>1914.09</v>
      </c>
      <c r="G1039">
        <f>8618.237</f>
        <v>8618.2369999999992</v>
      </c>
      <c r="H1039">
        <f>3107.48</f>
        <v>3107.48</v>
      </c>
      <c r="I1039">
        <f>10548.12</f>
        <v>10548.12</v>
      </c>
      <c r="J1039">
        <f>4326.3</f>
        <v>4326.3</v>
      </c>
      <c r="K1039">
        <f>12419.2</f>
        <v>12419.2</v>
      </c>
      <c r="L1039">
        <f>2162.81</f>
        <v>2162.81</v>
      </c>
      <c r="M1039">
        <f>9192.98</f>
        <v>9192.98</v>
      </c>
      <c r="N1039">
        <f>355.257</f>
        <v>355.25700000000001</v>
      </c>
      <c r="O1039">
        <f>3111.38</f>
        <v>3111.38</v>
      </c>
      <c r="P1039">
        <f>240.07</f>
        <v>240.07</v>
      </c>
      <c r="Q1039">
        <f>2806.309</f>
        <v>2806.3090000000002</v>
      </c>
      <c r="R1039">
        <f>5979.34</f>
        <v>5979.34</v>
      </c>
      <c r="S1039">
        <f>2379.99</f>
        <v>2379.9899999999998</v>
      </c>
      <c r="T1039">
        <f>3900.493</f>
        <v>3900.4929999999999</v>
      </c>
      <c r="U1039">
        <f>57731.4</f>
        <v>57731.4</v>
      </c>
      <c r="V1039">
        <f>458.73</f>
        <v>458.73</v>
      </c>
    </row>
    <row r="1040" spans="1:22" x14ac:dyDescent="0.2">
      <c r="A1040" s="1">
        <v>43651</v>
      </c>
      <c r="B1040">
        <f>2403.96</f>
        <v>2403.96</v>
      </c>
      <c r="C1040">
        <f>10347.69</f>
        <v>10347.69</v>
      </c>
      <c r="D1040">
        <f>6849.82</f>
        <v>6849.82</v>
      </c>
      <c r="E1040">
        <f>2412.062</f>
        <v>2412.0619999999999</v>
      </c>
      <c r="F1040">
        <f>1911.22</f>
        <v>1911.22</v>
      </c>
      <c r="G1040">
        <f>8615.659</f>
        <v>8615.6589999999997</v>
      </c>
      <c r="H1040">
        <f>3127.39</f>
        <v>3127.39</v>
      </c>
      <c r="I1040">
        <f>10566.65</f>
        <v>10566.65</v>
      </c>
      <c r="J1040">
        <f>4345.82</f>
        <v>4345.82</v>
      </c>
      <c r="K1040">
        <f>12482.7</f>
        <v>12482.7</v>
      </c>
      <c r="L1040">
        <f>2173.88</f>
        <v>2173.88</v>
      </c>
      <c r="M1040">
        <f>9238.65</f>
        <v>9238.65</v>
      </c>
      <c r="N1040">
        <f>355.452</f>
        <v>355.452</v>
      </c>
      <c r="O1040">
        <f>3113.47</f>
        <v>3113.47</v>
      </c>
      <c r="P1040">
        <f>242.16</f>
        <v>242.16</v>
      </c>
      <c r="Q1040">
        <f>2820.904</f>
        <v>2820.904</v>
      </c>
      <c r="R1040">
        <f>6008.31</f>
        <v>6008.31</v>
      </c>
      <c r="S1040">
        <f>2401.36</f>
        <v>2401.36</v>
      </c>
      <c r="T1040">
        <f>3906.985</f>
        <v>3906.9850000000001</v>
      </c>
      <c r="U1040">
        <f>57589.82</f>
        <v>57589.82</v>
      </c>
      <c r="V1040">
        <f>455.34</f>
        <v>455.34</v>
      </c>
    </row>
    <row r="1041" spans="1:22" x14ac:dyDescent="0.2">
      <c r="A1041" s="1">
        <v>43650</v>
      </c>
      <c r="B1041">
        <f>2420.28</f>
        <v>2420.2800000000002</v>
      </c>
      <c r="C1041">
        <f>10402.5</f>
        <v>10402.5</v>
      </c>
      <c r="D1041">
        <f>6895.57</f>
        <v>6895.57</v>
      </c>
      <c r="E1041">
        <f>2422.621</f>
        <v>2422.6210000000001</v>
      </c>
      <c r="F1041">
        <f>1939.36</f>
        <v>1939.36</v>
      </c>
      <c r="G1041">
        <f>8718.396</f>
        <v>8718.3960000000006</v>
      </c>
      <c r="H1041">
        <f>3132.14</f>
        <v>3132.14</v>
      </c>
      <c r="I1041">
        <f>10701.73</f>
        <v>10701.73</v>
      </c>
      <c r="J1041">
        <f>4360.98</f>
        <v>4360.9799999999996</v>
      </c>
      <c r="K1041">
        <f>12502.21</f>
        <v>12502.21</v>
      </c>
      <c r="L1041">
        <f>2188.18</f>
        <v>2188.1799999999998</v>
      </c>
      <c r="M1041">
        <f>9278.27</f>
        <v>9278.27</v>
      </c>
      <c r="N1041">
        <f>359.232</f>
        <v>359.23200000000003</v>
      </c>
      <c r="O1041">
        <f>3136.66</f>
        <v>3136.66</v>
      </c>
      <c r="P1041">
        <f>241.82</f>
        <v>241.82</v>
      </c>
      <c r="Q1041" t="e">
        <f>NA()</f>
        <v>#N/A</v>
      </c>
      <c r="R1041" t="e">
        <f>NA()</f>
        <v>#N/A</v>
      </c>
      <c r="S1041">
        <f>2397.16</f>
        <v>2397.16</v>
      </c>
      <c r="T1041">
        <f>3910.671</f>
        <v>3910.6709999999998</v>
      </c>
      <c r="U1041">
        <f>57829.47</f>
        <v>57829.47</v>
      </c>
      <c r="V1041">
        <f>460.45</f>
        <v>460.45</v>
      </c>
    </row>
    <row r="1042" spans="1:22" x14ac:dyDescent="0.2">
      <c r="A1042" s="1">
        <v>43649</v>
      </c>
      <c r="B1042">
        <f>2420.15</f>
        <v>2420.15</v>
      </c>
      <c r="C1042">
        <f>10358.78</f>
        <v>10358.780000000001</v>
      </c>
      <c r="D1042">
        <f>6898.98</f>
        <v>6898.98</v>
      </c>
      <c r="E1042">
        <f>2410.015</f>
        <v>2410.0149999999999</v>
      </c>
      <c r="F1042">
        <f>1943</f>
        <v>1943</v>
      </c>
      <c r="G1042">
        <f>8718.039</f>
        <v>8718.0390000000007</v>
      </c>
      <c r="H1042">
        <f>3115.16</f>
        <v>3115.16</v>
      </c>
      <c r="I1042">
        <f>10685.59</f>
        <v>10685.59</v>
      </c>
      <c r="J1042">
        <f>4360.98</f>
        <v>4360.9799999999996</v>
      </c>
      <c r="K1042">
        <f>12502.21</f>
        <v>12502.21</v>
      </c>
      <c r="L1042">
        <f>2187.42</f>
        <v>2187.42</v>
      </c>
      <c r="M1042">
        <f>9270.54</f>
        <v>9270.5400000000009</v>
      </c>
      <c r="N1042">
        <f>360.386</f>
        <v>360.38600000000002</v>
      </c>
      <c r="O1042">
        <f>3133.75</f>
        <v>3133.75</v>
      </c>
      <c r="P1042">
        <f>240.32</f>
        <v>240.32</v>
      </c>
      <c r="Q1042">
        <f>2830.306</f>
        <v>2830.306</v>
      </c>
      <c r="R1042">
        <f>6018.54</f>
        <v>6018.54</v>
      </c>
      <c r="S1042">
        <f>2381.72</f>
        <v>2381.7199999999998</v>
      </c>
      <c r="T1042">
        <f>3910.118</f>
        <v>3910.1179999999999</v>
      </c>
      <c r="U1042">
        <f>58012.18</f>
        <v>58012.18</v>
      </c>
      <c r="V1042">
        <f>461.72</f>
        <v>461.72</v>
      </c>
    </row>
    <row r="1043" spans="1:22" x14ac:dyDescent="0.2">
      <c r="A1043" s="1">
        <v>43648</v>
      </c>
      <c r="B1043">
        <f>2396.78</f>
        <v>2396.7800000000002</v>
      </c>
      <c r="C1043">
        <f>10399.7</f>
        <v>10399.700000000001</v>
      </c>
      <c r="D1043">
        <f>6853.53</f>
        <v>6853.53</v>
      </c>
      <c r="E1043">
        <f>2418.619</f>
        <v>2418.6190000000001</v>
      </c>
      <c r="F1043">
        <f>1927.01</f>
        <v>1927.01</v>
      </c>
      <c r="G1043">
        <f>8685.865</f>
        <v>8685.8649999999998</v>
      </c>
      <c r="H1043">
        <f>3131.63</f>
        <v>3131.63</v>
      </c>
      <c r="I1043">
        <f>10598.1</f>
        <v>10598.1</v>
      </c>
      <c r="J1043">
        <f>4325.06</f>
        <v>4325.0600000000004</v>
      </c>
      <c r="K1043">
        <f>12402.24</f>
        <v>12402.24</v>
      </c>
      <c r="L1043">
        <f>2172.97</f>
        <v>2172.9699999999998</v>
      </c>
      <c r="M1043">
        <f>9207.05</f>
        <v>9207.0499999999993</v>
      </c>
      <c r="N1043">
        <f>355.769</f>
        <v>355.76900000000001</v>
      </c>
      <c r="O1043">
        <f>3107.09</f>
        <v>3107.09</v>
      </c>
      <c r="P1043">
        <f>241.13</f>
        <v>241.13</v>
      </c>
      <c r="Q1043">
        <f>2802.205</f>
        <v>2802.2049999999999</v>
      </c>
      <c r="R1043">
        <f>5971.29</f>
        <v>5971.29</v>
      </c>
      <c r="S1043">
        <f>2397.25</f>
        <v>2397.25</v>
      </c>
      <c r="T1043">
        <f>3915.878</f>
        <v>3915.8780000000002</v>
      </c>
      <c r="U1043">
        <f>58092.48</f>
        <v>58092.480000000003</v>
      </c>
      <c r="V1043">
        <f>464.02</f>
        <v>464.02</v>
      </c>
    </row>
    <row r="1044" spans="1:22" x14ac:dyDescent="0.2">
      <c r="A1044" s="1">
        <v>43647</v>
      </c>
      <c r="B1044">
        <f>2382.32</f>
        <v>2382.3200000000002</v>
      </c>
      <c r="C1044">
        <f>10415.54</f>
        <v>10415.540000000001</v>
      </c>
      <c r="D1044">
        <f>6797.6</f>
        <v>6797.6</v>
      </c>
      <c r="E1044">
        <f>2416.925</f>
        <v>2416.9250000000002</v>
      </c>
      <c r="F1044">
        <f>1925.28</f>
        <v>1925.28</v>
      </c>
      <c r="G1044">
        <f>8654.989</f>
        <v>8654.9889999999996</v>
      </c>
      <c r="H1044">
        <f>3119.65</f>
        <v>3119.65</v>
      </c>
      <c r="I1044">
        <f>10594.06</f>
        <v>10594.06</v>
      </c>
      <c r="J1044">
        <f>4309.71</f>
        <v>4309.71</v>
      </c>
      <c r="K1044">
        <f>12366.51</f>
        <v>12366.51</v>
      </c>
      <c r="L1044">
        <f>2164.66</f>
        <v>2164.66</v>
      </c>
      <c r="M1044">
        <f>9180.38</f>
        <v>9180.3799999999992</v>
      </c>
      <c r="N1044">
        <f>354.549</f>
        <v>354.54899999999998</v>
      </c>
      <c r="O1044">
        <f>3095.42</f>
        <v>3095.42</v>
      </c>
      <c r="P1044">
        <f>240.5</f>
        <v>240.5</v>
      </c>
      <c r="Q1044">
        <f>2797.067</f>
        <v>2797.067</v>
      </c>
      <c r="R1044">
        <f>5953.63</f>
        <v>5953.63</v>
      </c>
      <c r="S1044">
        <f>2389.72</f>
        <v>2389.7199999999998</v>
      </c>
      <c r="T1044">
        <f>3952.229</f>
        <v>3952.2289999999998</v>
      </c>
      <c r="U1044">
        <f>58472.52</f>
        <v>58472.52</v>
      </c>
      <c r="V1044">
        <f>468.31</f>
        <v>468.31</v>
      </c>
    </row>
    <row r="1045" spans="1:22" x14ac:dyDescent="0.2">
      <c r="A1045" s="1">
        <v>43644</v>
      </c>
      <c r="B1045">
        <f>2360.38</f>
        <v>2360.38</v>
      </c>
      <c r="C1045">
        <f>10328.83</f>
        <v>10328.83</v>
      </c>
      <c r="D1045">
        <f>6732.44</f>
        <v>6732.44</v>
      </c>
      <c r="E1045">
        <f>2395.537</f>
        <v>2395.5369999999998</v>
      </c>
      <c r="F1045">
        <f>1918</f>
        <v>1918</v>
      </c>
      <c r="G1045">
        <f>8625.403</f>
        <v>8625.4030000000002</v>
      </c>
      <c r="H1045">
        <f>3068.12</f>
        <v>3068.12</v>
      </c>
      <c r="I1045">
        <f>10579.46</f>
        <v>10579.46</v>
      </c>
      <c r="J1045">
        <f>4288.18</f>
        <v>4288.18</v>
      </c>
      <c r="K1045">
        <f>12271.57</f>
        <v>12271.57</v>
      </c>
      <c r="L1045">
        <f>2155.59</f>
        <v>2155.59</v>
      </c>
      <c r="M1045">
        <f>9122.09</f>
        <v>9122.09</v>
      </c>
      <c r="N1045">
        <f>350.885</f>
        <v>350.88499999999999</v>
      </c>
      <c r="O1045">
        <f>3070.77</f>
        <v>3070.77</v>
      </c>
      <c r="P1045">
        <f>235.34</f>
        <v>235.34</v>
      </c>
      <c r="Q1045">
        <f>2779.139</f>
        <v>2779.1390000000001</v>
      </c>
      <c r="R1045">
        <f>5908.25</f>
        <v>5908.25</v>
      </c>
      <c r="S1045">
        <f>2338.89</f>
        <v>2338.89</v>
      </c>
      <c r="T1045">
        <f>3924.581</f>
        <v>3924.5810000000001</v>
      </c>
      <c r="U1045">
        <f>58203.84</f>
        <v>58203.839999999997</v>
      </c>
      <c r="V1045">
        <f>464.55</f>
        <v>464.55</v>
      </c>
    </row>
    <row r="1046" spans="1:22" x14ac:dyDescent="0.2">
      <c r="A1046" s="1">
        <v>43643</v>
      </c>
      <c r="B1046">
        <f>2348.25</f>
        <v>2348.25</v>
      </c>
      <c r="C1046">
        <f>10329.72</f>
        <v>10329.719999999999</v>
      </c>
      <c r="D1046">
        <f>6711.32</f>
        <v>6711.32</v>
      </c>
      <c r="E1046">
        <f>2395.432</f>
        <v>2395.4319999999998</v>
      </c>
      <c r="F1046">
        <f>1903.07</f>
        <v>1903.07</v>
      </c>
      <c r="G1046">
        <f>8563.444</f>
        <v>8563.4439999999995</v>
      </c>
      <c r="H1046">
        <f>3075.2</f>
        <v>3075.2</v>
      </c>
      <c r="I1046">
        <f>10486.95</f>
        <v>10486.95</v>
      </c>
      <c r="J1046">
        <f>4272.38</f>
        <v>4272.38</v>
      </c>
      <c r="K1046">
        <f>12199.48</f>
        <v>12199.48</v>
      </c>
      <c r="L1046">
        <f>2146.2</f>
        <v>2146.1999999999998</v>
      </c>
      <c r="M1046">
        <f>9071.81</f>
        <v>9071.81</v>
      </c>
      <c r="N1046">
        <f>349.124</f>
        <v>349.12400000000002</v>
      </c>
      <c r="O1046">
        <f>3050.74</f>
        <v>3050.74</v>
      </c>
      <c r="P1046">
        <f>235.44</f>
        <v>235.44</v>
      </c>
      <c r="Q1046">
        <f>2757.514</f>
        <v>2757.5140000000001</v>
      </c>
      <c r="R1046">
        <f>5874.15</f>
        <v>5874.15</v>
      </c>
      <c r="S1046">
        <f>2342.11</f>
        <v>2342.11</v>
      </c>
      <c r="T1046">
        <f>3934.535</f>
        <v>3934.5349999999999</v>
      </c>
      <c r="U1046">
        <f>58066.65</f>
        <v>58066.65</v>
      </c>
      <c r="V1046">
        <f>465.46</f>
        <v>465.46</v>
      </c>
    </row>
    <row r="1047" spans="1:22" x14ac:dyDescent="0.2">
      <c r="A1047" s="1">
        <v>43642</v>
      </c>
      <c r="B1047">
        <f>2349.15</f>
        <v>2349.15</v>
      </c>
      <c r="C1047">
        <f>10257.87</f>
        <v>10257.870000000001</v>
      </c>
      <c r="D1047">
        <f>6718.3</f>
        <v>6718.3</v>
      </c>
      <c r="E1047">
        <f>2378.206</f>
        <v>2378.2060000000001</v>
      </c>
      <c r="F1047">
        <f>1895.57</f>
        <v>1895.57</v>
      </c>
      <c r="G1047">
        <f>8572.596</f>
        <v>8572.5959999999995</v>
      </c>
      <c r="H1047">
        <f>3037.76</f>
        <v>3037.76</v>
      </c>
      <c r="I1047">
        <f>10488.91</f>
        <v>10488.91</v>
      </c>
      <c r="J1047">
        <f>4265.05</f>
        <v>4265.05</v>
      </c>
      <c r="K1047">
        <f>12147.23</f>
        <v>12147.23</v>
      </c>
      <c r="L1047">
        <f>2140.09</f>
        <v>2140.09</v>
      </c>
      <c r="M1047">
        <f>9035.59</f>
        <v>9035.59</v>
      </c>
      <c r="N1047">
        <f>348.693</f>
        <v>348.69299999999998</v>
      </c>
      <c r="O1047">
        <f>3049.75</f>
        <v>3049.75</v>
      </c>
      <c r="P1047">
        <f>233.79</f>
        <v>233.79</v>
      </c>
      <c r="Q1047">
        <f>2742.296</f>
        <v>2742.2959999999998</v>
      </c>
      <c r="R1047">
        <f>5850.9</f>
        <v>5850.9</v>
      </c>
      <c r="S1047">
        <f>2313.55</f>
        <v>2313.5500000000002</v>
      </c>
      <c r="T1047">
        <f>3952.462</f>
        <v>3952.462</v>
      </c>
      <c r="U1047">
        <f>58421.72</f>
        <v>58421.72</v>
      </c>
      <c r="V1047">
        <f>469.08</f>
        <v>469.08</v>
      </c>
    </row>
    <row r="1048" spans="1:22" x14ac:dyDescent="0.2">
      <c r="A1048" s="1">
        <v>43641</v>
      </c>
      <c r="B1048">
        <f>2340.4</f>
        <v>2340.4</v>
      </c>
      <c r="C1048">
        <f>10244.6</f>
        <v>10244.6</v>
      </c>
      <c r="D1048">
        <f>6723.77</f>
        <v>6723.77</v>
      </c>
      <c r="E1048">
        <f>2371.613</f>
        <v>2371.6129999999998</v>
      </c>
      <c r="F1048">
        <f>1899.09</f>
        <v>1899.09</v>
      </c>
      <c r="G1048">
        <f>8610.236</f>
        <v>8610.2360000000008</v>
      </c>
      <c r="H1048">
        <f>3063.9</f>
        <v>3063.9</v>
      </c>
      <c r="I1048">
        <f>10522.07</f>
        <v>10522.07</v>
      </c>
      <c r="J1048">
        <f>4280.4</f>
        <v>4280.3999999999996</v>
      </c>
      <c r="K1048">
        <f>12162.13</f>
        <v>12162.13</v>
      </c>
      <c r="L1048">
        <f>2150.91</f>
        <v>2150.91</v>
      </c>
      <c r="M1048">
        <f>9056.73</f>
        <v>9056.73</v>
      </c>
      <c r="N1048">
        <f>350.863</f>
        <v>350.863</v>
      </c>
      <c r="O1048">
        <f>3059.71</f>
        <v>3059.71</v>
      </c>
      <c r="P1048">
        <f>234.06</f>
        <v>234.06</v>
      </c>
      <c r="Q1048">
        <f>2761.172</f>
        <v>2761.172</v>
      </c>
      <c r="R1048">
        <f>5858.13</f>
        <v>5858.13</v>
      </c>
      <c r="S1048">
        <f>2323.97</f>
        <v>2323.9699999999998</v>
      </c>
      <c r="T1048">
        <f>3944.201</f>
        <v>3944.201</v>
      </c>
      <c r="U1048">
        <f>58343.23</f>
        <v>58343.23</v>
      </c>
      <c r="V1048">
        <f>469.84</f>
        <v>469.84</v>
      </c>
    </row>
    <row r="1049" spans="1:22" x14ac:dyDescent="0.2">
      <c r="A1049" s="1">
        <v>43640</v>
      </c>
      <c r="B1049">
        <f>2335.88</f>
        <v>2335.88</v>
      </c>
      <c r="C1049">
        <f>10295.44</f>
        <v>10295.44</v>
      </c>
      <c r="D1049">
        <f>6718.57</f>
        <v>6718.57</v>
      </c>
      <c r="E1049">
        <f>2387.694</f>
        <v>2387.694</v>
      </c>
      <c r="F1049">
        <f>1894.86</f>
        <v>1894.86</v>
      </c>
      <c r="G1049">
        <f>8606.216</f>
        <v>8606.2160000000003</v>
      </c>
      <c r="H1049">
        <f>3062.61</f>
        <v>3062.61</v>
      </c>
      <c r="I1049">
        <f>10548.03</f>
        <v>10548.03</v>
      </c>
      <c r="J1049">
        <f>4309.79</f>
        <v>4309.79</v>
      </c>
      <c r="K1049">
        <f>12280.64</f>
        <v>12280.64</v>
      </c>
      <c r="L1049">
        <f>2161.3</f>
        <v>2161.3000000000002</v>
      </c>
      <c r="M1049">
        <f>9117.03</f>
        <v>9117.0300000000007</v>
      </c>
      <c r="N1049">
        <f>350.507</f>
        <v>350.50700000000001</v>
      </c>
      <c r="O1049">
        <f>3063.06</f>
        <v>3063.06</v>
      </c>
      <c r="P1049">
        <f>233.77</f>
        <v>233.77</v>
      </c>
      <c r="Q1049">
        <f>2779.222</f>
        <v>2779.2220000000002</v>
      </c>
      <c r="R1049">
        <f>5914.29</f>
        <v>5914.29</v>
      </c>
      <c r="S1049">
        <f>2330.37</f>
        <v>2330.37</v>
      </c>
      <c r="T1049">
        <f>3967.368</f>
        <v>3967.3679999999999</v>
      </c>
      <c r="U1049">
        <f>58756.01</f>
        <v>58756.01</v>
      </c>
      <c r="V1049">
        <f>471.28</f>
        <v>471.28</v>
      </c>
    </row>
    <row r="1050" spans="1:22" x14ac:dyDescent="0.2">
      <c r="A1050" s="1">
        <v>43637</v>
      </c>
      <c r="B1050">
        <f>2346.71</f>
        <v>2346.71</v>
      </c>
      <c r="C1050">
        <f>10294.52</f>
        <v>10294.52</v>
      </c>
      <c r="D1050">
        <f>6710.25</f>
        <v>6710.25</v>
      </c>
      <c r="E1050">
        <f>2385.184</f>
        <v>2385.1840000000002</v>
      </c>
      <c r="F1050">
        <f>1892.88</f>
        <v>1892.88</v>
      </c>
      <c r="G1050">
        <f>8572.636</f>
        <v>8572.6360000000004</v>
      </c>
      <c r="H1050">
        <f>3050.19</f>
        <v>3050.19</v>
      </c>
      <c r="I1050">
        <f>10509.13</f>
        <v>10509.13</v>
      </c>
      <c r="J1050">
        <f>4313.02</f>
        <v>4313.0200000000004</v>
      </c>
      <c r="K1050">
        <f>12307.19</f>
        <v>12307.19</v>
      </c>
      <c r="L1050">
        <f>2159.3</f>
        <v>2159.3000000000002</v>
      </c>
      <c r="M1050">
        <f>9116.65</f>
        <v>9116.65</v>
      </c>
      <c r="N1050">
        <f>350.978</f>
        <v>350.97800000000001</v>
      </c>
      <c r="O1050">
        <f>3070.82</f>
        <v>3070.82</v>
      </c>
      <c r="P1050">
        <f>234.53</f>
        <v>234.53</v>
      </c>
      <c r="Q1050">
        <f>2776.683</f>
        <v>2776.683</v>
      </c>
      <c r="R1050">
        <f>5924.54</f>
        <v>5924.54</v>
      </c>
      <c r="S1050">
        <f>2327.6</f>
        <v>2327.6</v>
      </c>
      <c r="T1050">
        <f>4015.932</f>
        <v>4015.9319999999998</v>
      </c>
      <c r="U1050">
        <f>58941.47</f>
        <v>58941.47</v>
      </c>
      <c r="V1050">
        <f>473.53</f>
        <v>473.53</v>
      </c>
    </row>
    <row r="1051" spans="1:22" x14ac:dyDescent="0.2">
      <c r="A1051" s="1">
        <v>43636</v>
      </c>
      <c r="B1051">
        <f>2348.21</f>
        <v>2348.21</v>
      </c>
      <c r="C1051">
        <f>10287.26</f>
        <v>10287.26</v>
      </c>
      <c r="D1051">
        <f>6725.59</f>
        <v>6725.59</v>
      </c>
      <c r="E1051">
        <f>2386.37</f>
        <v>2386.37</v>
      </c>
      <c r="F1051">
        <f>1901.63</f>
        <v>1901.63</v>
      </c>
      <c r="G1051">
        <f>8594.688</f>
        <v>8594.6880000000001</v>
      </c>
      <c r="H1051">
        <f>3066.26</f>
        <v>3066.26</v>
      </c>
      <c r="I1051">
        <f>10514.25</f>
        <v>10514.25</v>
      </c>
      <c r="J1051">
        <f>4313.26</f>
        <v>4313.26</v>
      </c>
      <c r="K1051">
        <f>12325.91</f>
        <v>12325.91</v>
      </c>
      <c r="L1051">
        <f>2160.98</f>
        <v>2160.98</v>
      </c>
      <c r="M1051">
        <f>9138.06</f>
        <v>9138.06</v>
      </c>
      <c r="N1051">
        <f>353.359</f>
        <v>353.35899999999998</v>
      </c>
      <c r="O1051">
        <f>3082.43</f>
        <v>3082.43</v>
      </c>
      <c r="P1051">
        <f>236.49</f>
        <v>236.49</v>
      </c>
      <c r="Q1051">
        <f>2784.49</f>
        <v>2784.49</v>
      </c>
      <c r="R1051">
        <f>5931.66</f>
        <v>5931.66</v>
      </c>
      <c r="S1051">
        <f>2348.68</f>
        <v>2348.6799999999998</v>
      </c>
      <c r="T1051">
        <f>4035.876</f>
        <v>4035.8760000000002</v>
      </c>
      <c r="U1051">
        <f>58973.62</f>
        <v>58973.62</v>
      </c>
      <c r="V1051">
        <f>472.3</f>
        <v>472.3</v>
      </c>
    </row>
    <row r="1052" spans="1:22" x14ac:dyDescent="0.2">
      <c r="A1052" s="1">
        <v>43635</v>
      </c>
      <c r="B1052">
        <f>2350</f>
        <v>2350</v>
      </c>
      <c r="C1052">
        <f>10159.18</f>
        <v>10159.18</v>
      </c>
      <c r="D1052">
        <f>6704.94</f>
        <v>6704.94</v>
      </c>
      <c r="E1052">
        <f>2350.479</f>
        <v>2350.4789999999998</v>
      </c>
      <c r="F1052">
        <f>1898.56</f>
        <v>1898.56</v>
      </c>
      <c r="G1052">
        <f>8524.182</f>
        <v>8524.1820000000007</v>
      </c>
      <c r="H1052">
        <f>3040.79</f>
        <v>3040.79</v>
      </c>
      <c r="I1052">
        <f>10396.84</f>
        <v>10396.84</v>
      </c>
      <c r="J1052">
        <f>4275.15</f>
        <v>4275.1499999999996</v>
      </c>
      <c r="K1052">
        <f>12210.72</f>
        <v>12210.72</v>
      </c>
      <c r="L1052">
        <f>2140.5</f>
        <v>2140.5</v>
      </c>
      <c r="M1052">
        <f>9046.26</f>
        <v>9046.26</v>
      </c>
      <c r="N1052">
        <f>352.14</f>
        <v>352.14</v>
      </c>
      <c r="O1052">
        <f>3069.81</f>
        <v>3069.81</v>
      </c>
      <c r="P1052">
        <f>236.52</f>
        <v>236.52</v>
      </c>
      <c r="Q1052">
        <f>2759.429</f>
        <v>2759.4290000000001</v>
      </c>
      <c r="R1052">
        <f>5875.45</f>
        <v>5875.45</v>
      </c>
      <c r="S1052">
        <f>2341.7</f>
        <v>2341.6999999999998</v>
      </c>
      <c r="T1052">
        <f>4012.394</f>
        <v>4012.3939999999998</v>
      </c>
      <c r="U1052">
        <f>58564.72</f>
        <v>58564.72</v>
      </c>
      <c r="V1052">
        <f>471.25</f>
        <v>471.25</v>
      </c>
    </row>
    <row r="1053" spans="1:22" x14ac:dyDescent="0.2">
      <c r="A1053" s="1">
        <v>43634</v>
      </c>
      <c r="B1053">
        <f>2363.07</f>
        <v>2363.0700000000002</v>
      </c>
      <c r="C1053">
        <f>10013.06</f>
        <v>10013.06</v>
      </c>
      <c r="D1053">
        <f>6740.71</f>
        <v>6740.71</v>
      </c>
      <c r="E1053">
        <f>2317.627</f>
        <v>2317.627</v>
      </c>
      <c r="F1053">
        <f>1901.16</f>
        <v>1901.16</v>
      </c>
      <c r="G1053">
        <f>8506.8</f>
        <v>8506.7999999999993</v>
      </c>
      <c r="H1053">
        <f>2989.57</f>
        <v>2989.57</v>
      </c>
      <c r="I1053">
        <f>10360.3</f>
        <v>10360.299999999999</v>
      </c>
      <c r="J1053">
        <f>4268.79</f>
        <v>4268.79</v>
      </c>
      <c r="K1053">
        <f>12171.36</f>
        <v>12171.36</v>
      </c>
      <c r="L1053">
        <f>2130.8</f>
        <v>2130.8000000000002</v>
      </c>
      <c r="M1053">
        <f>9001.32</f>
        <v>9001.32</v>
      </c>
      <c r="N1053">
        <f>352.117</f>
        <v>352.11700000000002</v>
      </c>
      <c r="O1053">
        <f>3068.6</f>
        <v>3068.6</v>
      </c>
      <c r="P1053">
        <f>233</f>
        <v>233</v>
      </c>
      <c r="Q1053">
        <f>2750.758</f>
        <v>2750.7579999999998</v>
      </c>
      <c r="R1053">
        <f>5857.95</f>
        <v>5857.95</v>
      </c>
      <c r="S1053">
        <f>2301.65</f>
        <v>2301.65</v>
      </c>
      <c r="T1053">
        <f>3985.659</f>
        <v>3985.6590000000001</v>
      </c>
      <c r="U1053">
        <f>58629.09</f>
        <v>58629.09</v>
      </c>
      <c r="V1053">
        <f>469.16</f>
        <v>469.16</v>
      </c>
    </row>
    <row r="1054" spans="1:22" x14ac:dyDescent="0.2">
      <c r="A1054" s="1">
        <v>43633</v>
      </c>
      <c r="B1054">
        <f>2347.49</f>
        <v>2347.4899999999998</v>
      </c>
      <c r="C1054">
        <f>9890.32</f>
        <v>9890.32</v>
      </c>
      <c r="D1054">
        <f>6663.07</f>
        <v>6663.07</v>
      </c>
      <c r="E1054">
        <f>2287.98</f>
        <v>2287.98</v>
      </c>
      <c r="F1054">
        <f>1896.53</f>
        <v>1896.53</v>
      </c>
      <c r="G1054">
        <f>8418.717</f>
        <v>8418.7170000000006</v>
      </c>
      <c r="H1054">
        <f>2998.41</f>
        <v>2998.41</v>
      </c>
      <c r="I1054">
        <f>10210.42</f>
        <v>10210.42</v>
      </c>
      <c r="J1054">
        <f>4232.59</f>
        <v>4232.59</v>
      </c>
      <c r="K1054">
        <f>12052.37</f>
        <v>12052.37</v>
      </c>
      <c r="L1054">
        <f>2114.41</f>
        <v>2114.41</v>
      </c>
      <c r="M1054">
        <f>8916.8</f>
        <v>8916.7999999999993</v>
      </c>
      <c r="N1054">
        <f>346.768</f>
        <v>346.76799999999997</v>
      </c>
      <c r="O1054">
        <f>3017.13</f>
        <v>3017.13</v>
      </c>
      <c r="P1054">
        <f>234.58</f>
        <v>234.58</v>
      </c>
      <c r="Q1054">
        <f>2736.36</f>
        <v>2736.36</v>
      </c>
      <c r="R1054">
        <f>5801.4</f>
        <v>5801.4</v>
      </c>
      <c r="S1054">
        <f>2318.32</f>
        <v>2318.3200000000002</v>
      </c>
      <c r="T1054" t="e">
        <f>NA()</f>
        <v>#N/A</v>
      </c>
      <c r="U1054" t="e">
        <f>NA()</f>
        <v>#N/A</v>
      </c>
      <c r="V1054" t="e">
        <f>NA()</f>
        <v>#N/A</v>
      </c>
    </row>
    <row r="1055" spans="1:22" x14ac:dyDescent="0.2">
      <c r="A1055" s="1">
        <v>43630</v>
      </c>
      <c r="B1055">
        <f>2344.14</f>
        <v>2344.14</v>
      </c>
      <c r="C1055">
        <f>9927.85</f>
        <v>9927.85</v>
      </c>
      <c r="D1055">
        <f>6652.63</f>
        <v>6652.63</v>
      </c>
      <c r="E1055">
        <f>2297.008</f>
        <v>2297.0079999999998</v>
      </c>
      <c r="F1055">
        <f>1898.62</f>
        <v>1898.62</v>
      </c>
      <c r="G1055">
        <f>8439.395</f>
        <v>8439.3950000000004</v>
      </c>
      <c r="H1055">
        <f>3011.66</f>
        <v>3011.66</v>
      </c>
      <c r="I1055">
        <f>10211.72</f>
        <v>10211.719999999999</v>
      </c>
      <c r="J1055">
        <f>4237.52</f>
        <v>4237.5200000000004</v>
      </c>
      <c r="K1055">
        <f>12038.84</f>
        <v>12038.84</v>
      </c>
      <c r="L1055">
        <f>2117.14</f>
        <v>2117.14</v>
      </c>
      <c r="M1055">
        <f>8917.05</f>
        <v>8917.0499999999993</v>
      </c>
      <c r="N1055">
        <f>347.59</f>
        <v>347.59</v>
      </c>
      <c r="O1055">
        <f>3019.65</f>
        <v>3019.65</v>
      </c>
      <c r="P1055">
        <f>236.13</f>
        <v>236.13</v>
      </c>
      <c r="Q1055">
        <f>2749.854</f>
        <v>2749.8539999999998</v>
      </c>
      <c r="R1055">
        <f>5795.96</f>
        <v>5795.96</v>
      </c>
      <c r="S1055">
        <f>2328.81</f>
        <v>2328.81</v>
      </c>
      <c r="T1055">
        <f>3939.33</f>
        <v>3939.33</v>
      </c>
      <c r="U1055">
        <f>58193.78</f>
        <v>58193.78</v>
      </c>
      <c r="V1055">
        <f>466.13</f>
        <v>466.13</v>
      </c>
    </row>
    <row r="1056" spans="1:22" x14ac:dyDescent="0.2">
      <c r="A1056" s="1">
        <v>43629</v>
      </c>
      <c r="B1056">
        <f>2354.89</f>
        <v>2354.89</v>
      </c>
      <c r="C1056">
        <f>9966.66</f>
        <v>9966.66</v>
      </c>
      <c r="D1056">
        <f>6673.27</f>
        <v>6673.27</v>
      </c>
      <c r="E1056">
        <f>2312.58</f>
        <v>2312.58</v>
      </c>
      <c r="F1056">
        <f>1927.7</f>
        <v>1927.7</v>
      </c>
      <c r="G1056">
        <f>8516.278</f>
        <v>8516.2780000000002</v>
      </c>
      <c r="H1056">
        <f>3005.83</f>
        <v>3005.83</v>
      </c>
      <c r="I1056">
        <f>10293.62</f>
        <v>10293.620000000001</v>
      </c>
      <c r="J1056">
        <f>4246.33</f>
        <v>4246.33</v>
      </c>
      <c r="K1056">
        <f>12059.99</f>
        <v>12059.99</v>
      </c>
      <c r="L1056">
        <f>2124.1</f>
        <v>2124.1</v>
      </c>
      <c r="M1056">
        <f>8941.4</f>
        <v>8941.4</v>
      </c>
      <c r="N1056">
        <f>348.416</f>
        <v>348.416</v>
      </c>
      <c r="O1056">
        <f>3030.97</f>
        <v>3030.97</v>
      </c>
      <c r="P1056">
        <f>235.55</f>
        <v>235.55</v>
      </c>
      <c r="Q1056">
        <f>2755.458</f>
        <v>2755.4580000000001</v>
      </c>
      <c r="R1056">
        <f>5804.53</f>
        <v>5804.53</v>
      </c>
      <c r="S1056">
        <f>2320.97</f>
        <v>2320.9699999999998</v>
      </c>
      <c r="T1056">
        <f>3958.884</f>
        <v>3958.884</v>
      </c>
      <c r="U1056">
        <f>58697.63</f>
        <v>58697.63</v>
      </c>
      <c r="V1056">
        <f>471.37</f>
        <v>471.37</v>
      </c>
    </row>
    <row r="1057" spans="1:22" x14ac:dyDescent="0.2">
      <c r="A1057" s="1">
        <v>43628</v>
      </c>
      <c r="B1057">
        <f>2362.75</f>
        <v>2362.75</v>
      </c>
      <c r="C1057">
        <f>10004.06</f>
        <v>10004.06</v>
      </c>
      <c r="D1057">
        <f>6668.3</f>
        <v>6668.3</v>
      </c>
      <c r="E1057">
        <f>2321.361</f>
        <v>2321.3609999999999</v>
      </c>
      <c r="F1057">
        <f>1932.2</f>
        <v>1932.2</v>
      </c>
      <c r="G1057">
        <f>8541.465</f>
        <v>8541.4650000000001</v>
      </c>
      <c r="H1057">
        <f>3032.08</f>
        <v>3032.08</v>
      </c>
      <c r="I1057">
        <f>10319.21</f>
        <v>10319.209999999999</v>
      </c>
      <c r="J1057">
        <f>4229.36</f>
        <v>4229.3599999999997</v>
      </c>
      <c r="K1057">
        <f>12006.98</f>
        <v>12006.98</v>
      </c>
      <c r="L1057">
        <f>2122.18</f>
        <v>2122.1799999999998</v>
      </c>
      <c r="M1057">
        <f>8928.55</f>
        <v>8928.5499999999993</v>
      </c>
      <c r="N1057">
        <f>348.407</f>
        <v>348.40699999999998</v>
      </c>
      <c r="O1057">
        <f>3025.24</f>
        <v>3025.24</v>
      </c>
      <c r="P1057">
        <f>237.6</f>
        <v>237.6</v>
      </c>
      <c r="Q1057">
        <f>2742.685</f>
        <v>2742.6849999999999</v>
      </c>
      <c r="R1057">
        <f>5779.12</f>
        <v>5779.12</v>
      </c>
      <c r="S1057">
        <f>2340.11</f>
        <v>2340.11</v>
      </c>
      <c r="T1057">
        <f>3986.029</f>
        <v>3986.029</v>
      </c>
      <c r="U1057">
        <f>58710.55</f>
        <v>58710.55</v>
      </c>
      <c r="V1057">
        <f>473.23</f>
        <v>473.23</v>
      </c>
    </row>
    <row r="1058" spans="1:22" x14ac:dyDescent="0.2">
      <c r="A1058" s="1">
        <v>43627</v>
      </c>
      <c r="B1058">
        <f>2376.39</f>
        <v>2376.39</v>
      </c>
      <c r="C1058">
        <f>10040.03</f>
        <v>10040.030000000001</v>
      </c>
      <c r="D1058">
        <f>6696.2</f>
        <v>6696.2</v>
      </c>
      <c r="E1058">
        <f>2333.703</f>
        <v>2333.703</v>
      </c>
      <c r="F1058">
        <f>1934.27</f>
        <v>1934.27</v>
      </c>
      <c r="G1058">
        <f>8571.161</f>
        <v>8571.1610000000001</v>
      </c>
      <c r="H1058">
        <f>3040.94</f>
        <v>3040.94</v>
      </c>
      <c r="I1058">
        <f>10344.05</f>
        <v>10344.049999999999</v>
      </c>
      <c r="J1058">
        <f>4228.98</f>
        <v>4228.9799999999996</v>
      </c>
      <c r="K1058">
        <f>12030.15</f>
        <v>12030.15</v>
      </c>
      <c r="L1058">
        <f>2124.28</f>
        <v>2124.2800000000002</v>
      </c>
      <c r="M1058">
        <f>8950.71</f>
        <v>8950.7099999999991</v>
      </c>
      <c r="N1058">
        <f>349.615</f>
        <v>349.61500000000001</v>
      </c>
      <c r="O1058">
        <f>3036.49</f>
        <v>3036.49</v>
      </c>
      <c r="P1058">
        <f>238.37</f>
        <v>238.37</v>
      </c>
      <c r="Q1058">
        <f>2737.875</f>
        <v>2737.875</v>
      </c>
      <c r="R1058">
        <f>5790.83</f>
        <v>5790.83</v>
      </c>
      <c r="S1058">
        <f>2350.81</f>
        <v>2350.81</v>
      </c>
      <c r="T1058">
        <f>4010.918</f>
        <v>4010.9180000000001</v>
      </c>
      <c r="U1058">
        <f>58767.63</f>
        <v>58767.63</v>
      </c>
      <c r="V1058">
        <f>473.55</f>
        <v>473.55</v>
      </c>
    </row>
    <row r="1059" spans="1:22" x14ac:dyDescent="0.2">
      <c r="A1059" s="1">
        <v>43626</v>
      </c>
      <c r="B1059">
        <f>2368.66</f>
        <v>2368.66</v>
      </c>
      <c r="C1059">
        <f>9946.89</f>
        <v>9946.89</v>
      </c>
      <c r="D1059">
        <f>6675.47</f>
        <v>6675.47</v>
      </c>
      <c r="E1059">
        <f>2309.809</f>
        <v>2309.8090000000002</v>
      </c>
      <c r="F1059">
        <f>1918.29</f>
        <v>1918.29</v>
      </c>
      <c r="G1059">
        <f>8524.465</f>
        <v>8524.4650000000001</v>
      </c>
      <c r="H1059">
        <f>3018.13</f>
        <v>3018.13</v>
      </c>
      <c r="I1059">
        <f>10268.81</f>
        <v>10268.81</v>
      </c>
      <c r="J1059">
        <f>4221.02</f>
        <v>4221.0200000000004</v>
      </c>
      <c r="K1059">
        <f>12036.23</f>
        <v>12036.23</v>
      </c>
      <c r="L1059">
        <f>2114.09</f>
        <v>2114.09</v>
      </c>
      <c r="M1059">
        <f>8932.3</f>
        <v>8932.2999999999993</v>
      </c>
      <c r="N1059">
        <f>346.707</f>
        <v>346.70699999999999</v>
      </c>
      <c r="O1059">
        <f>3015.36</f>
        <v>3015.36</v>
      </c>
      <c r="P1059">
        <f>237.17</f>
        <v>237.17</v>
      </c>
      <c r="Q1059">
        <f>2740.153</f>
        <v>2740.1529999999998</v>
      </c>
      <c r="R1059">
        <f>5792.56</f>
        <v>5792.56</v>
      </c>
      <c r="S1059">
        <f>2338.19</f>
        <v>2338.19</v>
      </c>
      <c r="T1059">
        <f>3990.276</f>
        <v>3990.2759999999998</v>
      </c>
      <c r="U1059">
        <f>58481.05</f>
        <v>58481.05</v>
      </c>
      <c r="V1059">
        <f>468.32</f>
        <v>468.32</v>
      </c>
    </row>
    <row r="1060" spans="1:22" x14ac:dyDescent="0.2">
      <c r="A1060" s="1">
        <v>43623</v>
      </c>
      <c r="B1060">
        <f>2358.43</f>
        <v>2358.4299999999998</v>
      </c>
      <c r="C1060">
        <f>9802.6</f>
        <v>9802.6</v>
      </c>
      <c r="D1060">
        <f>6636</f>
        <v>6636</v>
      </c>
      <c r="E1060">
        <f>2276.491</f>
        <v>2276.491</v>
      </c>
      <c r="F1060">
        <f>1923.34</f>
        <v>1923.34</v>
      </c>
      <c r="G1060">
        <f>8519.014</f>
        <v>8519.0139999999992</v>
      </c>
      <c r="H1060">
        <f>3012.38</f>
        <v>3012.38</v>
      </c>
      <c r="I1060">
        <f>10266.7</f>
        <v>10266.700000000001</v>
      </c>
      <c r="J1060">
        <f>4214.18</f>
        <v>4214.18</v>
      </c>
      <c r="K1060">
        <f>11976.26</f>
        <v>11976.26</v>
      </c>
      <c r="L1060">
        <f>2113.31</f>
        <v>2113.31</v>
      </c>
      <c r="M1060">
        <f>8896.01</f>
        <v>8896.01</v>
      </c>
      <c r="N1060">
        <f>346.95</f>
        <v>346.95</v>
      </c>
      <c r="O1060">
        <f>3008.24</f>
        <v>3008.24</v>
      </c>
      <c r="P1060">
        <f>234.83</f>
        <v>234.83</v>
      </c>
      <c r="Q1060">
        <f>2737.501</f>
        <v>2737.5010000000002</v>
      </c>
      <c r="R1060">
        <f>5765.66</f>
        <v>5765.66</v>
      </c>
      <c r="S1060">
        <f>2307.25</f>
        <v>2307.25</v>
      </c>
      <c r="T1060">
        <f>3952.355</f>
        <v>3952.355</v>
      </c>
      <c r="U1060">
        <f>58099.84</f>
        <v>58099.839999999997</v>
      </c>
      <c r="V1060">
        <f>463.38</f>
        <v>463.38</v>
      </c>
    </row>
    <row r="1061" spans="1:22" x14ac:dyDescent="0.2">
      <c r="A1061" s="1">
        <v>43622</v>
      </c>
      <c r="B1061">
        <f>2329.06</f>
        <v>2329.06</v>
      </c>
      <c r="C1061">
        <f>9771.91</f>
        <v>9771.91</v>
      </c>
      <c r="D1061">
        <f>6570.76</f>
        <v>6570.76</v>
      </c>
      <c r="E1061">
        <f>2265.987</f>
        <v>2265.9870000000001</v>
      </c>
      <c r="F1061">
        <f>1897.17</f>
        <v>1897.17</v>
      </c>
      <c r="G1061">
        <f>8405.932</f>
        <v>8405.9320000000007</v>
      </c>
      <c r="H1061">
        <f>2995.44</f>
        <v>2995.44</v>
      </c>
      <c r="I1061">
        <f>10120.71</f>
        <v>10120.709999999999</v>
      </c>
      <c r="J1061">
        <f>4185.31</f>
        <v>4185.3100000000004</v>
      </c>
      <c r="K1061">
        <f>11850.46</f>
        <v>11850.46</v>
      </c>
      <c r="L1061">
        <f>2095.49</f>
        <v>2095.4899999999998</v>
      </c>
      <c r="M1061">
        <f>8800.46</f>
        <v>8800.4599999999991</v>
      </c>
      <c r="N1061">
        <f>344.479</f>
        <v>344.47899999999998</v>
      </c>
      <c r="O1061">
        <f>2980.31</f>
        <v>2980.31</v>
      </c>
      <c r="P1061">
        <f>233.67</f>
        <v>233.67</v>
      </c>
      <c r="Q1061">
        <f>2712.45</f>
        <v>2712.45</v>
      </c>
      <c r="R1061">
        <f>5705.22</f>
        <v>5705.22</v>
      </c>
      <c r="S1061">
        <f>2294.98</f>
        <v>2294.98</v>
      </c>
      <c r="T1061">
        <f>3890.594</f>
        <v>3890.5940000000001</v>
      </c>
      <c r="U1061">
        <f>57090.53</f>
        <v>57090.53</v>
      </c>
      <c r="V1061">
        <f>457.46</f>
        <v>457.46</v>
      </c>
    </row>
    <row r="1062" spans="1:22" x14ac:dyDescent="0.2">
      <c r="A1062" s="1">
        <v>43621</v>
      </c>
      <c r="B1062">
        <f>2325.62</f>
        <v>2325.62</v>
      </c>
      <c r="C1062">
        <f>9780.24</f>
        <v>9780.24</v>
      </c>
      <c r="D1062">
        <f>6528.41</f>
        <v>6528.41</v>
      </c>
      <c r="E1062">
        <f>2270.071</f>
        <v>2270.0709999999999</v>
      </c>
      <c r="F1062">
        <f>1884.94</f>
        <v>1884.94</v>
      </c>
      <c r="G1062">
        <f>8362.57</f>
        <v>8362.57</v>
      </c>
      <c r="H1062">
        <f>3011.93</f>
        <v>3011.93</v>
      </c>
      <c r="I1062">
        <f>10114.44</f>
        <v>10114.44</v>
      </c>
      <c r="J1062">
        <f>4158.56</f>
        <v>4158.5600000000004</v>
      </c>
      <c r="K1062">
        <f>11776.17</f>
        <v>11776.17</v>
      </c>
      <c r="L1062">
        <f>2086.44</f>
        <v>2086.44</v>
      </c>
      <c r="M1062">
        <f>8763.6</f>
        <v>8763.6</v>
      </c>
      <c r="N1062">
        <f>342.933</f>
        <v>342.93299999999999</v>
      </c>
      <c r="O1062">
        <f>2980.12</f>
        <v>2980.12</v>
      </c>
      <c r="P1062">
        <f>234.17</f>
        <v>234.17</v>
      </c>
      <c r="Q1062">
        <f>2695.854</f>
        <v>2695.8539999999998</v>
      </c>
      <c r="R1062">
        <f>5668.89</f>
        <v>5668.89</v>
      </c>
      <c r="S1062">
        <f>2302.75</f>
        <v>2302.75</v>
      </c>
      <c r="T1062">
        <f>3898.67</f>
        <v>3898.67</v>
      </c>
      <c r="U1062">
        <f>57073.38</f>
        <v>57073.38</v>
      </c>
      <c r="V1062">
        <f>455.72</f>
        <v>455.72</v>
      </c>
    </row>
    <row r="1063" spans="1:22" x14ac:dyDescent="0.2">
      <c r="A1063" s="1">
        <v>43620</v>
      </c>
      <c r="B1063">
        <f>2317.75</f>
        <v>2317.75</v>
      </c>
      <c r="C1063">
        <f>9772.39</f>
        <v>9772.39</v>
      </c>
      <c r="D1063">
        <f>6523.05</f>
        <v>6523.05</v>
      </c>
      <c r="E1063">
        <f>2270.832</f>
        <v>2270.8319999999999</v>
      </c>
      <c r="F1063">
        <f>1874.19</f>
        <v>1874.19</v>
      </c>
      <c r="G1063">
        <f>8319.257</f>
        <v>8319.2569999999996</v>
      </c>
      <c r="H1063">
        <f>2950.81</f>
        <v>2950.81</v>
      </c>
      <c r="I1063">
        <f>10049.75</f>
        <v>10049.75</v>
      </c>
      <c r="J1063">
        <f>4129.24</f>
        <v>4129.24</v>
      </c>
      <c r="K1063">
        <f>11678.7</f>
        <v>11678.7</v>
      </c>
      <c r="L1063">
        <f>2073.03</f>
        <v>2073.0300000000002</v>
      </c>
      <c r="M1063">
        <f>8686.86</f>
        <v>8686.86</v>
      </c>
      <c r="N1063">
        <f>339.741</f>
        <v>339.74099999999999</v>
      </c>
      <c r="O1063">
        <f>2970.08</f>
        <v>2970.08</v>
      </c>
      <c r="P1063">
        <f>230.32</f>
        <v>230.32</v>
      </c>
      <c r="Q1063">
        <f>2664.931</f>
        <v>2664.931</v>
      </c>
      <c r="R1063">
        <f>5622.31</f>
        <v>5622.31</v>
      </c>
      <c r="S1063">
        <f>2256.11</f>
        <v>2256.11</v>
      </c>
      <c r="T1063">
        <f>3868.268</f>
        <v>3868.268</v>
      </c>
      <c r="U1063">
        <f>56500.38</f>
        <v>56500.38</v>
      </c>
      <c r="V1063">
        <f>452.06</f>
        <v>452.06</v>
      </c>
    </row>
    <row r="1064" spans="1:22" x14ac:dyDescent="0.2">
      <c r="A1064" s="1">
        <v>43619</v>
      </c>
      <c r="B1064">
        <f>2281.04</f>
        <v>2281.04</v>
      </c>
      <c r="C1064">
        <f>9836.25</f>
        <v>9836.25</v>
      </c>
      <c r="D1064">
        <f>6496.38</f>
        <v>6496.38</v>
      </c>
      <c r="E1064">
        <f>2276.998</f>
        <v>2276.998</v>
      </c>
      <c r="F1064">
        <f>1839.49</f>
        <v>1839.49</v>
      </c>
      <c r="G1064">
        <f>8258.532</f>
        <v>8258.5319999999992</v>
      </c>
      <c r="H1064">
        <f>2934.71</f>
        <v>2934.71</v>
      </c>
      <c r="I1064">
        <f>9959.81</f>
        <v>9959.81</v>
      </c>
      <c r="J1064">
        <f>4059.37</f>
        <v>4059.37</v>
      </c>
      <c r="K1064">
        <f>11430.77</f>
        <v>11430.77</v>
      </c>
      <c r="L1064">
        <f>2046.03</f>
        <v>2046.03</v>
      </c>
      <c r="M1064">
        <f>8550.12</f>
        <v>8550.1200000000008</v>
      </c>
      <c r="N1064">
        <f>339.176</f>
        <v>339.17599999999999</v>
      </c>
      <c r="O1064">
        <f>2951.73</f>
        <v>2951.73</v>
      </c>
      <c r="P1064">
        <f>229.04</f>
        <v>229.04</v>
      </c>
      <c r="Q1064">
        <f>2621.35</f>
        <v>2621.35</v>
      </c>
      <c r="R1064">
        <f>5504.05</f>
        <v>5504.05</v>
      </c>
      <c r="S1064">
        <f>2255.92</f>
        <v>2255.92</v>
      </c>
      <c r="T1064">
        <f>3914.443</f>
        <v>3914.4430000000002</v>
      </c>
      <c r="U1064">
        <f>56286.31</f>
        <v>56286.31</v>
      </c>
      <c r="V1064">
        <f>455.12</f>
        <v>455.12</v>
      </c>
    </row>
    <row r="1065" spans="1:22" x14ac:dyDescent="0.2">
      <c r="A1065" s="1">
        <v>43616</v>
      </c>
      <c r="B1065">
        <f>2291.95</f>
        <v>2291.9499999999998</v>
      </c>
      <c r="C1065">
        <f>9738.08</f>
        <v>9738.08</v>
      </c>
      <c r="D1065">
        <f>6475.51</f>
        <v>6475.51</v>
      </c>
      <c r="E1065">
        <f>2253.09</f>
        <v>2253.09</v>
      </c>
      <c r="F1065">
        <f>1833.83</f>
        <v>1833.83</v>
      </c>
      <c r="G1065">
        <f>8215.278</f>
        <v>8215.2780000000002</v>
      </c>
      <c r="H1065">
        <f>2947.15</f>
        <v>2947.15</v>
      </c>
      <c r="I1065">
        <f>9850.151</f>
        <v>9850.1509999999998</v>
      </c>
      <c r="J1065">
        <f>4016.12</f>
        <v>4016.12</v>
      </c>
      <c r="K1065">
        <f>11466.23</f>
        <v>11466.23</v>
      </c>
      <c r="L1065">
        <f>2024.4</f>
        <v>2024.4</v>
      </c>
      <c r="M1065">
        <f>8554.77</f>
        <v>8554.77</v>
      </c>
      <c r="N1065">
        <f>337.69</f>
        <v>337.69</v>
      </c>
      <c r="O1065">
        <f>2941.4</f>
        <v>2941.4</v>
      </c>
      <c r="P1065">
        <f>230.5</f>
        <v>230.5</v>
      </c>
      <c r="Q1065">
        <f>2593.273</f>
        <v>2593.2730000000001</v>
      </c>
      <c r="R1065">
        <f>5519.27</f>
        <v>5519.27</v>
      </c>
      <c r="S1065">
        <f>2275.96</f>
        <v>2275.96</v>
      </c>
      <c r="T1065">
        <f>3878.94</f>
        <v>3878.94</v>
      </c>
      <c r="U1065">
        <f>55650.41</f>
        <v>55650.41</v>
      </c>
      <c r="V1065">
        <f>452.83</f>
        <v>452.83</v>
      </c>
    </row>
    <row r="1066" spans="1:22" x14ac:dyDescent="0.2">
      <c r="A1066" s="1">
        <v>43615</v>
      </c>
      <c r="B1066">
        <f>2298.39</f>
        <v>2298.39</v>
      </c>
      <c r="C1066">
        <f>9695.57</f>
        <v>9695.57</v>
      </c>
      <c r="D1066">
        <f>6526.54</f>
        <v>6526.54</v>
      </c>
      <c r="E1066">
        <f>2245.543</f>
        <v>2245.5430000000001</v>
      </c>
      <c r="F1066">
        <f>1853.27</f>
        <v>1853.27</v>
      </c>
      <c r="G1066">
        <f>8271.5</f>
        <v>8271.5</v>
      </c>
      <c r="H1066">
        <f>2966.33</f>
        <v>2966.33</v>
      </c>
      <c r="I1066">
        <f>9913.544</f>
        <v>9913.5439999999999</v>
      </c>
      <c r="J1066">
        <f>4076.24</f>
        <v>4076.24</v>
      </c>
      <c r="K1066">
        <f>11612.99</f>
        <v>11612.99</v>
      </c>
      <c r="L1066">
        <f>2048.84</f>
        <v>2048.84</v>
      </c>
      <c r="M1066">
        <f>8638.04</f>
        <v>8638.0400000000009</v>
      </c>
      <c r="N1066">
        <f>339.123</f>
        <v>339.12299999999999</v>
      </c>
      <c r="O1066">
        <f>2964.91</f>
        <v>2964.91</v>
      </c>
      <c r="P1066">
        <f>232.93</f>
        <v>232.93</v>
      </c>
      <c r="Q1066">
        <f>2624.71</f>
        <v>2624.71</v>
      </c>
      <c r="R1066">
        <f>5591.97</f>
        <v>5591.97</v>
      </c>
      <c r="S1066">
        <f>2305.61</f>
        <v>2305.61</v>
      </c>
      <c r="T1066">
        <f>3878.615</f>
        <v>3878.6149999999998</v>
      </c>
      <c r="U1066">
        <f>55700.59</f>
        <v>55700.59</v>
      </c>
      <c r="V1066">
        <f>454.01</f>
        <v>454.01</v>
      </c>
    </row>
    <row r="1067" spans="1:22" x14ac:dyDescent="0.2">
      <c r="A1067" s="1">
        <v>43614</v>
      </c>
      <c r="B1067">
        <f>2289.21</f>
        <v>2289.21</v>
      </c>
      <c r="C1067">
        <f>9582.48</f>
        <v>9582.48</v>
      </c>
      <c r="D1067">
        <f>6491.86</f>
        <v>6491.86</v>
      </c>
      <c r="E1067">
        <f>2223.916</f>
        <v>2223.9160000000002</v>
      </c>
      <c r="F1067">
        <f>1852.73</f>
        <v>1852.73</v>
      </c>
      <c r="G1067">
        <f>8254.952</f>
        <v>8254.9519999999993</v>
      </c>
      <c r="H1067">
        <f>2964.25</f>
        <v>2964.25</v>
      </c>
      <c r="I1067">
        <f>9881.391</f>
        <v>9881.3909999999996</v>
      </c>
      <c r="J1067">
        <f>4069.25</f>
        <v>4069.25</v>
      </c>
      <c r="K1067">
        <f>11587.52</f>
        <v>11587.52</v>
      </c>
      <c r="L1067">
        <f>2049.02</f>
        <v>2049.02</v>
      </c>
      <c r="M1067">
        <f>8629.54</f>
        <v>8629.5400000000009</v>
      </c>
      <c r="N1067">
        <f>337.907</f>
        <v>337.90699999999998</v>
      </c>
      <c r="O1067">
        <f>2953.23</f>
        <v>2953.23</v>
      </c>
      <c r="P1067">
        <f>233.3</f>
        <v>233.3</v>
      </c>
      <c r="Q1067">
        <f>2618.127</f>
        <v>2618.127</v>
      </c>
      <c r="R1067">
        <f>5579.51</f>
        <v>5579.51</v>
      </c>
      <c r="S1067">
        <f>2312.28</f>
        <v>2312.2800000000002</v>
      </c>
      <c r="T1067">
        <f>3807.92</f>
        <v>3807.92</v>
      </c>
      <c r="U1067">
        <f>54997.34</f>
        <v>54997.34</v>
      </c>
      <c r="V1067">
        <f>446.71</f>
        <v>446.71</v>
      </c>
    </row>
    <row r="1068" spans="1:22" x14ac:dyDescent="0.2">
      <c r="A1068" s="1">
        <v>43613</v>
      </c>
      <c r="B1068">
        <f>2308.71</f>
        <v>2308.71</v>
      </c>
      <c r="C1068">
        <f>9585.67</f>
        <v>9585.67</v>
      </c>
      <c r="D1068">
        <f>6567.44</f>
        <v>6567.44</v>
      </c>
      <c r="E1068">
        <f>2229.868</f>
        <v>2229.8679999999999</v>
      </c>
      <c r="F1068">
        <f>1886.76</f>
        <v>1886.76</v>
      </c>
      <c r="G1068">
        <f>8378.428</f>
        <v>8378.4279999999999</v>
      </c>
      <c r="H1068">
        <f>2983.48</f>
        <v>2983.48</v>
      </c>
      <c r="I1068">
        <f>10053.55</f>
        <v>10053.549999999999</v>
      </c>
      <c r="J1068">
        <f>4095.26</f>
        <v>4095.26</v>
      </c>
      <c r="K1068">
        <f>11668.6</f>
        <v>11668.6</v>
      </c>
      <c r="L1068">
        <f>2067.66</f>
        <v>2067.66</v>
      </c>
      <c r="M1068">
        <f>8711.04</f>
        <v>8711.0400000000009</v>
      </c>
      <c r="N1068">
        <f>343.462</f>
        <v>343.46199999999999</v>
      </c>
      <c r="O1068">
        <f>2992.41</f>
        <v>2992.41</v>
      </c>
      <c r="P1068">
        <f>235.04</f>
        <v>235.04</v>
      </c>
      <c r="Q1068">
        <f>2627.35</f>
        <v>2627.35</v>
      </c>
      <c r="R1068">
        <f>5618.18</f>
        <v>5618.18</v>
      </c>
      <c r="S1068">
        <f>2334.11</f>
        <v>2334.11</v>
      </c>
      <c r="T1068">
        <f>3773.297</f>
        <v>3773.297</v>
      </c>
      <c r="U1068">
        <f>54431.63</f>
        <v>54431.63</v>
      </c>
      <c r="V1068">
        <f>442.42</f>
        <v>442.42</v>
      </c>
    </row>
    <row r="1069" spans="1:22" x14ac:dyDescent="0.2">
      <c r="A1069" s="1">
        <v>43612</v>
      </c>
      <c r="B1069">
        <f>2300.65</f>
        <v>2300.65</v>
      </c>
      <c r="C1069">
        <f>9642.07</f>
        <v>9642.07</v>
      </c>
      <c r="D1069" t="e">
        <f>NA()</f>
        <v>#N/A</v>
      </c>
      <c r="E1069">
        <f>2231.793</f>
        <v>2231.7930000000001</v>
      </c>
      <c r="F1069">
        <f>1885.41</f>
        <v>1885.41</v>
      </c>
      <c r="G1069">
        <f>8388.51</f>
        <v>8388.51</v>
      </c>
      <c r="H1069">
        <f>2968.96</f>
        <v>2968.96</v>
      </c>
      <c r="I1069">
        <f>10097.86</f>
        <v>10097.86</v>
      </c>
      <c r="J1069">
        <f>4153.67</f>
        <v>4153.67</v>
      </c>
      <c r="K1069">
        <f>11765.5</f>
        <v>11765.5</v>
      </c>
      <c r="L1069">
        <f>2088.82</f>
        <v>2088.8200000000002</v>
      </c>
      <c r="M1069">
        <f>8760.48</f>
        <v>8760.48</v>
      </c>
      <c r="N1069">
        <f>343.538</f>
        <v>343.53800000000001</v>
      </c>
      <c r="O1069">
        <f>2998.81</f>
        <v>2998.81</v>
      </c>
      <c r="P1069">
        <f>235.18</f>
        <v>235.18</v>
      </c>
      <c r="Q1069" t="e">
        <f>NA()</f>
        <v>#N/A</v>
      </c>
      <c r="R1069" t="e">
        <f>NA()</f>
        <v>#N/A</v>
      </c>
      <c r="S1069">
        <f>2328.11</f>
        <v>2328.11</v>
      </c>
      <c r="T1069">
        <f>3820.888</f>
        <v>3820.8879999999999</v>
      </c>
      <c r="U1069">
        <f>54488.15</f>
        <v>54488.15</v>
      </c>
      <c r="V1069">
        <f>447.29</f>
        <v>447.29</v>
      </c>
    </row>
    <row r="1070" spans="1:22" x14ac:dyDescent="0.2">
      <c r="A1070" s="1">
        <v>43609</v>
      </c>
      <c r="B1070">
        <f>2300.65</f>
        <v>2300.65</v>
      </c>
      <c r="C1070">
        <f>9617.01</f>
        <v>9617.01</v>
      </c>
      <c r="D1070">
        <f>6575.37</f>
        <v>6575.37</v>
      </c>
      <c r="E1070">
        <f>2225.391</f>
        <v>2225.3910000000001</v>
      </c>
      <c r="F1070">
        <f>1887.26</f>
        <v>1887.26</v>
      </c>
      <c r="G1070">
        <f>8396.779</f>
        <v>8396.7790000000005</v>
      </c>
      <c r="H1070">
        <f>2964.75</f>
        <v>2964.75</v>
      </c>
      <c r="I1070">
        <f>10074.37</f>
        <v>10074.370000000001</v>
      </c>
      <c r="J1070">
        <f>4153.67</f>
        <v>4153.67</v>
      </c>
      <c r="K1070">
        <f>11765.5</f>
        <v>11765.5</v>
      </c>
      <c r="L1070">
        <f>2086.42</f>
        <v>2086.42</v>
      </c>
      <c r="M1070">
        <f>8753.82</f>
        <v>8753.82</v>
      </c>
      <c r="N1070">
        <f>343.524</f>
        <v>343.524</v>
      </c>
      <c r="O1070">
        <f>2992.77</f>
        <v>2992.77</v>
      </c>
      <c r="P1070">
        <f>234.55</f>
        <v>234.55</v>
      </c>
      <c r="Q1070">
        <f>2661.101</f>
        <v>2661.1010000000001</v>
      </c>
      <c r="R1070">
        <f>5665.6</f>
        <v>5665.6</v>
      </c>
      <c r="S1070">
        <f>2319.41</f>
        <v>2319.41</v>
      </c>
      <c r="T1070">
        <f>3829.819</f>
        <v>3829.819</v>
      </c>
      <c r="U1070">
        <f>54423.56</f>
        <v>54423.56</v>
      </c>
      <c r="V1070">
        <f>445.86</f>
        <v>445.86</v>
      </c>
    </row>
    <row r="1071" spans="1:22" x14ac:dyDescent="0.2">
      <c r="A1071" s="1">
        <v>43608</v>
      </c>
      <c r="B1071">
        <f>2275.49</f>
        <v>2275.4899999999998</v>
      </c>
      <c r="C1071">
        <f>9588.28</f>
        <v>9588.2800000000007</v>
      </c>
      <c r="D1071">
        <f>6533.18</f>
        <v>6533.18</v>
      </c>
      <c r="E1071">
        <f>2220.859</f>
        <v>2220.8589999999999</v>
      </c>
      <c r="F1071">
        <f>1868.13</f>
        <v>1868.13</v>
      </c>
      <c r="G1071">
        <f>8325.542</f>
        <v>8325.5419999999995</v>
      </c>
      <c r="H1071">
        <f>2962.99</f>
        <v>2962.99</v>
      </c>
      <c r="I1071">
        <f>9962.215</f>
        <v>9962.2150000000001</v>
      </c>
      <c r="J1071">
        <f>4153.99</f>
        <v>4153.99</v>
      </c>
      <c r="K1071">
        <f>11746.53</f>
        <v>11746.53</v>
      </c>
      <c r="L1071">
        <f>2076.53</f>
        <v>2076.5300000000002</v>
      </c>
      <c r="M1071">
        <f>8721.05</f>
        <v>8721.0499999999993</v>
      </c>
      <c r="N1071">
        <f>341.976</f>
        <v>341.976</v>
      </c>
      <c r="O1071">
        <f>2972.78</f>
        <v>2972.78</v>
      </c>
      <c r="P1071">
        <f>233.86</f>
        <v>233.86</v>
      </c>
      <c r="Q1071">
        <f>2653.343</f>
        <v>2653.3429999999998</v>
      </c>
      <c r="R1071">
        <f>5657.1</f>
        <v>5657.1</v>
      </c>
      <c r="S1071">
        <f>2318.46</f>
        <v>2318.46</v>
      </c>
      <c r="T1071">
        <f>3823.632</f>
        <v>3823.6320000000001</v>
      </c>
      <c r="U1071">
        <f>54271.24</f>
        <v>54271.24</v>
      </c>
      <c r="V1071">
        <f>442.05</f>
        <v>442.05</v>
      </c>
    </row>
    <row r="1072" spans="1:22" x14ac:dyDescent="0.2">
      <c r="A1072" s="1">
        <v>43607</v>
      </c>
      <c r="B1072">
        <f>2326.51</f>
        <v>2326.5100000000002</v>
      </c>
      <c r="C1072">
        <f>9682.1</f>
        <v>9682.1</v>
      </c>
      <c r="D1072">
        <f>6623.96</f>
        <v>6623.96</v>
      </c>
      <c r="E1072">
        <f>2249.057</f>
        <v>2249.0569999999998</v>
      </c>
      <c r="F1072">
        <f>1898.28</f>
        <v>1898.28</v>
      </c>
      <c r="G1072">
        <f>8435.827</f>
        <v>8435.8269999999993</v>
      </c>
      <c r="H1072">
        <f>2964.2</f>
        <v>2964.2</v>
      </c>
      <c r="I1072">
        <f>10107.38</f>
        <v>10107.379999999999</v>
      </c>
      <c r="J1072">
        <f>4184.21</f>
        <v>4184.21</v>
      </c>
      <c r="K1072">
        <f>11891.24</f>
        <v>11891.24</v>
      </c>
      <c r="L1072">
        <f>2092.77</f>
        <v>2092.77</v>
      </c>
      <c r="M1072">
        <f>8820.87</f>
        <v>8820.8700000000008</v>
      </c>
      <c r="N1072">
        <f>345.456</f>
        <v>345.45600000000002</v>
      </c>
      <c r="O1072">
        <f>3014.95</f>
        <v>3014.95</v>
      </c>
      <c r="P1072">
        <f>233.71</f>
        <v>233.71</v>
      </c>
      <c r="Q1072">
        <f>2680.232</f>
        <v>2680.232</v>
      </c>
      <c r="R1072">
        <f>5724.71</f>
        <v>5724.71</v>
      </c>
      <c r="S1072">
        <f>2326.92</f>
        <v>2326.92</v>
      </c>
      <c r="T1072">
        <f>3892.69</f>
        <v>3892.69</v>
      </c>
      <c r="U1072">
        <f>55231.05</f>
        <v>55231.05</v>
      </c>
      <c r="V1072">
        <f>449.11</f>
        <v>449.11</v>
      </c>
    </row>
    <row r="1073" spans="1:22" x14ac:dyDescent="0.2">
      <c r="A1073" s="1">
        <v>43606</v>
      </c>
      <c r="B1073">
        <f>2348.87</f>
        <v>2348.87</v>
      </c>
      <c r="C1073">
        <f>9674.3</f>
        <v>9674.2999999999993</v>
      </c>
      <c r="D1073">
        <f>6619.2</f>
        <v>6619.2</v>
      </c>
      <c r="E1073">
        <f>2250.822</f>
        <v>2250.8220000000001</v>
      </c>
      <c r="F1073">
        <f>1939.5</f>
        <v>1939.5</v>
      </c>
      <c r="G1073">
        <f>8516.712</f>
        <v>8516.7119999999995</v>
      </c>
      <c r="H1073">
        <f>2960.26</f>
        <v>2960.26</v>
      </c>
      <c r="I1073">
        <f>10122.42</f>
        <v>10122.42</v>
      </c>
      <c r="J1073">
        <f>4183.51</f>
        <v>4183.51</v>
      </c>
      <c r="K1073">
        <f>11926.13</f>
        <v>11926.13</v>
      </c>
      <c r="L1073">
        <f>2095.37</f>
        <v>2095.37</v>
      </c>
      <c r="M1073">
        <f>8845.1</f>
        <v>8845.1</v>
      </c>
      <c r="N1073">
        <f>344.976</f>
        <v>344.976</v>
      </c>
      <c r="O1073">
        <f>3017.42</f>
        <v>3017.42</v>
      </c>
      <c r="P1073">
        <f>233.53</f>
        <v>233.53</v>
      </c>
      <c r="Q1073">
        <f>2685.619</f>
        <v>2685.6190000000001</v>
      </c>
      <c r="R1073">
        <f>5740.81</f>
        <v>5740.81</v>
      </c>
      <c r="S1073">
        <f>2333.08</f>
        <v>2333.08</v>
      </c>
      <c r="T1073">
        <f>3882.965</f>
        <v>3882.9650000000001</v>
      </c>
      <c r="U1073">
        <f>55523.95</f>
        <v>55523.95</v>
      </c>
      <c r="V1073">
        <f>449.24</f>
        <v>449.24</v>
      </c>
    </row>
    <row r="1074" spans="1:22" x14ac:dyDescent="0.2">
      <c r="A1074" s="1">
        <v>43605</v>
      </c>
      <c r="B1074">
        <f>2327.04</f>
        <v>2327.04</v>
      </c>
      <c r="C1074">
        <f>9630.87</f>
        <v>9630.8700000000008</v>
      </c>
      <c r="D1074">
        <f>6602.92</f>
        <v>6602.92</v>
      </c>
      <c r="E1074">
        <f>2239.501</f>
        <v>2239.5010000000002</v>
      </c>
      <c r="F1074">
        <f>1933.79</f>
        <v>1933.79</v>
      </c>
      <c r="G1074">
        <f>8465.242</f>
        <v>8465.2420000000002</v>
      </c>
      <c r="H1074">
        <f>2972.18</f>
        <v>2972.18</v>
      </c>
      <c r="I1074">
        <f>10046</f>
        <v>10046</v>
      </c>
      <c r="J1074">
        <f>4158.14</f>
        <v>4158.1400000000003</v>
      </c>
      <c r="K1074">
        <f>11822.39</f>
        <v>11822.39</v>
      </c>
      <c r="L1074">
        <f>2087.89</f>
        <v>2087.89</v>
      </c>
      <c r="M1074">
        <f>8789.03</f>
        <v>8789.0300000000007</v>
      </c>
      <c r="N1074">
        <f>343.499</f>
        <v>343.49900000000002</v>
      </c>
      <c r="O1074">
        <f>2999.43</f>
        <v>2999.43</v>
      </c>
      <c r="P1074">
        <f>234.4</f>
        <v>234.4</v>
      </c>
      <c r="Q1074">
        <f>2660.946</f>
        <v>2660.9459999999999</v>
      </c>
      <c r="R1074">
        <f>5692.3</f>
        <v>5692.3</v>
      </c>
      <c r="S1074">
        <f>2340.03</f>
        <v>2340.0300000000002</v>
      </c>
      <c r="T1074">
        <f>3939.624</f>
        <v>3939.6239999999998</v>
      </c>
      <c r="U1074">
        <f>55616.97</f>
        <v>55616.97</v>
      </c>
      <c r="V1074">
        <f>452.47</f>
        <v>452.47</v>
      </c>
    </row>
    <row r="1075" spans="1:22" x14ac:dyDescent="0.2">
      <c r="A1075" s="1">
        <v>43602</v>
      </c>
      <c r="B1075">
        <f>2346.48</f>
        <v>2346.48</v>
      </c>
      <c r="C1075">
        <f>9602.17</f>
        <v>9602.17</v>
      </c>
      <c r="D1075">
        <f>6637</f>
        <v>6637</v>
      </c>
      <c r="E1075">
        <f>2244.66</f>
        <v>2244.66</v>
      </c>
      <c r="F1075">
        <f>1948.89</f>
        <v>1948.89</v>
      </c>
      <c r="G1075">
        <f>8507.99</f>
        <v>8507.99</v>
      </c>
      <c r="H1075">
        <f>2965.67</f>
        <v>2965.67</v>
      </c>
      <c r="I1075">
        <f>10144.63</f>
        <v>10144.629999999999</v>
      </c>
      <c r="J1075">
        <f>4174.99</f>
        <v>4174.99</v>
      </c>
      <c r="K1075">
        <f>11904.1</f>
        <v>11904.1</v>
      </c>
      <c r="L1075">
        <f>2090.21</f>
        <v>2090.21</v>
      </c>
      <c r="M1075">
        <f>8835.8</f>
        <v>8835.7999999999993</v>
      </c>
      <c r="N1075">
        <f>346.508</f>
        <v>346.50799999999998</v>
      </c>
      <c r="O1075">
        <f>3027.25</f>
        <v>3027.25</v>
      </c>
      <c r="P1075">
        <f>233.47</f>
        <v>233.47</v>
      </c>
      <c r="Q1075">
        <f>2667.827</f>
        <v>2667.8270000000002</v>
      </c>
      <c r="R1075">
        <f>5730.89</f>
        <v>5730.89</v>
      </c>
      <c r="S1075">
        <f>2339.03</f>
        <v>2339.0300000000002</v>
      </c>
      <c r="T1075">
        <f>3967.709</f>
        <v>3967.7089999999998</v>
      </c>
      <c r="U1075">
        <f>56183.21</f>
        <v>56183.21</v>
      </c>
      <c r="V1075">
        <f>455.9</f>
        <v>455.9</v>
      </c>
    </row>
    <row r="1076" spans="1:22" x14ac:dyDescent="0.2">
      <c r="A1076" s="1">
        <v>43601</v>
      </c>
      <c r="B1076">
        <f>2352.29</f>
        <v>2352.29</v>
      </c>
      <c r="C1076">
        <f>9727.26</f>
        <v>9727.26</v>
      </c>
      <c r="D1076">
        <f>6641.41</f>
        <v>6641.41</v>
      </c>
      <c r="E1076">
        <f>2277.531</f>
        <v>2277.5309999999999</v>
      </c>
      <c r="F1076">
        <f>1955.89</f>
        <v>1955.89</v>
      </c>
      <c r="G1076">
        <f>8548.71</f>
        <v>8548.7099999999991</v>
      </c>
      <c r="H1076">
        <f>2947.01</f>
        <v>2947.01</v>
      </c>
      <c r="I1076">
        <f>10195.97</f>
        <v>10195.969999999999</v>
      </c>
      <c r="J1076">
        <f>4189.69</f>
        <v>4189.6899999999996</v>
      </c>
      <c r="K1076">
        <f>11975.85</f>
        <v>11975.85</v>
      </c>
      <c r="L1076">
        <f>2094.58</f>
        <v>2094.58</v>
      </c>
      <c r="M1076">
        <f>8874.42</f>
        <v>8874.42</v>
      </c>
      <c r="N1076">
        <f>346.788</f>
        <v>346.78800000000001</v>
      </c>
      <c r="O1076">
        <f>3037.86</f>
        <v>3037.86</v>
      </c>
      <c r="P1076">
        <f>232.36</f>
        <v>232.36</v>
      </c>
      <c r="Q1076">
        <f>2681.029</f>
        <v>2681.029</v>
      </c>
      <c r="R1076">
        <f>5763.95</f>
        <v>5763.95</v>
      </c>
      <c r="S1076">
        <f>2313.89</f>
        <v>2313.89</v>
      </c>
      <c r="T1076">
        <f>4018.234</f>
        <v>4018.2339999999999</v>
      </c>
      <c r="U1076">
        <f>56537.72</f>
        <v>56537.72</v>
      </c>
      <c r="V1076">
        <f>460.06</f>
        <v>460.06</v>
      </c>
    </row>
    <row r="1077" spans="1:22" x14ac:dyDescent="0.2">
      <c r="A1077" s="1">
        <v>43600</v>
      </c>
      <c r="B1077">
        <f>2347.08</f>
        <v>2347.08</v>
      </c>
      <c r="C1077">
        <f>9731.8</f>
        <v>9731.7999999999993</v>
      </c>
      <c r="D1077">
        <f>6569.71</f>
        <v>6569.71</v>
      </c>
      <c r="E1077">
        <f>2288.283</f>
        <v>2288.2829999999999</v>
      </c>
      <c r="F1077">
        <f>1949.51</f>
        <v>1949.51</v>
      </c>
      <c r="G1077">
        <f>8503.642</f>
        <v>8503.6419999999998</v>
      </c>
      <c r="H1077">
        <f>2972.05</f>
        <v>2972.05</v>
      </c>
      <c r="I1077">
        <f>10066.81</f>
        <v>10066.81</v>
      </c>
      <c r="J1077">
        <f>4152.57</f>
        <v>4152.57</v>
      </c>
      <c r="K1077">
        <f>11866.06</f>
        <v>11866.06</v>
      </c>
      <c r="L1077">
        <f>2074.54</f>
        <v>2074.54</v>
      </c>
      <c r="M1077">
        <f>8804.5</f>
        <v>8804.5</v>
      </c>
      <c r="N1077">
        <f>344.235</f>
        <v>344.23500000000001</v>
      </c>
      <c r="O1077">
        <f>2997.53</f>
        <v>2997.53</v>
      </c>
      <c r="P1077">
        <f>232.04</f>
        <v>232.04</v>
      </c>
      <c r="Q1077">
        <f>2663.221</f>
        <v>2663.221</v>
      </c>
      <c r="R1077">
        <f>5711.49</f>
        <v>5711.49</v>
      </c>
      <c r="S1077">
        <f>2323.81</f>
        <v>2323.81</v>
      </c>
      <c r="T1077">
        <f>4000.055</f>
        <v>4000.0549999999998</v>
      </c>
      <c r="U1077">
        <f>56043.21</f>
        <v>56043.21</v>
      </c>
      <c r="V1077">
        <f>455.66</f>
        <v>455.66</v>
      </c>
    </row>
    <row r="1078" spans="1:22" x14ac:dyDescent="0.2">
      <c r="A1078" s="1">
        <v>43599</v>
      </c>
      <c r="B1078">
        <f>2339.26</f>
        <v>2339.2600000000002</v>
      </c>
      <c r="C1078">
        <f>9754.91</f>
        <v>9754.91</v>
      </c>
      <c r="D1078">
        <f>6519.87</f>
        <v>6519.87</v>
      </c>
      <c r="E1078">
        <f>2284.843</f>
        <v>2284.8429999999998</v>
      </c>
      <c r="F1078">
        <f>1955.72</f>
        <v>1955.72</v>
      </c>
      <c r="G1078">
        <f>8474.456</f>
        <v>8474.4560000000001</v>
      </c>
      <c r="H1078">
        <f>2959.95</f>
        <v>2959.95</v>
      </c>
      <c r="I1078">
        <f>10015.58</f>
        <v>10015.58</v>
      </c>
      <c r="J1078">
        <f>4132.76</f>
        <v>4132.76</v>
      </c>
      <c r="K1078">
        <f>11793.4</f>
        <v>11793.4</v>
      </c>
      <c r="L1078">
        <f>2065.27</f>
        <v>2065.27</v>
      </c>
      <c r="M1078">
        <f>8754.39</f>
        <v>8754.39</v>
      </c>
      <c r="N1078">
        <f>343.239</f>
        <v>343.23899999999998</v>
      </c>
      <c r="O1078">
        <f>2982.22</f>
        <v>2982.22</v>
      </c>
      <c r="P1078">
        <f>232.5</f>
        <v>232.5</v>
      </c>
      <c r="Q1078">
        <f>2655.936</f>
        <v>2655.9360000000001</v>
      </c>
      <c r="R1078">
        <f>5677.2</f>
        <v>5677.2</v>
      </c>
      <c r="S1078">
        <f>2310.02</f>
        <v>2310.02</v>
      </c>
      <c r="T1078">
        <f>4035.176</f>
        <v>4035.1759999999999</v>
      </c>
      <c r="U1078">
        <f>56234.28</f>
        <v>56234.28</v>
      </c>
      <c r="V1078">
        <f>455.97</f>
        <v>455.97</v>
      </c>
    </row>
    <row r="1079" spans="1:22" x14ac:dyDescent="0.2">
      <c r="A1079" s="1">
        <v>43598</v>
      </c>
      <c r="B1079">
        <f>2314.61</f>
        <v>2314.61</v>
      </c>
      <c r="C1079">
        <f>9763.91</f>
        <v>9763.91</v>
      </c>
      <c r="D1079">
        <f>6449.71</f>
        <v>6449.71</v>
      </c>
      <c r="E1079">
        <f>2289.311</f>
        <v>2289.3110000000001</v>
      </c>
      <c r="F1079">
        <f>1952.53</f>
        <v>1952.53</v>
      </c>
      <c r="G1079">
        <f>8427.64</f>
        <v>8427.64</v>
      </c>
      <c r="H1079">
        <f>2970.96</f>
        <v>2970.96</v>
      </c>
      <c r="I1079">
        <f>9933.277</f>
        <v>9933.277</v>
      </c>
      <c r="J1079">
        <f>4106.05</f>
        <v>4106.05</v>
      </c>
      <c r="K1079">
        <f>11693.02</f>
        <v>11693.02</v>
      </c>
      <c r="L1079">
        <f>2057.62</f>
        <v>2057.62</v>
      </c>
      <c r="M1079">
        <f>8701.6</f>
        <v>8701.6</v>
      </c>
      <c r="N1079">
        <f>341.595</f>
        <v>341.59500000000003</v>
      </c>
      <c r="O1079">
        <f>2951.78</f>
        <v>2951.78</v>
      </c>
      <c r="P1079">
        <f>232.95</f>
        <v>232.95</v>
      </c>
      <c r="Q1079">
        <f>2640.297</f>
        <v>2640.297</v>
      </c>
      <c r="R1079">
        <f>5631.41</f>
        <v>5631.41</v>
      </c>
      <c r="S1079">
        <f>2319.29</f>
        <v>2319.29</v>
      </c>
      <c r="T1079">
        <f>4040.05</f>
        <v>4040.05</v>
      </c>
      <c r="U1079">
        <f>56373.68</f>
        <v>56373.68</v>
      </c>
      <c r="V1079">
        <f>457.96</f>
        <v>457.96</v>
      </c>
    </row>
    <row r="1080" spans="1:22" x14ac:dyDescent="0.2">
      <c r="A1080" s="1">
        <v>43595</v>
      </c>
      <c r="B1080">
        <f>2347.64</f>
        <v>2347.64</v>
      </c>
      <c r="C1080">
        <f>9876.43</f>
        <v>9876.43</v>
      </c>
      <c r="D1080">
        <f>6485.38</f>
        <v>6485.38</v>
      </c>
      <c r="E1080">
        <f>2327.24</f>
        <v>2327.2399999999998</v>
      </c>
      <c r="F1080">
        <f>1990.25</f>
        <v>1990.25</v>
      </c>
      <c r="G1080">
        <f>8503.474</f>
        <v>8503.4740000000002</v>
      </c>
      <c r="H1080">
        <f>2966.24</f>
        <v>2966.24</v>
      </c>
      <c r="I1080">
        <f>10060.95</f>
        <v>10060.950000000001</v>
      </c>
      <c r="J1080">
        <f>4182.66</f>
        <v>4182.66</v>
      </c>
      <c r="K1080">
        <f>11987.67</f>
        <v>11987.67</v>
      </c>
      <c r="L1080">
        <f>2078.47</f>
        <v>2078.4699999999998</v>
      </c>
      <c r="M1080">
        <f>8866.56</f>
        <v>8866.56</v>
      </c>
      <c r="N1080">
        <f>345.329</f>
        <v>345.32900000000001</v>
      </c>
      <c r="O1080">
        <f>2986.19</f>
        <v>2986.19</v>
      </c>
      <c r="P1080">
        <f>235.12</f>
        <v>235.12</v>
      </c>
      <c r="Q1080">
        <f>2693.724</f>
        <v>2693.7240000000002</v>
      </c>
      <c r="R1080">
        <f>5770.44</f>
        <v>5770.44</v>
      </c>
      <c r="S1080">
        <f>2331.72</f>
        <v>2331.7199999999998</v>
      </c>
      <c r="T1080">
        <f>4067.327</f>
        <v>4067.3270000000002</v>
      </c>
      <c r="U1080">
        <f>56780.75</f>
        <v>56780.75</v>
      </c>
      <c r="V1080">
        <f>460.09</f>
        <v>460.09</v>
      </c>
    </row>
    <row r="1081" spans="1:22" x14ac:dyDescent="0.2">
      <c r="A1081" s="1">
        <v>43594</v>
      </c>
      <c r="B1081">
        <f>2347.44</f>
        <v>2347.44</v>
      </c>
      <c r="C1081">
        <f>9815.1</f>
        <v>9815.1</v>
      </c>
      <c r="D1081">
        <f>6489.09</f>
        <v>6489.09</v>
      </c>
      <c r="E1081">
        <f>2315.82</f>
        <v>2315.8200000000002</v>
      </c>
      <c r="F1081">
        <f>1994.27</f>
        <v>1994.27</v>
      </c>
      <c r="G1081">
        <f>8500.054</f>
        <v>8500.0540000000001</v>
      </c>
      <c r="H1081">
        <f>2977.94</f>
        <v>2977.94</v>
      </c>
      <c r="I1081">
        <f>10006.31</f>
        <v>10006.31</v>
      </c>
      <c r="J1081">
        <f>4157.78</f>
        <v>4157.78</v>
      </c>
      <c r="K1081">
        <f>11939.52</f>
        <v>11939.52</v>
      </c>
      <c r="L1081">
        <f>2067.29</f>
        <v>2067.29</v>
      </c>
      <c r="M1081">
        <f>8835.02</f>
        <v>8835.02</v>
      </c>
      <c r="N1081">
        <f>344.407</f>
        <v>344.40699999999998</v>
      </c>
      <c r="O1081">
        <f>2977.53</f>
        <v>2977.53</v>
      </c>
      <c r="P1081">
        <f>234.62</f>
        <v>234.62</v>
      </c>
      <c r="Q1081">
        <f>2679.489</f>
        <v>2679.489</v>
      </c>
      <c r="R1081">
        <f>5747.08</f>
        <v>5747.08</v>
      </c>
      <c r="S1081">
        <f>2333.68</f>
        <v>2333.6799999999998</v>
      </c>
      <c r="T1081">
        <f>4016.224</f>
        <v>4016.2240000000002</v>
      </c>
      <c r="U1081">
        <f>56496.08</f>
        <v>56496.08</v>
      </c>
      <c r="V1081">
        <f>456.67</f>
        <v>456.67</v>
      </c>
    </row>
    <row r="1082" spans="1:22" x14ac:dyDescent="0.2">
      <c r="A1082" s="1">
        <v>43593</v>
      </c>
      <c r="B1082">
        <f>2377.66</f>
        <v>2377.66</v>
      </c>
      <c r="C1082">
        <f>10008.1</f>
        <v>10008.1</v>
      </c>
      <c r="D1082">
        <f>6538.45</f>
        <v>6538.45</v>
      </c>
      <c r="E1082">
        <f>2366.467</f>
        <v>2366.4670000000001</v>
      </c>
      <c r="F1082">
        <f>2004.22</f>
        <v>2004.22</v>
      </c>
      <c r="G1082">
        <f>8543.956</f>
        <v>8543.9560000000001</v>
      </c>
      <c r="H1082">
        <f>3011.75</f>
        <v>3011.75</v>
      </c>
      <c r="I1082">
        <f>10154.6</f>
        <v>10154.6</v>
      </c>
      <c r="J1082">
        <f>4175.25</f>
        <v>4175.25</v>
      </c>
      <c r="K1082">
        <f>11971.09</f>
        <v>11971.09</v>
      </c>
      <c r="L1082">
        <f>2078.41</f>
        <v>2078.41</v>
      </c>
      <c r="M1082">
        <f>8882.69</f>
        <v>8882.69</v>
      </c>
      <c r="N1082">
        <f>347.737</f>
        <v>347.73700000000002</v>
      </c>
      <c r="O1082">
        <f>3022.2</f>
        <v>3022.2</v>
      </c>
      <c r="P1082">
        <f>238.87</f>
        <v>238.87</v>
      </c>
      <c r="Q1082">
        <f>2683.379</f>
        <v>2683.3789999999999</v>
      </c>
      <c r="R1082">
        <f>5762.48</f>
        <v>5762.48</v>
      </c>
      <c r="S1082">
        <f>2366.21</f>
        <v>2366.21</v>
      </c>
      <c r="T1082" t="e">
        <f>NA()</f>
        <v>#N/A</v>
      </c>
      <c r="U1082" t="e">
        <f>NA()</f>
        <v>#N/A</v>
      </c>
      <c r="V1082" t="e">
        <f>NA()</f>
        <v>#N/A</v>
      </c>
    </row>
    <row r="1083" spans="1:22" x14ac:dyDescent="0.2">
      <c r="A1083" s="1">
        <v>43592</v>
      </c>
      <c r="B1083">
        <f>2396.65</f>
        <v>2396.65</v>
      </c>
      <c r="C1083">
        <f>10084.97</f>
        <v>10084.969999999999</v>
      </c>
      <c r="D1083">
        <f>6528.98</f>
        <v>6528.98</v>
      </c>
      <c r="E1083">
        <f>2379.968</f>
        <v>2379.9679999999998</v>
      </c>
      <c r="F1083">
        <f>2036.49</f>
        <v>2036.49</v>
      </c>
      <c r="G1083">
        <f>8563.783</f>
        <v>8563.7829999999994</v>
      </c>
      <c r="H1083">
        <f>3068.1</f>
        <v>3068.1</v>
      </c>
      <c r="I1083">
        <f>10103.03</f>
        <v>10103.030000000001</v>
      </c>
      <c r="J1083">
        <f>4190.95</f>
        <v>4190.95</v>
      </c>
      <c r="K1083">
        <f>11988.84</f>
        <v>11988.84</v>
      </c>
      <c r="L1083">
        <f>2082.59</f>
        <v>2082.59</v>
      </c>
      <c r="M1083">
        <f>8897.11</f>
        <v>8897.11</v>
      </c>
      <c r="N1083">
        <f>347.813</f>
        <v>347.81299999999999</v>
      </c>
      <c r="O1083">
        <f>3017.19</f>
        <v>3017.19</v>
      </c>
      <c r="P1083">
        <f>243.04</f>
        <v>243.04</v>
      </c>
      <c r="Q1083">
        <f>2684.087</f>
        <v>2684.087</v>
      </c>
      <c r="R1083">
        <f>5771.59</f>
        <v>5771.59</v>
      </c>
      <c r="S1083">
        <f>2407.61</f>
        <v>2407.61</v>
      </c>
      <c r="T1083">
        <f>4098.745</f>
        <v>4098.7449999999999</v>
      </c>
      <c r="U1083">
        <f>58043.6</f>
        <v>58043.6</v>
      </c>
      <c r="V1083">
        <f>468.49</f>
        <v>468.49</v>
      </c>
    </row>
    <row r="1084" spans="1:22" x14ac:dyDescent="0.2">
      <c r="A1084" s="1">
        <v>43591</v>
      </c>
      <c r="B1084">
        <f>2423.04</f>
        <v>2423.04</v>
      </c>
      <c r="C1084">
        <f>10099.78</f>
        <v>10099.780000000001</v>
      </c>
      <c r="D1084" t="e">
        <f>NA()</f>
        <v>#N/A</v>
      </c>
      <c r="E1084">
        <f>2392.103</f>
        <v>2392.1030000000001</v>
      </c>
      <c r="F1084">
        <f>2066.04</f>
        <v>2066.04</v>
      </c>
      <c r="G1084">
        <f>8733.974</f>
        <v>8733.9740000000002</v>
      </c>
      <c r="H1084">
        <f>3098.06</f>
        <v>3098.06</v>
      </c>
      <c r="I1084">
        <f>10231.22</f>
        <v>10231.219999999999</v>
      </c>
      <c r="J1084">
        <f>4251.56</f>
        <v>4251.5600000000004</v>
      </c>
      <c r="K1084">
        <f>12192.3</f>
        <v>12192.3</v>
      </c>
      <c r="L1084">
        <f>2103.23</f>
        <v>2103.23</v>
      </c>
      <c r="M1084">
        <f>9025.99</f>
        <v>9025.99</v>
      </c>
      <c r="N1084">
        <f>351.8</f>
        <v>351.8</v>
      </c>
      <c r="O1084">
        <f>3058.79</f>
        <v>3058.79</v>
      </c>
      <c r="P1084" t="e">
        <f>NA()</f>
        <v>#N/A</v>
      </c>
      <c r="Q1084">
        <f>2725.183</f>
        <v>2725.183</v>
      </c>
      <c r="R1084">
        <f>5868.45</f>
        <v>5868.45</v>
      </c>
      <c r="S1084" t="e">
        <f>NA()</f>
        <v>#N/A</v>
      </c>
      <c r="T1084">
        <f>4153.062</f>
        <v>4153.0619999999999</v>
      </c>
      <c r="U1084">
        <f>58712.83</f>
        <v>58712.83</v>
      </c>
      <c r="V1084">
        <f>473.92</f>
        <v>473.92</v>
      </c>
    </row>
    <row r="1085" spans="1:22" x14ac:dyDescent="0.2">
      <c r="A1085" s="1">
        <v>43588</v>
      </c>
      <c r="B1085">
        <f>2423.04</f>
        <v>2423.04</v>
      </c>
      <c r="C1085">
        <f>10239.16</f>
        <v>10239.16</v>
      </c>
      <c r="D1085">
        <f>6637.05</f>
        <v>6637.05</v>
      </c>
      <c r="E1085">
        <f>2437.225</f>
        <v>2437.2249999999999</v>
      </c>
      <c r="F1085">
        <f>2070.3</f>
        <v>2070.3000000000002</v>
      </c>
      <c r="G1085">
        <f>8751.986</f>
        <v>8751.9860000000008</v>
      </c>
      <c r="H1085">
        <f>3087.89</f>
        <v>3087.89</v>
      </c>
      <c r="I1085">
        <f>10323.71</f>
        <v>10323.709999999999</v>
      </c>
      <c r="J1085">
        <f>4271.57</f>
        <v>4271.57</v>
      </c>
      <c r="K1085">
        <f>12244.44</f>
        <v>12244.44</v>
      </c>
      <c r="L1085">
        <f>2114.68</f>
        <v>2114.6799999999998</v>
      </c>
      <c r="M1085">
        <f>9069.81</f>
        <v>9069.81</v>
      </c>
      <c r="N1085">
        <f>353.187</f>
        <v>353.18700000000001</v>
      </c>
      <c r="O1085">
        <f>3083.2</f>
        <v>3083.2</v>
      </c>
      <c r="P1085" t="e">
        <f>NA()</f>
        <v>#N/A</v>
      </c>
      <c r="Q1085">
        <f>2739.631</f>
        <v>2739.6309999999999</v>
      </c>
      <c r="R1085">
        <f>5894.3</f>
        <v>5894.3</v>
      </c>
      <c r="S1085" t="e">
        <f>NA()</f>
        <v>#N/A</v>
      </c>
      <c r="T1085">
        <f>4158.965</f>
        <v>4158.9650000000001</v>
      </c>
      <c r="U1085">
        <f>59335.9</f>
        <v>59335.9</v>
      </c>
      <c r="V1085">
        <f>474.28</f>
        <v>474.28</v>
      </c>
    </row>
    <row r="1086" spans="1:22" x14ac:dyDescent="0.2">
      <c r="A1086" s="1">
        <v>43587</v>
      </c>
      <c r="B1086">
        <f>2429.63</f>
        <v>2429.63</v>
      </c>
      <c r="C1086">
        <f>10189.63</f>
        <v>10189.629999999999</v>
      </c>
      <c r="D1086">
        <f>6610.67</f>
        <v>6610.67</v>
      </c>
      <c r="E1086">
        <f>2428.358</f>
        <v>2428.3580000000002</v>
      </c>
      <c r="F1086">
        <f>2057.23</f>
        <v>2057.23</v>
      </c>
      <c r="G1086">
        <f>8661.282</f>
        <v>8661.2819999999992</v>
      </c>
      <c r="H1086">
        <f>3079.86</f>
        <v>3079.86</v>
      </c>
      <c r="I1086">
        <f>10301.15</f>
        <v>10301.15</v>
      </c>
      <c r="J1086">
        <f>4239.78</f>
        <v>4239.78</v>
      </c>
      <c r="K1086">
        <f>12123.62</f>
        <v>12123.62</v>
      </c>
      <c r="L1086">
        <f>2102.35</f>
        <v>2102.35</v>
      </c>
      <c r="M1086">
        <f>8999.38</f>
        <v>8999.3799999999992</v>
      </c>
      <c r="N1086">
        <f>350.791</f>
        <v>350.791</v>
      </c>
      <c r="O1086">
        <f>3069.92</f>
        <v>3069.92</v>
      </c>
      <c r="P1086" t="e">
        <f>NA()</f>
        <v>#N/A</v>
      </c>
      <c r="Q1086">
        <f>2718.045</f>
        <v>2718.0450000000001</v>
      </c>
      <c r="R1086">
        <f>5837.46</f>
        <v>5837.46</v>
      </c>
      <c r="S1086" t="e">
        <f>NA()</f>
        <v>#N/A</v>
      </c>
      <c r="T1086">
        <f>4125.501</f>
        <v>4125.5010000000002</v>
      </c>
      <c r="U1086">
        <f>58743.56</f>
        <v>58743.56</v>
      </c>
      <c r="V1086">
        <f>467.34</f>
        <v>467.34</v>
      </c>
    </row>
    <row r="1087" spans="1:22" x14ac:dyDescent="0.2">
      <c r="A1087" s="1">
        <v>43586</v>
      </c>
      <c r="B1087">
        <f>2447.93</f>
        <v>2447.9299999999998</v>
      </c>
      <c r="C1087">
        <f>10198.34</f>
        <v>10198.34</v>
      </c>
      <c r="D1087">
        <f>6637.2</f>
        <v>6637.2</v>
      </c>
      <c r="E1087">
        <f>2431.408</f>
        <v>2431.4079999999999</v>
      </c>
      <c r="F1087">
        <f>2085.2</f>
        <v>2085.1999999999998</v>
      </c>
      <c r="G1087">
        <f>8726.643</f>
        <v>8726.643</v>
      </c>
      <c r="H1087">
        <f>3089.83</f>
        <v>3089.83</v>
      </c>
      <c r="I1087">
        <f>10399.71</f>
        <v>10399.709999999999</v>
      </c>
      <c r="J1087">
        <f>4252.3</f>
        <v>4252.3</v>
      </c>
      <c r="K1087">
        <f>12149.08</f>
        <v>12149.08</v>
      </c>
      <c r="L1087">
        <f>2113.19</f>
        <v>2113.19</v>
      </c>
      <c r="M1087">
        <f>9034.01</f>
        <v>9034.01</v>
      </c>
      <c r="N1087">
        <f>353.265</f>
        <v>353.26499999999999</v>
      </c>
      <c r="O1087">
        <f>3082.67</f>
        <v>3082.67</v>
      </c>
      <c r="P1087" t="e">
        <f>NA()</f>
        <v>#N/A</v>
      </c>
      <c r="Q1087">
        <f>2709.101</f>
        <v>2709.1010000000001</v>
      </c>
      <c r="R1087">
        <f>5849.65</f>
        <v>5849.65</v>
      </c>
      <c r="S1087" t="e">
        <f>NA()</f>
        <v>#N/A</v>
      </c>
      <c r="T1087" t="e">
        <f>NA()</f>
        <v>#N/A</v>
      </c>
      <c r="U1087" t="e">
        <f>NA()</f>
        <v>#N/A</v>
      </c>
      <c r="V1087" t="e">
        <f>NA()</f>
        <v>#N/A</v>
      </c>
    </row>
    <row r="1088" spans="1:22" x14ac:dyDescent="0.2">
      <c r="A1088" s="1">
        <v>43585</v>
      </c>
      <c r="B1088">
        <f>2451.32</f>
        <v>2451.3200000000002</v>
      </c>
      <c r="C1088">
        <f>10198.39</f>
        <v>10198.39</v>
      </c>
      <c r="D1088">
        <f>6666.82</f>
        <v>6666.82</v>
      </c>
      <c r="E1088">
        <f>2428.542</f>
        <v>2428.5419999999999</v>
      </c>
      <c r="F1088">
        <f>2081.21</f>
        <v>2081.21</v>
      </c>
      <c r="G1088">
        <f>8738.815</f>
        <v>8738.8150000000005</v>
      </c>
      <c r="H1088">
        <f>3084.29</f>
        <v>3084.29</v>
      </c>
      <c r="I1088">
        <f>10366.93</f>
        <v>10366.93</v>
      </c>
      <c r="J1088">
        <f>4288.74</f>
        <v>4288.74</v>
      </c>
      <c r="K1088">
        <f>12240.11</f>
        <v>12240.11</v>
      </c>
      <c r="L1088">
        <f>2119.86</f>
        <v>2119.86</v>
      </c>
      <c r="M1088">
        <f>9069.95</f>
        <v>9069.9500000000007</v>
      </c>
      <c r="N1088">
        <f>353.84</f>
        <v>353.84</v>
      </c>
      <c r="O1088">
        <f>3085.14</f>
        <v>3085.14</v>
      </c>
      <c r="P1088" t="e">
        <f>NA()</f>
        <v>#N/A</v>
      </c>
      <c r="Q1088">
        <f>2744.712</f>
        <v>2744.712</v>
      </c>
      <c r="R1088">
        <f>5893.81</f>
        <v>5893.81</v>
      </c>
      <c r="S1088" t="e">
        <f>NA()</f>
        <v>#N/A</v>
      </c>
      <c r="T1088">
        <f>4076.362</f>
        <v>4076.3620000000001</v>
      </c>
      <c r="U1088">
        <f>58528.4</f>
        <v>58528.4</v>
      </c>
      <c r="V1088">
        <f>464.64</f>
        <v>464.64</v>
      </c>
    </row>
    <row r="1089" spans="1:22" x14ac:dyDescent="0.2">
      <c r="A1089" s="1">
        <v>43584</v>
      </c>
      <c r="B1089">
        <f>2470.46</f>
        <v>2470.46</v>
      </c>
      <c r="C1089">
        <f>10216.42</f>
        <v>10216.42</v>
      </c>
      <c r="D1089">
        <f>6686.99</f>
        <v>6686.99</v>
      </c>
      <c r="E1089">
        <f>2436.643</f>
        <v>2436.643</v>
      </c>
      <c r="F1089">
        <f>2076.45</f>
        <v>2076.4499999999998</v>
      </c>
      <c r="G1089">
        <f>8688.434</f>
        <v>8688.4339999999993</v>
      </c>
      <c r="H1089">
        <f>3072.15</f>
        <v>3072.15</v>
      </c>
      <c r="I1089">
        <f>10324.35</f>
        <v>10324.35</v>
      </c>
      <c r="J1089">
        <f>4255.77</f>
        <v>4255.7700000000004</v>
      </c>
      <c r="K1089">
        <f>12229.13</f>
        <v>12229.13</v>
      </c>
      <c r="L1089">
        <f>2106.4</f>
        <v>2106.4</v>
      </c>
      <c r="M1089">
        <f>9056.09</f>
        <v>9056.09</v>
      </c>
      <c r="N1089">
        <f>353.073</f>
        <v>353.07299999999998</v>
      </c>
      <c r="O1089">
        <f>3083.02</f>
        <v>3083.02</v>
      </c>
      <c r="P1089" t="e">
        <f>NA()</f>
        <v>#N/A</v>
      </c>
      <c r="Q1089">
        <f>2730.481</f>
        <v>2730.4810000000002</v>
      </c>
      <c r="R1089">
        <f>5888.05</f>
        <v>5888.05</v>
      </c>
      <c r="S1089" t="e">
        <f>NA()</f>
        <v>#N/A</v>
      </c>
      <c r="T1089">
        <f>4073.183</f>
        <v>4073.183</v>
      </c>
      <c r="U1089">
        <f>58662.68</f>
        <v>58662.68</v>
      </c>
      <c r="V1089">
        <f>466.23</f>
        <v>466.23</v>
      </c>
    </row>
    <row r="1090" spans="1:22" x14ac:dyDescent="0.2">
      <c r="A1090" s="1">
        <v>43581</v>
      </c>
      <c r="B1090">
        <f>2460.94</f>
        <v>2460.94</v>
      </c>
      <c r="C1090">
        <f>10189.76</f>
        <v>10189.76</v>
      </c>
      <c r="D1090">
        <f>6675.78</f>
        <v>6675.78</v>
      </c>
      <c r="E1090">
        <f>2425.609</f>
        <v>2425.6089999999999</v>
      </c>
      <c r="F1090">
        <f>2071.65</f>
        <v>2071.65</v>
      </c>
      <c r="G1090">
        <f>8685.242</f>
        <v>8685.2420000000002</v>
      </c>
      <c r="H1090">
        <f>3079.31</f>
        <v>3079.31</v>
      </c>
      <c r="I1090">
        <f>10300.89</f>
        <v>10300.89</v>
      </c>
      <c r="J1090">
        <f>4259.97</f>
        <v>4259.97</v>
      </c>
      <c r="K1090">
        <f>12215.37</f>
        <v>12215.37</v>
      </c>
      <c r="L1090">
        <f>2105.18</f>
        <v>2105.1799999999998</v>
      </c>
      <c r="M1090">
        <f>9046.89</f>
        <v>9046.89</v>
      </c>
      <c r="N1090">
        <f>352.596</f>
        <v>352.596</v>
      </c>
      <c r="O1090">
        <f>3079.77</f>
        <v>3079.77</v>
      </c>
      <c r="P1090">
        <f>244.46</f>
        <v>244.46</v>
      </c>
      <c r="Q1090">
        <f>2729.816</f>
        <v>2729.8159999999998</v>
      </c>
      <c r="R1090">
        <f>5881.48</f>
        <v>5881.48</v>
      </c>
      <c r="S1090">
        <f>2434.82</f>
        <v>2434.8200000000002</v>
      </c>
      <c r="T1090">
        <f>4077.079</f>
        <v>4077.0790000000002</v>
      </c>
      <c r="U1090">
        <f>58894.19</f>
        <v>58894.19</v>
      </c>
      <c r="V1090">
        <f>467.31</f>
        <v>467.31</v>
      </c>
    </row>
    <row r="1091" spans="1:22" x14ac:dyDescent="0.2">
      <c r="A1091" s="1">
        <v>43580</v>
      </c>
      <c r="B1091">
        <f>2453.38</f>
        <v>2453.38</v>
      </c>
      <c r="C1091">
        <f>10171.64</f>
        <v>10171.64</v>
      </c>
      <c r="D1091">
        <f>6681.11</f>
        <v>6681.11</v>
      </c>
      <c r="E1091">
        <f>2422.554</f>
        <v>2422.5540000000001</v>
      </c>
      <c r="F1091">
        <f>2043.46</f>
        <v>2043.46</v>
      </c>
      <c r="G1091">
        <f>8671.811</f>
        <v>8671.8109999999997</v>
      </c>
      <c r="H1091">
        <f>3087.44</f>
        <v>3087.44</v>
      </c>
      <c r="I1091">
        <f>10249.75</f>
        <v>10249.75</v>
      </c>
      <c r="J1091">
        <f>4261.23</f>
        <v>4261.2299999999996</v>
      </c>
      <c r="K1091">
        <f>12158.16</f>
        <v>12158.16</v>
      </c>
      <c r="L1091">
        <f>2096.62</f>
        <v>2096.62</v>
      </c>
      <c r="M1091">
        <f>9010.63</f>
        <v>9010.6299999999992</v>
      </c>
      <c r="N1091">
        <f>349.741</f>
        <v>349.74099999999999</v>
      </c>
      <c r="O1091">
        <f>3072.5</f>
        <v>3072.5</v>
      </c>
      <c r="P1091">
        <f>244.53</f>
        <v>244.53</v>
      </c>
      <c r="Q1091">
        <f>2715.841</f>
        <v>2715.8409999999999</v>
      </c>
      <c r="R1091">
        <f>5853.87</f>
        <v>5853.87</v>
      </c>
      <c r="S1091">
        <f>2438.36</f>
        <v>2438.36</v>
      </c>
      <c r="T1091">
        <f>4065.996</f>
        <v>4065.9960000000001</v>
      </c>
      <c r="U1091">
        <f>58807.07</f>
        <v>58807.07</v>
      </c>
      <c r="V1091">
        <f>466.46</f>
        <v>466.46</v>
      </c>
    </row>
    <row r="1092" spans="1:22" x14ac:dyDescent="0.2">
      <c r="A1092" s="1">
        <v>43579</v>
      </c>
      <c r="B1092">
        <f>2478.91</f>
        <v>2478.91</v>
      </c>
      <c r="C1092">
        <f>10229.99</f>
        <v>10229.99</v>
      </c>
      <c r="D1092">
        <f>6708.03</f>
        <v>6708.03</v>
      </c>
      <c r="E1092">
        <f>2439.965</f>
        <v>2439.9650000000001</v>
      </c>
      <c r="F1092">
        <f>2069.76</f>
        <v>2069.7600000000002</v>
      </c>
      <c r="G1092">
        <f>8736.431</f>
        <v>8736.4310000000005</v>
      </c>
      <c r="H1092">
        <f>3074.63</f>
        <v>3074.63</v>
      </c>
      <c r="I1092">
        <f>10314.18</f>
        <v>10314.18</v>
      </c>
      <c r="J1092">
        <f>4283.74</f>
        <v>4283.74</v>
      </c>
      <c r="K1092">
        <f>12165.99</f>
        <v>12165.99</v>
      </c>
      <c r="L1092">
        <f>2102.77</f>
        <v>2102.77</v>
      </c>
      <c r="M1092">
        <f>9023.61</f>
        <v>9023.61</v>
      </c>
      <c r="N1092">
        <f>351.229</f>
        <v>351.22899999999998</v>
      </c>
      <c r="O1092">
        <f>3075.92</f>
        <v>3075.92</v>
      </c>
      <c r="P1092">
        <f>242.97</f>
        <v>242.97</v>
      </c>
      <c r="Q1092">
        <f>2733.435</f>
        <v>2733.4349999999999</v>
      </c>
      <c r="R1092">
        <f>5856.03</f>
        <v>5856.03</v>
      </c>
      <c r="S1092">
        <f>2425.97</f>
        <v>2425.9699999999998</v>
      </c>
      <c r="T1092">
        <f>4072.296</f>
        <v>4072.2959999999998</v>
      </c>
      <c r="U1092">
        <f>59102.68</f>
        <v>59102.68</v>
      </c>
      <c r="V1092">
        <f>469.06</f>
        <v>469.06</v>
      </c>
    </row>
    <row r="1093" spans="1:22" x14ac:dyDescent="0.2">
      <c r="A1093" s="1">
        <v>43578</v>
      </c>
      <c r="B1093">
        <f>2482.11</f>
        <v>2482.11</v>
      </c>
      <c r="C1093">
        <f>10287.02</f>
        <v>10287.02</v>
      </c>
      <c r="D1093">
        <f>6754.11</f>
        <v>6754.11</v>
      </c>
      <c r="E1093">
        <f>2451.601</f>
        <v>2451.6010000000001</v>
      </c>
      <c r="F1093">
        <f>2085.61</f>
        <v>2085.61</v>
      </c>
      <c r="G1093">
        <f>8788.754</f>
        <v>8788.7540000000008</v>
      </c>
      <c r="H1093">
        <f>3104.42</f>
        <v>3104.42</v>
      </c>
      <c r="I1093">
        <f>10316.86</f>
        <v>10316.86</v>
      </c>
      <c r="J1093">
        <f>4293.66</f>
        <v>4293.66</v>
      </c>
      <c r="K1093">
        <f>12192.26</f>
        <v>12192.26</v>
      </c>
      <c r="L1093">
        <f>2110.93</f>
        <v>2110.9299999999998</v>
      </c>
      <c r="M1093">
        <f>9046.44</f>
        <v>9046.44</v>
      </c>
      <c r="N1093">
        <f>350.595</f>
        <v>350.59500000000003</v>
      </c>
      <c r="O1093">
        <f>3078.49</f>
        <v>3078.49</v>
      </c>
      <c r="P1093">
        <f>245.47</f>
        <v>245.47</v>
      </c>
      <c r="Q1093">
        <f>2735.445</f>
        <v>2735.4450000000002</v>
      </c>
      <c r="R1093">
        <f>5868.88</f>
        <v>5868.88</v>
      </c>
      <c r="S1093">
        <f>2442.37</f>
        <v>2442.37</v>
      </c>
      <c r="T1093">
        <f>4121.4</f>
        <v>4121.3999999999996</v>
      </c>
      <c r="U1093">
        <f>59544.8</f>
        <v>59544.800000000003</v>
      </c>
      <c r="V1093">
        <f>475.79</f>
        <v>475.79</v>
      </c>
    </row>
    <row r="1094" spans="1:22" x14ac:dyDescent="0.2">
      <c r="A1094" s="1">
        <v>43577</v>
      </c>
      <c r="B1094">
        <f>2479.23</f>
        <v>2479.23</v>
      </c>
      <c r="C1094">
        <f>10314.97</f>
        <v>10314.969999999999</v>
      </c>
      <c r="D1094" t="e">
        <f>NA()</f>
        <v>#N/A</v>
      </c>
      <c r="E1094">
        <f>2449.795</f>
        <v>2449.7950000000001</v>
      </c>
      <c r="F1094">
        <f>2089.96</f>
        <v>2089.96</v>
      </c>
      <c r="G1094">
        <f>8737.855</f>
        <v>8737.8549999999996</v>
      </c>
      <c r="H1094">
        <f>3097.09</f>
        <v>3097.09</v>
      </c>
      <c r="I1094">
        <f>10334.5</f>
        <v>10334.5</v>
      </c>
      <c r="J1094">
        <f>4269.92</f>
        <v>4269.92</v>
      </c>
      <c r="K1094">
        <f>12084.04</f>
        <v>12084.04</v>
      </c>
      <c r="L1094">
        <f>2105.54</f>
        <v>2105.54</v>
      </c>
      <c r="M1094">
        <f>8991.61</f>
        <v>8991.61</v>
      </c>
      <c r="N1094" t="e">
        <f>NA()</f>
        <v>#N/A</v>
      </c>
      <c r="O1094" t="e">
        <f>NA()</f>
        <v>#N/A</v>
      </c>
      <c r="P1094">
        <f>244.74</f>
        <v>244.74</v>
      </c>
      <c r="Q1094">
        <f>2719.905</f>
        <v>2719.9050000000002</v>
      </c>
      <c r="R1094">
        <f>5817.16</f>
        <v>5817.16</v>
      </c>
      <c r="S1094">
        <f>2435.83</f>
        <v>2435.83</v>
      </c>
      <c r="T1094" t="e">
        <f>NA()</f>
        <v>#N/A</v>
      </c>
      <c r="U1094" t="e">
        <f>NA()</f>
        <v>#N/A</v>
      </c>
      <c r="V1094" t="e">
        <f>NA()</f>
        <v>#N/A</v>
      </c>
    </row>
    <row r="1095" spans="1:22" x14ac:dyDescent="0.2">
      <c r="A1095" s="1">
        <v>43574</v>
      </c>
      <c r="B1095">
        <f>2479.23</f>
        <v>2479.23</v>
      </c>
      <c r="C1095">
        <f>10326.16</f>
        <v>10326.16</v>
      </c>
      <c r="D1095" t="e">
        <f>NA()</f>
        <v>#N/A</v>
      </c>
      <c r="E1095">
        <f>2457.61</f>
        <v>2457.61</v>
      </c>
      <c r="F1095">
        <f>2095.11</f>
        <v>2095.11</v>
      </c>
      <c r="G1095">
        <f>8759.4</f>
        <v>8759.4</v>
      </c>
      <c r="H1095">
        <f>3095.91</f>
        <v>3095.91</v>
      </c>
      <c r="I1095">
        <f>10332.62</f>
        <v>10332.620000000001</v>
      </c>
      <c r="J1095">
        <f>4276.53</f>
        <v>4276.53</v>
      </c>
      <c r="K1095">
        <f>12070.49</f>
        <v>12070.49</v>
      </c>
      <c r="L1095">
        <f>2106.11</f>
        <v>2106.11</v>
      </c>
      <c r="M1095">
        <f>8986.38</f>
        <v>8986.3799999999992</v>
      </c>
      <c r="N1095" t="e">
        <f>NA()</f>
        <v>#N/A</v>
      </c>
      <c r="O1095" t="e">
        <f>NA()</f>
        <v>#N/A</v>
      </c>
      <c r="P1095">
        <f>244.24</f>
        <v>244.24</v>
      </c>
      <c r="Q1095" t="e">
        <f>NA()</f>
        <v>#N/A</v>
      </c>
      <c r="R1095" t="e">
        <f>NA()</f>
        <v>#N/A</v>
      </c>
      <c r="S1095">
        <f>2433.28</f>
        <v>2433.2800000000002</v>
      </c>
      <c r="T1095" t="e">
        <f>NA()</f>
        <v>#N/A</v>
      </c>
      <c r="U1095" t="e">
        <f>NA()</f>
        <v>#N/A</v>
      </c>
      <c r="V1095" t="e">
        <f>NA()</f>
        <v>#N/A</v>
      </c>
    </row>
    <row r="1096" spans="1:22" x14ac:dyDescent="0.2">
      <c r="A1096" s="1">
        <v>43573</v>
      </c>
      <c r="B1096">
        <f>2479.23</f>
        <v>2479.23</v>
      </c>
      <c r="C1096">
        <f>10328.67</f>
        <v>10328.67</v>
      </c>
      <c r="D1096">
        <f>6697.38</f>
        <v>6697.38</v>
      </c>
      <c r="E1096">
        <f>2457.58</f>
        <v>2457.58</v>
      </c>
      <c r="F1096">
        <f>2095.11</f>
        <v>2095.11</v>
      </c>
      <c r="G1096">
        <f>8759.4</f>
        <v>8759.4</v>
      </c>
      <c r="H1096">
        <f>3101.28</f>
        <v>3101.28</v>
      </c>
      <c r="I1096">
        <f>10332.62</f>
        <v>10332.620000000001</v>
      </c>
      <c r="J1096">
        <f>4276.53</f>
        <v>4276.53</v>
      </c>
      <c r="K1096">
        <f>12070.49</f>
        <v>12070.49</v>
      </c>
      <c r="L1096">
        <f>2106.51</f>
        <v>2106.5100000000002</v>
      </c>
      <c r="M1096">
        <f>8985.74</f>
        <v>8985.74</v>
      </c>
      <c r="N1096">
        <f>349.166</f>
        <v>349.166</v>
      </c>
      <c r="O1096">
        <f>3069.24</f>
        <v>3069.24</v>
      </c>
      <c r="P1096">
        <f>245.41</f>
        <v>245.41</v>
      </c>
      <c r="Q1096">
        <f>2731.321</f>
        <v>2731.3209999999999</v>
      </c>
      <c r="R1096">
        <f>5811.13</f>
        <v>5811.13</v>
      </c>
      <c r="S1096">
        <f>2430.32</f>
        <v>2430.3200000000002</v>
      </c>
      <c r="T1096">
        <f>4127.699</f>
        <v>4127.6989999999996</v>
      </c>
      <c r="U1096">
        <f>59222.47</f>
        <v>59222.47</v>
      </c>
      <c r="V1096">
        <f>476.5</f>
        <v>476.5</v>
      </c>
    </row>
    <row r="1097" spans="1:22" x14ac:dyDescent="0.2">
      <c r="A1097" s="1">
        <v>43572</v>
      </c>
      <c r="B1097">
        <f>2492.53</f>
        <v>2492.5300000000002</v>
      </c>
      <c r="C1097">
        <f>10363.66</f>
        <v>10363.66</v>
      </c>
      <c r="D1097">
        <f>6703.91</f>
        <v>6703.91</v>
      </c>
      <c r="E1097">
        <f>2466.291</f>
        <v>2466.2910000000002</v>
      </c>
      <c r="F1097">
        <f>2100.4</f>
        <v>2100.4</v>
      </c>
      <c r="G1097">
        <f>8796.958</f>
        <v>8796.9580000000005</v>
      </c>
      <c r="H1097">
        <f>3114.31</f>
        <v>3114.31</v>
      </c>
      <c r="I1097">
        <f>10356.08</f>
        <v>10356.08</v>
      </c>
      <c r="J1097">
        <f>4283.21</f>
        <v>4283.21</v>
      </c>
      <c r="K1097">
        <f>12050.89</f>
        <v>12050.89</v>
      </c>
      <c r="L1097">
        <f>2112</f>
        <v>2112</v>
      </c>
      <c r="M1097">
        <f>8988.28</f>
        <v>8988.2800000000007</v>
      </c>
      <c r="N1097">
        <f>348.113</f>
        <v>348.113</v>
      </c>
      <c r="O1097">
        <f>3061.38</f>
        <v>3061.38</v>
      </c>
      <c r="P1097">
        <f>249.08</f>
        <v>249.08</v>
      </c>
      <c r="Q1097">
        <f>2726.249</f>
        <v>2726.2489999999998</v>
      </c>
      <c r="R1097">
        <f>5801.83</f>
        <v>5801.83</v>
      </c>
      <c r="S1097">
        <f>2453.97</f>
        <v>2453.9699999999998</v>
      </c>
      <c r="T1097">
        <f>4094.056</f>
        <v>4094.056</v>
      </c>
      <c r="U1097">
        <f>58908.31</f>
        <v>58908.31</v>
      </c>
      <c r="V1097">
        <f>473.46</f>
        <v>473.46</v>
      </c>
    </row>
    <row r="1098" spans="1:22" x14ac:dyDescent="0.2">
      <c r="A1098" s="1">
        <v>43571</v>
      </c>
      <c r="B1098">
        <f>2492.13</f>
        <v>2492.13</v>
      </c>
      <c r="C1098">
        <f>10309.89</f>
        <v>10309.89</v>
      </c>
      <c r="D1098">
        <f>6702.66</f>
        <v>6702.66</v>
      </c>
      <c r="E1098">
        <f>2459.639</f>
        <v>2459.6390000000001</v>
      </c>
      <c r="F1098">
        <f>2105.91</f>
        <v>2105.91</v>
      </c>
      <c r="G1098">
        <f>8800.88</f>
        <v>8800.8799999999992</v>
      </c>
      <c r="H1098">
        <f>3099.7</f>
        <v>3099.7</v>
      </c>
      <c r="I1098">
        <f>10329.61</f>
        <v>10329.61</v>
      </c>
      <c r="J1098">
        <f>4295.63</f>
        <v>4295.63</v>
      </c>
      <c r="K1098">
        <f>12081.06</f>
        <v>12081.06</v>
      </c>
      <c r="L1098">
        <f>2118.59</f>
        <v>2118.59</v>
      </c>
      <c r="M1098">
        <f>8996.55</f>
        <v>8996.5499999999993</v>
      </c>
      <c r="N1098">
        <f>350.358</f>
        <v>350.358</v>
      </c>
      <c r="O1098">
        <f>3058.53</f>
        <v>3058.53</v>
      </c>
      <c r="P1098">
        <f>248.85</f>
        <v>248.85</v>
      </c>
      <c r="Q1098">
        <f>2738.064</f>
        <v>2738.0639999999999</v>
      </c>
      <c r="R1098">
        <f>5814.46</f>
        <v>5814.46</v>
      </c>
      <c r="S1098">
        <f>2447.62</f>
        <v>2447.62</v>
      </c>
      <c r="T1098">
        <f>4070.289</f>
        <v>4070.2890000000002</v>
      </c>
      <c r="U1098">
        <f>58902.64</f>
        <v>58902.64</v>
      </c>
      <c r="V1098">
        <f>473.68</f>
        <v>473.68</v>
      </c>
    </row>
    <row r="1099" spans="1:22" x14ac:dyDescent="0.2">
      <c r="A1099" s="1">
        <v>43570</v>
      </c>
      <c r="B1099">
        <f>2484.66</f>
        <v>2484.66</v>
      </c>
      <c r="C1099">
        <f>10244.98</f>
        <v>10244.98</v>
      </c>
      <c r="D1099">
        <f>6673</f>
        <v>6673</v>
      </c>
      <c r="E1099">
        <f>2443.057</f>
        <v>2443.0569999999998</v>
      </c>
      <c r="F1099">
        <f>2103.51</f>
        <v>2103.5100000000002</v>
      </c>
      <c r="G1099">
        <f>8804.381</f>
        <v>8804.3809999999994</v>
      </c>
      <c r="H1099">
        <f>3081.82</f>
        <v>3081.82</v>
      </c>
      <c r="I1099">
        <f>10299.44</f>
        <v>10299.44</v>
      </c>
      <c r="J1099">
        <f>4288.01</f>
        <v>4288.01</v>
      </c>
      <c r="K1099">
        <f>12076.51</f>
        <v>12076.51</v>
      </c>
      <c r="L1099">
        <f>2118.39</f>
        <v>2118.39</v>
      </c>
      <c r="M1099">
        <f>8988.25</f>
        <v>8988.25</v>
      </c>
      <c r="N1099">
        <f>349.998</f>
        <v>349.99799999999999</v>
      </c>
      <c r="O1099">
        <f>3049.02</f>
        <v>3049.02</v>
      </c>
      <c r="P1099">
        <f>248.83</f>
        <v>248.83</v>
      </c>
      <c r="Q1099">
        <f>2730.838</f>
        <v>2730.8380000000002</v>
      </c>
      <c r="R1099">
        <f>5811.51</f>
        <v>5811.51</v>
      </c>
      <c r="S1099">
        <f>2449.83</f>
        <v>2449.83</v>
      </c>
      <c r="T1099">
        <f>4036.786</f>
        <v>4036.7860000000001</v>
      </c>
      <c r="U1099">
        <f>58249.35</f>
        <v>58249.35</v>
      </c>
      <c r="V1099">
        <f>469.83</f>
        <v>469.83</v>
      </c>
    </row>
    <row r="1100" spans="1:22" x14ac:dyDescent="0.2">
      <c r="A1100" s="1">
        <v>43567</v>
      </c>
      <c r="B1100">
        <f>2473.45</f>
        <v>2473.4499999999998</v>
      </c>
      <c r="C1100">
        <f>10242.32</f>
        <v>10242.32</v>
      </c>
      <c r="D1100">
        <f>6673.17</f>
        <v>6673.17</v>
      </c>
      <c r="E1100">
        <f>2449.311</f>
        <v>2449.3110000000001</v>
      </c>
      <c r="F1100">
        <f>2092.76</f>
        <v>2092.7600000000002</v>
      </c>
      <c r="G1100">
        <f>8798.764</f>
        <v>8798.7639999999992</v>
      </c>
      <c r="H1100">
        <f>3059.08</f>
        <v>3059.08</v>
      </c>
      <c r="I1100">
        <f>10277.03</f>
        <v>10277.030000000001</v>
      </c>
      <c r="J1100">
        <f>4291.08</f>
        <v>4291.08</v>
      </c>
      <c r="K1100">
        <f>12082.79</f>
        <v>12082.79</v>
      </c>
      <c r="L1100">
        <f>2114.47</f>
        <v>2114.4699999999998</v>
      </c>
      <c r="M1100">
        <f>8978.84</f>
        <v>8978.84</v>
      </c>
      <c r="N1100">
        <f>348.777</f>
        <v>348.77699999999999</v>
      </c>
      <c r="O1100">
        <f>3042.85</f>
        <v>3042.85</v>
      </c>
      <c r="P1100">
        <f>245.65</f>
        <v>245.65</v>
      </c>
      <c r="Q1100">
        <f>2731.846</f>
        <v>2731.846</v>
      </c>
      <c r="R1100">
        <f>5815.04</f>
        <v>5815.04</v>
      </c>
      <c r="S1100">
        <f>2415.93</f>
        <v>2415.9299999999998</v>
      </c>
      <c r="T1100">
        <f>4020.754</f>
        <v>4020.7539999999999</v>
      </c>
      <c r="U1100">
        <f>58405.3</f>
        <v>58405.3</v>
      </c>
      <c r="V1100">
        <f>468.52</f>
        <v>468.52</v>
      </c>
    </row>
    <row r="1101" spans="1:22" x14ac:dyDescent="0.2">
      <c r="A1101" s="1">
        <v>43566</v>
      </c>
      <c r="B1101">
        <f>2487.64</f>
        <v>2487.64</v>
      </c>
      <c r="C1101">
        <f>10229.8</f>
        <v>10229.799999999999</v>
      </c>
      <c r="D1101">
        <f>6656.03</f>
        <v>6656.03</v>
      </c>
      <c r="E1101">
        <f>2445.48</f>
        <v>2445.48</v>
      </c>
      <c r="F1101">
        <f>2084.93</f>
        <v>2084.9299999999998</v>
      </c>
      <c r="G1101">
        <f>8764.983</f>
        <v>8764.9830000000002</v>
      </c>
      <c r="H1101">
        <f>3079.49</f>
        <v>3079.49</v>
      </c>
      <c r="I1101">
        <f>10215.19</f>
        <v>10215.19</v>
      </c>
      <c r="J1101">
        <f>4265.51</f>
        <v>4265.51</v>
      </c>
      <c r="K1101">
        <f>12002.8</f>
        <v>12002.8</v>
      </c>
      <c r="L1101">
        <f>2111.71</f>
        <v>2111.71</v>
      </c>
      <c r="M1101">
        <f>8928.9</f>
        <v>8928.9</v>
      </c>
      <c r="N1101">
        <f>349.918</f>
        <v>349.91800000000001</v>
      </c>
      <c r="O1101">
        <f>3038.49</f>
        <v>3038.49</v>
      </c>
      <c r="P1101">
        <f>246.66</f>
        <v>246.66</v>
      </c>
      <c r="Q1101">
        <f>2718.024</f>
        <v>2718.0239999999999</v>
      </c>
      <c r="R1101">
        <f>5776.28</f>
        <v>5776.28</v>
      </c>
      <c r="S1101">
        <f>2417.61</f>
        <v>2417.61</v>
      </c>
      <c r="T1101">
        <f>4004.11</f>
        <v>4004.11</v>
      </c>
      <c r="U1101">
        <f>58186.19</f>
        <v>58186.19</v>
      </c>
      <c r="V1101">
        <f>466.34</f>
        <v>466.34</v>
      </c>
    </row>
    <row r="1102" spans="1:22" x14ac:dyDescent="0.2">
      <c r="A1102" s="1">
        <v>43565</v>
      </c>
      <c r="B1102">
        <f>2477.68</f>
        <v>2477.6799999999998</v>
      </c>
      <c r="C1102">
        <f>10311.65</f>
        <v>10311.65</v>
      </c>
      <c r="D1102">
        <f>6652.43</f>
        <v>6652.43</v>
      </c>
      <c r="E1102">
        <f>2464.633</f>
        <v>2464.6329999999998</v>
      </c>
      <c r="F1102">
        <f>2080.03</f>
        <v>2080.0300000000002</v>
      </c>
      <c r="G1102">
        <f>8766.221</f>
        <v>8766.2209999999995</v>
      </c>
      <c r="H1102">
        <f>3094.62</f>
        <v>3094.62</v>
      </c>
      <c r="I1102">
        <f>10171.79</f>
        <v>10171.790000000001</v>
      </c>
      <c r="J1102">
        <f>4259.27</f>
        <v>4259.2700000000004</v>
      </c>
      <c r="K1102">
        <f>12001.59</f>
        <v>12001.59</v>
      </c>
      <c r="L1102">
        <f>2113.08</f>
        <v>2113.08</v>
      </c>
      <c r="M1102">
        <f>8929.5</f>
        <v>8929.5</v>
      </c>
      <c r="N1102">
        <f>350.087</f>
        <v>350.08699999999999</v>
      </c>
      <c r="O1102">
        <f>3034.58</f>
        <v>3034.58</v>
      </c>
      <c r="P1102">
        <f>246.72</f>
        <v>246.72</v>
      </c>
      <c r="Q1102">
        <f>2709.687</f>
        <v>2709.6869999999999</v>
      </c>
      <c r="R1102">
        <f>5775.99</f>
        <v>5775.99</v>
      </c>
      <c r="S1102">
        <f>2419.33</f>
        <v>2419.33</v>
      </c>
      <c r="T1102">
        <f>4011.013</f>
        <v>4011.0129999999999</v>
      </c>
      <c r="U1102">
        <f>58411.65</f>
        <v>58411.65</v>
      </c>
      <c r="V1102">
        <f>468.61</f>
        <v>468.61</v>
      </c>
    </row>
    <row r="1103" spans="1:22" x14ac:dyDescent="0.2">
      <c r="A1103" s="1">
        <v>43564</v>
      </c>
      <c r="B1103">
        <f>2480.01</f>
        <v>2480.0100000000002</v>
      </c>
      <c r="C1103">
        <f>10273.7</f>
        <v>10273.700000000001</v>
      </c>
      <c r="D1103">
        <f>6655.71</f>
        <v>6655.71</v>
      </c>
      <c r="E1103">
        <f>2458.09</f>
        <v>2458.09</v>
      </c>
      <c r="F1103">
        <f>2071.17</f>
        <v>2071.17</v>
      </c>
      <c r="G1103">
        <f>8740.174</f>
        <v>8740.1740000000009</v>
      </c>
      <c r="H1103">
        <f>3117.56</f>
        <v>3117.56</v>
      </c>
      <c r="I1103">
        <f>10170.51</f>
        <v>10170.51</v>
      </c>
      <c r="J1103">
        <f>4249.18</f>
        <v>4249.18</v>
      </c>
      <c r="K1103">
        <f>11955.26</f>
        <v>11955.26</v>
      </c>
      <c r="L1103">
        <f>2111.02</f>
        <v>2111.02</v>
      </c>
      <c r="M1103">
        <f>8908.68</f>
        <v>8908.68</v>
      </c>
      <c r="N1103">
        <f>348.91</f>
        <v>348.91</v>
      </c>
      <c r="O1103">
        <f>3027.21</f>
        <v>3027.21</v>
      </c>
      <c r="P1103">
        <f>248.46</f>
        <v>248.46</v>
      </c>
      <c r="Q1103">
        <f>2702.678</f>
        <v>2702.6779999999999</v>
      </c>
      <c r="R1103">
        <f>5755.49</f>
        <v>5755.49</v>
      </c>
      <c r="S1103">
        <f>2436.03</f>
        <v>2436.0300000000002</v>
      </c>
      <c r="T1103">
        <f>3925.631</f>
        <v>3925.6309999999999</v>
      </c>
      <c r="U1103">
        <f>57838.37</f>
        <v>57838.37</v>
      </c>
      <c r="V1103">
        <f>462.38</f>
        <v>462.38</v>
      </c>
    </row>
    <row r="1104" spans="1:22" x14ac:dyDescent="0.2">
      <c r="A1104" s="1">
        <v>43563</v>
      </c>
      <c r="B1104">
        <f>2491.6</f>
        <v>2491.6</v>
      </c>
      <c r="C1104">
        <f>10242.73</f>
        <v>10242.73</v>
      </c>
      <c r="D1104">
        <f>6679.3</f>
        <v>6679.3</v>
      </c>
      <c r="E1104">
        <f>2446.968</f>
        <v>2446.9679999999998</v>
      </c>
      <c r="F1104">
        <f>2074.55</f>
        <v>2074.5500000000002</v>
      </c>
      <c r="G1104">
        <f>8770.877</f>
        <v>8770.8770000000004</v>
      </c>
      <c r="H1104">
        <f>3115.08</f>
        <v>3115.08</v>
      </c>
      <c r="I1104">
        <f>10208.3</f>
        <v>10208.299999999999</v>
      </c>
      <c r="J1104">
        <f>4278</f>
        <v>4278</v>
      </c>
      <c r="K1104">
        <f>12025.4</f>
        <v>12025.4</v>
      </c>
      <c r="L1104">
        <f>2118.01</f>
        <v>2118.0100000000002</v>
      </c>
      <c r="M1104">
        <f>8946.92</f>
        <v>8946.92</v>
      </c>
      <c r="N1104">
        <f>350.791</f>
        <v>350.791</v>
      </c>
      <c r="O1104">
        <f>3041.13</f>
        <v>3041.13</v>
      </c>
      <c r="P1104">
        <f>249.62</f>
        <v>249.62</v>
      </c>
      <c r="Q1104">
        <f>2732.696</f>
        <v>2732.6959999999999</v>
      </c>
      <c r="R1104">
        <f>5788.86</f>
        <v>5788.86</v>
      </c>
      <c r="S1104">
        <f>2438.11</f>
        <v>2438.11</v>
      </c>
      <c r="T1104">
        <f>3924.226</f>
        <v>3924.2260000000001</v>
      </c>
      <c r="U1104">
        <f>57985.78</f>
        <v>57985.78</v>
      </c>
      <c r="V1104">
        <f>462.75</f>
        <v>462.75</v>
      </c>
    </row>
    <row r="1105" spans="1:22" x14ac:dyDescent="0.2">
      <c r="A1105" s="1">
        <v>43560</v>
      </c>
      <c r="B1105">
        <f>2503.05</f>
        <v>2503.0500000000002</v>
      </c>
      <c r="C1105">
        <f>10217.74</f>
        <v>10217.74</v>
      </c>
      <c r="D1105">
        <f>6674.8</f>
        <v>6674.8</v>
      </c>
      <c r="E1105">
        <f>2439.4</f>
        <v>2439.4</v>
      </c>
      <c r="F1105">
        <f>2075.19</f>
        <v>2075.19</v>
      </c>
      <c r="G1105">
        <f>8736.347</f>
        <v>8736.3469999999998</v>
      </c>
      <c r="H1105">
        <f>3128.72</f>
        <v>3128.72</v>
      </c>
      <c r="I1105">
        <f>10193.25</f>
        <v>10193.25</v>
      </c>
      <c r="J1105">
        <f>4275.43</f>
        <v>4275.43</v>
      </c>
      <c r="K1105">
        <f>12012.12</f>
        <v>12012.12</v>
      </c>
      <c r="L1105">
        <f>2113.91</f>
        <v>2113.91</v>
      </c>
      <c r="M1105">
        <f>8933.89</f>
        <v>8933.89</v>
      </c>
      <c r="N1105">
        <f>351.946</f>
        <v>351.94600000000003</v>
      </c>
      <c r="O1105">
        <f>3045.4</f>
        <v>3045.4</v>
      </c>
      <c r="P1105">
        <f>251.01</f>
        <v>251.01</v>
      </c>
      <c r="Q1105">
        <f>2731.341</f>
        <v>2731.3409999999999</v>
      </c>
      <c r="R1105">
        <f>5782.7</f>
        <v>5782.7</v>
      </c>
      <c r="S1105">
        <f>2446.55</f>
        <v>2446.5500000000002</v>
      </c>
      <c r="T1105">
        <f>3941.511</f>
        <v>3941.511</v>
      </c>
      <c r="U1105">
        <f>57776.36</f>
        <v>57776.36</v>
      </c>
      <c r="V1105">
        <f>460.73</f>
        <v>460.73</v>
      </c>
    </row>
    <row r="1106" spans="1:22" x14ac:dyDescent="0.2">
      <c r="A1106" s="1">
        <v>43559</v>
      </c>
      <c r="B1106">
        <f>2508.03</f>
        <v>2508.0300000000002</v>
      </c>
      <c r="C1106">
        <f>10198.61</f>
        <v>10198.61</v>
      </c>
      <c r="D1106">
        <f>6634.53</f>
        <v>6634.53</v>
      </c>
      <c r="E1106">
        <f>2429.459</f>
        <v>2429.4589999999998</v>
      </c>
      <c r="F1106">
        <f>2087.58</f>
        <v>2087.58</v>
      </c>
      <c r="G1106">
        <f>8732.086</f>
        <v>8732.0859999999993</v>
      </c>
      <c r="H1106">
        <f>3115.44</f>
        <v>3115.44</v>
      </c>
      <c r="I1106">
        <f>10166.98</f>
        <v>10166.98</v>
      </c>
      <c r="J1106">
        <f>4260.68</f>
        <v>4260.68</v>
      </c>
      <c r="K1106">
        <f>11955.93</f>
        <v>11955.93</v>
      </c>
      <c r="L1106">
        <f>2108.41</f>
        <v>2108.41</v>
      </c>
      <c r="M1106">
        <f>8903.39</f>
        <v>8903.39</v>
      </c>
      <c r="N1106">
        <f>351.338</f>
        <v>351.33800000000002</v>
      </c>
      <c r="O1106">
        <f>3040.07</f>
        <v>3040.07</v>
      </c>
      <c r="P1106">
        <f>250.41</f>
        <v>250.41</v>
      </c>
      <c r="Q1106">
        <f>2718.152</f>
        <v>2718.152</v>
      </c>
      <c r="R1106">
        <f>5755.96</f>
        <v>5755.96</v>
      </c>
      <c r="S1106">
        <f>2437.97</f>
        <v>2437.9699999999998</v>
      </c>
      <c r="T1106">
        <f>3937.987</f>
        <v>3937.9870000000001</v>
      </c>
      <c r="U1106">
        <f>57711.02</f>
        <v>57711.02</v>
      </c>
      <c r="V1106">
        <f>460.85</f>
        <v>460.85</v>
      </c>
    </row>
    <row r="1107" spans="1:22" x14ac:dyDescent="0.2">
      <c r="A1107" s="1">
        <v>43558</v>
      </c>
      <c r="B1107">
        <f>2523.5</f>
        <v>2523.5</v>
      </c>
      <c r="C1107">
        <f>10194.46</f>
        <v>10194.459999999999</v>
      </c>
      <c r="D1107">
        <f>6639.75</f>
        <v>6639.75</v>
      </c>
      <c r="E1107">
        <f>2427.325</f>
        <v>2427.3249999999998</v>
      </c>
      <c r="F1107">
        <f>2092.7</f>
        <v>2092.6999999999998</v>
      </c>
      <c r="G1107">
        <f>8791.263</f>
        <v>8791.2630000000008</v>
      </c>
      <c r="H1107">
        <f>3107.1</f>
        <v>3107.1</v>
      </c>
      <c r="I1107">
        <f>10183.4</f>
        <v>10183.4</v>
      </c>
      <c r="J1107">
        <f>4246.01</f>
        <v>4246.01</v>
      </c>
      <c r="K1107">
        <f>11932.22</f>
        <v>11932.22</v>
      </c>
      <c r="L1107">
        <f>2108.32</f>
        <v>2108.3200000000002</v>
      </c>
      <c r="M1107">
        <f>8901.86</f>
        <v>8901.86</v>
      </c>
      <c r="N1107">
        <f>353.544</f>
        <v>353.54399999999998</v>
      </c>
      <c r="O1107">
        <f>3046.21</f>
        <v>3046.21</v>
      </c>
      <c r="P1107">
        <f>251.15</f>
        <v>251.15</v>
      </c>
      <c r="Q1107">
        <f>2707.514</f>
        <v>2707.5140000000001</v>
      </c>
      <c r="R1107">
        <f>5742.67</f>
        <v>5742.67</v>
      </c>
      <c r="S1107">
        <f>2440.56</f>
        <v>2440.56</v>
      </c>
      <c r="T1107">
        <f>3956.371</f>
        <v>3956.3710000000001</v>
      </c>
      <c r="U1107">
        <f>57926.01</f>
        <v>57926.01</v>
      </c>
      <c r="V1107">
        <f>463.72</f>
        <v>463.72</v>
      </c>
    </row>
    <row r="1108" spans="1:22" x14ac:dyDescent="0.2">
      <c r="A1108" s="1">
        <v>43557</v>
      </c>
      <c r="B1108">
        <f>2502.65</f>
        <v>2502.65</v>
      </c>
      <c r="C1108">
        <f>10149.66</f>
        <v>10149.66</v>
      </c>
      <c r="D1108">
        <f>6615.44</f>
        <v>6615.44</v>
      </c>
      <c r="E1108">
        <f>2407.386</f>
        <v>2407.386</v>
      </c>
      <c r="F1108">
        <f>2056.07</f>
        <v>2056.0700000000002</v>
      </c>
      <c r="G1108">
        <f>8678.34</f>
        <v>8678.34</v>
      </c>
      <c r="H1108">
        <f>3095.07</f>
        <v>3095.07</v>
      </c>
      <c r="I1108">
        <f>10051.07</f>
        <v>10051.07</v>
      </c>
      <c r="J1108">
        <f>4243.25</f>
        <v>4243.25</v>
      </c>
      <c r="K1108">
        <f>11904.32</f>
        <v>11904.32</v>
      </c>
      <c r="L1108">
        <f>2098.98</f>
        <v>2098.98</v>
      </c>
      <c r="M1108">
        <f>8854.78</f>
        <v>8854.7800000000007</v>
      </c>
      <c r="N1108">
        <f>351.453</f>
        <v>351.45299999999997</v>
      </c>
      <c r="O1108">
        <f>3018.89</f>
        <v>3018.89</v>
      </c>
      <c r="P1108">
        <f>250.57</f>
        <v>250.57</v>
      </c>
      <c r="Q1108">
        <f>2706.885</f>
        <v>2706.8850000000002</v>
      </c>
      <c r="R1108">
        <f>5730.35</f>
        <v>5730.35</v>
      </c>
      <c r="S1108">
        <f>2425.38</f>
        <v>2425.38</v>
      </c>
      <c r="T1108">
        <f>3905.031</f>
        <v>3905.0309999999999</v>
      </c>
      <c r="U1108">
        <f>57158</f>
        <v>57158</v>
      </c>
      <c r="V1108">
        <f>455.92</f>
        <v>455.92</v>
      </c>
    </row>
    <row r="1109" spans="1:22" x14ac:dyDescent="0.2">
      <c r="A1109" s="1">
        <v>43556</v>
      </c>
      <c r="B1109">
        <f>2486.57</f>
        <v>2486.5700000000002</v>
      </c>
      <c r="C1109">
        <f>10162.51</f>
        <v>10162.51</v>
      </c>
      <c r="D1109">
        <f>6549.44</f>
        <v>6549.44</v>
      </c>
      <c r="E1109">
        <f>2405</f>
        <v>2405</v>
      </c>
      <c r="F1109">
        <f>2059.74</f>
        <v>2059.7399999999998</v>
      </c>
      <c r="G1109">
        <f>8667.444</f>
        <v>8667.4439999999995</v>
      </c>
      <c r="H1109">
        <f>3094.95</f>
        <v>3094.95</v>
      </c>
      <c r="I1109">
        <f>10044.68</f>
        <v>10044.68</v>
      </c>
      <c r="J1109">
        <f>4254.4</f>
        <v>4254.3999999999996</v>
      </c>
      <c r="K1109">
        <f>11904.71</f>
        <v>11904.71</v>
      </c>
      <c r="L1109">
        <f>2100.76</f>
        <v>2100.7600000000002</v>
      </c>
      <c r="M1109">
        <f>8854.75</f>
        <v>8854.75</v>
      </c>
      <c r="N1109">
        <f>350.476</f>
        <v>350.476</v>
      </c>
      <c r="O1109">
        <f>3007.95</f>
        <v>3007.95</v>
      </c>
      <c r="P1109">
        <f>251.08</f>
        <v>251.08</v>
      </c>
      <c r="Q1109">
        <f>2719.32</f>
        <v>2719.32</v>
      </c>
      <c r="R1109">
        <f>5730.04</f>
        <v>5730.04</v>
      </c>
      <c r="S1109">
        <f>2431.59</f>
        <v>2431.59</v>
      </c>
      <c r="T1109">
        <f>3924.977</f>
        <v>3924.9769999999999</v>
      </c>
      <c r="U1109">
        <f>57109.64</f>
        <v>57109.64</v>
      </c>
      <c r="V1109">
        <f>456.95</f>
        <v>456.95</v>
      </c>
    </row>
    <row r="1110" spans="1:22" x14ac:dyDescent="0.2">
      <c r="A1110" s="1">
        <v>43553</v>
      </c>
      <c r="B1110">
        <f>2475.18</f>
        <v>2475.1799999999998</v>
      </c>
      <c r="C1110">
        <f>10031.42</f>
        <v>10031.42</v>
      </c>
      <c r="D1110">
        <f>6515.26</f>
        <v>6515.26</v>
      </c>
      <c r="E1110">
        <f>2378.031</f>
        <v>2378.0309999999999</v>
      </c>
      <c r="F1110">
        <f>2027.54</f>
        <v>2027.54</v>
      </c>
      <c r="G1110">
        <f>8546.136</f>
        <v>8546.1360000000004</v>
      </c>
      <c r="H1110">
        <f>3054.92</f>
        <v>3054.92</v>
      </c>
      <c r="I1110">
        <f>9941.158</f>
        <v>9941.1579999999994</v>
      </c>
      <c r="J1110">
        <f>4217.22</f>
        <v>4217.22</v>
      </c>
      <c r="K1110">
        <f>11768.22</f>
        <v>11768.22</v>
      </c>
      <c r="L1110">
        <f>2083.56</f>
        <v>2083.56</v>
      </c>
      <c r="M1110">
        <f>8754.49</f>
        <v>8754.49</v>
      </c>
      <c r="N1110">
        <f>347.316</f>
        <v>347.31599999999997</v>
      </c>
      <c r="O1110">
        <f>2971.53</f>
        <v>2971.53</v>
      </c>
      <c r="P1110">
        <f>246.92</f>
        <v>246.92</v>
      </c>
      <c r="Q1110">
        <f>2696.208</f>
        <v>2696.2080000000001</v>
      </c>
      <c r="R1110">
        <f>5664.46</f>
        <v>5664.46</v>
      </c>
      <c r="S1110">
        <f>2395.21</f>
        <v>2395.21</v>
      </c>
      <c r="T1110">
        <f>3838.239</f>
        <v>3838.239</v>
      </c>
      <c r="U1110">
        <f>56462.55</f>
        <v>56462.55</v>
      </c>
      <c r="V1110">
        <f>448.17</f>
        <v>448.17</v>
      </c>
    </row>
    <row r="1111" spans="1:22" x14ac:dyDescent="0.2">
      <c r="A1111" s="1">
        <v>43552</v>
      </c>
      <c r="B1111">
        <f>2456.75</f>
        <v>2456.75</v>
      </c>
      <c r="C1111">
        <f>9965.18</f>
        <v>9965.18</v>
      </c>
      <c r="D1111">
        <f>6475.11</f>
        <v>6475.11</v>
      </c>
      <c r="E1111">
        <f>2348.986</f>
        <v>2348.9859999999999</v>
      </c>
      <c r="F1111">
        <f>2024.27</f>
        <v>2024.27</v>
      </c>
      <c r="G1111">
        <f>8533.018</f>
        <v>8533.018</v>
      </c>
      <c r="H1111">
        <f>3050.31</f>
        <v>3050.31</v>
      </c>
      <c r="I1111">
        <f>9865.766</f>
        <v>9865.7659999999996</v>
      </c>
      <c r="J1111">
        <f>4187.22</f>
        <v>4187.22</v>
      </c>
      <c r="K1111">
        <f>11688.87</f>
        <v>11688.87</v>
      </c>
      <c r="L1111">
        <f>2075.04</f>
        <v>2075.04</v>
      </c>
      <c r="M1111">
        <f>8700.47</f>
        <v>8700.4699999999993</v>
      </c>
      <c r="N1111">
        <f>346.114</f>
        <v>346.11399999999998</v>
      </c>
      <c r="O1111">
        <f>2951.69</f>
        <v>2951.69</v>
      </c>
      <c r="P1111">
        <f>245.67</f>
        <v>245.67</v>
      </c>
      <c r="Q1111">
        <f>2676.896</f>
        <v>2676.8960000000002</v>
      </c>
      <c r="R1111">
        <f>5626.32</f>
        <v>5626.32</v>
      </c>
      <c r="S1111">
        <f>2381.99</f>
        <v>2381.9899999999998</v>
      </c>
      <c r="T1111">
        <f>3805.193</f>
        <v>3805.1930000000002</v>
      </c>
      <c r="U1111">
        <f>56059.5</f>
        <v>56059.5</v>
      </c>
      <c r="V1111">
        <f>441.66</f>
        <v>441.66</v>
      </c>
    </row>
    <row r="1112" spans="1:22" x14ac:dyDescent="0.2">
      <c r="A1112" s="1">
        <v>43551</v>
      </c>
      <c r="B1112">
        <f>2467.77</f>
        <v>2467.77</v>
      </c>
      <c r="C1112">
        <f>9961.93</f>
        <v>9961.93</v>
      </c>
      <c r="D1112">
        <f>6435.12</f>
        <v>6435.12</v>
      </c>
      <c r="E1112">
        <f>2345.209</f>
        <v>2345.2089999999998</v>
      </c>
      <c r="F1112">
        <f>2036.47</f>
        <v>2036.47</v>
      </c>
      <c r="G1112">
        <f>8548.948</f>
        <v>8548.9480000000003</v>
      </c>
      <c r="H1112">
        <f>3103.06</f>
        <v>3103.06</v>
      </c>
      <c r="I1112">
        <f>9895.032</f>
        <v>9895.0319999999992</v>
      </c>
      <c r="J1112">
        <f>4180.93</f>
        <v>4180.93</v>
      </c>
      <c r="K1112">
        <f>11643.73</f>
        <v>11643.73</v>
      </c>
      <c r="L1112">
        <f>2078.36</f>
        <v>2078.36</v>
      </c>
      <c r="M1112">
        <f>8693.65</f>
        <v>8693.65</v>
      </c>
      <c r="N1112">
        <f>346.099</f>
        <v>346.09899999999999</v>
      </c>
      <c r="O1112">
        <f>2957.41</f>
        <v>2957.41</v>
      </c>
      <c r="P1112">
        <f>250.13</f>
        <v>250.13</v>
      </c>
      <c r="Q1112">
        <f>2658.665</f>
        <v>2658.665</v>
      </c>
      <c r="R1112">
        <f>5605.32</f>
        <v>5605.32</v>
      </c>
      <c r="S1112">
        <f>2422.08</f>
        <v>2422.08</v>
      </c>
      <c r="T1112">
        <f>3810.949</f>
        <v>3810.9490000000001</v>
      </c>
      <c r="U1112">
        <f>56149.3</f>
        <v>56149.3</v>
      </c>
      <c r="V1112">
        <f>443.86</f>
        <v>443.86</v>
      </c>
    </row>
    <row r="1113" spans="1:22" x14ac:dyDescent="0.2">
      <c r="A1113" s="1">
        <v>43550</v>
      </c>
      <c r="B1113">
        <f>2457.81</f>
        <v>2457.81</v>
      </c>
      <c r="C1113">
        <f>10003.62</f>
        <v>10003.620000000001</v>
      </c>
      <c r="D1113">
        <f>6437</f>
        <v>6437</v>
      </c>
      <c r="E1113">
        <f>2358.974</f>
        <v>2358.9740000000002</v>
      </c>
      <c r="F1113">
        <f>2028.13</f>
        <v>2028.13</v>
      </c>
      <c r="G1113">
        <f>8566.118</f>
        <v>8566.1180000000004</v>
      </c>
      <c r="H1113">
        <f>3092.65</f>
        <v>3092.65</v>
      </c>
      <c r="I1113">
        <f>9914.485</f>
        <v>9914.4850000000006</v>
      </c>
      <c r="J1113">
        <f>4200.2</f>
        <v>4200.2</v>
      </c>
      <c r="K1113">
        <f>11698.65</f>
        <v>11698.65</v>
      </c>
      <c r="L1113">
        <f>2083.7</f>
        <v>2083.6999999999998</v>
      </c>
      <c r="M1113">
        <f>8720.76</f>
        <v>8720.76</v>
      </c>
      <c r="N1113">
        <f>345.054</f>
        <v>345.05399999999997</v>
      </c>
      <c r="O1113">
        <f>2953.05</f>
        <v>2953.05</v>
      </c>
      <c r="P1113">
        <f>249.38</f>
        <v>249.38</v>
      </c>
      <c r="Q1113">
        <f>2657.121</f>
        <v>2657.1210000000001</v>
      </c>
      <c r="R1113">
        <f>5631.39</f>
        <v>5631.39</v>
      </c>
      <c r="S1113">
        <f>2408.61</f>
        <v>2408.61</v>
      </c>
      <c r="T1113">
        <f>3783.794</f>
        <v>3783.7939999999999</v>
      </c>
      <c r="U1113">
        <f>55638.43</f>
        <v>55638.43</v>
      </c>
      <c r="V1113">
        <f>439.75</f>
        <v>439.75</v>
      </c>
    </row>
    <row r="1114" spans="1:22" x14ac:dyDescent="0.2">
      <c r="A1114" s="1">
        <v>43549</v>
      </c>
      <c r="B1114">
        <f>2449.58</f>
        <v>2449.58</v>
      </c>
      <c r="C1114">
        <f>9982.02</f>
        <v>9982.02</v>
      </c>
      <c r="D1114">
        <f>6420.26</f>
        <v>6420.26</v>
      </c>
      <c r="E1114">
        <f>2352.844</f>
        <v>2352.8440000000001</v>
      </c>
      <c r="F1114">
        <f>2020.48</f>
        <v>2020.48</v>
      </c>
      <c r="G1114">
        <f>8533.534</f>
        <v>8533.5339999999997</v>
      </c>
      <c r="H1114">
        <f>3028.31</f>
        <v>3028.31</v>
      </c>
      <c r="I1114">
        <f>9875.843</f>
        <v>9875.8430000000008</v>
      </c>
      <c r="J1114">
        <f>4160.07</f>
        <v>4160.07</v>
      </c>
      <c r="K1114">
        <f>11614.66</f>
        <v>11614.66</v>
      </c>
      <c r="L1114">
        <f>2068.01</f>
        <v>2068.0100000000002</v>
      </c>
      <c r="M1114">
        <f>8656.05</f>
        <v>8656.0499999999993</v>
      </c>
      <c r="N1114">
        <f>341.063</f>
        <v>341.06299999999999</v>
      </c>
      <c r="O1114">
        <f>2930.53</f>
        <v>2930.53</v>
      </c>
      <c r="P1114">
        <f>243</f>
        <v>243</v>
      </c>
      <c r="Q1114">
        <f>2632.954</f>
        <v>2632.9540000000002</v>
      </c>
      <c r="R1114">
        <f>5591.23</f>
        <v>5591.23</v>
      </c>
      <c r="S1114">
        <f>2348.27</f>
        <v>2348.27</v>
      </c>
      <c r="T1114">
        <f>3779.337</f>
        <v>3779.337</v>
      </c>
      <c r="U1114">
        <f>55367.11</f>
        <v>55367.11</v>
      </c>
      <c r="V1114">
        <f>436.09</f>
        <v>436.09</v>
      </c>
    </row>
    <row r="1115" spans="1:22" x14ac:dyDescent="0.2">
      <c r="A1115" s="1">
        <v>43546</v>
      </c>
      <c r="B1115">
        <f>2468.75</f>
        <v>2468.75</v>
      </c>
      <c r="C1115">
        <f>10079.17</f>
        <v>10079.17</v>
      </c>
      <c r="D1115">
        <f>6447.1</f>
        <v>6447.1</v>
      </c>
      <c r="E1115">
        <f>2379.44</f>
        <v>2379.44</v>
      </c>
      <c r="F1115">
        <f>2034.6</f>
        <v>2034.6</v>
      </c>
      <c r="G1115">
        <f>8584.65</f>
        <v>8584.65</v>
      </c>
      <c r="H1115">
        <f>3101.83</f>
        <v>3101.83</v>
      </c>
      <c r="I1115">
        <f>9868.197</f>
        <v>9868.1970000000001</v>
      </c>
      <c r="J1115">
        <f>4169.28</f>
        <v>4169.28</v>
      </c>
      <c r="K1115">
        <f>11625.26</f>
        <v>11625.26</v>
      </c>
      <c r="L1115">
        <f>2073.55</f>
        <v>2073.5500000000002</v>
      </c>
      <c r="M1115">
        <f>8687.77</f>
        <v>8687.77</v>
      </c>
      <c r="N1115">
        <f>342.888</f>
        <v>342.88799999999998</v>
      </c>
      <c r="O1115">
        <f>2941.65</f>
        <v>2941.65</v>
      </c>
      <c r="P1115">
        <f>248.21</f>
        <v>248.21</v>
      </c>
      <c r="Q1115">
        <f>2629.538</f>
        <v>2629.538</v>
      </c>
      <c r="R1115">
        <f>5595.5</f>
        <v>5595.5</v>
      </c>
      <c r="S1115">
        <f>2407.37</f>
        <v>2407.37</v>
      </c>
      <c r="T1115">
        <f>3826.513</f>
        <v>3826.5129999999999</v>
      </c>
      <c r="U1115">
        <f>56107.48</f>
        <v>56107.48</v>
      </c>
      <c r="V1115">
        <f>442.56</f>
        <v>442.56</v>
      </c>
    </row>
    <row r="1116" spans="1:22" x14ac:dyDescent="0.2">
      <c r="A1116" s="1">
        <v>43545</v>
      </c>
      <c r="B1116">
        <f>2513.49</f>
        <v>2513.4899999999998</v>
      </c>
      <c r="C1116">
        <f>10152.64</f>
        <v>10152.64</v>
      </c>
      <c r="D1116">
        <f>6579.24</f>
        <v>6579.24</v>
      </c>
      <c r="E1116">
        <f>2401.954</f>
        <v>2401.9540000000002</v>
      </c>
      <c r="F1116">
        <f>2040.82</f>
        <v>2040.82</v>
      </c>
      <c r="G1116">
        <f>8662.532</f>
        <v>8662.5319999999992</v>
      </c>
      <c r="H1116">
        <f>3063.99</f>
        <v>3063.99</v>
      </c>
      <c r="I1116">
        <f>10095.18</f>
        <v>10095.18</v>
      </c>
      <c r="J1116">
        <f>4226.49</f>
        <v>4226.49</v>
      </c>
      <c r="K1116">
        <f>11853.18</f>
        <v>11853.18</v>
      </c>
      <c r="L1116">
        <f>2093.33</f>
        <v>2093.33</v>
      </c>
      <c r="M1116">
        <f>8824.36</f>
        <v>8824.36</v>
      </c>
      <c r="N1116">
        <f>344.654</f>
        <v>344.654</v>
      </c>
      <c r="O1116">
        <f>2977.98</f>
        <v>2977.98</v>
      </c>
      <c r="P1116" t="e">
        <f>NA()</f>
        <v>#N/A</v>
      </c>
      <c r="Q1116">
        <f>2674.272</f>
        <v>2674.2719999999999</v>
      </c>
      <c r="R1116">
        <f>5703.28</f>
        <v>5703.28</v>
      </c>
      <c r="S1116" t="e">
        <f>NA()</f>
        <v>#N/A</v>
      </c>
      <c r="T1116" t="e">
        <f>NA()</f>
        <v>#N/A</v>
      </c>
      <c r="U1116" t="e">
        <f>NA()</f>
        <v>#N/A</v>
      </c>
      <c r="V1116" t="e">
        <f>NA()</f>
        <v>#N/A</v>
      </c>
    </row>
    <row r="1117" spans="1:22" x14ac:dyDescent="0.2">
      <c r="A1117" s="1">
        <v>43544</v>
      </c>
      <c r="B1117">
        <f>2529.13</f>
        <v>2529.13</v>
      </c>
      <c r="C1117">
        <f>10136.46</f>
        <v>10136.459999999999</v>
      </c>
      <c r="D1117">
        <f>6516.09</f>
        <v>6516.09</v>
      </c>
      <c r="E1117">
        <f>2399.129</f>
        <v>2399.1289999999999</v>
      </c>
      <c r="F1117">
        <f>2055.75</f>
        <v>2055.75</v>
      </c>
      <c r="G1117">
        <f>8657.454</f>
        <v>8657.4539999999997</v>
      </c>
      <c r="H1117">
        <f>3048.18</f>
        <v>3048.18</v>
      </c>
      <c r="I1117">
        <f>10083.18</f>
        <v>10083.18</v>
      </c>
      <c r="J1117">
        <f>4185.81</f>
        <v>4185.8100000000004</v>
      </c>
      <c r="K1117">
        <f>11723.03</f>
        <v>11723.03</v>
      </c>
      <c r="L1117">
        <f>2079.79</f>
        <v>2079.79</v>
      </c>
      <c r="M1117">
        <f>8757.44</f>
        <v>8757.44</v>
      </c>
      <c r="N1117">
        <f>345.182</f>
        <v>345.18200000000002</v>
      </c>
      <c r="O1117">
        <f>2978.9</f>
        <v>2978.9</v>
      </c>
      <c r="P1117">
        <f>248.51</f>
        <v>248.51</v>
      </c>
      <c r="Q1117">
        <f>2644.238</f>
        <v>2644.2379999999998</v>
      </c>
      <c r="R1117">
        <f>5641.74</f>
        <v>5641.74</v>
      </c>
      <c r="S1117">
        <f>2403.32</f>
        <v>2403.3200000000002</v>
      </c>
      <c r="T1117">
        <f>3868.965</f>
        <v>3868.9650000000001</v>
      </c>
      <c r="U1117">
        <f>56145.67</f>
        <v>56145.67</v>
      </c>
      <c r="V1117">
        <f>444.48</f>
        <v>444.48</v>
      </c>
    </row>
    <row r="1118" spans="1:22" x14ac:dyDescent="0.2">
      <c r="A1118" s="1">
        <v>43543</v>
      </c>
      <c r="B1118">
        <f>2569.5</f>
        <v>2569.5</v>
      </c>
      <c r="C1118">
        <f>10161.18</f>
        <v>10161.18</v>
      </c>
      <c r="D1118">
        <f>6545.57</f>
        <v>6545.57</v>
      </c>
      <c r="E1118">
        <f>2404.631</f>
        <v>2404.6309999999999</v>
      </c>
      <c r="F1118">
        <f>2100.01</f>
        <v>2100.0100000000002</v>
      </c>
      <c r="G1118">
        <f>8748.016</f>
        <v>8748.0159999999996</v>
      </c>
      <c r="H1118">
        <f>3049.7</f>
        <v>3049.7</v>
      </c>
      <c r="I1118">
        <f>10165.19</f>
        <v>10165.19</v>
      </c>
      <c r="J1118">
        <f>4206.88</f>
        <v>4206.88</v>
      </c>
      <c r="K1118">
        <f>11756.95</f>
        <v>11756.95</v>
      </c>
      <c r="L1118">
        <f>2090.03</f>
        <v>2090.0300000000002</v>
      </c>
      <c r="M1118">
        <f>8791.96</f>
        <v>8791.9599999999991</v>
      </c>
      <c r="N1118">
        <f>347.549</f>
        <v>347.54899999999998</v>
      </c>
      <c r="O1118">
        <f>3006.73</f>
        <v>3006.73</v>
      </c>
      <c r="P1118">
        <f>248.26</f>
        <v>248.26</v>
      </c>
      <c r="Q1118">
        <f>2662.438</f>
        <v>2662.4380000000001</v>
      </c>
      <c r="R1118">
        <f>5658.15</f>
        <v>5658.15</v>
      </c>
      <c r="S1118">
        <f>2397.13</f>
        <v>2397.13</v>
      </c>
      <c r="T1118">
        <f>3930.946</f>
        <v>3930.9459999999999</v>
      </c>
      <c r="U1118">
        <f>56849.67</f>
        <v>56849.67</v>
      </c>
      <c r="V1118">
        <f>451.17</f>
        <v>451.17</v>
      </c>
    </row>
    <row r="1119" spans="1:22" x14ac:dyDescent="0.2">
      <c r="A1119" s="1">
        <v>43542</v>
      </c>
      <c r="B1119">
        <f>2565.15</f>
        <v>2565.15</v>
      </c>
      <c r="C1119">
        <f>10160.45</f>
        <v>10160.450000000001</v>
      </c>
      <c r="D1119">
        <f>6523.4</f>
        <v>6523.4</v>
      </c>
      <c r="E1119">
        <f>2400.744</f>
        <v>2400.7440000000001</v>
      </c>
      <c r="F1119">
        <f>2083.48</f>
        <v>2083.48</v>
      </c>
      <c r="G1119">
        <f>8694.301</f>
        <v>8694.3009999999995</v>
      </c>
      <c r="H1119">
        <f>3046.38</f>
        <v>3046.38</v>
      </c>
      <c r="I1119">
        <f>10095.01</f>
        <v>10095.01</v>
      </c>
      <c r="J1119">
        <f>4208.96</f>
        <v>4208.96</v>
      </c>
      <c r="K1119">
        <f>11759.67</f>
        <v>11759.67</v>
      </c>
      <c r="L1119">
        <f>2087.08</f>
        <v>2087.08</v>
      </c>
      <c r="M1119">
        <f>8780.98</f>
        <v>8780.98</v>
      </c>
      <c r="N1119">
        <f>345.676</f>
        <v>345.67599999999999</v>
      </c>
      <c r="O1119">
        <f>2989.28</f>
        <v>2989.28</v>
      </c>
      <c r="P1119">
        <f>249</f>
        <v>249</v>
      </c>
      <c r="Q1119">
        <f>2663.797</f>
        <v>2663.797</v>
      </c>
      <c r="R1119">
        <f>5658.73</f>
        <v>5658.73</v>
      </c>
      <c r="S1119">
        <f>2402.27</f>
        <v>2402.27</v>
      </c>
      <c r="T1119">
        <f>3945.792</f>
        <v>3945.7919999999999</v>
      </c>
      <c r="U1119">
        <f>56769.86</f>
        <v>56769.86</v>
      </c>
      <c r="V1119">
        <f>453.04</f>
        <v>453.04</v>
      </c>
    </row>
    <row r="1120" spans="1:22" x14ac:dyDescent="0.2">
      <c r="A1120" s="1">
        <v>43539</v>
      </c>
      <c r="B1120">
        <f>2547.59</f>
        <v>2547.59</v>
      </c>
      <c r="C1120">
        <f>10037.4</f>
        <v>10037.4</v>
      </c>
      <c r="D1120">
        <f>6460.03</f>
        <v>6460.03</v>
      </c>
      <c r="E1120">
        <f>2373.835</f>
        <v>2373.835</v>
      </c>
      <c r="F1120">
        <f>2073.08</f>
        <v>2073.08</v>
      </c>
      <c r="G1120">
        <f>8643.438</f>
        <v>8643.4380000000001</v>
      </c>
      <c r="H1120">
        <f>3021.57</f>
        <v>3021.57</v>
      </c>
      <c r="I1120">
        <f>10060.27</f>
        <v>10060.27</v>
      </c>
      <c r="J1120">
        <f>4200.8</f>
        <v>4200.8</v>
      </c>
      <c r="K1120">
        <f>11715.41</f>
        <v>11715.41</v>
      </c>
      <c r="L1120">
        <f>2078.9</f>
        <v>2078.9</v>
      </c>
      <c r="M1120">
        <f>8742.63</f>
        <v>8742.6299999999992</v>
      </c>
      <c r="N1120">
        <f>345.754</f>
        <v>345.75400000000002</v>
      </c>
      <c r="O1120">
        <f>2980.64</f>
        <v>2980.64</v>
      </c>
      <c r="P1120">
        <f>247.12</f>
        <v>247.12</v>
      </c>
      <c r="Q1120">
        <f>2652.75</f>
        <v>2652.75</v>
      </c>
      <c r="R1120">
        <f>5637.77</f>
        <v>5637.77</v>
      </c>
      <c r="S1120">
        <f>2385.76</f>
        <v>2385.7600000000002</v>
      </c>
      <c r="T1120">
        <f>3917.24</f>
        <v>3917.24</v>
      </c>
      <c r="U1120">
        <f>56040.21</f>
        <v>56040.21</v>
      </c>
      <c r="V1120">
        <f>448.16</f>
        <v>448.16</v>
      </c>
    </row>
    <row r="1121" spans="1:22" x14ac:dyDescent="0.2">
      <c r="A1121" s="1">
        <v>43538</v>
      </c>
      <c r="B1121">
        <f>2524.69</f>
        <v>2524.69</v>
      </c>
      <c r="C1121">
        <f>9927.6</f>
        <v>9927.6</v>
      </c>
      <c r="D1121">
        <f>6421.73</f>
        <v>6421.73</v>
      </c>
      <c r="E1121">
        <f>2353.359</f>
        <v>2353.3589999999999</v>
      </c>
      <c r="F1121">
        <f>2058.42</f>
        <v>2058.42</v>
      </c>
      <c r="G1121">
        <f>8598.349</f>
        <v>8598.3490000000002</v>
      </c>
      <c r="H1121">
        <f>2990.72</f>
        <v>2990.72</v>
      </c>
      <c r="I1121">
        <f>9960.434</f>
        <v>9960.4339999999993</v>
      </c>
      <c r="J1121">
        <f>4171.82</f>
        <v>4171.82</v>
      </c>
      <c r="K1121">
        <f>11658.39</f>
        <v>11658.39</v>
      </c>
      <c r="L1121">
        <f>2067.11</f>
        <v>2067.11</v>
      </c>
      <c r="M1121">
        <f>8690.69</f>
        <v>8690.69</v>
      </c>
      <c r="N1121">
        <f>342.762</f>
        <v>342.762</v>
      </c>
      <c r="O1121">
        <f>2958</f>
        <v>2958</v>
      </c>
      <c r="P1121">
        <f>245.18</f>
        <v>245.18</v>
      </c>
      <c r="Q1121">
        <f>2644.72</f>
        <v>2644.72</v>
      </c>
      <c r="R1121">
        <f>5609.59</f>
        <v>5609.59</v>
      </c>
      <c r="S1121">
        <f>2364.41</f>
        <v>2364.41</v>
      </c>
      <c r="T1121">
        <f>3882.222</f>
        <v>3882.2220000000002</v>
      </c>
      <c r="U1121">
        <f>55789.45</f>
        <v>55789.45</v>
      </c>
      <c r="V1121">
        <f>444.59</f>
        <v>444.59</v>
      </c>
    </row>
    <row r="1122" spans="1:22" x14ac:dyDescent="0.2">
      <c r="A1122" s="1">
        <v>43537</v>
      </c>
      <c r="B1122">
        <f>2506.83</f>
        <v>2506.83</v>
      </c>
      <c r="C1122">
        <f>9954.24</f>
        <v>9954.24</v>
      </c>
      <c r="D1122">
        <f>6395.01</f>
        <v>6395.01</v>
      </c>
      <c r="E1122">
        <f>2358.241</f>
        <v>2358.241</v>
      </c>
      <c r="F1122">
        <f>2036.8</f>
        <v>2036.8</v>
      </c>
      <c r="G1122">
        <f>8525.94</f>
        <v>8525.94</v>
      </c>
      <c r="H1122">
        <f>3015.34</f>
        <v>3015.34</v>
      </c>
      <c r="I1122">
        <f>9890.048</f>
        <v>9890.0480000000007</v>
      </c>
      <c r="J1122">
        <f>4184.19</f>
        <v>4184.1899999999996</v>
      </c>
      <c r="K1122">
        <f>11665.07</f>
        <v>11665.07</v>
      </c>
      <c r="L1122">
        <f>2063.94</f>
        <v>2063.94</v>
      </c>
      <c r="M1122">
        <f>8685.39</f>
        <v>8685.39</v>
      </c>
      <c r="N1122">
        <f>339.822</f>
        <v>339.822</v>
      </c>
      <c r="O1122">
        <f>2934.21</f>
        <v>2934.21</v>
      </c>
      <c r="P1122">
        <f>246.29</f>
        <v>246.29</v>
      </c>
      <c r="Q1122">
        <f>2648.906</f>
        <v>2648.9059999999999</v>
      </c>
      <c r="R1122">
        <f>5612.56</f>
        <v>5612.56</v>
      </c>
      <c r="S1122">
        <f>2370.04</f>
        <v>2370.04</v>
      </c>
      <c r="T1122">
        <f>3895.8</f>
        <v>3895.8</v>
      </c>
      <c r="U1122">
        <f>55829.1</f>
        <v>55829.1</v>
      </c>
      <c r="V1122">
        <f>441.71</f>
        <v>441.71</v>
      </c>
    </row>
    <row r="1123" spans="1:22" x14ac:dyDescent="0.2">
      <c r="A1123" s="1">
        <v>43536</v>
      </c>
      <c r="B1123">
        <f>2500.61</f>
        <v>2500.61</v>
      </c>
      <c r="C1123">
        <f>9987.65</f>
        <v>9987.65</v>
      </c>
      <c r="D1123">
        <f>6387.83</f>
        <v>6387.83</v>
      </c>
      <c r="E1123">
        <f>2360.367</f>
        <v>2360.3670000000002</v>
      </c>
      <c r="F1123">
        <f>2019.35</f>
        <v>2019.35</v>
      </c>
      <c r="G1123">
        <f>8431.147</f>
        <v>8431.1470000000008</v>
      </c>
      <c r="H1123">
        <f>3036.86</f>
        <v>3036.86</v>
      </c>
      <c r="I1123">
        <f>9805.434</f>
        <v>9805.4339999999993</v>
      </c>
      <c r="J1123">
        <f>4159.28</f>
        <v>4159.28</v>
      </c>
      <c r="K1123">
        <f>11584.48</f>
        <v>11584.48</v>
      </c>
      <c r="L1123">
        <f>2053.22</f>
        <v>2053.2199999999998</v>
      </c>
      <c r="M1123">
        <f>8634</f>
        <v>8634</v>
      </c>
      <c r="N1123">
        <f>337.335</f>
        <v>337.33499999999998</v>
      </c>
      <c r="O1123">
        <f>2913.53</f>
        <v>2913.53</v>
      </c>
      <c r="P1123">
        <f>248.03</f>
        <v>248.03</v>
      </c>
      <c r="Q1123">
        <f>2632.128</f>
        <v>2632.1280000000002</v>
      </c>
      <c r="R1123">
        <f>5573.44</f>
        <v>5573.44</v>
      </c>
      <c r="S1123">
        <f>2390</f>
        <v>2390</v>
      </c>
      <c r="T1123">
        <f>3933.469</f>
        <v>3933.4690000000001</v>
      </c>
      <c r="U1123">
        <f>55699.8</f>
        <v>55699.8</v>
      </c>
      <c r="V1123">
        <f>443.9</f>
        <v>443.9</v>
      </c>
    </row>
    <row r="1124" spans="1:22" x14ac:dyDescent="0.2">
      <c r="A1124" s="1">
        <v>43535</v>
      </c>
      <c r="B1124">
        <f>2485.01</f>
        <v>2485.0100000000002</v>
      </c>
      <c r="C1124">
        <f>9879.01</f>
        <v>9879.01</v>
      </c>
      <c r="D1124">
        <f>6369.5</f>
        <v>6369.5</v>
      </c>
      <c r="E1124">
        <f>2337.029</f>
        <v>2337.029</v>
      </c>
      <c r="F1124">
        <f>2005.73</f>
        <v>2005.73</v>
      </c>
      <c r="G1124">
        <f>8407.104</f>
        <v>8407.1039999999994</v>
      </c>
      <c r="H1124">
        <f>3000.95</f>
        <v>3000.95</v>
      </c>
      <c r="I1124">
        <f>9765.577</f>
        <v>9765.5769999999993</v>
      </c>
      <c r="J1124">
        <f>4158.55</f>
        <v>4158.55</v>
      </c>
      <c r="K1124">
        <f>11549.68</f>
        <v>11549.68</v>
      </c>
      <c r="L1124">
        <f>2045.39</f>
        <v>2045.39</v>
      </c>
      <c r="M1124">
        <f>8597.42</f>
        <v>8597.42</v>
      </c>
      <c r="N1124">
        <f>338.455</f>
        <v>338.45499999999998</v>
      </c>
      <c r="O1124">
        <f>2920.15</f>
        <v>2920.15</v>
      </c>
      <c r="P1124">
        <f>244.68</f>
        <v>244.68</v>
      </c>
      <c r="Q1124">
        <f>2628.573</f>
        <v>2628.5729999999999</v>
      </c>
      <c r="R1124">
        <f>5556.77</f>
        <v>5556.77</v>
      </c>
      <c r="S1124">
        <f>2354.2</f>
        <v>2354.1999999999998</v>
      </c>
      <c r="T1124">
        <f>3916.223</f>
        <v>3916.223</v>
      </c>
      <c r="U1124">
        <f>55580.65</f>
        <v>55580.65</v>
      </c>
      <c r="V1124">
        <f>438.99</f>
        <v>438.99</v>
      </c>
    </row>
    <row r="1125" spans="1:22" x14ac:dyDescent="0.2">
      <c r="A1125" s="1">
        <v>43532</v>
      </c>
      <c r="B1125">
        <f>2481.22</f>
        <v>2481.2199999999998</v>
      </c>
      <c r="C1125">
        <f>9856.94</f>
        <v>9856.94</v>
      </c>
      <c r="D1125">
        <f>6345.99</f>
        <v>6345.99</v>
      </c>
      <c r="E1125">
        <f>2312.19</f>
        <v>2312.19</v>
      </c>
      <c r="F1125">
        <f>1991.2</f>
        <v>1991.2</v>
      </c>
      <c r="G1125">
        <f>8327.396</f>
        <v>8327.3960000000006</v>
      </c>
      <c r="H1125">
        <f>2988.58</f>
        <v>2988.58</v>
      </c>
      <c r="I1125">
        <f>9708.023</f>
        <v>9708.0229999999992</v>
      </c>
      <c r="J1125">
        <f>4114.76</f>
        <v>4114.76</v>
      </c>
      <c r="K1125">
        <f>11381.31</f>
        <v>11381.31</v>
      </c>
      <c r="L1125">
        <f>2027.04</f>
        <v>2027.04</v>
      </c>
      <c r="M1125">
        <f>8499.8</f>
        <v>8499.7999999999993</v>
      </c>
      <c r="N1125">
        <f>335.207</f>
        <v>335.20699999999999</v>
      </c>
      <c r="O1125">
        <f>2895.1</f>
        <v>2895.1</v>
      </c>
      <c r="P1125">
        <f>242.75</f>
        <v>242.75</v>
      </c>
      <c r="Q1125">
        <f>2594.979</f>
        <v>2594.9789999999998</v>
      </c>
      <c r="R1125">
        <f>5476.39</f>
        <v>5476.39</v>
      </c>
      <c r="S1125">
        <f>2340.81</f>
        <v>2340.81</v>
      </c>
      <c r="T1125">
        <f>3937.994</f>
        <v>3937.9940000000001</v>
      </c>
      <c r="U1125">
        <f>55488.79</f>
        <v>55488.79</v>
      </c>
      <c r="V1125">
        <f>441.32</f>
        <v>441.32</v>
      </c>
    </row>
    <row r="1126" spans="1:22" x14ac:dyDescent="0.2">
      <c r="A1126" s="1">
        <v>43531</v>
      </c>
      <c r="B1126">
        <f>2499.61</f>
        <v>2499.61</v>
      </c>
      <c r="C1126">
        <f>9966.11</f>
        <v>9966.11</v>
      </c>
      <c r="D1126">
        <f>6393.55</f>
        <v>6393.55</v>
      </c>
      <c r="E1126">
        <f>2342.264</f>
        <v>2342.2640000000001</v>
      </c>
      <c r="F1126">
        <f>2013.67</f>
        <v>2013.67</v>
      </c>
      <c r="G1126">
        <f>8455.445</f>
        <v>8455.4449999999997</v>
      </c>
      <c r="H1126">
        <f>3029.07</f>
        <v>3029.07</v>
      </c>
      <c r="I1126">
        <f>9771.681</f>
        <v>9771.6810000000005</v>
      </c>
      <c r="J1126">
        <f>4124.29</f>
        <v>4124.29</v>
      </c>
      <c r="K1126">
        <f>11404.19</f>
        <v>11404.19</v>
      </c>
      <c r="L1126">
        <f>2037.37</f>
        <v>2037.37</v>
      </c>
      <c r="M1126">
        <f>8541.83</f>
        <v>8541.83</v>
      </c>
      <c r="N1126">
        <f>339.249</f>
        <v>339.24900000000002</v>
      </c>
      <c r="O1126">
        <f>2923.37</f>
        <v>2923.37</v>
      </c>
      <c r="P1126">
        <f>247.37</f>
        <v>247.37</v>
      </c>
      <c r="Q1126">
        <f>2601.664</f>
        <v>2601.6640000000002</v>
      </c>
      <c r="R1126">
        <f>5487.56</f>
        <v>5487.56</v>
      </c>
      <c r="S1126">
        <f>2384.32</f>
        <v>2384.3200000000002</v>
      </c>
      <c r="T1126">
        <f>3936.92</f>
        <v>3936.92</v>
      </c>
      <c r="U1126">
        <f>55857.89</f>
        <v>55857.89</v>
      </c>
      <c r="V1126">
        <f>439.91</f>
        <v>439.91</v>
      </c>
    </row>
    <row r="1127" spans="1:22" x14ac:dyDescent="0.2">
      <c r="A1127" s="1">
        <v>43530</v>
      </c>
      <c r="B1127">
        <f>2543.11</f>
        <v>2543.11</v>
      </c>
      <c r="C1127">
        <f>10050.28</f>
        <v>10050.280000000001</v>
      </c>
      <c r="D1127">
        <f>6415.84</f>
        <v>6415.84</v>
      </c>
      <c r="E1127">
        <f>2369.354</f>
        <v>2369.3539999999998</v>
      </c>
      <c r="F1127">
        <f>2035.61</f>
        <v>2035.61</v>
      </c>
      <c r="G1127">
        <f>8502.083</f>
        <v>8502.0830000000005</v>
      </c>
      <c r="H1127">
        <f>3053.98</f>
        <v>3053.98</v>
      </c>
      <c r="I1127">
        <f>9888.922</f>
        <v>9888.9220000000005</v>
      </c>
      <c r="J1127">
        <f>4149.13</f>
        <v>4149.13</v>
      </c>
      <c r="K1127">
        <f>11494.54</f>
        <v>11494.54</v>
      </c>
      <c r="L1127">
        <f>2047.29</f>
        <v>2047.29</v>
      </c>
      <c r="M1127">
        <f>8608.35</f>
        <v>8608.35</v>
      </c>
      <c r="N1127">
        <f>338.455</f>
        <v>338.45499999999998</v>
      </c>
      <c r="O1127">
        <f>2929.96</f>
        <v>2929.96</v>
      </c>
      <c r="P1127">
        <f>249</f>
        <v>249</v>
      </c>
      <c r="Q1127">
        <f>2620.196</f>
        <v>2620.1959999999999</v>
      </c>
      <c r="R1127">
        <f>5531.34</f>
        <v>5531.34</v>
      </c>
      <c r="S1127">
        <f>2404.38</f>
        <v>2404.38</v>
      </c>
      <c r="T1127">
        <f>3957.517</f>
        <v>3957.5169999999998</v>
      </c>
      <c r="U1127">
        <f>56073.86</f>
        <v>56073.86</v>
      </c>
      <c r="V1127">
        <f>435.16</f>
        <v>435.16</v>
      </c>
    </row>
    <row r="1128" spans="1:22" x14ac:dyDescent="0.2">
      <c r="A1128" s="1">
        <v>43529</v>
      </c>
      <c r="B1128">
        <f>2549.47</f>
        <v>2549.4699999999998</v>
      </c>
      <c r="C1128">
        <f>10032.1</f>
        <v>10032.1</v>
      </c>
      <c r="D1128">
        <f>6404.63</f>
        <v>6404.63</v>
      </c>
      <c r="E1128">
        <f>2367.458</f>
        <v>2367.4580000000001</v>
      </c>
      <c r="F1128">
        <f>2034.76</f>
        <v>2034.76</v>
      </c>
      <c r="G1128">
        <f>8459.948</f>
        <v>8459.9480000000003</v>
      </c>
      <c r="H1128">
        <f>3063.05</f>
        <v>3063.05</v>
      </c>
      <c r="I1128">
        <f>9897.706</f>
        <v>9897.7060000000001</v>
      </c>
      <c r="J1128">
        <f>4174.05</f>
        <v>4174.05</v>
      </c>
      <c r="K1128">
        <f>11571.04</f>
        <v>11571.04</v>
      </c>
      <c r="L1128">
        <f>2052.34</f>
        <v>2052.34</v>
      </c>
      <c r="M1128">
        <f>8644.45</f>
        <v>8644.4500000000007</v>
      </c>
      <c r="N1128">
        <f>339.387</f>
        <v>339.387</v>
      </c>
      <c r="O1128">
        <f>2932.99</f>
        <v>2932.99</v>
      </c>
      <c r="P1128">
        <f>249.69</f>
        <v>249.69</v>
      </c>
      <c r="Q1128">
        <f>2635.69</f>
        <v>2635.69</v>
      </c>
      <c r="R1128">
        <f>5567.4</f>
        <v>5567.4</v>
      </c>
      <c r="S1128">
        <f>2410.3</f>
        <v>2410.3000000000002</v>
      </c>
      <c r="T1128">
        <f>3947.829</f>
        <v>3947.8290000000002</v>
      </c>
      <c r="U1128">
        <f>55815.43</f>
        <v>55815.43</v>
      </c>
      <c r="V1128">
        <f>434.81</f>
        <v>434.81</v>
      </c>
    </row>
    <row r="1129" spans="1:22" x14ac:dyDescent="0.2">
      <c r="A1129" s="1">
        <v>43528</v>
      </c>
      <c r="B1129">
        <f>2541.18</f>
        <v>2541.1799999999998</v>
      </c>
      <c r="C1129">
        <f>10033.16</f>
        <v>10033.16</v>
      </c>
      <c r="D1129">
        <f>6360.91</f>
        <v>6360.91</v>
      </c>
      <c r="E1129">
        <f>2363.886</f>
        <v>2363.886</v>
      </c>
      <c r="F1129">
        <f>2034.7</f>
        <v>2034.7</v>
      </c>
      <c r="G1129">
        <f>8442.497</f>
        <v>8442.4969999999994</v>
      </c>
      <c r="H1129">
        <f>3083.73</f>
        <v>3083.73</v>
      </c>
      <c r="I1129">
        <f>9904.159</f>
        <v>9904.1589999999997</v>
      </c>
      <c r="J1129">
        <f>4183.22</f>
        <v>4183.22</v>
      </c>
      <c r="K1129">
        <f>11584.78</f>
        <v>11584.78</v>
      </c>
      <c r="L1129">
        <f>2054.87</f>
        <v>2054.87</v>
      </c>
      <c r="M1129">
        <f>8656.25</f>
        <v>8656.25</v>
      </c>
      <c r="N1129">
        <f>338.264</f>
        <v>338.26400000000001</v>
      </c>
      <c r="O1129">
        <f>2925.5</f>
        <v>2925.5</v>
      </c>
      <c r="P1129">
        <f>251.34</f>
        <v>251.34</v>
      </c>
      <c r="Q1129">
        <f>2641.255</f>
        <v>2641.2550000000001</v>
      </c>
      <c r="R1129">
        <f>5573.53</f>
        <v>5573.53</v>
      </c>
      <c r="S1129">
        <f>2422.74</f>
        <v>2422.7399999999998</v>
      </c>
      <c r="T1129">
        <f>3971.052</f>
        <v>3971.0520000000001</v>
      </c>
      <c r="U1129">
        <f>56217.13</f>
        <v>56217.13</v>
      </c>
      <c r="V1129">
        <f>438.01</f>
        <v>438.01</v>
      </c>
    </row>
    <row r="1130" spans="1:22" x14ac:dyDescent="0.2">
      <c r="A1130" s="1">
        <v>43525</v>
      </c>
      <c r="B1130">
        <f>2539.84</f>
        <v>2539.84</v>
      </c>
      <c r="C1130">
        <f>10056.13</f>
        <v>10056.129999999999</v>
      </c>
      <c r="D1130">
        <f>6336.25</f>
        <v>6336.25</v>
      </c>
      <c r="E1130">
        <f>2359.213</f>
        <v>2359.2130000000002</v>
      </c>
      <c r="F1130">
        <f>2039.4</f>
        <v>2039.4</v>
      </c>
      <c r="G1130">
        <f>8455.738</f>
        <v>8455.7379999999994</v>
      </c>
      <c r="H1130">
        <f>3069.24</f>
        <v>3069.24</v>
      </c>
      <c r="I1130">
        <f>9934.553</f>
        <v>9934.5529999999999</v>
      </c>
      <c r="J1130">
        <f>4199.33</f>
        <v>4199.33</v>
      </c>
      <c r="K1130">
        <f>11632.86</f>
        <v>11632.86</v>
      </c>
      <c r="L1130">
        <f>2059.62</f>
        <v>2059.62</v>
      </c>
      <c r="M1130">
        <f>8679.25</f>
        <v>8679.25</v>
      </c>
      <c r="N1130">
        <f>336.983</f>
        <v>336.983</v>
      </c>
      <c r="O1130">
        <f>2915.49</f>
        <v>2915.49</v>
      </c>
      <c r="P1130">
        <f>250.18</f>
        <v>250.18</v>
      </c>
      <c r="Q1130">
        <f>2650.442</f>
        <v>2650.442</v>
      </c>
      <c r="R1130">
        <f>5595.11</f>
        <v>5595.11</v>
      </c>
      <c r="S1130">
        <f>2405.08</f>
        <v>2405.08</v>
      </c>
      <c r="T1130">
        <f>3984.434</f>
        <v>3984.4340000000002</v>
      </c>
      <c r="U1130">
        <f>56203.11</f>
        <v>56203.11</v>
      </c>
      <c r="V1130">
        <f>440.69</f>
        <v>440.69</v>
      </c>
    </row>
    <row r="1131" spans="1:22" x14ac:dyDescent="0.2">
      <c r="A1131" s="1">
        <v>43524</v>
      </c>
      <c r="B1131">
        <f>2517.48</f>
        <v>2517.48</v>
      </c>
      <c r="C1131">
        <f>10063.15</f>
        <v>10063.15</v>
      </c>
      <c r="D1131">
        <f>6307.72</f>
        <v>6307.72</v>
      </c>
      <c r="E1131">
        <f>2357.784</f>
        <v>2357.7840000000001</v>
      </c>
      <c r="F1131">
        <f>2028.38</f>
        <v>2028.38</v>
      </c>
      <c r="G1131">
        <f>8456.44</f>
        <v>8456.44</v>
      </c>
      <c r="H1131">
        <f>3089.02</f>
        <v>3089.02</v>
      </c>
      <c r="I1131">
        <f>9882.992</f>
        <v>9882.9920000000002</v>
      </c>
      <c r="J1131">
        <f>4186.88</f>
        <v>4186.88</v>
      </c>
      <c r="K1131">
        <f>11554.59</f>
        <v>11554.59</v>
      </c>
      <c r="L1131">
        <f>2054.53</f>
        <v>2054.5300000000002</v>
      </c>
      <c r="M1131">
        <f>8635.2</f>
        <v>8635.2000000000007</v>
      </c>
      <c r="N1131">
        <f>334.726</f>
        <v>334.726</v>
      </c>
      <c r="O1131">
        <f>2904.6</f>
        <v>2904.6</v>
      </c>
      <c r="P1131">
        <f>249.92</f>
        <v>249.92</v>
      </c>
      <c r="Q1131">
        <f>2647.496</f>
        <v>2647.4960000000001</v>
      </c>
      <c r="R1131">
        <f>5556.49</f>
        <v>5556.49</v>
      </c>
      <c r="S1131">
        <f>2393.08</f>
        <v>2393.08</v>
      </c>
      <c r="T1131">
        <f>3953.882</f>
        <v>3953.8820000000001</v>
      </c>
      <c r="U1131">
        <f>56002.08</f>
        <v>56002.080000000002</v>
      </c>
      <c r="V1131">
        <f>441.62</f>
        <v>441.62</v>
      </c>
    </row>
    <row r="1132" spans="1:22" x14ac:dyDescent="0.2">
      <c r="A1132" s="1">
        <v>43523</v>
      </c>
      <c r="B1132">
        <f>2515.51</f>
        <v>2515.5100000000002</v>
      </c>
      <c r="C1132">
        <f>10154.9</f>
        <v>10154.9</v>
      </c>
      <c r="D1132">
        <f>6324.27</f>
        <v>6324.27</v>
      </c>
      <c r="E1132">
        <f>2380.75</f>
        <v>2380.75</v>
      </c>
      <c r="F1132">
        <f>2032.33</f>
        <v>2032.33</v>
      </c>
      <c r="G1132">
        <f>8503.609</f>
        <v>8503.6090000000004</v>
      </c>
      <c r="H1132">
        <f>3132.46</f>
        <v>3132.46</v>
      </c>
      <c r="I1132">
        <f>9845.207</f>
        <v>9845.2070000000003</v>
      </c>
      <c r="J1132">
        <f>4187.56</f>
        <v>4187.5600000000004</v>
      </c>
      <c r="K1132">
        <f>11583.89</f>
        <v>11583.89</v>
      </c>
      <c r="L1132">
        <f>2056.39</f>
        <v>2056.39</v>
      </c>
      <c r="M1132">
        <f>8658.35</f>
        <v>8658.35</v>
      </c>
      <c r="N1132">
        <f>334.458</f>
        <v>334.45800000000003</v>
      </c>
      <c r="O1132">
        <f>2903.95</f>
        <v>2903.95</v>
      </c>
      <c r="P1132">
        <f>251.75</f>
        <v>251.75</v>
      </c>
      <c r="Q1132">
        <f>2652.05</f>
        <v>2652.05</v>
      </c>
      <c r="R1132">
        <f>5570.57</f>
        <v>5570.57</v>
      </c>
      <c r="S1132">
        <f>2412.08</f>
        <v>2412.08</v>
      </c>
      <c r="T1132">
        <f>3970.029</f>
        <v>3970.029</v>
      </c>
      <c r="U1132">
        <f>56297.95</f>
        <v>56297.95</v>
      </c>
      <c r="V1132">
        <f>447.27</f>
        <v>447.27</v>
      </c>
    </row>
    <row r="1133" spans="1:22" x14ac:dyDescent="0.2">
      <c r="A1133" s="1">
        <v>43522</v>
      </c>
      <c r="B1133">
        <f>2526.89</f>
        <v>2526.89</v>
      </c>
      <c r="C1133">
        <f>10194.46</f>
        <v>10194.459999999999</v>
      </c>
      <c r="D1133">
        <f>6363.35</f>
        <v>6363.35</v>
      </c>
      <c r="E1133">
        <f>2388.924</f>
        <v>2388.924</v>
      </c>
      <c r="F1133">
        <f>2034.39</f>
        <v>2034.39</v>
      </c>
      <c r="G1133">
        <f>8493.206</f>
        <v>8493.2060000000001</v>
      </c>
      <c r="H1133">
        <f>3131.37</f>
        <v>3131.37</v>
      </c>
      <c r="I1133">
        <f>9857.478</f>
        <v>9857.4779999999992</v>
      </c>
      <c r="J1133">
        <f>4185.66</f>
        <v>4185.66</v>
      </c>
      <c r="K1133">
        <f>11581.12</f>
        <v>11581.12</v>
      </c>
      <c r="L1133">
        <f>2057.01</f>
        <v>2057.0100000000002</v>
      </c>
      <c r="M1133">
        <f>8655.52</f>
        <v>8655.52</v>
      </c>
      <c r="N1133">
        <f>336.644</f>
        <v>336.64400000000001</v>
      </c>
      <c r="O1133">
        <f>2911.22</f>
        <v>2911.22</v>
      </c>
      <c r="P1133">
        <f>250.47</f>
        <v>250.47</v>
      </c>
      <c r="Q1133">
        <f>2646.788</f>
        <v>2646.788</v>
      </c>
      <c r="R1133">
        <f>5572.74</f>
        <v>5572.74</v>
      </c>
      <c r="S1133">
        <f>2407.28</f>
        <v>2407.2800000000002</v>
      </c>
      <c r="T1133">
        <f>3978.733</f>
        <v>3978.7330000000002</v>
      </c>
      <c r="U1133">
        <f>56242.8</f>
        <v>56242.8</v>
      </c>
      <c r="V1133">
        <f>446.55</f>
        <v>446.55</v>
      </c>
    </row>
    <row r="1134" spans="1:22" x14ac:dyDescent="0.2">
      <c r="A1134" s="1">
        <v>43521</v>
      </c>
      <c r="B1134">
        <f>2517.99</f>
        <v>2517.9899999999998</v>
      </c>
      <c r="C1134">
        <f>10222.21</f>
        <v>10222.209999999999</v>
      </c>
      <c r="D1134">
        <f>6392.38</f>
        <v>6392.38</v>
      </c>
      <c r="E1134">
        <f>2394.78</f>
        <v>2394.7800000000002</v>
      </c>
      <c r="F1134">
        <f>2019.77</f>
        <v>2019.77</v>
      </c>
      <c r="G1134">
        <f>8421.449</f>
        <v>8421.4490000000005</v>
      </c>
      <c r="H1134">
        <f>3133.01</f>
        <v>3133.01</v>
      </c>
      <c r="I1134">
        <f>9828.555</f>
        <v>9828.5550000000003</v>
      </c>
      <c r="J1134">
        <f>4188.28</f>
        <v>4188.28</v>
      </c>
      <c r="K1134">
        <f>11589.86</f>
        <v>11589.86</v>
      </c>
      <c r="L1134">
        <f>2054.65</f>
        <v>2054.65</v>
      </c>
      <c r="M1134">
        <f>8655.17</f>
        <v>8655.17</v>
      </c>
      <c r="N1134">
        <f>335.642</f>
        <v>335.642</v>
      </c>
      <c r="O1134">
        <f>2899.75</f>
        <v>2899.75</v>
      </c>
      <c r="P1134">
        <f>250.43</f>
        <v>250.43</v>
      </c>
      <c r="Q1134">
        <f>2655.702</f>
        <v>2655.7020000000002</v>
      </c>
      <c r="R1134">
        <f>5577.09</f>
        <v>5577.09</v>
      </c>
      <c r="S1134">
        <f>2412.01</f>
        <v>2412.0100000000002</v>
      </c>
      <c r="T1134">
        <f>3934.585</f>
        <v>3934.585</v>
      </c>
      <c r="U1134">
        <f>55878.2</f>
        <v>55878.2</v>
      </c>
      <c r="V1134">
        <f>443.73</f>
        <v>443.73</v>
      </c>
    </row>
    <row r="1135" spans="1:22" x14ac:dyDescent="0.2">
      <c r="A1135" s="1">
        <v>43518</v>
      </c>
      <c r="B1135">
        <f>2520.7</f>
        <v>2520.6999999999998</v>
      </c>
      <c r="C1135">
        <f>10146.39</f>
        <v>10146.39</v>
      </c>
      <c r="D1135">
        <f>6387.81</f>
        <v>6387.81</v>
      </c>
      <c r="E1135">
        <f>2374.541</f>
        <v>2374.5410000000002</v>
      </c>
      <c r="F1135">
        <f>2027.49</f>
        <v>2027.49</v>
      </c>
      <c r="G1135">
        <f>8411.791</f>
        <v>8411.7909999999993</v>
      </c>
      <c r="H1135">
        <f>3119.04</f>
        <v>3119.04</v>
      </c>
      <c r="I1135">
        <f>9789.613</f>
        <v>9789.6129999999994</v>
      </c>
      <c r="J1135">
        <f>4183.42</f>
        <v>4183.42</v>
      </c>
      <c r="K1135">
        <f>11573.62</f>
        <v>11573.62</v>
      </c>
      <c r="L1135">
        <f>2053.51</f>
        <v>2053.5100000000002</v>
      </c>
      <c r="M1135">
        <f>8634.27</f>
        <v>8634.27</v>
      </c>
      <c r="N1135">
        <f>335.556</f>
        <v>335.55599999999998</v>
      </c>
      <c r="O1135">
        <f>2893.75</f>
        <v>2893.75</v>
      </c>
      <c r="P1135">
        <f>249.36</f>
        <v>249.36</v>
      </c>
      <c r="Q1135">
        <f>2657.131</f>
        <v>2657.1309999999999</v>
      </c>
      <c r="R1135">
        <f>5569.45</f>
        <v>5569.45</v>
      </c>
      <c r="S1135">
        <f>2395.12</f>
        <v>2395.12</v>
      </c>
      <c r="T1135">
        <f>3934.137</f>
        <v>3934.1370000000002</v>
      </c>
      <c r="U1135">
        <f>55992.97</f>
        <v>55992.97</v>
      </c>
      <c r="V1135">
        <f>445.07</f>
        <v>445.07</v>
      </c>
    </row>
    <row r="1136" spans="1:22" x14ac:dyDescent="0.2">
      <c r="A1136" s="1">
        <v>43517</v>
      </c>
      <c r="B1136">
        <f>2512.91</f>
        <v>2512.91</v>
      </c>
      <c r="C1136">
        <f>10087.32</f>
        <v>10087.32</v>
      </c>
      <c r="D1136">
        <f>6377.83</f>
        <v>6377.83</v>
      </c>
      <c r="E1136">
        <f>2355.857</f>
        <v>2355.857</v>
      </c>
      <c r="F1136">
        <f>2024.31</f>
        <v>2024.31</v>
      </c>
      <c r="G1136">
        <f>8403.848</f>
        <v>8403.848</v>
      </c>
      <c r="H1136">
        <f>3124.7</f>
        <v>3124.7</v>
      </c>
      <c r="I1136">
        <f>9773.096</f>
        <v>9773.0959999999995</v>
      </c>
      <c r="J1136">
        <f>4154.53</f>
        <v>4154.53</v>
      </c>
      <c r="K1136">
        <f>11495.91</f>
        <v>11495.91</v>
      </c>
      <c r="L1136">
        <f>2044.41</f>
        <v>2044.41</v>
      </c>
      <c r="M1136">
        <f>8594.36</f>
        <v>8594.36</v>
      </c>
      <c r="N1136">
        <f>335.308</f>
        <v>335.30799999999999</v>
      </c>
      <c r="O1136">
        <f>2887.26</f>
        <v>2887.26</v>
      </c>
      <c r="P1136">
        <f>250.22</f>
        <v>250.22</v>
      </c>
      <c r="Q1136">
        <f>2638.328</f>
        <v>2638.328</v>
      </c>
      <c r="R1136">
        <f>5533.8</f>
        <v>5533.8</v>
      </c>
      <c r="S1136">
        <f>2401.03</f>
        <v>2401.0300000000002</v>
      </c>
      <c r="T1136">
        <f>3895.449</f>
        <v>3895.4490000000001</v>
      </c>
      <c r="U1136">
        <f>55483.79</f>
        <v>55483.79</v>
      </c>
      <c r="V1136">
        <f>439.38</f>
        <v>439.38</v>
      </c>
    </row>
    <row r="1137" spans="1:22" x14ac:dyDescent="0.2">
      <c r="A1137" s="1">
        <v>43516</v>
      </c>
      <c r="B1137">
        <f>2514.25</f>
        <v>2514.25</v>
      </c>
      <c r="C1137">
        <f>10043.5</f>
        <v>10043.5</v>
      </c>
      <c r="D1137">
        <f>6414.55</f>
        <v>6414.55</v>
      </c>
      <c r="E1137">
        <f>2351.962</f>
        <v>2351.962</v>
      </c>
      <c r="F1137">
        <f>2033.92</f>
        <v>2033.92</v>
      </c>
      <c r="G1137">
        <f>8447.666</f>
        <v>8447.6659999999993</v>
      </c>
      <c r="H1137">
        <f>3114.78</f>
        <v>3114.78</v>
      </c>
      <c r="I1137">
        <f>9784.454</f>
        <v>9784.4539999999997</v>
      </c>
      <c r="J1137">
        <f>4167.14</f>
        <v>4167.1400000000003</v>
      </c>
      <c r="K1137">
        <f>11537.5</f>
        <v>11537.5</v>
      </c>
      <c r="L1137">
        <f>2045.31</f>
        <v>2045.31</v>
      </c>
      <c r="M1137">
        <f>8618.13</f>
        <v>8618.1299999999992</v>
      </c>
      <c r="N1137">
        <f>335.163</f>
        <v>335.16300000000001</v>
      </c>
      <c r="O1137">
        <f>2892.94</f>
        <v>2892.94</v>
      </c>
      <c r="P1137">
        <f>250.36</f>
        <v>250.36</v>
      </c>
      <c r="Q1137">
        <f>2641.471</f>
        <v>2641.471</v>
      </c>
      <c r="R1137">
        <f>5552.9</f>
        <v>5552.9</v>
      </c>
      <c r="S1137">
        <f>2400.99</f>
        <v>2400.9899999999998</v>
      </c>
      <c r="T1137">
        <f>3877.378</f>
        <v>3877.3780000000002</v>
      </c>
      <c r="U1137">
        <f>55691.58</f>
        <v>55691.58</v>
      </c>
      <c r="V1137">
        <f>438.91</f>
        <v>438.91</v>
      </c>
    </row>
    <row r="1138" spans="1:22" x14ac:dyDescent="0.2">
      <c r="A1138" s="1">
        <v>43515</v>
      </c>
      <c r="B1138">
        <f>2498.67</f>
        <v>2498.67</v>
      </c>
      <c r="C1138">
        <f>9928.18</f>
        <v>9928.18</v>
      </c>
      <c r="D1138">
        <f>6370.67</f>
        <v>6370.67</v>
      </c>
      <c r="E1138">
        <f>2324.232</f>
        <v>2324.232</v>
      </c>
      <c r="F1138">
        <f>2012.25</f>
        <v>2012.25</v>
      </c>
      <c r="G1138">
        <f>8367.863</f>
        <v>8367.8629999999994</v>
      </c>
      <c r="H1138">
        <f>3111.85</f>
        <v>3111.85</v>
      </c>
      <c r="I1138">
        <f>9711.812</f>
        <v>9711.8119999999999</v>
      </c>
      <c r="J1138">
        <f>4155.13</f>
        <v>4155.13</v>
      </c>
      <c r="K1138">
        <f>11516.12</f>
        <v>11516.12</v>
      </c>
      <c r="L1138">
        <f>2034.54</f>
        <v>2034.54</v>
      </c>
      <c r="M1138">
        <f>8585.06</f>
        <v>8585.06</v>
      </c>
      <c r="N1138">
        <f>332.616</f>
        <v>332.61599999999999</v>
      </c>
      <c r="O1138">
        <f>2874.92</f>
        <v>2874.92</v>
      </c>
      <c r="P1138">
        <f>249.83</f>
        <v>249.83</v>
      </c>
      <c r="Q1138">
        <f>2636.762</f>
        <v>2636.7620000000002</v>
      </c>
      <c r="R1138">
        <f>5541.98</f>
        <v>5541.98</v>
      </c>
      <c r="S1138">
        <f>2390.66</f>
        <v>2390.66</v>
      </c>
      <c r="T1138">
        <f>3850.884</f>
        <v>3850.884</v>
      </c>
      <c r="U1138">
        <f>55194.62</f>
        <v>55194.62</v>
      </c>
      <c r="V1138">
        <f>434.75</f>
        <v>434.75</v>
      </c>
    </row>
    <row r="1139" spans="1:22" x14ac:dyDescent="0.2">
      <c r="A1139" s="1">
        <v>43514</v>
      </c>
      <c r="B1139">
        <f>2503.05</f>
        <v>2503.0500000000002</v>
      </c>
      <c r="C1139">
        <f>9942.7</f>
        <v>9942.7000000000007</v>
      </c>
      <c r="D1139">
        <f>6406.43</f>
        <v>6406.43</v>
      </c>
      <c r="E1139">
        <f>2323.691</f>
        <v>2323.6909999999998</v>
      </c>
      <c r="F1139">
        <f>1993.93</f>
        <v>1993.93</v>
      </c>
      <c r="G1139">
        <f>8348.533</f>
        <v>8348.5329999999994</v>
      </c>
      <c r="H1139">
        <f>3102.35</f>
        <v>3102.35</v>
      </c>
      <c r="I1139">
        <f>9712.541</f>
        <v>9712.5409999999993</v>
      </c>
      <c r="J1139">
        <f>4148.34</f>
        <v>4148.34</v>
      </c>
      <c r="K1139">
        <f>11498.45</f>
        <v>11498.45</v>
      </c>
      <c r="L1139">
        <f>2029.39</f>
        <v>2029.39</v>
      </c>
      <c r="M1139">
        <f>8571.02</f>
        <v>8571.02</v>
      </c>
      <c r="N1139">
        <f>332.907</f>
        <v>332.90699999999998</v>
      </c>
      <c r="O1139">
        <f>2878.81</f>
        <v>2878.81</v>
      </c>
      <c r="P1139">
        <f>249.65</f>
        <v>249.65</v>
      </c>
      <c r="Q1139" t="e">
        <f>NA()</f>
        <v>#N/A</v>
      </c>
      <c r="R1139" t="e">
        <f>NA()</f>
        <v>#N/A</v>
      </c>
      <c r="S1139">
        <f>2383.86</f>
        <v>2383.86</v>
      </c>
      <c r="T1139">
        <f>3883.215</f>
        <v>3883.2150000000001</v>
      </c>
      <c r="U1139">
        <f>55259.98</f>
        <v>55259.98</v>
      </c>
      <c r="V1139">
        <f>439.34</f>
        <v>439.34</v>
      </c>
    </row>
    <row r="1140" spans="1:22" x14ac:dyDescent="0.2">
      <c r="A1140" s="1">
        <v>43511</v>
      </c>
      <c r="B1140">
        <f>2497.77</f>
        <v>2497.77</v>
      </c>
      <c r="C1140">
        <f>9868.14</f>
        <v>9868.14</v>
      </c>
      <c r="D1140">
        <f>6421.7</f>
        <v>6421.7</v>
      </c>
      <c r="E1140">
        <f>2310.03</f>
        <v>2310.0300000000002</v>
      </c>
      <c r="F1140">
        <f>1980.32</f>
        <v>1980.32</v>
      </c>
      <c r="G1140">
        <f>8315.05</f>
        <v>8315.0499999999993</v>
      </c>
      <c r="H1140">
        <f>3061.7</f>
        <v>3061.7</v>
      </c>
      <c r="I1140">
        <f>9650.315</f>
        <v>9650.3150000000005</v>
      </c>
      <c r="J1140">
        <f>4148.34</f>
        <v>4148.34</v>
      </c>
      <c r="K1140">
        <f>11498.45</f>
        <v>11498.45</v>
      </c>
      <c r="L1140">
        <f>2023.53</f>
        <v>2023.53</v>
      </c>
      <c r="M1140">
        <f>8545.97</f>
        <v>8545.9699999999993</v>
      </c>
      <c r="N1140">
        <f>331.868</f>
        <v>331.86799999999999</v>
      </c>
      <c r="O1140">
        <f>2874.41</f>
        <v>2874.41</v>
      </c>
      <c r="P1140">
        <f>245.57</f>
        <v>245.57</v>
      </c>
      <c r="Q1140">
        <f>2630.923</f>
        <v>2630.9229999999998</v>
      </c>
      <c r="R1140">
        <f>5533.27</f>
        <v>5533.27</v>
      </c>
      <c r="S1140">
        <f>2347.1</f>
        <v>2347.1</v>
      </c>
      <c r="T1140">
        <f>3840.939</f>
        <v>3840.9389999999999</v>
      </c>
      <c r="U1140">
        <f>54628.41</f>
        <v>54628.41</v>
      </c>
      <c r="V1140">
        <f>435.84</f>
        <v>435.84</v>
      </c>
    </row>
    <row r="1141" spans="1:22" x14ac:dyDescent="0.2">
      <c r="A1141" s="1">
        <v>43510</v>
      </c>
      <c r="B1141">
        <f>2499.91</f>
        <v>2499.91</v>
      </c>
      <c r="C1141">
        <f>9909</f>
        <v>9909</v>
      </c>
      <c r="D1141">
        <f>6386.5</f>
        <v>6386.5</v>
      </c>
      <c r="E1141">
        <f>2329.133</f>
        <v>2329.1329999999998</v>
      </c>
      <c r="F1141">
        <f>1957.6</f>
        <v>1957.6</v>
      </c>
      <c r="G1141">
        <f>8224.968</f>
        <v>8224.9680000000008</v>
      </c>
      <c r="H1141">
        <f>3086.51</f>
        <v>3086.51</v>
      </c>
      <c r="I1141">
        <f>9518.268</f>
        <v>9518.268</v>
      </c>
      <c r="J1141">
        <f>4095.44</f>
        <v>4095.44</v>
      </c>
      <c r="K1141">
        <f>11374.71</f>
        <v>11374.71</v>
      </c>
      <c r="L1141">
        <f>2003.03</f>
        <v>2003.03</v>
      </c>
      <c r="M1141">
        <f>8466.94</f>
        <v>8466.94</v>
      </c>
      <c r="N1141">
        <f>329.471</f>
        <v>329.471</v>
      </c>
      <c r="O1141">
        <f>2833.86</f>
        <v>2833.86</v>
      </c>
      <c r="P1141">
        <f>247.25</f>
        <v>247.25</v>
      </c>
      <c r="Q1141">
        <f>2593.063</f>
        <v>2593.0630000000001</v>
      </c>
      <c r="R1141">
        <f>5473.33</f>
        <v>5473.33</v>
      </c>
      <c r="S1141">
        <f>2365.73</f>
        <v>2365.73</v>
      </c>
      <c r="T1141">
        <f>3831.716</f>
        <v>3831.7159999999999</v>
      </c>
      <c r="U1141">
        <f>54527.11</f>
        <v>54527.11</v>
      </c>
      <c r="V1141">
        <f>435.56</f>
        <v>435.56</v>
      </c>
    </row>
    <row r="1142" spans="1:22" x14ac:dyDescent="0.2">
      <c r="A1142" s="1">
        <v>43509</v>
      </c>
      <c r="B1142">
        <f>2519.3</f>
        <v>2519.3000000000002</v>
      </c>
      <c r="C1142">
        <f>9972.25</f>
        <v>9972.25</v>
      </c>
      <c r="D1142">
        <f>6364.4</f>
        <v>6364.4</v>
      </c>
      <c r="E1142">
        <f>2334.981</f>
        <v>2334.9810000000002</v>
      </c>
      <c r="F1142">
        <f>1974.69</f>
        <v>1974.69</v>
      </c>
      <c r="G1142">
        <f>8259.237</f>
        <v>8259.2369999999992</v>
      </c>
      <c r="H1142">
        <f>3074.66</f>
        <v>3074.66</v>
      </c>
      <c r="I1142">
        <f>9550.851</f>
        <v>9550.8510000000006</v>
      </c>
      <c r="J1142">
        <f>4112.88</f>
        <v>4112.88</v>
      </c>
      <c r="K1142">
        <f>11400.14</f>
        <v>11400.14</v>
      </c>
      <c r="L1142">
        <f>2007.91</f>
        <v>2007.91</v>
      </c>
      <c r="M1142">
        <f>8484.8</f>
        <v>8484.7999999999993</v>
      </c>
      <c r="N1142">
        <f>329.326</f>
        <v>329.32600000000002</v>
      </c>
      <c r="O1142">
        <f>2840.1</f>
        <v>2840.1</v>
      </c>
      <c r="P1142">
        <f>245.94</f>
        <v>245.94</v>
      </c>
      <c r="Q1142">
        <f>2609.122</f>
        <v>2609.1219999999998</v>
      </c>
      <c r="R1142">
        <f>5485.97</f>
        <v>5485.97</v>
      </c>
      <c r="S1142">
        <f>2365.02</f>
        <v>2365.02</v>
      </c>
      <c r="T1142">
        <f>3880.107</f>
        <v>3880.107</v>
      </c>
      <c r="U1142">
        <f>54543.22</f>
        <v>54543.22</v>
      </c>
      <c r="V1142">
        <f>437.53</f>
        <v>437.53</v>
      </c>
    </row>
    <row r="1143" spans="1:22" x14ac:dyDescent="0.2">
      <c r="A1143" s="1">
        <v>43508</v>
      </c>
      <c r="B1143">
        <f>2501.04</f>
        <v>2501.04</v>
      </c>
      <c r="C1143">
        <f>9993.15</f>
        <v>9993.15</v>
      </c>
      <c r="D1143">
        <f>6312.37</f>
        <v>6312.37</v>
      </c>
      <c r="E1143">
        <f>2335.626</f>
        <v>2335.6260000000002</v>
      </c>
      <c r="F1143">
        <f>1955.32</f>
        <v>1955.32</v>
      </c>
      <c r="G1143">
        <f>8193.113</f>
        <v>8193.1129999999994</v>
      </c>
      <c r="H1143">
        <f>3058.15</f>
        <v>3058.15</v>
      </c>
      <c r="I1143">
        <f>9515.692</f>
        <v>9515.6919999999991</v>
      </c>
      <c r="J1143">
        <f>4097.26</f>
        <v>4097.26</v>
      </c>
      <c r="K1143">
        <f>11366.46</f>
        <v>11366.46</v>
      </c>
      <c r="L1143">
        <f>2000.52</f>
        <v>2000.52</v>
      </c>
      <c r="M1143">
        <f>8452.07</f>
        <v>8452.07</v>
      </c>
      <c r="N1143">
        <f>327.47</f>
        <v>327.47000000000003</v>
      </c>
      <c r="O1143">
        <f>2822.82</f>
        <v>2822.82</v>
      </c>
      <c r="P1143">
        <f>244.07</f>
        <v>244.07</v>
      </c>
      <c r="Q1143">
        <f>2598.83</f>
        <v>2598.83</v>
      </c>
      <c r="R1143">
        <f>5468.98</f>
        <v>5468.98</v>
      </c>
      <c r="S1143">
        <f>2340.12</f>
        <v>2340.12</v>
      </c>
      <c r="T1143">
        <f>3844.444</f>
        <v>3844.444</v>
      </c>
      <c r="U1143">
        <f>53960.51</f>
        <v>53960.51</v>
      </c>
      <c r="V1143">
        <f>432.55</f>
        <v>432.55</v>
      </c>
    </row>
    <row r="1144" spans="1:22" x14ac:dyDescent="0.2">
      <c r="A1144" s="1">
        <v>43507</v>
      </c>
      <c r="B1144">
        <f>2535.35</f>
        <v>2535.35</v>
      </c>
      <c r="C1144">
        <f>9939.7</f>
        <v>9939.7000000000007</v>
      </c>
      <c r="D1144">
        <f>6308.8</f>
        <v>6308.8</v>
      </c>
      <c r="E1144">
        <f>2320.426</f>
        <v>2320.4259999999999</v>
      </c>
      <c r="F1144">
        <f>1962.9</f>
        <v>1962.9</v>
      </c>
      <c r="G1144">
        <f>8175.596</f>
        <v>8175.5959999999995</v>
      </c>
      <c r="H1144">
        <f>3004.73</f>
        <v>3004.73</v>
      </c>
      <c r="I1144">
        <f>9436.095</f>
        <v>9436.0949999999993</v>
      </c>
      <c r="J1144">
        <f>4050.15</f>
        <v>4050.15</v>
      </c>
      <c r="K1144">
        <f>11219.77</f>
        <v>11219.77</v>
      </c>
      <c r="L1144">
        <f>1985.74</f>
        <v>1985.74</v>
      </c>
      <c r="M1144">
        <f>8354.45</f>
        <v>8354.4500000000007</v>
      </c>
      <c r="N1144">
        <f>327.264</f>
        <v>327.26400000000001</v>
      </c>
      <c r="O1144">
        <f>2811.41</f>
        <v>2811.41</v>
      </c>
      <c r="P1144" t="e">
        <f>NA()</f>
        <v>#N/A</v>
      </c>
      <c r="Q1144">
        <f>2560.719</f>
        <v>2560.7190000000001</v>
      </c>
      <c r="R1144">
        <f>5399</f>
        <v>5399</v>
      </c>
      <c r="S1144" t="e">
        <f>NA()</f>
        <v>#N/A</v>
      </c>
      <c r="T1144">
        <f>3794.308</f>
        <v>3794.308</v>
      </c>
      <c r="U1144">
        <f>53409.14</f>
        <v>53409.14</v>
      </c>
      <c r="V1144">
        <f>425.77</f>
        <v>425.77</v>
      </c>
    </row>
    <row r="1145" spans="1:22" x14ac:dyDescent="0.2">
      <c r="A1145" s="1">
        <v>43504</v>
      </c>
      <c r="B1145">
        <f>2515.36</f>
        <v>2515.36</v>
      </c>
      <c r="C1145">
        <f>9969.4</f>
        <v>9969.4</v>
      </c>
      <c r="D1145">
        <f>6257.54</f>
        <v>6257.54</v>
      </c>
      <c r="E1145">
        <f>2321.439</f>
        <v>2321.4389999999999</v>
      </c>
      <c r="F1145">
        <f>1953.92</f>
        <v>1953.92</v>
      </c>
      <c r="G1145">
        <f>8162.378</f>
        <v>8162.3779999999997</v>
      </c>
      <c r="H1145">
        <f>3023.07</f>
        <v>3023.07</v>
      </c>
      <c r="I1145">
        <f>9391.83</f>
        <v>9391.83</v>
      </c>
      <c r="J1145">
        <f>4048.84</f>
        <v>4048.84</v>
      </c>
      <c r="K1145">
        <f>11210.96</f>
        <v>11210.96</v>
      </c>
      <c r="L1145">
        <f>1985.98</f>
        <v>1985.98</v>
      </c>
      <c r="M1145">
        <f>8350</f>
        <v>8350</v>
      </c>
      <c r="N1145">
        <f>324.628</f>
        <v>324.62799999999999</v>
      </c>
      <c r="O1145">
        <f>2788.07</f>
        <v>2788.07</v>
      </c>
      <c r="P1145">
        <f>239.51</f>
        <v>239.51</v>
      </c>
      <c r="Q1145">
        <f>2551.385</f>
        <v>2551.3850000000002</v>
      </c>
      <c r="R1145">
        <f>5395.12</f>
        <v>5395.12</v>
      </c>
      <c r="S1145">
        <f>2290.73</f>
        <v>2290.73</v>
      </c>
      <c r="T1145">
        <f>3796.289</f>
        <v>3796.2890000000002</v>
      </c>
      <c r="U1145">
        <f>53244.18</f>
        <v>53244.18</v>
      </c>
      <c r="V1145">
        <f>427.55</f>
        <v>427.55</v>
      </c>
    </row>
    <row r="1146" spans="1:22" x14ac:dyDescent="0.2">
      <c r="A1146" s="1">
        <v>43503</v>
      </c>
      <c r="B1146">
        <f>2529.79</f>
        <v>2529.79</v>
      </c>
      <c r="C1146">
        <f>10001.83</f>
        <v>10001.83</v>
      </c>
      <c r="D1146">
        <f>6277.36</f>
        <v>6277.36</v>
      </c>
      <c r="E1146">
        <f>2334.736</f>
        <v>2334.7359999999999</v>
      </c>
      <c r="F1146">
        <f>1959.14</f>
        <v>1959.14</v>
      </c>
      <c r="G1146">
        <f>8207.794</f>
        <v>8207.7939999999999</v>
      </c>
      <c r="H1146">
        <f>3091.38</f>
        <v>3091.38</v>
      </c>
      <c r="I1146">
        <f>9475.967</f>
        <v>9475.9670000000006</v>
      </c>
      <c r="J1146">
        <f>4038.24</f>
        <v>4038.24</v>
      </c>
      <c r="K1146">
        <f>11199.62</f>
        <v>11199.62</v>
      </c>
      <c r="L1146">
        <f>1987.4</f>
        <v>1987.4</v>
      </c>
      <c r="M1146">
        <f>8374.75</f>
        <v>8374.75</v>
      </c>
      <c r="N1146">
        <f>325.548</f>
        <v>325.548</v>
      </c>
      <c r="O1146">
        <f>2801.69</f>
        <v>2801.69</v>
      </c>
      <c r="P1146">
        <f>243.99</f>
        <v>243.99</v>
      </c>
      <c r="Q1146">
        <f>2548.827</f>
        <v>2548.8270000000002</v>
      </c>
      <c r="R1146">
        <f>5389.69</f>
        <v>5389.69</v>
      </c>
      <c r="S1146">
        <f>2334.81</f>
        <v>2334.81</v>
      </c>
      <c r="T1146">
        <f>3826.14</f>
        <v>3826.14</v>
      </c>
      <c r="U1146">
        <f>53888.85</f>
        <v>53888.85</v>
      </c>
      <c r="V1146">
        <f>428.67</f>
        <v>428.67</v>
      </c>
    </row>
    <row r="1147" spans="1:22" x14ac:dyDescent="0.2">
      <c r="A1147" s="1">
        <v>43502</v>
      </c>
      <c r="B1147">
        <f>2574.48</f>
        <v>2574.48</v>
      </c>
      <c r="C1147">
        <f>10060.05</f>
        <v>10060.049999999999</v>
      </c>
      <c r="D1147">
        <f>6347.31</f>
        <v>6347.31</v>
      </c>
      <c r="E1147">
        <f>2349.208</f>
        <v>2349.2080000000001</v>
      </c>
      <c r="F1147">
        <f>1992.16</f>
        <v>1992.16</v>
      </c>
      <c r="G1147">
        <f>8289.663</f>
        <v>8289.6630000000005</v>
      </c>
      <c r="H1147">
        <f>3118.18</f>
        <v>3118.18</v>
      </c>
      <c r="I1147">
        <f>9661.059</f>
        <v>9661.0589999999993</v>
      </c>
      <c r="J1147">
        <f>4064.9</f>
        <v>4064.9</v>
      </c>
      <c r="K1147">
        <f>11300.23</f>
        <v>11300.23</v>
      </c>
      <c r="L1147">
        <f>2003.87</f>
        <v>2003.87</v>
      </c>
      <c r="M1147">
        <f>8457.33</f>
        <v>8457.33</v>
      </c>
      <c r="N1147">
        <f>327.956</f>
        <v>327.95600000000002</v>
      </c>
      <c r="O1147">
        <f>2843.5</f>
        <v>2843.5</v>
      </c>
      <c r="P1147">
        <f>246.48</f>
        <v>246.48</v>
      </c>
      <c r="Q1147">
        <f>2553.366</f>
        <v>2553.366</v>
      </c>
      <c r="R1147">
        <f>5439.8</f>
        <v>5439.8</v>
      </c>
      <c r="S1147">
        <f>2354.3</f>
        <v>2354.3000000000002</v>
      </c>
      <c r="T1147">
        <f>3880.966</f>
        <v>3880.9659999999999</v>
      </c>
      <c r="U1147">
        <f>54574.28</f>
        <v>54574.28</v>
      </c>
      <c r="V1147">
        <f>434.86</f>
        <v>434.86</v>
      </c>
    </row>
    <row r="1148" spans="1:22" x14ac:dyDescent="0.2">
      <c r="A1148" s="1">
        <v>43501</v>
      </c>
      <c r="B1148">
        <f>2567.92</f>
        <v>2567.92</v>
      </c>
      <c r="C1148">
        <f>10086.36</f>
        <v>10086.36</v>
      </c>
      <c r="D1148">
        <f>6351.1</f>
        <v>6351.1</v>
      </c>
      <c r="E1148">
        <f>2356.819</f>
        <v>2356.819</v>
      </c>
      <c r="F1148">
        <f>1986.22</f>
        <v>1986.22</v>
      </c>
      <c r="G1148">
        <f>8281.698</f>
        <v>8281.6980000000003</v>
      </c>
      <c r="H1148">
        <f>3120.55</f>
        <v>3120.55</v>
      </c>
      <c r="I1148">
        <f>9681.099</f>
        <v>9681.0990000000002</v>
      </c>
      <c r="J1148">
        <f>4055.63</f>
        <v>4055.63</v>
      </c>
      <c r="K1148">
        <f>11324.73</f>
        <v>11324.73</v>
      </c>
      <c r="L1148">
        <f>2005.09</f>
        <v>2005.09</v>
      </c>
      <c r="M1148">
        <f>8474.33</f>
        <v>8474.33</v>
      </c>
      <c r="N1148">
        <f>328.717</f>
        <v>328.71699999999998</v>
      </c>
      <c r="O1148">
        <f>2840.57</f>
        <v>2840.57</v>
      </c>
      <c r="P1148">
        <f>247.34</f>
        <v>247.34</v>
      </c>
      <c r="Q1148">
        <f>2555.976</f>
        <v>2555.9760000000001</v>
      </c>
      <c r="R1148">
        <f>5451.4</f>
        <v>5451.4</v>
      </c>
      <c r="S1148">
        <f>2355.42</f>
        <v>2355.42</v>
      </c>
      <c r="T1148">
        <f>3863.2</f>
        <v>3863.2</v>
      </c>
      <c r="U1148">
        <f>54209.41</f>
        <v>54209.41</v>
      </c>
      <c r="V1148">
        <f>433.8</f>
        <v>433.8</v>
      </c>
    </row>
    <row r="1149" spans="1:22" x14ac:dyDescent="0.2">
      <c r="A1149" s="1">
        <v>43500</v>
      </c>
      <c r="B1149">
        <f>2544.74</f>
        <v>2544.7399999999998</v>
      </c>
      <c r="C1149">
        <f>10067.38</f>
        <v>10067.379999999999</v>
      </c>
      <c r="D1149">
        <f>6224.34</f>
        <v>6224.34</v>
      </c>
      <c r="E1149">
        <f>2348.18</f>
        <v>2348.1799999999998</v>
      </c>
      <c r="F1149">
        <f>1976.64</f>
        <v>1976.64</v>
      </c>
      <c r="G1149">
        <f>8206.137</f>
        <v>8206.1370000000006</v>
      </c>
      <c r="H1149">
        <f>3120.69</f>
        <v>3120.69</v>
      </c>
      <c r="I1149">
        <f>9545.066</f>
        <v>9545.0660000000007</v>
      </c>
      <c r="J1149">
        <f>4045.99</f>
        <v>4045.99</v>
      </c>
      <c r="K1149">
        <f>11270.88</f>
        <v>11270.88</v>
      </c>
      <c r="L1149">
        <f>1996.16</f>
        <v>1996.16</v>
      </c>
      <c r="M1149">
        <f>8418.11</f>
        <v>8418.11</v>
      </c>
      <c r="N1149">
        <f>323.684</f>
        <v>323.68400000000003</v>
      </c>
      <c r="O1149">
        <f>2797.82</f>
        <v>2797.82</v>
      </c>
      <c r="P1149">
        <f>248.03</f>
        <v>248.03</v>
      </c>
      <c r="Q1149">
        <f>2549.035</f>
        <v>2549.0349999999999</v>
      </c>
      <c r="R1149">
        <f>5425.8</f>
        <v>5425.8</v>
      </c>
      <c r="S1149">
        <f>2353.12</f>
        <v>2353.12</v>
      </c>
      <c r="T1149">
        <f>3813.435</f>
        <v>3813.4349999999999</v>
      </c>
      <c r="U1149">
        <f>53391.83</f>
        <v>53391.83</v>
      </c>
      <c r="V1149">
        <f>428.58</f>
        <v>428.58</v>
      </c>
    </row>
    <row r="1150" spans="1:22" x14ac:dyDescent="0.2">
      <c r="A1150" s="1">
        <v>43497</v>
      </c>
      <c r="B1150">
        <f>2543.88</f>
        <v>2543.88</v>
      </c>
      <c r="C1150">
        <f>10126.92</f>
        <v>10126.92</v>
      </c>
      <c r="D1150">
        <f>6212.04</f>
        <v>6212.04</v>
      </c>
      <c r="E1150">
        <f>2352.998</f>
        <v>2352.998</v>
      </c>
      <c r="F1150">
        <f>1982.77</f>
        <v>1982.77</v>
      </c>
      <c r="G1150">
        <f>8198.233</f>
        <v>8198.2330000000002</v>
      </c>
      <c r="H1150">
        <f>3122.11</f>
        <v>3122.11</v>
      </c>
      <c r="I1150">
        <f>9585.762</f>
        <v>9585.7620000000006</v>
      </c>
      <c r="J1150">
        <f>4035.06</f>
        <v>4035.06</v>
      </c>
      <c r="K1150">
        <f>11195.03</f>
        <v>11195.03</v>
      </c>
      <c r="L1150">
        <f>1997.34</f>
        <v>1997.34</v>
      </c>
      <c r="M1150">
        <f>8384.07</f>
        <v>8384.07</v>
      </c>
      <c r="N1150">
        <f>322.662</f>
        <v>322.66199999999998</v>
      </c>
      <c r="O1150">
        <f>2797.03</f>
        <v>2797.03</v>
      </c>
      <c r="P1150">
        <f>244.51</f>
        <v>244.51</v>
      </c>
      <c r="Q1150">
        <f>2532.196</f>
        <v>2532.1959999999999</v>
      </c>
      <c r="R1150">
        <f>5389.19</f>
        <v>5389.19</v>
      </c>
      <c r="S1150">
        <f>2328.26</f>
        <v>2328.2600000000002</v>
      </c>
      <c r="T1150">
        <f>3889.409</f>
        <v>3889.4090000000001</v>
      </c>
      <c r="U1150">
        <f>53930.14</f>
        <v>53930.14</v>
      </c>
      <c r="V1150">
        <f>437.95</f>
        <v>437.95</v>
      </c>
    </row>
    <row r="1151" spans="1:22" x14ac:dyDescent="0.2">
      <c r="A1151" s="1">
        <v>43496</v>
      </c>
      <c r="B1151">
        <f>2521.56</f>
        <v>2521.56</v>
      </c>
      <c r="C1151">
        <f>10131.5</f>
        <v>10131.5</v>
      </c>
      <c r="D1151">
        <f>6166.58</f>
        <v>6166.58</v>
      </c>
      <c r="E1151">
        <f>2352.28</f>
        <v>2352.2800000000002</v>
      </c>
      <c r="F1151">
        <f>1975.83</f>
        <v>1975.83</v>
      </c>
      <c r="G1151">
        <f>8177.576</f>
        <v>8177.576</v>
      </c>
      <c r="H1151">
        <f>3158.69</f>
        <v>3158.69</v>
      </c>
      <c r="I1151">
        <f>9561.893</f>
        <v>9561.893</v>
      </c>
      <c r="J1151">
        <f>4018.19</f>
        <v>4018.19</v>
      </c>
      <c r="K1151">
        <f>11180.3</f>
        <v>11180.3</v>
      </c>
      <c r="L1151">
        <f>1991.9</f>
        <v>1991.9</v>
      </c>
      <c r="M1151">
        <f>8379.03</f>
        <v>8379.0300000000007</v>
      </c>
      <c r="N1151">
        <f>321.183</f>
        <v>321.18299999999999</v>
      </c>
      <c r="O1151">
        <f>2789.85</f>
        <v>2789.85</v>
      </c>
      <c r="P1151">
        <f>245.33</f>
        <v>245.33</v>
      </c>
      <c r="Q1151">
        <f>2527.21812</f>
        <v>2527.21812</v>
      </c>
      <c r="R1151">
        <f>5383.63</f>
        <v>5383.63</v>
      </c>
      <c r="S1151">
        <f>2332.52</f>
        <v>2332.52</v>
      </c>
      <c r="T1151">
        <f>3891.451</f>
        <v>3891.451</v>
      </c>
      <c r="U1151">
        <f>54156.75</f>
        <v>54156.75</v>
      </c>
      <c r="V1151">
        <f>438.16</f>
        <v>438.16</v>
      </c>
    </row>
    <row r="1152" spans="1:22" x14ac:dyDescent="0.2">
      <c r="A1152" s="1">
        <v>43495</v>
      </c>
      <c r="B1152">
        <f>2529.99</f>
        <v>2529.9899999999998</v>
      </c>
      <c r="C1152">
        <f>10017.13</f>
        <v>10017.129999999999</v>
      </c>
      <c r="D1152">
        <f>6142.49</f>
        <v>6142.49</v>
      </c>
      <c r="E1152">
        <f>2322.469</f>
        <v>2322.4690000000001</v>
      </c>
      <c r="F1152">
        <f>1967.72</f>
        <v>1967.72</v>
      </c>
      <c r="G1152">
        <f>8090.181</f>
        <v>8090.1809999999996</v>
      </c>
      <c r="H1152">
        <f>3115.27</f>
        <v>3115.27</v>
      </c>
      <c r="I1152">
        <f>9525.469</f>
        <v>9525.4689999999991</v>
      </c>
      <c r="J1152">
        <f>3986.16</f>
        <v>3986.16</v>
      </c>
      <c r="K1152">
        <f>11080.76</f>
        <v>11080.76</v>
      </c>
      <c r="L1152">
        <f>1970.15</f>
        <v>1970.15</v>
      </c>
      <c r="M1152">
        <f>8304.55</f>
        <v>8304.5499999999993</v>
      </c>
      <c r="N1152">
        <f>321.358</f>
        <v>321.358</v>
      </c>
      <c r="O1152">
        <f>2784.66</f>
        <v>2784.66</v>
      </c>
      <c r="P1152">
        <f>243.45</f>
        <v>243.45</v>
      </c>
      <c r="Q1152">
        <f>2501.968</f>
        <v>2501.9679999999998</v>
      </c>
      <c r="R1152">
        <f>5336.6</f>
        <v>5336.6</v>
      </c>
      <c r="S1152">
        <f>2307.62</f>
        <v>2307.62</v>
      </c>
      <c r="T1152">
        <f>3864.288</f>
        <v>3864.288</v>
      </c>
      <c r="U1152">
        <f>54131.67</f>
        <v>54131.67</v>
      </c>
      <c r="V1152">
        <f>434.01</f>
        <v>434.01</v>
      </c>
    </row>
    <row r="1153" spans="1:22" x14ac:dyDescent="0.2">
      <c r="A1153" s="1">
        <v>43494</v>
      </c>
      <c r="B1153">
        <f>2503.35</f>
        <v>2503.35</v>
      </c>
      <c r="C1153">
        <f>9965.84</f>
        <v>9965.84</v>
      </c>
      <c r="D1153">
        <f>6047.19</f>
        <v>6047.19</v>
      </c>
      <c r="E1153">
        <f>2307.048</f>
        <v>2307.0479999999998</v>
      </c>
      <c r="F1153">
        <f>1957.26</f>
        <v>1957.26</v>
      </c>
      <c r="G1153">
        <f>8010.375</f>
        <v>8010.375</v>
      </c>
      <c r="H1153">
        <f>3126.2</f>
        <v>3126.2</v>
      </c>
      <c r="I1153">
        <f>9493.511</f>
        <v>9493.5110000000004</v>
      </c>
      <c r="J1153">
        <f>3957.09</f>
        <v>3957.09</v>
      </c>
      <c r="K1153">
        <f>10908.4</f>
        <v>10908.4</v>
      </c>
      <c r="L1153">
        <f>1960.75</f>
        <v>1960.75</v>
      </c>
      <c r="M1153">
        <f>8215.35</f>
        <v>8215.35</v>
      </c>
      <c r="N1153">
        <f>318.737</f>
        <v>318.73700000000002</v>
      </c>
      <c r="O1153">
        <f>2771.82</f>
        <v>2771.82</v>
      </c>
      <c r="P1153">
        <f>244.6</f>
        <v>244.6</v>
      </c>
      <c r="Q1153">
        <f>2488.197</f>
        <v>2488.1970000000001</v>
      </c>
      <c r="R1153">
        <f>5254.31</f>
        <v>5254.31</v>
      </c>
      <c r="S1153">
        <f>2317.03</f>
        <v>2317.0300000000002</v>
      </c>
      <c r="T1153">
        <f>3921.995</f>
        <v>3921.9949999999999</v>
      </c>
      <c r="U1153">
        <f>54387.7</f>
        <v>54387.7</v>
      </c>
      <c r="V1153">
        <f>435.76</f>
        <v>435.76</v>
      </c>
    </row>
    <row r="1154" spans="1:22" x14ac:dyDescent="0.2">
      <c r="A1154" s="1">
        <v>43493</v>
      </c>
      <c r="B1154">
        <f>2474.87</f>
        <v>2474.87</v>
      </c>
      <c r="C1154">
        <f>9943.72</f>
        <v>9943.7199999999993</v>
      </c>
      <c r="D1154">
        <f>5970.36</f>
        <v>5970.36</v>
      </c>
      <c r="E1154">
        <f>2303.252</f>
        <v>2303.252</v>
      </c>
      <c r="F1154">
        <f>1939.3</f>
        <v>1939.3</v>
      </c>
      <c r="G1154">
        <f>7913.931</f>
        <v>7913.9309999999996</v>
      </c>
      <c r="H1154">
        <f>3141.41</f>
        <v>3141.41</v>
      </c>
      <c r="I1154">
        <f>9455.035</f>
        <v>9455.0349999999999</v>
      </c>
      <c r="J1154">
        <f>3939.19</f>
        <v>3939.19</v>
      </c>
      <c r="K1154">
        <f>10926.21</f>
        <v>10926.21</v>
      </c>
      <c r="L1154">
        <f>1952.02</f>
        <v>1952.02</v>
      </c>
      <c r="M1154">
        <f>8213.52</f>
        <v>8213.52</v>
      </c>
      <c r="N1154">
        <f>315.416</f>
        <v>315.416</v>
      </c>
      <c r="O1154">
        <f>2750.57</f>
        <v>2750.57</v>
      </c>
      <c r="P1154">
        <f>243.29</f>
        <v>243.29</v>
      </c>
      <c r="Q1154">
        <f>2472.461</f>
        <v>2472.4609999999998</v>
      </c>
      <c r="R1154">
        <f>5261.88</f>
        <v>5261.88</v>
      </c>
      <c r="S1154">
        <f>2314.51</f>
        <v>2314.5100000000002</v>
      </c>
      <c r="T1154">
        <f>3893.177</f>
        <v>3893.1770000000001</v>
      </c>
      <c r="U1154">
        <f>53767.47</f>
        <v>53767.47</v>
      </c>
      <c r="V1154">
        <f>429.83</f>
        <v>429.83</v>
      </c>
    </row>
    <row r="1155" spans="1:22" x14ac:dyDescent="0.2">
      <c r="A1155" s="1">
        <v>43490</v>
      </c>
      <c r="B1155">
        <f>2486.71</f>
        <v>2486.71</v>
      </c>
      <c r="C1155">
        <f>9959.69</f>
        <v>9959.69</v>
      </c>
      <c r="D1155">
        <f>6025.33</f>
        <v>6025.33</v>
      </c>
      <c r="E1155">
        <f>2312.833</f>
        <v>2312.8330000000001</v>
      </c>
      <c r="F1155">
        <f>1953.59</f>
        <v>1953.59</v>
      </c>
      <c r="G1155">
        <f>7997.339</f>
        <v>7997.3389999999999</v>
      </c>
      <c r="H1155">
        <f>3149.51</f>
        <v>3149.51</v>
      </c>
      <c r="I1155">
        <f>9501.381</f>
        <v>9501.3809999999994</v>
      </c>
      <c r="J1155">
        <f>3957.88</f>
        <v>3957.88</v>
      </c>
      <c r="K1155">
        <f>11010.89</f>
        <v>11010.89</v>
      </c>
      <c r="L1155">
        <f>1961.16</f>
        <v>1961.16</v>
      </c>
      <c r="M1155">
        <f>8265.86</f>
        <v>8265.86</v>
      </c>
      <c r="N1155">
        <f>317.23</f>
        <v>317.23</v>
      </c>
      <c r="O1155">
        <f>2777</f>
        <v>2777</v>
      </c>
      <c r="P1155">
        <f>245.49</f>
        <v>245.49</v>
      </c>
      <c r="Q1155">
        <f>2480.247</f>
        <v>2480.2469999999998</v>
      </c>
      <c r="R1155">
        <f>5303.51</f>
        <v>5303.51</v>
      </c>
      <c r="S1155">
        <f>2330.25</f>
        <v>2330.25</v>
      </c>
      <c r="T1155">
        <f>3946.77</f>
        <v>3946.77</v>
      </c>
      <c r="U1155">
        <f>54050.23</f>
        <v>54050.23</v>
      </c>
      <c r="V1155">
        <f>432.03</f>
        <v>432.03</v>
      </c>
    </row>
    <row r="1156" spans="1:22" x14ac:dyDescent="0.2">
      <c r="A1156" s="1">
        <v>43489</v>
      </c>
      <c r="B1156">
        <f>2489.98</f>
        <v>2489.98</v>
      </c>
      <c r="C1156">
        <f>9851.08</f>
        <v>9851.08</v>
      </c>
      <c r="D1156">
        <f>6033.94</f>
        <v>6033.94</v>
      </c>
      <c r="E1156">
        <f>2283.798</f>
        <v>2283.7979999999998</v>
      </c>
      <c r="F1156">
        <f>1943.64</f>
        <v>1943.64</v>
      </c>
      <c r="G1156">
        <f>7933.605</f>
        <v>7933.6049999999996</v>
      </c>
      <c r="H1156">
        <f>3114.06</f>
        <v>3114.06</v>
      </c>
      <c r="I1156">
        <f>9400.936</f>
        <v>9400.9359999999997</v>
      </c>
      <c r="J1156">
        <f>3953.81</f>
        <v>3953.81</v>
      </c>
      <c r="K1156">
        <f>10913.45</f>
        <v>10913.45</v>
      </c>
      <c r="L1156">
        <f>1953.81</f>
        <v>1953.81</v>
      </c>
      <c r="M1156">
        <f>8188.78</f>
        <v>8188.78</v>
      </c>
      <c r="N1156">
        <f>317.453</f>
        <v>317.45299999999997</v>
      </c>
      <c r="O1156">
        <f>2762.39</f>
        <v>2762.39</v>
      </c>
      <c r="P1156">
        <f>244.23</f>
        <v>244.23</v>
      </c>
      <c r="Q1156">
        <f>2470.056</f>
        <v>2470.056</v>
      </c>
      <c r="R1156">
        <f>5258.69</f>
        <v>5258.69</v>
      </c>
      <c r="S1156">
        <f>2310.17</f>
        <v>2310.17</v>
      </c>
      <c r="T1156">
        <f>3933.607</f>
        <v>3933.607</v>
      </c>
      <c r="U1156">
        <f>53639.09</f>
        <v>53639.09</v>
      </c>
      <c r="V1156">
        <f>430.91</f>
        <v>430.91</v>
      </c>
    </row>
    <row r="1157" spans="1:22" x14ac:dyDescent="0.2">
      <c r="A1157" s="1">
        <v>43488</v>
      </c>
      <c r="B1157">
        <f>2486.34</f>
        <v>2486.34</v>
      </c>
      <c r="C1157">
        <f>9787.11</f>
        <v>9787.11</v>
      </c>
      <c r="D1157">
        <f>6055.11</f>
        <v>6055.11</v>
      </c>
      <c r="E1157">
        <f>2266.065</f>
        <v>2266.0650000000001</v>
      </c>
      <c r="F1157">
        <f>1953.72</f>
        <v>1953.72</v>
      </c>
      <c r="G1157">
        <f>7972.499</f>
        <v>7972.4989999999998</v>
      </c>
      <c r="H1157">
        <f>3096.67</f>
        <v>3096.67</v>
      </c>
      <c r="I1157">
        <f>9381.469</f>
        <v>9381.4689999999991</v>
      </c>
      <c r="J1157">
        <f>3960.54</f>
        <v>3960.54</v>
      </c>
      <c r="K1157">
        <f>10896.37</f>
        <v>10896.37</v>
      </c>
      <c r="L1157">
        <f>1961.49</f>
        <v>1961.49</v>
      </c>
      <c r="M1157">
        <f>8175.86</f>
        <v>8175.86</v>
      </c>
      <c r="N1157">
        <f>317.798</f>
        <v>317.798</v>
      </c>
      <c r="O1157">
        <f>2754.99</f>
        <v>2754.99</v>
      </c>
      <c r="P1157">
        <f>242.53</f>
        <v>242.53</v>
      </c>
      <c r="Q1157">
        <f>2480.439</f>
        <v>2480.4389999999999</v>
      </c>
      <c r="R1157">
        <f>5251.29</f>
        <v>5251.29</v>
      </c>
      <c r="S1157">
        <f>2301.88</f>
        <v>2301.88</v>
      </c>
      <c r="T1157">
        <f>3929.464</f>
        <v>3929.4639999999999</v>
      </c>
      <c r="U1157">
        <f>53915.15</f>
        <v>53915.15</v>
      </c>
      <c r="V1157">
        <f>432.87</f>
        <v>432.87</v>
      </c>
    </row>
    <row r="1158" spans="1:22" x14ac:dyDescent="0.2">
      <c r="A1158" s="1">
        <v>43487</v>
      </c>
      <c r="B1158">
        <f>2489.32</f>
        <v>2489.3200000000002</v>
      </c>
      <c r="C1158">
        <f>9753.31</f>
        <v>9753.31</v>
      </c>
      <c r="D1158">
        <f>6106.88</f>
        <v>6106.88</v>
      </c>
      <c r="E1158">
        <f>2263.925</f>
        <v>2263.9250000000002</v>
      </c>
      <c r="F1158">
        <f>1947.86</f>
        <v>1947.86</v>
      </c>
      <c r="G1158">
        <f>7977.413</f>
        <v>7977.4129999999996</v>
      </c>
      <c r="H1158">
        <f>3115.18</f>
        <v>3115.18</v>
      </c>
      <c r="I1158">
        <f>9363.966</f>
        <v>9363.9660000000003</v>
      </c>
      <c r="J1158">
        <f>3940.64</f>
        <v>3940.64</v>
      </c>
      <c r="K1158">
        <f>10874.46</f>
        <v>10874.46</v>
      </c>
      <c r="L1158">
        <f>1954.72</f>
        <v>1954.72</v>
      </c>
      <c r="M1158">
        <f>8170.19</f>
        <v>8170.19</v>
      </c>
      <c r="N1158">
        <f>317.65</f>
        <v>317.64999999999998</v>
      </c>
      <c r="O1158">
        <f>2756.62</f>
        <v>2756.62</v>
      </c>
      <c r="P1158">
        <f>244.45</f>
        <v>244.45</v>
      </c>
      <c r="Q1158">
        <f>2479.743</f>
        <v>2479.7429999999999</v>
      </c>
      <c r="R1158">
        <f>5239.75</f>
        <v>5239.75</v>
      </c>
      <c r="S1158">
        <f>2315.87</f>
        <v>2315.87</v>
      </c>
      <c r="T1158">
        <f>3922.923</f>
        <v>3922.9229999999998</v>
      </c>
      <c r="U1158">
        <f>54078.37</f>
        <v>54078.37</v>
      </c>
      <c r="V1158">
        <f>430.41</f>
        <v>430.41</v>
      </c>
    </row>
    <row r="1159" spans="1:22" x14ac:dyDescent="0.2">
      <c r="A1159" s="1">
        <v>43486</v>
      </c>
      <c r="B1159">
        <f>2503.3</f>
        <v>2503.3000000000002</v>
      </c>
      <c r="C1159">
        <f>9784.38</f>
        <v>9784.3799999999992</v>
      </c>
      <c r="D1159">
        <f>6168.12</f>
        <v>6168.12</v>
      </c>
      <c r="E1159">
        <f>2281.434</f>
        <v>2281.4340000000002</v>
      </c>
      <c r="F1159">
        <f>1946.88</f>
        <v>1946.88</v>
      </c>
      <c r="G1159">
        <f>8018.271</f>
        <v>8018.2709999999997</v>
      </c>
      <c r="H1159">
        <f>3130.35</f>
        <v>3130.35</v>
      </c>
      <c r="I1159">
        <f>9411.483</f>
        <v>9411.4830000000002</v>
      </c>
      <c r="J1159">
        <f>3982.77</f>
        <v>3982.77</v>
      </c>
      <c r="K1159">
        <f>11029.93</f>
        <v>11029.93</v>
      </c>
      <c r="L1159">
        <f>1966.67</f>
        <v>1966.67</v>
      </c>
      <c r="M1159">
        <f>8260.57</f>
        <v>8260.57</v>
      </c>
      <c r="N1159">
        <f>317.598</f>
        <v>317.59800000000001</v>
      </c>
      <c r="O1159">
        <f>2768.65</f>
        <v>2768.65</v>
      </c>
      <c r="P1159">
        <f>245.58</f>
        <v>245.58</v>
      </c>
      <c r="Q1159" t="e">
        <f>NA()</f>
        <v>#N/A</v>
      </c>
      <c r="R1159" t="e">
        <f>NA()</f>
        <v>#N/A</v>
      </c>
      <c r="S1159">
        <f>2330.66</f>
        <v>2330.66</v>
      </c>
      <c r="T1159">
        <f>3913.727</f>
        <v>3913.7269999999999</v>
      </c>
      <c r="U1159">
        <f>54139.05</f>
        <v>54139.05</v>
      </c>
      <c r="V1159">
        <f>430.28</f>
        <v>430.28</v>
      </c>
    </row>
    <row r="1160" spans="1:22" x14ac:dyDescent="0.2">
      <c r="A1160" s="1">
        <v>43483</v>
      </c>
      <c r="B1160">
        <f>2511.73</f>
        <v>2511.73</v>
      </c>
      <c r="C1160">
        <f>9787.83</f>
        <v>9787.83</v>
      </c>
      <c r="D1160">
        <f>6166.12</f>
        <v>6166.12</v>
      </c>
      <c r="E1160">
        <f>2280.385</f>
        <v>2280.3850000000002</v>
      </c>
      <c r="F1160">
        <f>1950.82</f>
        <v>1950.82</v>
      </c>
      <c r="G1160">
        <f>8022.001</f>
        <v>8022.0010000000002</v>
      </c>
      <c r="H1160">
        <f>3101.57</f>
        <v>3101.57</v>
      </c>
      <c r="I1160">
        <f>9435.681</f>
        <v>9435.6810000000005</v>
      </c>
      <c r="J1160">
        <f>3982.77</f>
        <v>3982.77</v>
      </c>
      <c r="K1160">
        <f>11029.93</f>
        <v>11029.93</v>
      </c>
      <c r="L1160">
        <f>1966.95</f>
        <v>1966.95</v>
      </c>
      <c r="M1160">
        <f>8260.18</f>
        <v>8260.18</v>
      </c>
      <c r="N1160">
        <f>318.276</f>
        <v>318.27600000000001</v>
      </c>
      <c r="O1160">
        <f>2773.87</f>
        <v>2773.87</v>
      </c>
      <c r="P1160">
        <f>244.31</f>
        <v>244.31</v>
      </c>
      <c r="Q1160">
        <f>2514.825</f>
        <v>2514.8249999999998</v>
      </c>
      <c r="R1160">
        <f>5314.78</f>
        <v>5314.78</v>
      </c>
      <c r="S1160">
        <f>2317.6</f>
        <v>2317.6</v>
      </c>
      <c r="T1160">
        <f>3912.475</f>
        <v>3912.4749999999999</v>
      </c>
      <c r="U1160">
        <f>53731.5</f>
        <v>53731.5</v>
      </c>
      <c r="V1160">
        <f>431.23</f>
        <v>431.23</v>
      </c>
    </row>
    <row r="1161" spans="1:22" x14ac:dyDescent="0.2">
      <c r="A1161" s="1">
        <v>43482</v>
      </c>
      <c r="B1161">
        <f>2468.49</f>
        <v>2468.4899999999998</v>
      </c>
      <c r="C1161">
        <f>9716.91</f>
        <v>9716.91</v>
      </c>
      <c r="D1161">
        <f>6048.07</f>
        <v>6048.07</v>
      </c>
      <c r="E1161">
        <f>2260.193</f>
        <v>2260.1930000000002</v>
      </c>
      <c r="F1161">
        <f>1911.86</f>
        <v>1911.86</v>
      </c>
      <c r="G1161">
        <f>7869.839</f>
        <v>7869.8389999999999</v>
      </c>
      <c r="H1161">
        <f>3087.1</f>
        <v>3087.1</v>
      </c>
      <c r="I1161">
        <f>9282.531</f>
        <v>9282.5310000000009</v>
      </c>
      <c r="J1161">
        <f>3927.45</f>
        <v>3927.45</v>
      </c>
      <c r="K1161">
        <f>10888.47</f>
        <v>10888.47</v>
      </c>
      <c r="L1161">
        <f>1944.14</f>
        <v>1944.14</v>
      </c>
      <c r="M1161">
        <f>8156.22</f>
        <v>8156.22</v>
      </c>
      <c r="N1161">
        <f>314.235</f>
        <v>314.23500000000001</v>
      </c>
      <c r="O1161">
        <f>2725.36</f>
        <v>2725.36</v>
      </c>
      <c r="P1161">
        <f>242.09</f>
        <v>242.09</v>
      </c>
      <c r="Q1161">
        <f>2472.375</f>
        <v>2472.375</v>
      </c>
      <c r="R1161">
        <f>5245.48</f>
        <v>5245.48</v>
      </c>
      <c r="S1161">
        <f>2296.18</f>
        <v>2296.1799999999998</v>
      </c>
      <c r="T1161">
        <f>3895.038</f>
        <v>3895.038</v>
      </c>
      <c r="U1161">
        <f>53436.21</f>
        <v>53436.21</v>
      </c>
      <c r="V1161">
        <f>429.36</f>
        <v>429.36</v>
      </c>
    </row>
    <row r="1162" spans="1:22" x14ac:dyDescent="0.2">
      <c r="A1162" s="1">
        <v>43481</v>
      </c>
      <c r="B1162">
        <f>2469.17</f>
        <v>2469.17</v>
      </c>
      <c r="C1162">
        <f>9750.87</f>
        <v>9750.8700000000008</v>
      </c>
      <c r="D1162">
        <f>6070.06</f>
        <v>6070.06</v>
      </c>
      <c r="E1162">
        <f>2261.064</f>
        <v>2261.0639999999999</v>
      </c>
      <c r="F1162">
        <f>1909.86</f>
        <v>1909.86</v>
      </c>
      <c r="G1162">
        <f>7868.125</f>
        <v>7868.125</v>
      </c>
      <c r="H1162">
        <f>3093.06</f>
        <v>3093.06</v>
      </c>
      <c r="I1162">
        <f>9295.344</f>
        <v>9295.3439999999991</v>
      </c>
      <c r="J1162">
        <f>3891.49</f>
        <v>3891.49</v>
      </c>
      <c r="K1162">
        <f>10804.53</f>
        <v>10804.53</v>
      </c>
      <c r="L1162">
        <f>1937.08</f>
        <v>1937.08</v>
      </c>
      <c r="M1162">
        <f>8117.91</f>
        <v>8117.91</v>
      </c>
      <c r="N1162">
        <f>311.446</f>
        <v>311.44600000000003</v>
      </c>
      <c r="O1162">
        <f>2721.88</f>
        <v>2721.88</v>
      </c>
      <c r="P1162">
        <f>240.8</f>
        <v>240.8</v>
      </c>
      <c r="Q1162">
        <f>2449.974</f>
        <v>2449.9740000000002</v>
      </c>
      <c r="R1162">
        <f>5205.45</f>
        <v>5205.45</v>
      </c>
      <c r="S1162">
        <f>2288.1</f>
        <v>2288.1</v>
      </c>
      <c r="T1162">
        <f>3965.57</f>
        <v>3965.57</v>
      </c>
      <c r="U1162">
        <f>53786.74</f>
        <v>53786.74</v>
      </c>
      <c r="V1162">
        <f>436.69</f>
        <v>436.69</v>
      </c>
    </row>
    <row r="1163" spans="1:22" x14ac:dyDescent="0.2">
      <c r="A1163" s="1">
        <v>43480</v>
      </c>
      <c r="B1163">
        <f>2451.75</f>
        <v>2451.75</v>
      </c>
      <c r="C1163">
        <f>9721.25</f>
        <v>9721.25</v>
      </c>
      <c r="D1163">
        <f>6098.67</f>
        <v>6098.67</v>
      </c>
      <c r="E1163">
        <f>2251.477</f>
        <v>2251.4769999999999</v>
      </c>
      <c r="F1163">
        <f>1887.65</f>
        <v>1887.65</v>
      </c>
      <c r="G1163">
        <f>7874.322</f>
        <v>7874.3220000000001</v>
      </c>
      <c r="H1163">
        <f>3106.46</f>
        <v>3106.46</v>
      </c>
      <c r="I1163">
        <f>9276.975</f>
        <v>9276.9750000000004</v>
      </c>
      <c r="J1163">
        <f>3899.28</f>
        <v>3899.28</v>
      </c>
      <c r="K1163">
        <f>10778.05</f>
        <v>10778.05</v>
      </c>
      <c r="L1163">
        <f>1940.69</f>
        <v>1940.69</v>
      </c>
      <c r="M1163">
        <f>8105.86</f>
        <v>8105.86</v>
      </c>
      <c r="N1163">
        <f>311.264</f>
        <v>311.26400000000001</v>
      </c>
      <c r="O1163">
        <f>2711.42</f>
        <v>2711.42</v>
      </c>
      <c r="P1163">
        <f>241.37</f>
        <v>241.37</v>
      </c>
      <c r="Q1163">
        <f>2450.04</f>
        <v>2450.04</v>
      </c>
      <c r="R1163">
        <f>5193.78</f>
        <v>5193.78</v>
      </c>
      <c r="S1163">
        <f>2295.47</f>
        <v>2295.4699999999998</v>
      </c>
      <c r="T1163">
        <f>3922.472</f>
        <v>3922.4720000000002</v>
      </c>
      <c r="U1163">
        <f>53533.54</f>
        <v>53533.54</v>
      </c>
      <c r="V1163">
        <f>434.38</f>
        <v>434.38</v>
      </c>
    </row>
    <row r="1164" spans="1:22" x14ac:dyDescent="0.2">
      <c r="A1164" s="1">
        <v>43479</v>
      </c>
      <c r="B1164">
        <f>2452.37</f>
        <v>2452.37</v>
      </c>
      <c r="C1164">
        <f>9654.51</f>
        <v>9654.51</v>
      </c>
      <c r="D1164">
        <f>6063.29</f>
        <v>6063.29</v>
      </c>
      <c r="E1164">
        <f>2223.687</f>
        <v>2223.6869999999999</v>
      </c>
      <c r="F1164">
        <f>1900.43</f>
        <v>1900.43</v>
      </c>
      <c r="G1164">
        <f>7891.468</f>
        <v>7891.4679999999998</v>
      </c>
      <c r="H1164">
        <f>3087.06</f>
        <v>3087.06</v>
      </c>
      <c r="I1164">
        <f>9263.337</f>
        <v>9263.3369999999995</v>
      </c>
      <c r="J1164">
        <f>3873.86</f>
        <v>3873.86</v>
      </c>
      <c r="K1164">
        <f>10664.12</f>
        <v>10664.12</v>
      </c>
      <c r="L1164">
        <f>1931.48</f>
        <v>1931.48</v>
      </c>
      <c r="M1164">
        <f>8041.81</f>
        <v>8041.81</v>
      </c>
      <c r="N1164">
        <f>309.959</f>
        <v>309.959</v>
      </c>
      <c r="O1164">
        <f>2697.4</f>
        <v>2697.4</v>
      </c>
      <c r="P1164" t="e">
        <f>NA()</f>
        <v>#N/A</v>
      </c>
      <c r="Q1164">
        <f>2438.14</f>
        <v>2438.14</v>
      </c>
      <c r="R1164">
        <f>5138.58</f>
        <v>5138.58</v>
      </c>
      <c r="S1164" t="e">
        <f>NA()</f>
        <v>#N/A</v>
      </c>
      <c r="T1164">
        <f>3918.88</f>
        <v>3918.88</v>
      </c>
      <c r="U1164">
        <f>53485.59</f>
        <v>53485.59</v>
      </c>
      <c r="V1164">
        <f>434.1</f>
        <v>434.1</v>
      </c>
    </row>
    <row r="1165" spans="1:22" x14ac:dyDescent="0.2">
      <c r="A1165" s="1">
        <v>43476</v>
      </c>
      <c r="B1165">
        <f>2466.24</f>
        <v>2466.2399999999998</v>
      </c>
      <c r="C1165">
        <f>9709.3</f>
        <v>9709.2999999999993</v>
      </c>
      <c r="D1165">
        <f>6119.15</f>
        <v>6119.15</v>
      </c>
      <c r="E1165">
        <f>2242.513</f>
        <v>2242.5129999999999</v>
      </c>
      <c r="F1165">
        <f>1900.33</f>
        <v>1900.33</v>
      </c>
      <c r="G1165">
        <f>7910.158</f>
        <v>7910.1580000000004</v>
      </c>
      <c r="H1165">
        <f>3084.5</f>
        <v>3084.5</v>
      </c>
      <c r="I1165">
        <f>9325.244</f>
        <v>9325.2440000000006</v>
      </c>
      <c r="J1165">
        <f>3903</f>
        <v>3903</v>
      </c>
      <c r="K1165">
        <f>10721.22</f>
        <v>10721.22</v>
      </c>
      <c r="L1165">
        <f>1943.01</f>
        <v>1943.01</v>
      </c>
      <c r="M1165">
        <f>8078.32</f>
        <v>8078.32</v>
      </c>
      <c r="N1165">
        <f>312.704</f>
        <v>312.70400000000001</v>
      </c>
      <c r="O1165">
        <f>2713.71</f>
        <v>2713.71</v>
      </c>
      <c r="P1165">
        <f>240.07</f>
        <v>240.07</v>
      </c>
      <c r="Q1165">
        <f>2451.323</f>
        <v>2451.3229999999999</v>
      </c>
      <c r="R1165">
        <f>5165.15</f>
        <v>5165.1499999999996</v>
      </c>
      <c r="S1165">
        <f>2276.14</f>
        <v>2276.14</v>
      </c>
      <c r="T1165">
        <f>3929.083</f>
        <v>3929.0830000000001</v>
      </c>
      <c r="U1165">
        <f>53653.38</f>
        <v>53653.38</v>
      </c>
      <c r="V1165">
        <f>435.43</f>
        <v>435.43</v>
      </c>
    </row>
    <row r="1166" spans="1:22" x14ac:dyDescent="0.2">
      <c r="A1166" s="1">
        <v>43475</v>
      </c>
      <c r="B1166">
        <f>2454.26</f>
        <v>2454.2600000000002</v>
      </c>
      <c r="C1166">
        <f>9666.75</f>
        <v>9666.75</v>
      </c>
      <c r="D1166">
        <f>6140.99</f>
        <v>6140.99</v>
      </c>
      <c r="E1166">
        <f>2237.05</f>
        <v>2237.0500000000002</v>
      </c>
      <c r="F1166">
        <f>1884.87</f>
        <v>1884.87</v>
      </c>
      <c r="G1166">
        <f>7906.671</f>
        <v>7906.6710000000003</v>
      </c>
      <c r="H1166">
        <f>3064.12</f>
        <v>3064.12</v>
      </c>
      <c r="I1166">
        <f>9367.824</f>
        <v>9367.8240000000005</v>
      </c>
      <c r="J1166">
        <f>3895.39</f>
        <v>3895.39</v>
      </c>
      <c r="K1166">
        <f>10722.69</f>
        <v>10722.69</v>
      </c>
      <c r="L1166">
        <f>1939.88</f>
        <v>1939.88</v>
      </c>
      <c r="M1166">
        <f>8080.47</f>
        <v>8080.47</v>
      </c>
      <c r="N1166">
        <f>312.237</f>
        <v>312.23700000000002</v>
      </c>
      <c r="O1166">
        <f>2710.17</f>
        <v>2710.17</v>
      </c>
      <c r="P1166">
        <f>239.29</f>
        <v>239.29</v>
      </c>
      <c r="Q1166">
        <f>2456.123</f>
        <v>2456.123</v>
      </c>
      <c r="R1166">
        <f>5165.89</f>
        <v>5165.8900000000003</v>
      </c>
      <c r="S1166">
        <f>2264.65</f>
        <v>2264.65</v>
      </c>
      <c r="T1166">
        <f>3899.502</f>
        <v>3899.502</v>
      </c>
      <c r="U1166">
        <f>53271.02</f>
        <v>53271.02</v>
      </c>
      <c r="V1166">
        <f>429.94</f>
        <v>429.94</v>
      </c>
    </row>
    <row r="1167" spans="1:22" x14ac:dyDescent="0.2">
      <c r="A1167" s="1">
        <v>43474</v>
      </c>
      <c r="B1167">
        <f>2444.7</f>
        <v>2444.6999999999998</v>
      </c>
      <c r="C1167">
        <f>9608.05</f>
        <v>9608.0499999999993</v>
      </c>
      <c r="D1167">
        <f>6108.93</f>
        <v>6108.93</v>
      </c>
      <c r="E1167">
        <f>2227.488</f>
        <v>2227.4879999999998</v>
      </c>
      <c r="F1167">
        <f>1878.99</f>
        <v>1878.99</v>
      </c>
      <c r="G1167">
        <f>7842.759</f>
        <v>7842.759</v>
      </c>
      <c r="H1167">
        <f>3069.33</f>
        <v>3069.33</v>
      </c>
      <c r="I1167">
        <f>9337.768</f>
        <v>9337.768</v>
      </c>
      <c r="J1167">
        <f>3878.58</f>
        <v>3878.58</v>
      </c>
      <c r="K1167">
        <f>10673.17</f>
        <v>10673.17</v>
      </c>
      <c r="L1167">
        <f>1933.1</f>
        <v>1933.1</v>
      </c>
      <c r="M1167">
        <f>8051.66</f>
        <v>8051.66</v>
      </c>
      <c r="N1167">
        <f>310.406</f>
        <v>310.40600000000001</v>
      </c>
      <c r="O1167">
        <f>2701</f>
        <v>2701</v>
      </c>
      <c r="P1167">
        <f>240.5</f>
        <v>240.5</v>
      </c>
      <c r="Q1167">
        <f>2438.407</f>
        <v>2438.4070000000002</v>
      </c>
      <c r="R1167">
        <f>5142.66</f>
        <v>5142.66</v>
      </c>
      <c r="S1167">
        <f>2284.15</f>
        <v>2284.15</v>
      </c>
      <c r="T1167">
        <f>3855.65</f>
        <v>3855.65</v>
      </c>
      <c r="U1167">
        <f>53222.89</f>
        <v>53222.89</v>
      </c>
      <c r="V1167">
        <f>428.37</f>
        <v>428.37</v>
      </c>
    </row>
    <row r="1168" spans="1:22" x14ac:dyDescent="0.2">
      <c r="A1168" s="1">
        <v>43473</v>
      </c>
      <c r="B1168">
        <f>2416.32</f>
        <v>2416.3200000000002</v>
      </c>
      <c r="C1168">
        <f>9467.93</f>
        <v>9467.93</v>
      </c>
      <c r="D1168">
        <f>6069.1</f>
        <v>6069.1</v>
      </c>
      <c r="E1168">
        <f>2185.067</f>
        <v>2185.067</v>
      </c>
      <c r="F1168">
        <f>1853.89</f>
        <v>1853.89</v>
      </c>
      <c r="G1168">
        <f>7787.687</f>
        <v>7787.6869999999999</v>
      </c>
      <c r="H1168">
        <f>3025.84</f>
        <v>3025.84</v>
      </c>
      <c r="I1168">
        <f>9218.645</f>
        <v>9218.6450000000004</v>
      </c>
      <c r="J1168">
        <f>3885.36</f>
        <v>3885.36</v>
      </c>
      <c r="K1168">
        <f>10623.83</f>
        <v>10623.83</v>
      </c>
      <c r="L1168">
        <f>1928.13</f>
        <v>1928.13</v>
      </c>
      <c r="M1168">
        <f>7987.24</f>
        <v>7987.24</v>
      </c>
      <c r="N1168">
        <f>308.623</f>
        <v>308.62299999999999</v>
      </c>
      <c r="O1168">
        <f>2686.71</f>
        <v>2686.71</v>
      </c>
      <c r="P1168">
        <f>238.65</f>
        <v>238.65</v>
      </c>
      <c r="Q1168">
        <f>2434.818</f>
        <v>2434.8180000000002</v>
      </c>
      <c r="R1168">
        <f>5120.04</f>
        <v>5120.04</v>
      </c>
      <c r="S1168">
        <f>2259.33</f>
        <v>2259.33</v>
      </c>
      <c r="T1168">
        <f>3800.064</f>
        <v>3800.0639999999999</v>
      </c>
      <c r="U1168">
        <f>52165.47</f>
        <v>52165.47</v>
      </c>
      <c r="V1168">
        <f>421.98</f>
        <v>421.98</v>
      </c>
    </row>
    <row r="1169" spans="1:22" x14ac:dyDescent="0.2">
      <c r="A1169" s="1">
        <v>43472</v>
      </c>
      <c r="B1169">
        <f>2398.6</f>
        <v>2398.6</v>
      </c>
      <c r="C1169">
        <f>9513.59</f>
        <v>9513.59</v>
      </c>
      <c r="D1169">
        <f>6024.24</f>
        <v>6024.24</v>
      </c>
      <c r="E1169">
        <f>2190.227</f>
        <v>2190.2269999999999</v>
      </c>
      <c r="F1169">
        <f>1849.53</f>
        <v>1849.53</v>
      </c>
      <c r="G1169">
        <f>7754.93</f>
        <v>7754.93</v>
      </c>
      <c r="H1169">
        <f>3011.74</f>
        <v>3011.74</v>
      </c>
      <c r="I1169">
        <f>9150.645</f>
        <v>9150.6450000000004</v>
      </c>
      <c r="J1169">
        <f>3852.26</f>
        <v>3852.26</v>
      </c>
      <c r="K1169">
        <f>10519.09</f>
        <v>10519.09</v>
      </c>
      <c r="L1169">
        <f>1914.57</f>
        <v>1914.57</v>
      </c>
      <c r="M1169">
        <f>7920.98</f>
        <v>7920.98</v>
      </c>
      <c r="N1169">
        <f>305.257</f>
        <v>305.25700000000001</v>
      </c>
      <c r="O1169">
        <f>2663.88</f>
        <v>2663.88</v>
      </c>
      <c r="P1169">
        <f>237.71</f>
        <v>237.71</v>
      </c>
      <c r="Q1169">
        <f>2411.881</f>
        <v>2411.8809999999999</v>
      </c>
      <c r="R1169">
        <f>5070.76</f>
        <v>5070.76</v>
      </c>
      <c r="S1169">
        <f>2250.55</f>
        <v>2250.5500000000002</v>
      </c>
      <c r="T1169">
        <f>3793.658</f>
        <v>3793.6579999999999</v>
      </c>
      <c r="U1169">
        <f>51959.3</f>
        <v>51959.3</v>
      </c>
      <c r="V1169">
        <f>422.6</f>
        <v>422.6</v>
      </c>
    </row>
    <row r="1170" spans="1:22" x14ac:dyDescent="0.2">
      <c r="A1170" s="1">
        <v>43469</v>
      </c>
      <c r="B1170">
        <f>2390.85</f>
        <v>2390.85</v>
      </c>
      <c r="C1170">
        <f>9394.52</f>
        <v>9394.52</v>
      </c>
      <c r="D1170">
        <f>6047.71</f>
        <v>6047.71</v>
      </c>
      <c r="E1170">
        <f>2161.08</f>
        <v>2161.08</v>
      </c>
      <c r="F1170">
        <f>1848.3</f>
        <v>1848.3</v>
      </c>
      <c r="G1170">
        <f>7755.565</f>
        <v>7755.5649999999996</v>
      </c>
      <c r="H1170">
        <f>2937.96</f>
        <v>2937.96</v>
      </c>
      <c r="I1170">
        <f>9124.012</f>
        <v>9124.0120000000006</v>
      </c>
      <c r="J1170">
        <f>3838.73</f>
        <v>3838.73</v>
      </c>
      <c r="K1170">
        <f>10441.43</f>
        <v>10441.43</v>
      </c>
      <c r="L1170">
        <f>1908.12</f>
        <v>1908.12</v>
      </c>
      <c r="M1170">
        <f>7856.69</f>
        <v>7856.69</v>
      </c>
      <c r="N1170">
        <f>305.903</f>
        <v>305.90300000000002</v>
      </c>
      <c r="O1170">
        <f>2673.18</f>
        <v>2673.18</v>
      </c>
      <c r="P1170">
        <f>231.93</f>
        <v>231.93</v>
      </c>
      <c r="Q1170">
        <f>2399.993</f>
        <v>2399.9929999999999</v>
      </c>
      <c r="R1170">
        <f>5035.45</f>
        <v>5035.45</v>
      </c>
      <c r="S1170">
        <f>2188.99</f>
        <v>2188.9899999999998</v>
      </c>
      <c r="T1170">
        <f>3811.718</f>
        <v>3811.7179999999998</v>
      </c>
      <c r="U1170">
        <f>52202.95</f>
        <v>52202.95</v>
      </c>
      <c r="V1170">
        <f>423.34</f>
        <v>423.34</v>
      </c>
    </row>
    <row r="1171" spans="1:22" x14ac:dyDescent="0.2">
      <c r="A1171" s="1">
        <v>43468</v>
      </c>
      <c r="B1171">
        <f>2347.49</f>
        <v>2347.4899999999998</v>
      </c>
      <c r="C1171">
        <f>9272.44</f>
        <v>9272.44</v>
      </c>
      <c r="D1171">
        <f>5919.68</f>
        <v>5919.68</v>
      </c>
      <c r="E1171">
        <f>2126.602</f>
        <v>2126.6019999999999</v>
      </c>
      <c r="F1171">
        <f>1801.82</f>
        <v>1801.82</v>
      </c>
      <c r="G1171">
        <f>7522.644</f>
        <v>7522.6440000000002</v>
      </c>
      <c r="H1171">
        <f>2998.33</f>
        <v>2998.33</v>
      </c>
      <c r="I1171">
        <f>8862.721</f>
        <v>8862.7209999999995</v>
      </c>
      <c r="J1171">
        <f>3727.7</f>
        <v>3727.7</v>
      </c>
      <c r="K1171">
        <f>10092.81</f>
        <v>10092.81</v>
      </c>
      <c r="L1171">
        <f>1865.19</f>
        <v>1865.19</v>
      </c>
      <c r="M1171">
        <f>7646.24</f>
        <v>7646.24</v>
      </c>
      <c r="N1171">
        <f>298.451</f>
        <v>298.45100000000002</v>
      </c>
      <c r="O1171">
        <f>2600.27</f>
        <v>2600.27</v>
      </c>
      <c r="P1171" t="e">
        <f>NA()</f>
        <v>#N/A</v>
      </c>
      <c r="Q1171">
        <f>2337.855</f>
        <v>2337.855</v>
      </c>
      <c r="R1171">
        <f>4868.3</f>
        <v>4868.3</v>
      </c>
      <c r="S1171" t="e">
        <f>NA()</f>
        <v>#N/A</v>
      </c>
      <c r="T1171">
        <f>3770.729</f>
        <v>3770.7289999999998</v>
      </c>
      <c r="U1171">
        <f>51669.94</f>
        <v>51669.94</v>
      </c>
      <c r="V1171">
        <f>419.5</f>
        <v>419.5</v>
      </c>
    </row>
    <row r="1172" spans="1:22" x14ac:dyDescent="0.2">
      <c r="A1172" s="1">
        <v>43467</v>
      </c>
      <c r="B1172">
        <f>2349.13</f>
        <v>2349.13</v>
      </c>
      <c r="C1172">
        <f>9266.81</f>
        <v>9266.81</v>
      </c>
      <c r="D1172">
        <f>5955.76</f>
        <v>5955.76</v>
      </c>
      <c r="E1172">
        <f>2140.418</f>
        <v>2140.4180000000001</v>
      </c>
      <c r="F1172">
        <f>1800.71</f>
        <v>1800.71</v>
      </c>
      <c r="G1172">
        <f>7562.887</f>
        <v>7562.8869999999997</v>
      </c>
      <c r="H1172">
        <f>2950.87</f>
        <v>2950.87</v>
      </c>
      <c r="I1172">
        <f>8916.141</f>
        <v>8916.1409999999996</v>
      </c>
      <c r="J1172">
        <f>3808.93</f>
        <v>3808.93</v>
      </c>
      <c r="K1172">
        <f>10341.87</f>
        <v>10341.870000000001</v>
      </c>
      <c r="L1172">
        <f>1878.49</f>
        <v>1878.49</v>
      </c>
      <c r="M1172">
        <f>7760.37</f>
        <v>7760.37</v>
      </c>
      <c r="N1172">
        <f>301.135</f>
        <v>301.13499999999999</v>
      </c>
      <c r="O1172">
        <f>2621.73</f>
        <v>2621.73</v>
      </c>
      <c r="P1172" t="e">
        <f>NA()</f>
        <v>#N/A</v>
      </c>
      <c r="Q1172">
        <f>2382.053</f>
        <v>2382.0529999999999</v>
      </c>
      <c r="R1172">
        <f>4990.56</f>
        <v>4990.5600000000004</v>
      </c>
      <c r="S1172" t="e">
        <f>NA()</f>
        <v>#N/A</v>
      </c>
      <c r="T1172">
        <f>3734.34</f>
        <v>3734.34</v>
      </c>
      <c r="U1172">
        <f>51264.06</f>
        <v>51264.06</v>
      </c>
      <c r="V1172">
        <f>415.34</f>
        <v>415.34</v>
      </c>
    </row>
    <row r="1173" spans="1:22" x14ac:dyDescent="0.2">
      <c r="A1173" s="1">
        <v>43466</v>
      </c>
      <c r="B1173">
        <f>2340.87</f>
        <v>2340.87</v>
      </c>
      <c r="C1173">
        <f>9403.36</f>
        <v>9403.36</v>
      </c>
      <c r="D1173" t="e">
        <f>NA()</f>
        <v>#N/A</v>
      </c>
      <c r="E1173">
        <f>2163.344</f>
        <v>2163.3440000000001</v>
      </c>
      <c r="F1173">
        <f>1815.56</f>
        <v>1815.56</v>
      </c>
      <c r="G1173">
        <f>7636.319</f>
        <v>7636.3190000000004</v>
      </c>
      <c r="H1173">
        <f>2939.57</f>
        <v>2939.57</v>
      </c>
      <c r="I1173">
        <f>8983.784</f>
        <v>8983.7839999999997</v>
      </c>
      <c r="J1173">
        <f>3811.42</f>
        <v>3811.42</v>
      </c>
      <c r="K1173">
        <f>10330.72</f>
        <v>10330.719999999999</v>
      </c>
      <c r="L1173">
        <f>1883.7</f>
        <v>1883.7</v>
      </c>
      <c r="M1173">
        <f>7771.81</f>
        <v>7771.81</v>
      </c>
      <c r="N1173" t="e">
        <f>NA()</f>
        <v>#N/A</v>
      </c>
      <c r="O1173" t="e">
        <f>NA()</f>
        <v>#N/A</v>
      </c>
      <c r="P1173" t="e">
        <f>NA()</f>
        <v>#N/A</v>
      </c>
      <c r="Q1173" t="e">
        <f>NA()</f>
        <v>#N/A</v>
      </c>
      <c r="R1173" t="e">
        <f>NA()</f>
        <v>#N/A</v>
      </c>
      <c r="S1173" t="e">
        <f>NA()</f>
        <v>#N/A</v>
      </c>
      <c r="T1173" t="e">
        <f>NA()</f>
        <v>#N/A</v>
      </c>
      <c r="U1173" t="e">
        <f>NA()</f>
        <v>#N/A</v>
      </c>
      <c r="V1173" t="e">
        <f>NA()</f>
        <v>#N/A</v>
      </c>
    </row>
    <row r="1174" spans="1:22" x14ac:dyDescent="0.2">
      <c r="A1174" s="1">
        <v>43465</v>
      </c>
      <c r="B1174">
        <f>2340.87</f>
        <v>2340.87</v>
      </c>
      <c r="C1174">
        <f>9402.84</f>
        <v>9402.84</v>
      </c>
      <c r="D1174">
        <f>5950.36</f>
        <v>5950.36</v>
      </c>
      <c r="E1174">
        <f>2162.749</f>
        <v>2162.7489999999998</v>
      </c>
      <c r="F1174">
        <f>1815.56</f>
        <v>1815.56</v>
      </c>
      <c r="G1174">
        <f>7636.319</f>
        <v>7636.3190000000004</v>
      </c>
      <c r="H1174">
        <f>2939.57</f>
        <v>2939.57</v>
      </c>
      <c r="I1174">
        <f>8983.784</f>
        <v>8983.7839999999997</v>
      </c>
      <c r="J1174">
        <f>3811.42</f>
        <v>3811.42</v>
      </c>
      <c r="K1174">
        <f>10330.72</f>
        <v>10330.719999999999</v>
      </c>
      <c r="L1174">
        <f>1883.66</f>
        <v>1883.66</v>
      </c>
      <c r="M1174">
        <f>7771.71</f>
        <v>7771.71</v>
      </c>
      <c r="N1174">
        <f>301.562</f>
        <v>301.56200000000001</v>
      </c>
      <c r="O1174">
        <f>2625.92</f>
        <v>2625.92</v>
      </c>
      <c r="P1174" t="e">
        <f>NA()</f>
        <v>#N/A</v>
      </c>
      <c r="Q1174">
        <f>2397.043</f>
        <v>2397.0430000000001</v>
      </c>
      <c r="R1174">
        <f>4984.22</f>
        <v>4984.22</v>
      </c>
      <c r="S1174" t="e">
        <f>NA()</f>
        <v>#N/A</v>
      </c>
      <c r="T1174">
        <f>3831.528</f>
        <v>3831.5279999999998</v>
      </c>
      <c r="U1174">
        <f>52736.86</f>
        <v>52736.86</v>
      </c>
      <c r="V1174">
        <f>428.38</f>
        <v>428.38</v>
      </c>
    </row>
    <row r="1175" spans="1:22" x14ac:dyDescent="0.2">
      <c r="A1175" s="1">
        <v>43462</v>
      </c>
      <c r="B1175">
        <f>2345.07</f>
        <v>2345.0700000000002</v>
      </c>
      <c r="C1175">
        <f>9344.61</f>
        <v>9344.61</v>
      </c>
      <c r="D1175">
        <f>5955.53</f>
        <v>5955.53</v>
      </c>
      <c r="E1175">
        <f>2155.69</f>
        <v>2155.69</v>
      </c>
      <c r="F1175">
        <f>1816.42</f>
        <v>1816.42</v>
      </c>
      <c r="G1175">
        <f>7614.869</f>
        <v>7614.8689999999997</v>
      </c>
      <c r="H1175">
        <f>2920.8</f>
        <v>2920.8</v>
      </c>
      <c r="I1175">
        <f>8944.795</f>
        <v>8944.7950000000001</v>
      </c>
      <c r="J1175">
        <f>3779.37</f>
        <v>3779.37</v>
      </c>
      <c r="K1175">
        <f>10241.45</f>
        <v>10241.450000000001</v>
      </c>
      <c r="L1175">
        <f>1873.81</f>
        <v>1873.81</v>
      </c>
      <c r="M1175">
        <f>7716.89</f>
        <v>7716.89</v>
      </c>
      <c r="N1175">
        <f>299.78</f>
        <v>299.77999999999997</v>
      </c>
      <c r="O1175">
        <f>2615.94</f>
        <v>2615.94</v>
      </c>
      <c r="P1175">
        <f>233.56</f>
        <v>233.56</v>
      </c>
      <c r="Q1175">
        <f>2378.528</f>
        <v>2378.5279999999998</v>
      </c>
      <c r="R1175">
        <f>4941.61</f>
        <v>4941.6099999999997</v>
      </c>
      <c r="S1175">
        <f>2223.11</f>
        <v>2223.11</v>
      </c>
      <c r="T1175">
        <f>3809.383</f>
        <v>3809.3829999999998</v>
      </c>
      <c r="U1175">
        <f>52444.89</f>
        <v>52444.89</v>
      </c>
      <c r="V1175">
        <f>423.74</f>
        <v>423.74</v>
      </c>
    </row>
    <row r="1176" spans="1:22" x14ac:dyDescent="0.2">
      <c r="A1176" s="1">
        <v>43461</v>
      </c>
      <c r="B1176">
        <f>2288.7</f>
        <v>2288.6999999999998</v>
      </c>
      <c r="C1176">
        <f>9238.09</f>
        <v>9238.09</v>
      </c>
      <c r="D1176">
        <f>5823.49</f>
        <v>5823.49</v>
      </c>
      <c r="E1176">
        <f>2132.57</f>
        <v>2132.5700000000002</v>
      </c>
      <c r="F1176">
        <f>1767.43</f>
        <v>1767.43</v>
      </c>
      <c r="G1176">
        <f>7417.431</f>
        <v>7417.4309999999996</v>
      </c>
      <c r="H1176">
        <f>2911.87</f>
        <v>2911.87</v>
      </c>
      <c r="I1176">
        <f>8755.938</f>
        <v>8755.9380000000001</v>
      </c>
      <c r="J1176">
        <f>3781.21</f>
        <v>3781.21</v>
      </c>
      <c r="K1176">
        <f>10250.69</f>
        <v>10250.69</v>
      </c>
      <c r="L1176">
        <f>1859.61</f>
        <v>1859.61</v>
      </c>
      <c r="M1176">
        <f>7680.5</f>
        <v>7680.5</v>
      </c>
      <c r="N1176">
        <f>294.065</f>
        <v>294.065</v>
      </c>
      <c r="O1176">
        <f>2561.97</f>
        <v>2561.9699999999998</v>
      </c>
      <c r="P1176">
        <f>234.38</f>
        <v>234.38</v>
      </c>
      <c r="Q1176">
        <f>2380.97571</f>
        <v>2380.9757100000002</v>
      </c>
      <c r="R1176">
        <f>4946.94</f>
        <v>4946.9399999999996</v>
      </c>
      <c r="S1176">
        <f>2234.33</f>
        <v>2234.33</v>
      </c>
      <c r="T1176">
        <f>3737.671</f>
        <v>3737.6709999999998</v>
      </c>
      <c r="U1176">
        <f>51551.71</f>
        <v>51551.71</v>
      </c>
      <c r="V1176">
        <f>415.82</f>
        <v>415.82</v>
      </c>
    </row>
    <row r="1177" spans="1:22" x14ac:dyDescent="0.2">
      <c r="A1177" s="1">
        <v>43460</v>
      </c>
      <c r="B1177" t="e">
        <f>NA()</f>
        <v>#N/A</v>
      </c>
      <c r="C1177">
        <f>9177.48</f>
        <v>9177.48</v>
      </c>
      <c r="D1177" t="e">
        <f>NA()</f>
        <v>#N/A</v>
      </c>
      <c r="E1177">
        <f>2123.056</f>
        <v>2123.056</v>
      </c>
      <c r="F1177">
        <f>1799.51</f>
        <v>1799.51</v>
      </c>
      <c r="G1177">
        <f>7551.091</f>
        <v>7551.0910000000003</v>
      </c>
      <c r="H1177">
        <f>2807.32</f>
        <v>2807.32</v>
      </c>
      <c r="I1177">
        <f>8896.46</f>
        <v>8896.4599999999991</v>
      </c>
      <c r="J1177">
        <f>3741.63</f>
        <v>3741.63</v>
      </c>
      <c r="K1177">
        <f>10163.6</f>
        <v>10163.6</v>
      </c>
      <c r="L1177">
        <f>1856.78</f>
        <v>1856.78</v>
      </c>
      <c r="M1177">
        <f>7631.36</f>
        <v>7631.36</v>
      </c>
      <c r="N1177" t="e">
        <f>NA()</f>
        <v>#N/A</v>
      </c>
      <c r="O1177" t="e">
        <f>NA()</f>
        <v>#N/A</v>
      </c>
      <c r="P1177">
        <f>224.61</f>
        <v>224.61</v>
      </c>
      <c r="Q1177">
        <f>2350.0052</f>
        <v>2350.0052000000001</v>
      </c>
      <c r="R1177">
        <f>4904.49</f>
        <v>4904.49</v>
      </c>
      <c r="S1177">
        <f>2129.93</f>
        <v>2129.9299999999998</v>
      </c>
      <c r="T1177" t="e">
        <f>NA()</f>
        <v>#N/A</v>
      </c>
      <c r="U1177" t="e">
        <f>NA()</f>
        <v>#N/A</v>
      </c>
      <c r="V1177" t="e">
        <f>NA()</f>
        <v>#N/A</v>
      </c>
    </row>
    <row r="1178" spans="1:22" x14ac:dyDescent="0.2">
      <c r="A1178" s="1">
        <v>43459</v>
      </c>
      <c r="B1178" t="e">
        <f>NA()</f>
        <v>#N/A</v>
      </c>
      <c r="C1178">
        <f>9196.64</f>
        <v>9196.64</v>
      </c>
      <c r="D1178" t="e">
        <f>NA()</f>
        <v>#N/A</v>
      </c>
      <c r="E1178">
        <f>2122.508</f>
        <v>2122.5079999999998</v>
      </c>
      <c r="F1178">
        <f>1805.9</f>
        <v>1805.9</v>
      </c>
      <c r="G1178">
        <f>7577.904</f>
        <v>7577.9040000000005</v>
      </c>
      <c r="H1178">
        <f>2762.78</f>
        <v>2762.78</v>
      </c>
      <c r="I1178">
        <f>8901.361</f>
        <v>8901.3610000000008</v>
      </c>
      <c r="J1178">
        <f>3596.95</f>
        <v>3596.95</v>
      </c>
      <c r="K1178">
        <f>9682.01</f>
        <v>9682.01</v>
      </c>
      <c r="L1178">
        <f>1824.26</f>
        <v>1824.26</v>
      </c>
      <c r="M1178">
        <f>7401.64</f>
        <v>7401.64</v>
      </c>
      <c r="N1178" t="e">
        <f>NA()</f>
        <v>#N/A</v>
      </c>
      <c r="O1178" t="e">
        <f>NA()</f>
        <v>#N/A</v>
      </c>
      <c r="P1178">
        <f>221.06</f>
        <v>221.06</v>
      </c>
      <c r="Q1178" t="e">
        <f>NA()</f>
        <v>#N/A</v>
      </c>
      <c r="R1178" t="e">
        <f>NA()</f>
        <v>#N/A</v>
      </c>
      <c r="S1178">
        <f>2102.76</f>
        <v>2102.7600000000002</v>
      </c>
      <c r="T1178" t="e">
        <f>NA()</f>
        <v>#N/A</v>
      </c>
      <c r="U1178" t="e">
        <f>NA()</f>
        <v>#N/A</v>
      </c>
      <c r="V1178" t="e">
        <f>NA()</f>
        <v>#N/A</v>
      </c>
    </row>
    <row r="1179" spans="1:22" x14ac:dyDescent="0.2">
      <c r="A1179" s="1">
        <v>43458</v>
      </c>
      <c r="B1179">
        <f>2322.92</f>
        <v>2322.92</v>
      </c>
      <c r="C1179">
        <f>9253.76</f>
        <v>9253.76</v>
      </c>
      <c r="D1179">
        <f>5907.77</f>
        <v>5907.77</v>
      </c>
      <c r="E1179">
        <f>2128.269</f>
        <v>2128.2689999999998</v>
      </c>
      <c r="F1179">
        <f>1805.9</f>
        <v>1805.9</v>
      </c>
      <c r="G1179">
        <f>7577.904</f>
        <v>7577.9040000000005</v>
      </c>
      <c r="H1179">
        <f>2894.33</f>
        <v>2894.33</v>
      </c>
      <c r="I1179">
        <f>8901.361</f>
        <v>8901.3610000000008</v>
      </c>
      <c r="J1179">
        <f>3596.95</f>
        <v>3596.95</v>
      </c>
      <c r="K1179">
        <f>9682.01</f>
        <v>9682.01</v>
      </c>
      <c r="L1179">
        <f>1828.71</f>
        <v>1828.71</v>
      </c>
      <c r="M1179">
        <f>7433.27</f>
        <v>7433.27</v>
      </c>
      <c r="N1179">
        <f>299.052</f>
        <v>299.05200000000002</v>
      </c>
      <c r="O1179">
        <f>2609.33</f>
        <v>2609.33</v>
      </c>
      <c r="P1179" t="e">
        <f>NA()</f>
        <v>#N/A</v>
      </c>
      <c r="Q1179">
        <f>2261.58976</f>
        <v>2261.5897599999998</v>
      </c>
      <c r="R1179">
        <f>4672.66</f>
        <v>4672.66</v>
      </c>
      <c r="S1179" t="e">
        <f>NA()</f>
        <v>#N/A</v>
      </c>
      <c r="T1179">
        <f>3747.861</f>
        <v>3747.8609999999999</v>
      </c>
      <c r="U1179">
        <f>52081.11</f>
        <v>52081.11</v>
      </c>
      <c r="V1179">
        <f>418.13</f>
        <v>418.13</v>
      </c>
    </row>
    <row r="1180" spans="1:22" x14ac:dyDescent="0.2">
      <c r="A1180" s="1">
        <v>43455</v>
      </c>
      <c r="B1180">
        <f>2349.82</f>
        <v>2349.8200000000002</v>
      </c>
      <c r="C1180">
        <f>9298.56</f>
        <v>9298.56</v>
      </c>
      <c r="D1180">
        <f>5938.86</f>
        <v>5938.86</v>
      </c>
      <c r="E1180">
        <f>2138.255</f>
        <v>2138.2550000000001</v>
      </c>
      <c r="F1180">
        <f>1819.65</f>
        <v>1819.65</v>
      </c>
      <c r="G1180">
        <f>7590.979</f>
        <v>7590.9790000000003</v>
      </c>
      <c r="H1180">
        <f>2878.05</f>
        <v>2878.05</v>
      </c>
      <c r="I1180">
        <f>8946.902</f>
        <v>8946.902</v>
      </c>
      <c r="J1180">
        <f>3708.86</f>
        <v>3708.86</v>
      </c>
      <c r="K1180">
        <f>9948.97</f>
        <v>9948.9699999999993</v>
      </c>
      <c r="L1180">
        <f>1860.34</f>
        <v>1860.34</v>
      </c>
      <c r="M1180">
        <f>7564.89</f>
        <v>7564.89</v>
      </c>
      <c r="N1180">
        <f>299.942</f>
        <v>299.94200000000001</v>
      </c>
      <c r="O1180">
        <f>2620.17</f>
        <v>2620.17</v>
      </c>
      <c r="P1180">
        <f>230.65</f>
        <v>230.65</v>
      </c>
      <c r="Q1180">
        <f>2329.46507</f>
        <v>2329.4650700000002</v>
      </c>
      <c r="R1180">
        <f>4802.51</f>
        <v>4802.51</v>
      </c>
      <c r="S1180">
        <f>2210.66</f>
        <v>2210.66</v>
      </c>
      <c r="T1180">
        <f>3724.232</f>
        <v>3724.232</v>
      </c>
      <c r="U1180">
        <f>51430.36</f>
        <v>51430.36</v>
      </c>
      <c r="V1180">
        <f>413.94</f>
        <v>413.94</v>
      </c>
    </row>
    <row r="1181" spans="1:22" x14ac:dyDescent="0.2">
      <c r="A1181" s="1">
        <v>43454</v>
      </c>
      <c r="B1181">
        <f>2340.95</f>
        <v>2340.9499999999998</v>
      </c>
      <c r="C1181">
        <f>9318.26</f>
        <v>9318.26</v>
      </c>
      <c r="D1181">
        <f>5930.69</f>
        <v>5930.69</v>
      </c>
      <c r="E1181">
        <f>2143.603</f>
        <v>2143.6030000000001</v>
      </c>
      <c r="F1181">
        <f>1808.51</f>
        <v>1808.51</v>
      </c>
      <c r="G1181">
        <f>7561.186</f>
        <v>7561.1859999999997</v>
      </c>
      <c r="H1181">
        <f>2915.76</f>
        <v>2915.76</v>
      </c>
      <c r="I1181">
        <f>8962.252</f>
        <v>8962.2520000000004</v>
      </c>
      <c r="J1181">
        <f>3749.4</f>
        <v>3749.4</v>
      </c>
      <c r="K1181">
        <f>10160.69</f>
        <v>10160.69</v>
      </c>
      <c r="L1181">
        <f>1873.19</f>
        <v>1873.19</v>
      </c>
      <c r="M1181">
        <f>7679.71</f>
        <v>7679.71</v>
      </c>
      <c r="N1181">
        <f>300.049</f>
        <v>300.04899999999998</v>
      </c>
      <c r="O1181">
        <f>2618.62</f>
        <v>2618.62</v>
      </c>
      <c r="P1181">
        <f>236.3</f>
        <v>236.3</v>
      </c>
      <c r="Q1181">
        <f>2352.62</f>
        <v>2352.62</v>
      </c>
      <c r="R1181">
        <f>4903.46</f>
        <v>4903.46</v>
      </c>
      <c r="S1181">
        <f>2253.69</f>
        <v>2253.69</v>
      </c>
      <c r="T1181">
        <f>3754.949</f>
        <v>3754.9490000000001</v>
      </c>
      <c r="U1181">
        <f>51347.57</f>
        <v>51347.57</v>
      </c>
      <c r="V1181">
        <f>418.93</f>
        <v>418.93</v>
      </c>
    </row>
    <row r="1182" spans="1:22" x14ac:dyDescent="0.2">
      <c r="A1182" s="1">
        <v>43453</v>
      </c>
      <c r="B1182">
        <f>2350.01</f>
        <v>2350.0100000000002</v>
      </c>
      <c r="C1182">
        <f>9385.15</f>
        <v>9385.15</v>
      </c>
      <c r="D1182">
        <f>5977.9</f>
        <v>5977.9</v>
      </c>
      <c r="E1182">
        <f>2160.791</f>
        <v>2160.7910000000002</v>
      </c>
      <c r="F1182">
        <f>1821.62</f>
        <v>1821.62</v>
      </c>
      <c r="G1182">
        <f>7625.438</f>
        <v>7625.4380000000001</v>
      </c>
      <c r="H1182">
        <f>2972.92</f>
        <v>2972.92</v>
      </c>
      <c r="I1182">
        <f>9118.138</f>
        <v>9118.1380000000008</v>
      </c>
      <c r="J1182">
        <f>3796.38</f>
        <v>3796.38</v>
      </c>
      <c r="K1182">
        <f>10324.78</f>
        <v>10324.780000000001</v>
      </c>
      <c r="L1182">
        <f>1895.15</f>
        <v>1895.15</v>
      </c>
      <c r="M1182">
        <f>7802.78</f>
        <v>7802.78</v>
      </c>
      <c r="N1182">
        <f>302.99</f>
        <v>302.99</v>
      </c>
      <c r="O1182">
        <f>2658.88</f>
        <v>2658.88</v>
      </c>
      <c r="P1182">
        <f>240.94</f>
        <v>240.94</v>
      </c>
      <c r="Q1182">
        <f>2383.631</f>
        <v>2383.6309999999999</v>
      </c>
      <c r="R1182">
        <f>4981.92</f>
        <v>4981.92</v>
      </c>
      <c r="S1182">
        <f>2311.62</f>
        <v>2311.62</v>
      </c>
      <c r="T1182">
        <f>3756.724</f>
        <v>3756.7240000000002</v>
      </c>
      <c r="U1182">
        <f>51569.77</f>
        <v>51569.77</v>
      </c>
      <c r="V1182">
        <f>420.3</f>
        <v>420.3</v>
      </c>
    </row>
    <row r="1183" spans="1:22" x14ac:dyDescent="0.2">
      <c r="A1183" s="1">
        <v>43452</v>
      </c>
      <c r="B1183">
        <f>2327.34</f>
        <v>2327.34</v>
      </c>
      <c r="C1183">
        <f>9314.1</f>
        <v>9314.1</v>
      </c>
      <c r="D1183">
        <f>5921.05</f>
        <v>5921.05</v>
      </c>
      <c r="E1183">
        <f>2150.186</f>
        <v>2150.1860000000001</v>
      </c>
      <c r="F1183">
        <f>1792.68</f>
        <v>1792.68</v>
      </c>
      <c r="G1183">
        <f>7545.929</f>
        <v>7545.9290000000001</v>
      </c>
      <c r="H1183">
        <f>2979.1</f>
        <v>2979.1</v>
      </c>
      <c r="I1183">
        <f>9053.78</f>
        <v>9053.7800000000007</v>
      </c>
      <c r="J1183">
        <f>3851.24</f>
        <v>3851.24</v>
      </c>
      <c r="K1183">
        <f>10484.74</f>
        <v>10484.74</v>
      </c>
      <c r="L1183">
        <f>1900.12</f>
        <v>1900.12</v>
      </c>
      <c r="M1183">
        <f>7866</f>
        <v>7866</v>
      </c>
      <c r="N1183">
        <f>301.902</f>
        <v>301.90199999999999</v>
      </c>
      <c r="O1183">
        <f>2648.61</f>
        <v>2648.61</v>
      </c>
      <c r="P1183">
        <f>242.69</f>
        <v>242.69</v>
      </c>
      <c r="Q1183">
        <f>2414.153</f>
        <v>2414.1529999999998</v>
      </c>
      <c r="R1183">
        <f>5059.34</f>
        <v>5059.34</v>
      </c>
      <c r="S1183">
        <f>2321.06</f>
        <v>2321.06</v>
      </c>
      <c r="T1183">
        <f>3712.043</f>
        <v>3712.0430000000001</v>
      </c>
      <c r="U1183">
        <f>51237.08</f>
        <v>51237.08</v>
      </c>
      <c r="V1183">
        <f>415</f>
        <v>415</v>
      </c>
    </row>
    <row r="1184" spans="1:22" x14ac:dyDescent="0.2">
      <c r="A1184" s="1">
        <v>43451</v>
      </c>
      <c r="B1184">
        <f>2338.72</f>
        <v>2338.7199999999998</v>
      </c>
      <c r="C1184">
        <f>9384.23</f>
        <v>9384.23</v>
      </c>
      <c r="D1184">
        <f>5984.36</f>
        <v>5984.36</v>
      </c>
      <c r="E1184">
        <f>2160.928</f>
        <v>2160.9279999999999</v>
      </c>
      <c r="F1184">
        <f>1801.13</f>
        <v>1801.13</v>
      </c>
      <c r="G1184">
        <f>7614.994</f>
        <v>7614.9939999999997</v>
      </c>
      <c r="H1184">
        <f>2999.89</f>
        <v>2999.89</v>
      </c>
      <c r="I1184">
        <f>9096.305</f>
        <v>9096.3050000000003</v>
      </c>
      <c r="J1184">
        <f>3867.87</f>
        <v>3867.87</v>
      </c>
      <c r="K1184">
        <f>10483.1</f>
        <v>10483.1</v>
      </c>
      <c r="L1184">
        <f>1916.46</f>
        <v>1916.46</v>
      </c>
      <c r="M1184">
        <f>7890.42</f>
        <v>7890.42</v>
      </c>
      <c r="N1184">
        <f>304.782</f>
        <v>304.78199999999998</v>
      </c>
      <c r="O1184">
        <f>2670.09</f>
        <v>2670.09</v>
      </c>
      <c r="P1184">
        <f>247.78</f>
        <v>247.78</v>
      </c>
      <c r="Q1184">
        <f>2419.217</f>
        <v>2419.2170000000001</v>
      </c>
      <c r="R1184">
        <f>5058.58</f>
        <v>5058.58</v>
      </c>
      <c r="S1184">
        <f>2368.13</f>
        <v>2368.13</v>
      </c>
      <c r="T1184" t="e">
        <f>NA()</f>
        <v>#N/A</v>
      </c>
      <c r="U1184" t="e">
        <f>NA()</f>
        <v>#N/A</v>
      </c>
      <c r="V1184" t="e">
        <f>NA()</f>
        <v>#N/A</v>
      </c>
    </row>
    <row r="1185" spans="1:22" x14ac:dyDescent="0.2">
      <c r="A1185" s="1">
        <v>43448</v>
      </c>
      <c r="B1185">
        <f>2374.55</f>
        <v>2374.5500000000002</v>
      </c>
      <c r="C1185">
        <f>9400.69</f>
        <v>9400.69</v>
      </c>
      <c r="D1185">
        <f>6047.9</f>
        <v>6047.9</v>
      </c>
      <c r="E1185">
        <f>2169.921</f>
        <v>2169.9209999999998</v>
      </c>
      <c r="F1185">
        <f>1806.9</f>
        <v>1806.9</v>
      </c>
      <c r="G1185">
        <f>7663.365</f>
        <v>7663.3649999999998</v>
      </c>
      <c r="H1185">
        <f>2980.18</f>
        <v>2980.18</v>
      </c>
      <c r="I1185">
        <f>9174.969</f>
        <v>9174.9689999999991</v>
      </c>
      <c r="J1185">
        <f>3945.84</f>
        <v>3945.84</v>
      </c>
      <c r="K1185">
        <f>10707.83</f>
        <v>10707.83</v>
      </c>
      <c r="L1185">
        <f>1941.23</f>
        <v>1941.23</v>
      </c>
      <c r="M1185">
        <f>8006.35</f>
        <v>8006.35</v>
      </c>
      <c r="N1185">
        <f>308.515</f>
        <v>308.51499999999999</v>
      </c>
      <c r="O1185">
        <f>2700.76</f>
        <v>2700.76</v>
      </c>
      <c r="P1185">
        <f>247.53</f>
        <v>247.53</v>
      </c>
      <c r="Q1185">
        <f>2471.359</f>
        <v>2471.3589999999999</v>
      </c>
      <c r="R1185">
        <f>5165.6</f>
        <v>5165.6000000000004</v>
      </c>
      <c r="S1185">
        <f>2365.1</f>
        <v>2365.1</v>
      </c>
      <c r="T1185">
        <f>3750.918</f>
        <v>3750.9180000000001</v>
      </c>
      <c r="U1185">
        <f>51560.47</f>
        <v>51560.47</v>
      </c>
      <c r="V1185">
        <f>416.47</f>
        <v>416.47</v>
      </c>
    </row>
    <row r="1186" spans="1:22" x14ac:dyDescent="0.2">
      <c r="A1186" s="1">
        <v>43447</v>
      </c>
      <c r="B1186">
        <f>2405.72</f>
        <v>2405.7199999999998</v>
      </c>
      <c r="C1186">
        <f>9507.82</f>
        <v>9507.82</v>
      </c>
      <c r="D1186">
        <f>6076.47</f>
        <v>6076.47</v>
      </c>
      <c r="E1186">
        <f>2200.302</f>
        <v>2200.3020000000001</v>
      </c>
      <c r="F1186">
        <f>1830.35</f>
        <v>1830.35</v>
      </c>
      <c r="G1186">
        <f>7738.722</f>
        <v>7738.7219999999998</v>
      </c>
      <c r="H1186">
        <f>3012.93</f>
        <v>3012.93</v>
      </c>
      <c r="I1186">
        <f>9277.1</f>
        <v>9277.1</v>
      </c>
      <c r="J1186">
        <f>4022.46</f>
        <v>4022.46</v>
      </c>
      <c r="K1186">
        <f>10912.25</f>
        <v>10912.25</v>
      </c>
      <c r="L1186">
        <f>1963.25</f>
        <v>1963.25</v>
      </c>
      <c r="M1186">
        <f>8137.04</f>
        <v>8137.04</v>
      </c>
      <c r="N1186">
        <f>309.864</f>
        <v>309.86399999999998</v>
      </c>
      <c r="O1186">
        <f>2717.51</f>
        <v>2717.51</v>
      </c>
      <c r="P1186">
        <f>250.69</f>
        <v>250.69</v>
      </c>
      <c r="Q1186">
        <f>2508.887</f>
        <v>2508.8870000000002</v>
      </c>
      <c r="R1186">
        <f>5265.46</f>
        <v>5265.46</v>
      </c>
      <c r="S1186">
        <f>2401.47</f>
        <v>2401.4699999999998</v>
      </c>
      <c r="T1186">
        <f>3785.87</f>
        <v>3785.87</v>
      </c>
      <c r="U1186">
        <f>51744.16</f>
        <v>51744.160000000003</v>
      </c>
      <c r="V1186">
        <f>419.77</f>
        <v>419.77</v>
      </c>
    </row>
    <row r="1187" spans="1:22" x14ac:dyDescent="0.2">
      <c r="A1187" s="1">
        <v>43446</v>
      </c>
      <c r="B1187">
        <f>2407.03</f>
        <v>2407.0300000000002</v>
      </c>
      <c r="C1187">
        <f>9428.72</f>
        <v>9428.7199999999993</v>
      </c>
      <c r="D1187">
        <f>6077.96</f>
        <v>6077.96</v>
      </c>
      <c r="E1187">
        <f>2185.444</f>
        <v>2185.444</v>
      </c>
      <c r="F1187">
        <f>1850.82</f>
        <v>1850.82</v>
      </c>
      <c r="G1187">
        <f>7768.824</f>
        <v>7768.8239999999996</v>
      </c>
      <c r="H1187">
        <f>3001.92</f>
        <v>3001.92</v>
      </c>
      <c r="I1187">
        <f>9301.917</f>
        <v>9301.9169999999995</v>
      </c>
      <c r="J1187">
        <f>4011.86</f>
        <v>4011.86</v>
      </c>
      <c r="K1187">
        <f>10915.77</f>
        <v>10915.77</v>
      </c>
      <c r="L1187">
        <f>1961.39</f>
        <v>1961.39</v>
      </c>
      <c r="M1187">
        <f>8141.97</f>
        <v>8141.97</v>
      </c>
      <c r="N1187">
        <f>310.352</f>
        <v>310.35199999999998</v>
      </c>
      <c r="O1187">
        <f>2721.75</f>
        <v>2721.75</v>
      </c>
      <c r="P1187">
        <f>248.59</f>
        <v>248.59</v>
      </c>
      <c r="Q1187">
        <f>2504.789</f>
        <v>2504.7890000000002</v>
      </c>
      <c r="R1187">
        <f>5265.53</f>
        <v>5265.53</v>
      </c>
      <c r="S1187">
        <f>2386.57</f>
        <v>2386.5700000000002</v>
      </c>
      <c r="T1187">
        <f>3762.329</f>
        <v>3762.3290000000002</v>
      </c>
      <c r="U1187">
        <f>51598.1</f>
        <v>51598.1</v>
      </c>
      <c r="V1187">
        <f>414.96</f>
        <v>414.96</v>
      </c>
    </row>
    <row r="1188" spans="1:22" x14ac:dyDescent="0.2">
      <c r="A1188" s="1">
        <v>43445</v>
      </c>
      <c r="B1188">
        <f>2366.51</f>
        <v>2366.5100000000002</v>
      </c>
      <c r="C1188">
        <f>9325.99</f>
        <v>9325.99</v>
      </c>
      <c r="D1188">
        <f>6013.25</f>
        <v>6013.25</v>
      </c>
      <c r="E1188">
        <f>2153.79</f>
        <v>2153.79</v>
      </c>
      <c r="F1188">
        <f>1803.91</f>
        <v>1803.91</v>
      </c>
      <c r="G1188">
        <f>7601.375</f>
        <v>7601.375</v>
      </c>
      <c r="H1188">
        <f>2953.72</f>
        <v>2953.72</v>
      </c>
      <c r="I1188">
        <f>9120.069</f>
        <v>9120.0689999999995</v>
      </c>
      <c r="J1188">
        <f>3996.16</f>
        <v>3996.16</v>
      </c>
      <c r="K1188">
        <f>10855.13</f>
        <v>10855.13</v>
      </c>
      <c r="L1188">
        <f>1945.56</f>
        <v>1945.56</v>
      </c>
      <c r="M1188">
        <f>8054.43</f>
        <v>8054.43</v>
      </c>
      <c r="N1188">
        <f>305.106</f>
        <v>305.10599999999999</v>
      </c>
      <c r="O1188">
        <f>2676.92</f>
        <v>2676.92</v>
      </c>
      <c r="P1188">
        <f>245.95</f>
        <v>245.95</v>
      </c>
      <c r="Q1188">
        <f>2496.642</f>
        <v>2496.6419999999998</v>
      </c>
      <c r="R1188">
        <f>5237.1</f>
        <v>5237.1000000000004</v>
      </c>
      <c r="S1188">
        <f>2340.07</f>
        <v>2340.0700000000002</v>
      </c>
      <c r="T1188">
        <f>3733.957</f>
        <v>3733.9569999999999</v>
      </c>
      <c r="U1188">
        <f>51187.99</f>
        <v>51187.99</v>
      </c>
      <c r="V1188">
        <f>409.15</f>
        <v>409.15</v>
      </c>
    </row>
    <row r="1189" spans="1:22" x14ac:dyDescent="0.2">
      <c r="A1189" s="1">
        <v>43444</v>
      </c>
      <c r="B1189">
        <f>2342.64</f>
        <v>2342.64</v>
      </c>
      <c r="C1189">
        <f>9320.05</f>
        <v>9320.0499999999993</v>
      </c>
      <c r="D1189">
        <f>5937.81</f>
        <v>5937.81</v>
      </c>
      <c r="E1189">
        <f>2149.266</f>
        <v>2149.2660000000001</v>
      </c>
      <c r="F1189">
        <f>1774.46</f>
        <v>1774.46</v>
      </c>
      <c r="G1189">
        <f>7511.724</f>
        <v>7511.7240000000002</v>
      </c>
      <c r="H1189">
        <f>2985.05</f>
        <v>2985.05</v>
      </c>
      <c r="I1189">
        <f>9028.508</f>
        <v>9028.5079999999998</v>
      </c>
      <c r="J1189">
        <f>3994.31</f>
        <v>3994.31</v>
      </c>
      <c r="K1189">
        <f>10860.27</f>
        <v>10860.27</v>
      </c>
      <c r="L1189">
        <f>1938.62</f>
        <v>1938.62</v>
      </c>
      <c r="M1189">
        <f>8046.67</f>
        <v>8046.67</v>
      </c>
      <c r="N1189">
        <f>301.448</f>
        <v>301.44799999999998</v>
      </c>
      <c r="O1189">
        <f>2638.37</f>
        <v>2638.37</v>
      </c>
      <c r="P1189">
        <f>248.22</f>
        <v>248.22</v>
      </c>
      <c r="Q1189">
        <f>2495.034</f>
        <v>2495.0340000000001</v>
      </c>
      <c r="R1189">
        <f>5238.7</f>
        <v>5238.7</v>
      </c>
      <c r="S1189">
        <f>2361.6</f>
        <v>2361.6</v>
      </c>
      <c r="T1189">
        <f>3726.543</f>
        <v>3726.5430000000001</v>
      </c>
      <c r="U1189">
        <f>50434.39</f>
        <v>50434.39</v>
      </c>
      <c r="V1189">
        <f>405.51</f>
        <v>405.51</v>
      </c>
    </row>
    <row r="1190" spans="1:22" x14ac:dyDescent="0.2">
      <c r="A1190" s="1">
        <v>43441</v>
      </c>
      <c r="B1190">
        <f>2396.3</f>
        <v>2396.3000000000002</v>
      </c>
      <c r="C1190">
        <f>9494.48</f>
        <v>9494.48</v>
      </c>
      <c r="D1190">
        <f>5987.78</f>
        <v>5987.78</v>
      </c>
      <c r="E1190">
        <f>2190.723</f>
        <v>2190.723</v>
      </c>
      <c r="F1190">
        <f>1829.89</f>
        <v>1829.89</v>
      </c>
      <c r="G1190">
        <f>7710.247</f>
        <v>7710.2470000000003</v>
      </c>
      <c r="H1190">
        <f>3046.69</f>
        <v>3046.69</v>
      </c>
      <c r="I1190">
        <f>9192.019</f>
        <v>9192.0190000000002</v>
      </c>
      <c r="J1190">
        <f>3985.43</f>
        <v>3985.43</v>
      </c>
      <c r="K1190">
        <f>10841.54</f>
        <v>10841.54</v>
      </c>
      <c r="L1190">
        <f>1954.45</f>
        <v>1954.45</v>
      </c>
      <c r="M1190">
        <f>8097.72</f>
        <v>8097.72</v>
      </c>
      <c r="N1190">
        <f>306.38</f>
        <v>306.38</v>
      </c>
      <c r="O1190">
        <f>2685.43</f>
        <v>2685.43</v>
      </c>
      <c r="P1190">
        <f>252.56</f>
        <v>252.56</v>
      </c>
      <c r="Q1190">
        <f>2493.993</f>
        <v>2493.9929999999999</v>
      </c>
      <c r="R1190">
        <f>5229.44</f>
        <v>5229.4399999999996</v>
      </c>
      <c r="S1190">
        <f>2407.12</f>
        <v>2407.12</v>
      </c>
      <c r="T1190">
        <f>3783.511</f>
        <v>3783.511</v>
      </c>
      <c r="U1190">
        <f>51037.69</f>
        <v>51037.69</v>
      </c>
      <c r="V1190">
        <f>413.24</f>
        <v>413.24</v>
      </c>
    </row>
    <row r="1191" spans="1:22" x14ac:dyDescent="0.2">
      <c r="A1191" s="1">
        <v>43440</v>
      </c>
      <c r="B1191">
        <f>2372.43</f>
        <v>2372.4299999999998</v>
      </c>
      <c r="C1191">
        <f>9458.31</f>
        <v>9458.31</v>
      </c>
      <c r="D1191">
        <f>5922.36</f>
        <v>5922.36</v>
      </c>
      <c r="E1191">
        <f>2185.247</f>
        <v>2185.2469999999998</v>
      </c>
      <c r="F1191">
        <f>1823.41</f>
        <v>1823.41</v>
      </c>
      <c r="G1191">
        <f>7639.784</f>
        <v>7639.7839999999997</v>
      </c>
      <c r="H1191">
        <f>3048.09</f>
        <v>3048.09</v>
      </c>
      <c r="I1191">
        <f>9131.492</f>
        <v>9131.4920000000002</v>
      </c>
      <c r="J1191">
        <f>4062.53</f>
        <v>4062.53</v>
      </c>
      <c r="K1191">
        <f>11100.84</f>
        <v>11100.84</v>
      </c>
      <c r="L1191">
        <f>1966.82</f>
        <v>1966.82</v>
      </c>
      <c r="M1191">
        <f>8202.32</f>
        <v>8202.32</v>
      </c>
      <c r="N1191">
        <f>306.822</f>
        <v>306.822</v>
      </c>
      <c r="O1191">
        <f>2668.56</f>
        <v>2668.56</v>
      </c>
      <c r="P1191">
        <f>251.72</f>
        <v>251.72</v>
      </c>
      <c r="Q1191">
        <f>2538.465</f>
        <v>2538.4650000000001</v>
      </c>
      <c r="R1191">
        <f>5353.43</f>
        <v>5353.43</v>
      </c>
      <c r="S1191">
        <f>2391.51</f>
        <v>2391.5100000000002</v>
      </c>
      <c r="T1191">
        <f>3796.119</f>
        <v>3796.1190000000001</v>
      </c>
      <c r="U1191">
        <f>50806.06</f>
        <v>50806.06</v>
      </c>
      <c r="V1191">
        <f>411.71</f>
        <v>411.71</v>
      </c>
    </row>
    <row r="1192" spans="1:22" x14ac:dyDescent="0.2">
      <c r="A1192" s="1">
        <v>43439</v>
      </c>
      <c r="B1192">
        <f>2437.59</f>
        <v>2437.59</v>
      </c>
      <c r="C1192">
        <f>9661.91</f>
        <v>9661.91</v>
      </c>
      <c r="D1192">
        <f>6114.26</f>
        <v>6114.26</v>
      </c>
      <c r="E1192">
        <f>2236.521</f>
        <v>2236.5210000000002</v>
      </c>
      <c r="F1192">
        <f>1869.52</f>
        <v>1869.52</v>
      </c>
      <c r="G1192">
        <f>7857.966</f>
        <v>7857.9660000000003</v>
      </c>
      <c r="H1192">
        <f>3076.85</f>
        <v>3076.85</v>
      </c>
      <c r="I1192">
        <f>9385.868</f>
        <v>9385.8680000000004</v>
      </c>
      <c r="J1192">
        <f>4069.75</f>
        <v>4069.75</v>
      </c>
      <c r="K1192">
        <f>11110.29</f>
        <v>11110.29</v>
      </c>
      <c r="L1192">
        <f>1987.79</f>
        <v>1987.79</v>
      </c>
      <c r="M1192">
        <f>8273.74</f>
        <v>8273.74</v>
      </c>
      <c r="N1192">
        <f>314.931</f>
        <v>314.93099999999998</v>
      </c>
      <c r="O1192">
        <f>2753.47</f>
        <v>2753.47</v>
      </c>
      <c r="P1192">
        <f>255.14</f>
        <v>255.14</v>
      </c>
      <c r="Q1192" t="e">
        <f>NA()</f>
        <v>#N/A</v>
      </c>
      <c r="R1192" t="e">
        <f>NA()</f>
        <v>#N/A</v>
      </c>
      <c r="S1192">
        <f>2435.89</f>
        <v>2435.89</v>
      </c>
      <c r="T1192">
        <f>3862.404</f>
        <v>3862.404</v>
      </c>
      <c r="U1192">
        <f>51709.16</f>
        <v>51709.16</v>
      </c>
      <c r="V1192">
        <f>418.77</f>
        <v>418.77</v>
      </c>
    </row>
    <row r="1193" spans="1:22" x14ac:dyDescent="0.2">
      <c r="A1193" s="1">
        <v>43438</v>
      </c>
      <c r="B1193">
        <f>2446.78</f>
        <v>2446.7800000000002</v>
      </c>
      <c r="C1193">
        <f>9769.53</f>
        <v>9769.5300000000007</v>
      </c>
      <c r="D1193">
        <f>6203.41</f>
        <v>6203.41</v>
      </c>
      <c r="E1193">
        <f>2263.976</f>
        <v>2263.9760000000001</v>
      </c>
      <c r="F1193">
        <f>1873.24</f>
        <v>1873.24</v>
      </c>
      <c r="G1193">
        <f>7967.632</f>
        <v>7967.6319999999996</v>
      </c>
      <c r="H1193">
        <f>3098.89</f>
        <v>3098.89</v>
      </c>
      <c r="I1193">
        <f>9505.586</f>
        <v>9505.5859999999993</v>
      </c>
      <c r="J1193">
        <f>4069.75</f>
        <v>4069.75</v>
      </c>
      <c r="K1193">
        <f>11110.29</f>
        <v>11110.29</v>
      </c>
      <c r="L1193">
        <f>1999.97</f>
        <v>1999.97</v>
      </c>
      <c r="M1193">
        <f>8307.72</f>
        <v>8307.7199999999993</v>
      </c>
      <c r="N1193">
        <f>317.932</f>
        <v>317.93200000000002</v>
      </c>
      <c r="O1193">
        <f>2787.4</f>
        <v>2787.4</v>
      </c>
      <c r="P1193">
        <f>256.74</f>
        <v>256.74</v>
      </c>
      <c r="Q1193">
        <f>2549.991</f>
        <v>2549.991</v>
      </c>
      <c r="R1193">
        <f>5359.91</f>
        <v>5359.91</v>
      </c>
      <c r="S1193">
        <f>2448.82</f>
        <v>2448.8200000000002</v>
      </c>
      <c r="T1193">
        <f>3904.913</f>
        <v>3904.913</v>
      </c>
      <c r="U1193">
        <f>52234.55</f>
        <v>52234.55</v>
      </c>
      <c r="V1193">
        <f>420.63</f>
        <v>420.63</v>
      </c>
    </row>
    <row r="1194" spans="1:22" x14ac:dyDescent="0.2">
      <c r="A1194" s="1">
        <v>43437</v>
      </c>
      <c r="B1194">
        <f>2478.01</f>
        <v>2478.0100000000002</v>
      </c>
      <c r="C1194">
        <f>9757.96</f>
        <v>9757.9599999999991</v>
      </c>
      <c r="D1194">
        <f>6238.43</f>
        <v>6238.43</v>
      </c>
      <c r="E1194">
        <f>2269.786</f>
        <v>2269.7860000000001</v>
      </c>
      <c r="F1194">
        <f>1891.9</f>
        <v>1891.9</v>
      </c>
      <c r="G1194">
        <f>8011.963</f>
        <v>8011.9629999999997</v>
      </c>
      <c r="H1194">
        <f>3149.41</f>
        <v>3149.41</v>
      </c>
      <c r="I1194">
        <f>9578.257</f>
        <v>9578.2569999999996</v>
      </c>
      <c r="J1194">
        <f>4170.92</f>
        <v>4170.92</v>
      </c>
      <c r="K1194">
        <f>11481</f>
        <v>11481</v>
      </c>
      <c r="L1194">
        <f>2025.19</f>
        <v>2025.19</v>
      </c>
      <c r="M1194">
        <f>8511.94</f>
        <v>8511.94</v>
      </c>
      <c r="N1194">
        <f>319.32</f>
        <v>319.32</v>
      </c>
      <c r="O1194">
        <f>2806.95</f>
        <v>2806.95</v>
      </c>
      <c r="P1194">
        <f>263.05</f>
        <v>263.05</v>
      </c>
      <c r="Q1194">
        <f>2623.726</f>
        <v>2623.7260000000001</v>
      </c>
      <c r="R1194">
        <f>5538.86</f>
        <v>5538.86</v>
      </c>
      <c r="S1194">
        <f>2507.99</f>
        <v>2507.9899999999998</v>
      </c>
      <c r="T1194">
        <f>3889.547</f>
        <v>3889.547</v>
      </c>
      <c r="U1194">
        <f>52079.22</f>
        <v>52079.22</v>
      </c>
      <c r="V1194">
        <f>418.14</f>
        <v>418.14</v>
      </c>
    </row>
    <row r="1195" spans="1:22" x14ac:dyDescent="0.2">
      <c r="A1195" s="1">
        <v>43434</v>
      </c>
      <c r="B1195">
        <f>2473.32</f>
        <v>2473.3200000000002</v>
      </c>
      <c r="C1195">
        <f>9530.69</f>
        <v>9530.69</v>
      </c>
      <c r="D1195">
        <f>6165.84</f>
        <v>6165.84</v>
      </c>
      <c r="E1195">
        <f>2220.226</f>
        <v>2220.2260000000001</v>
      </c>
      <c r="F1195">
        <f>1908.62</f>
        <v>1908.62</v>
      </c>
      <c r="G1195">
        <f>7936.724</f>
        <v>7936.7240000000002</v>
      </c>
      <c r="H1195">
        <f>3110.15</f>
        <v>3110.15</v>
      </c>
      <c r="I1195">
        <f>9447.669</f>
        <v>9447.6689999999999</v>
      </c>
      <c r="J1195">
        <f>4150.9</f>
        <v>4150.8999999999996</v>
      </c>
      <c r="K1195">
        <f>11353.43</f>
        <v>11353.43</v>
      </c>
      <c r="L1195">
        <f>2017.17</f>
        <v>2017.17</v>
      </c>
      <c r="M1195">
        <f>8407.84</f>
        <v>8407.84</v>
      </c>
      <c r="N1195">
        <f>318.62</f>
        <v>318.62</v>
      </c>
      <c r="O1195">
        <f>2779.96</f>
        <v>2779.96</v>
      </c>
      <c r="P1195">
        <f>260.7</f>
        <v>260.7</v>
      </c>
      <c r="Q1195">
        <f>2604.087</f>
        <v>2604.087</v>
      </c>
      <c r="R1195">
        <f>5478.91</f>
        <v>5478.91</v>
      </c>
      <c r="S1195">
        <f>2475.92</f>
        <v>2475.92</v>
      </c>
      <c r="T1195">
        <f>3827.656</f>
        <v>3827.6559999999999</v>
      </c>
      <c r="U1195">
        <f>50663.94</f>
        <v>50663.94</v>
      </c>
      <c r="V1195">
        <f>409.31</f>
        <v>409.31</v>
      </c>
    </row>
    <row r="1196" spans="1:22" x14ac:dyDescent="0.2">
      <c r="A1196" s="1">
        <v>43433</v>
      </c>
      <c r="B1196">
        <f>2513.92</f>
        <v>2513.92</v>
      </c>
      <c r="C1196">
        <f>9574.74</f>
        <v>9574.74</v>
      </c>
      <c r="D1196">
        <f>6217.7</f>
        <v>6217.7</v>
      </c>
      <c r="E1196">
        <f>2227.66</f>
        <v>2227.66</v>
      </c>
      <c r="F1196">
        <f>1927.36</f>
        <v>1927.36</v>
      </c>
      <c r="G1196">
        <f>8013.203</f>
        <v>8013.2030000000004</v>
      </c>
      <c r="H1196">
        <f>3106.53</f>
        <v>3106.53</v>
      </c>
      <c r="I1196">
        <f>9507.829</f>
        <v>9507.8289999999997</v>
      </c>
      <c r="J1196">
        <f>4098.69</f>
        <v>4098.6899999999996</v>
      </c>
      <c r="K1196">
        <f>11259.09</f>
        <v>11259.09</v>
      </c>
      <c r="L1196">
        <f>2005.55</f>
        <v>2005.55</v>
      </c>
      <c r="M1196">
        <f>8380.12</f>
        <v>8380.1200000000008</v>
      </c>
      <c r="N1196">
        <f>319.408</f>
        <v>319.40800000000002</v>
      </c>
      <c r="O1196">
        <f>2783.22</f>
        <v>2783.22</v>
      </c>
      <c r="P1196">
        <f>259.47</f>
        <v>259.47000000000003</v>
      </c>
      <c r="Q1196">
        <f>2579.919</f>
        <v>2579.9189999999999</v>
      </c>
      <c r="R1196">
        <f>5433.49</f>
        <v>5433.49</v>
      </c>
      <c r="S1196">
        <f>2464.07</f>
        <v>2464.0700000000002</v>
      </c>
      <c r="T1196">
        <f>3909.419</f>
        <v>3909.4189999999999</v>
      </c>
      <c r="U1196">
        <f>51737.56</f>
        <v>51737.56</v>
      </c>
      <c r="V1196">
        <f>417.44</f>
        <v>417.44</v>
      </c>
    </row>
    <row r="1197" spans="1:22" x14ac:dyDescent="0.2">
      <c r="A1197" s="1">
        <v>43432</v>
      </c>
      <c r="B1197">
        <f>2558.66</f>
        <v>2558.66</v>
      </c>
      <c r="C1197">
        <f>9507.02</f>
        <v>9507.02</v>
      </c>
      <c r="D1197">
        <f>6185.86</f>
        <v>6185.86</v>
      </c>
      <c r="E1197">
        <f>2213.383</f>
        <v>2213.3829999999998</v>
      </c>
      <c r="F1197">
        <f>1923.23</f>
        <v>1923.23</v>
      </c>
      <c r="G1197">
        <f>7960.647</f>
        <v>7960.6469999999999</v>
      </c>
      <c r="H1197">
        <f>3094.21</f>
        <v>3094.21</v>
      </c>
      <c r="I1197">
        <f>9382.068</f>
        <v>9382.0679999999993</v>
      </c>
      <c r="J1197">
        <f>4099.09</f>
        <v>4099.09</v>
      </c>
      <c r="K1197">
        <f>11280.72</f>
        <v>11280.72</v>
      </c>
      <c r="L1197">
        <f>1997.22</f>
        <v>1997.22</v>
      </c>
      <c r="M1197">
        <f>8357.62</f>
        <v>8357.6200000000008</v>
      </c>
      <c r="N1197">
        <f>318.554</f>
        <v>318.55399999999997</v>
      </c>
      <c r="O1197">
        <f>2777.7</f>
        <v>2777.7</v>
      </c>
      <c r="P1197">
        <f>258.89</f>
        <v>258.89</v>
      </c>
      <c r="Q1197">
        <f>2579.533</f>
        <v>2579.5329999999999</v>
      </c>
      <c r="R1197">
        <f>5444.12</f>
        <v>5444.12</v>
      </c>
      <c r="S1197">
        <f>2455.45</f>
        <v>2455.4499999999998</v>
      </c>
      <c r="T1197">
        <f>3896.848</f>
        <v>3896.848</v>
      </c>
      <c r="U1197">
        <f>51895.12</f>
        <v>51895.12</v>
      </c>
      <c r="V1197">
        <f>415.8</f>
        <v>415.8</v>
      </c>
    </row>
    <row r="1198" spans="1:22" x14ac:dyDescent="0.2">
      <c r="A1198" s="1">
        <v>43431</v>
      </c>
      <c r="B1198">
        <f>2576.71</f>
        <v>2576.71</v>
      </c>
      <c r="C1198">
        <f>9410.69</f>
        <v>9410.69</v>
      </c>
      <c r="D1198">
        <f>6196.75</f>
        <v>6196.75</v>
      </c>
      <c r="E1198">
        <f>2187.495</f>
        <v>2187.4949999999999</v>
      </c>
      <c r="F1198">
        <f>1930.68</f>
        <v>1930.68</v>
      </c>
      <c r="G1198">
        <f>7964.755</f>
        <v>7964.7550000000001</v>
      </c>
      <c r="H1198">
        <f>3092.5</f>
        <v>3092.5</v>
      </c>
      <c r="I1198">
        <f>9395.192</f>
        <v>9395.1919999999991</v>
      </c>
      <c r="J1198">
        <f>4038.68</f>
        <v>4038.68</v>
      </c>
      <c r="K1198">
        <f>11025.78</f>
        <v>11025.78</v>
      </c>
      <c r="L1198">
        <f>1984.47</f>
        <v>1984.47</v>
      </c>
      <c r="M1198">
        <f>8234.88</f>
        <v>8234.8799999999992</v>
      </c>
      <c r="N1198">
        <f>318.218</f>
        <v>318.21800000000002</v>
      </c>
      <c r="O1198">
        <f>2776.82</f>
        <v>2776.82</v>
      </c>
      <c r="P1198">
        <f>258.75</f>
        <v>258.75</v>
      </c>
      <c r="Q1198">
        <f>2536.557</f>
        <v>2536.5569999999998</v>
      </c>
      <c r="R1198">
        <f>5321.52</f>
        <v>5321.52</v>
      </c>
      <c r="S1198">
        <f>2441.25</f>
        <v>2441.25</v>
      </c>
      <c r="T1198">
        <f>3874.278</f>
        <v>3874.2779999999998</v>
      </c>
      <c r="U1198">
        <f>51353.98</f>
        <v>51353.98</v>
      </c>
      <c r="V1198">
        <f>412.83</f>
        <v>412.83</v>
      </c>
    </row>
    <row r="1199" spans="1:22" x14ac:dyDescent="0.2">
      <c r="A1199" s="1">
        <v>43430</v>
      </c>
      <c r="B1199">
        <f>2582.04</f>
        <v>2582.04</v>
      </c>
      <c r="C1199">
        <f>9387.32</f>
        <v>9387.32</v>
      </c>
      <c r="D1199">
        <f>6213.66</f>
        <v>6213.66</v>
      </c>
      <c r="E1199">
        <f>2179.455</f>
        <v>2179.4549999999999</v>
      </c>
      <c r="F1199">
        <f>1947.47</f>
        <v>1947.47</v>
      </c>
      <c r="G1199">
        <f>8040.67</f>
        <v>8040.67</v>
      </c>
      <c r="H1199">
        <f>3075.07</f>
        <v>3075.07</v>
      </c>
      <c r="I1199">
        <f>9449.213</f>
        <v>9449.2129999999997</v>
      </c>
      <c r="J1199">
        <f>4013.19</f>
        <v>4013.19</v>
      </c>
      <c r="K1199">
        <f>10996.67</f>
        <v>10996.67</v>
      </c>
      <c r="L1199">
        <f>1979.52</f>
        <v>1979.52</v>
      </c>
      <c r="M1199">
        <f>8230.86</f>
        <v>8230.86</v>
      </c>
      <c r="N1199">
        <f>318.502</f>
        <v>318.50200000000001</v>
      </c>
      <c r="O1199">
        <f>2783.04</f>
        <v>2783.04</v>
      </c>
      <c r="P1199">
        <f>256.62</f>
        <v>256.62</v>
      </c>
      <c r="Q1199">
        <f>2530.375</f>
        <v>2530.375</v>
      </c>
      <c r="R1199">
        <f>5304.17</f>
        <v>5304.17</v>
      </c>
      <c r="S1199">
        <f>2423.48</f>
        <v>2423.48</v>
      </c>
      <c r="T1199">
        <f>3882.452</f>
        <v>3882.4520000000002</v>
      </c>
      <c r="U1199">
        <f>51690.12</f>
        <v>51690.12</v>
      </c>
      <c r="V1199">
        <f>412.78</f>
        <v>412.78</v>
      </c>
    </row>
    <row r="1200" spans="1:22" x14ac:dyDescent="0.2">
      <c r="A1200" s="1">
        <v>43427</v>
      </c>
      <c r="B1200">
        <f>2562.96</f>
        <v>2562.96</v>
      </c>
      <c r="C1200">
        <f>9342.91</f>
        <v>9342.91</v>
      </c>
      <c r="D1200">
        <f>6140.24</f>
        <v>6140.24</v>
      </c>
      <c r="E1200">
        <f>2162.82</f>
        <v>2162.8200000000002</v>
      </c>
      <c r="F1200">
        <f>1922.13</f>
        <v>1922.13</v>
      </c>
      <c r="G1200">
        <f>7931.988</f>
        <v>7931.9880000000003</v>
      </c>
      <c r="H1200">
        <f>3090.1</f>
        <v>3090.1</v>
      </c>
      <c r="I1200">
        <f>9339.775</f>
        <v>9339.7749999999996</v>
      </c>
      <c r="J1200">
        <f>3970.71</f>
        <v>3970.71</v>
      </c>
      <c r="K1200">
        <f>10823.71</f>
        <v>10823.71</v>
      </c>
      <c r="L1200">
        <f>1962.82</f>
        <v>1962.82</v>
      </c>
      <c r="M1200">
        <f>8131.01</f>
        <v>8131.01</v>
      </c>
      <c r="N1200">
        <f>316.994</f>
        <v>316.99400000000003</v>
      </c>
      <c r="O1200">
        <f>2749.68</f>
        <v>2749.68</v>
      </c>
      <c r="P1200" t="e">
        <f>NA()</f>
        <v>#N/A</v>
      </c>
      <c r="Q1200">
        <f>2508.484</f>
        <v>2508.4839999999999</v>
      </c>
      <c r="R1200">
        <f>5222.43</f>
        <v>5222.43</v>
      </c>
      <c r="S1200" t="e">
        <f>NA()</f>
        <v>#N/A</v>
      </c>
      <c r="T1200">
        <f>3796.447</f>
        <v>3796.4470000000001</v>
      </c>
      <c r="U1200">
        <f>50697.7</f>
        <v>50697.7</v>
      </c>
      <c r="V1200">
        <f>407.21</f>
        <v>407.21</v>
      </c>
    </row>
    <row r="1201" spans="1:22" x14ac:dyDescent="0.2">
      <c r="A1201" s="1">
        <v>43426</v>
      </c>
      <c r="B1201">
        <f>2555.74</f>
        <v>2555.7399999999998</v>
      </c>
      <c r="C1201">
        <f>9399.96</f>
        <v>9399.9599999999991</v>
      </c>
      <c r="D1201">
        <f>6146.82</f>
        <v>6146.82</v>
      </c>
      <c r="E1201">
        <f>2178.029</f>
        <v>2178.029</v>
      </c>
      <c r="F1201">
        <f>1915.36</f>
        <v>1915.36</v>
      </c>
      <c r="G1201">
        <f>7990.609</f>
        <v>7990.6090000000004</v>
      </c>
      <c r="H1201">
        <f>3084.63</f>
        <v>3084.63</v>
      </c>
      <c r="I1201">
        <f>9341.598</f>
        <v>9341.598</v>
      </c>
      <c r="J1201">
        <f>3988.75</f>
        <v>3988.75</v>
      </c>
      <c r="K1201">
        <f>10893.55</f>
        <v>10893.55</v>
      </c>
      <c r="L1201">
        <f>1968.06</f>
        <v>1968.06</v>
      </c>
      <c r="M1201">
        <f>8167.47</f>
        <v>8167.47</v>
      </c>
      <c r="N1201">
        <f>314.457</f>
        <v>314.45699999999999</v>
      </c>
      <c r="O1201">
        <f>2739.76</f>
        <v>2739.76</v>
      </c>
      <c r="P1201">
        <f>255.87</f>
        <v>255.87</v>
      </c>
      <c r="Q1201" t="e">
        <f>NA()</f>
        <v>#N/A</v>
      </c>
      <c r="R1201" t="e">
        <f>NA()</f>
        <v>#N/A</v>
      </c>
      <c r="S1201">
        <f>2418.67</f>
        <v>2418.67</v>
      </c>
      <c r="T1201">
        <f>3804.849</f>
        <v>3804.8490000000002</v>
      </c>
      <c r="U1201">
        <f>51187.35</f>
        <v>51187.35</v>
      </c>
      <c r="V1201">
        <f>409.14</f>
        <v>409.14</v>
      </c>
    </row>
    <row r="1202" spans="1:22" x14ac:dyDescent="0.2">
      <c r="A1202" s="1">
        <v>43425</v>
      </c>
      <c r="B1202">
        <f>2587.39</f>
        <v>2587.39</v>
      </c>
      <c r="C1202">
        <f>9375.15</f>
        <v>9375.15</v>
      </c>
      <c r="D1202">
        <f>6217.6</f>
        <v>6217.6</v>
      </c>
      <c r="E1202">
        <f>2175.766</f>
        <v>2175.7660000000001</v>
      </c>
      <c r="F1202">
        <f>1911.44</f>
        <v>1911.44</v>
      </c>
      <c r="G1202">
        <f>8018.669</f>
        <v>8018.6689999999999</v>
      </c>
      <c r="H1202">
        <f>3059.47</f>
        <v>3059.47</v>
      </c>
      <c r="I1202">
        <f>9403.583</f>
        <v>9403.5830000000005</v>
      </c>
      <c r="J1202">
        <f>3988.75</f>
        <v>3988.75</v>
      </c>
      <c r="K1202">
        <f>10893.55</f>
        <v>10893.55</v>
      </c>
      <c r="L1202">
        <f>1971.1</f>
        <v>1971.1</v>
      </c>
      <c r="M1202">
        <f>8169.56</f>
        <v>8169.56</v>
      </c>
      <c r="N1202">
        <f>315.608</f>
        <v>315.608</v>
      </c>
      <c r="O1202">
        <f>2759.02</f>
        <v>2759.02</v>
      </c>
      <c r="P1202">
        <f>253.31</f>
        <v>253.31</v>
      </c>
      <c r="Q1202">
        <f>2516.391</f>
        <v>2516.3910000000001</v>
      </c>
      <c r="R1202">
        <f>5256.61</f>
        <v>5256.61</v>
      </c>
      <c r="S1202">
        <f>2399.27</f>
        <v>2399.27</v>
      </c>
      <c r="T1202">
        <f>3807.552</f>
        <v>3807.5520000000001</v>
      </c>
      <c r="U1202">
        <f>51318.65</f>
        <v>51318.65</v>
      </c>
      <c r="V1202">
        <f>409.51</f>
        <v>409.51</v>
      </c>
    </row>
    <row r="1203" spans="1:22" x14ac:dyDescent="0.2">
      <c r="A1203" s="1">
        <v>43424</v>
      </c>
      <c r="B1203">
        <f>2552.65</f>
        <v>2552.65</v>
      </c>
      <c r="C1203">
        <f>9371.95</f>
        <v>9371.9500000000007</v>
      </c>
      <c r="D1203">
        <f>6127.37</f>
        <v>6127.37</v>
      </c>
      <c r="E1203">
        <f>2170.174</f>
        <v>2170.174</v>
      </c>
      <c r="F1203">
        <f>1896.55</f>
        <v>1896.55</v>
      </c>
      <c r="G1203">
        <f>7931.876</f>
        <v>7931.8760000000002</v>
      </c>
      <c r="H1203">
        <f>3078.7</f>
        <v>3078.7</v>
      </c>
      <c r="I1203">
        <f>9312.304</f>
        <v>9312.3040000000001</v>
      </c>
      <c r="J1203">
        <f>4004.61</f>
        <v>4004.61</v>
      </c>
      <c r="K1203">
        <f>10854.86</f>
        <v>10854.86</v>
      </c>
      <c r="L1203">
        <f>1971.9</f>
        <v>1971.9</v>
      </c>
      <c r="M1203">
        <f>8136.84</f>
        <v>8136.84</v>
      </c>
      <c r="N1203">
        <f>312.412</f>
        <v>312.41199999999998</v>
      </c>
      <c r="O1203">
        <f>2728</f>
        <v>2728</v>
      </c>
      <c r="P1203">
        <f>254.89</f>
        <v>254.89</v>
      </c>
      <c r="Q1203">
        <f>2510.698</f>
        <v>2510.6979999999999</v>
      </c>
      <c r="R1203">
        <f>5240.23</f>
        <v>5240.2299999999996</v>
      </c>
      <c r="S1203">
        <f>2413.8</f>
        <v>2413.8000000000002</v>
      </c>
      <c r="T1203">
        <f>3804.21</f>
        <v>3804.21</v>
      </c>
      <c r="U1203">
        <f>51067.78</f>
        <v>51067.78</v>
      </c>
      <c r="V1203">
        <f>408.38</f>
        <v>408.38</v>
      </c>
    </row>
    <row r="1204" spans="1:22" x14ac:dyDescent="0.2">
      <c r="A1204" s="1">
        <v>43423</v>
      </c>
      <c r="B1204">
        <f>2564.36</f>
        <v>2564.36</v>
      </c>
      <c r="C1204">
        <f>9500.08</f>
        <v>9500.08</v>
      </c>
      <c r="D1204">
        <f>6174.09</f>
        <v>6174.09</v>
      </c>
      <c r="E1204">
        <f>2205.25</f>
        <v>2205.25</v>
      </c>
      <c r="F1204">
        <f>1918.36</f>
        <v>1918.36</v>
      </c>
      <c r="G1204">
        <f>8014.959</f>
        <v>8014.9589999999998</v>
      </c>
      <c r="H1204">
        <f>3090.06</f>
        <v>3090.06</v>
      </c>
      <c r="I1204">
        <f>9470.655</f>
        <v>9470.6550000000007</v>
      </c>
      <c r="J1204">
        <f>4069.78</f>
        <v>4069.78</v>
      </c>
      <c r="K1204">
        <f>11052.06</f>
        <v>11052.06</v>
      </c>
      <c r="L1204">
        <f>1999.14</f>
        <v>1999.14</v>
      </c>
      <c r="M1204">
        <f>8270.97</f>
        <v>8270.9699999999993</v>
      </c>
      <c r="N1204">
        <f>314.829</f>
        <v>314.82900000000001</v>
      </c>
      <c r="O1204">
        <f>2756.67</f>
        <v>2756.67</v>
      </c>
      <c r="P1204">
        <f>254.67</f>
        <v>254.67</v>
      </c>
      <c r="Q1204">
        <f>2556.597</f>
        <v>2556.5970000000002</v>
      </c>
      <c r="R1204">
        <f>5336.7</f>
        <v>5336.7</v>
      </c>
      <c r="S1204">
        <f>2431.51</f>
        <v>2431.5100000000002</v>
      </c>
      <c r="T1204">
        <f>3865.675</f>
        <v>3865.6750000000002</v>
      </c>
      <c r="U1204">
        <f>52423.53</f>
        <v>52423.53</v>
      </c>
      <c r="V1204">
        <f>416.69</f>
        <v>416.69</v>
      </c>
    </row>
    <row r="1205" spans="1:22" x14ac:dyDescent="0.2">
      <c r="A1205" s="1">
        <v>43420</v>
      </c>
      <c r="B1205">
        <f>2566.31</f>
        <v>2566.31</v>
      </c>
      <c r="C1205">
        <f>9460.29</f>
        <v>9460.2900000000009</v>
      </c>
      <c r="D1205">
        <f>6185.54</f>
        <v>6185.54</v>
      </c>
      <c r="E1205">
        <f>2200.765</f>
        <v>2200.7649999999999</v>
      </c>
      <c r="F1205">
        <f>1912.79</f>
        <v>1912.79</v>
      </c>
      <c r="G1205">
        <f>8012.735</f>
        <v>8012.7349999999997</v>
      </c>
      <c r="H1205">
        <f>3072.73</f>
        <v>3072.73</v>
      </c>
      <c r="I1205">
        <f>9502.098</f>
        <v>9502.098</v>
      </c>
      <c r="J1205">
        <f>4092.19</f>
        <v>4092.19</v>
      </c>
      <c r="K1205">
        <f>11243.17</f>
        <v>11243.17</v>
      </c>
      <c r="L1205">
        <f>2001.91</f>
        <v>2001.91</v>
      </c>
      <c r="M1205">
        <f>8361.75</f>
        <v>8361.75</v>
      </c>
      <c r="N1205">
        <f>318.151</f>
        <v>318.15100000000001</v>
      </c>
      <c r="O1205">
        <f>2777.36</f>
        <v>2777.36</v>
      </c>
      <c r="P1205">
        <f>254.83</f>
        <v>254.83</v>
      </c>
      <c r="Q1205">
        <f>2579.778</f>
        <v>2579.7779999999998</v>
      </c>
      <c r="R1205">
        <f>5426.86</f>
        <v>5426.86</v>
      </c>
      <c r="S1205">
        <f>2419.19</f>
        <v>2419.19</v>
      </c>
      <c r="T1205">
        <f>3835.227</f>
        <v>3835.2269999999999</v>
      </c>
      <c r="U1205">
        <f>52096.04</f>
        <v>52096.04</v>
      </c>
      <c r="V1205">
        <f>413.98</f>
        <v>413.98</v>
      </c>
    </row>
    <row r="1206" spans="1:22" x14ac:dyDescent="0.2">
      <c r="A1206" s="1">
        <v>43419</v>
      </c>
      <c r="B1206">
        <f>2565.21</f>
        <v>2565.21</v>
      </c>
      <c r="C1206">
        <f>9407.4</f>
        <v>9407.4</v>
      </c>
      <c r="D1206">
        <f>6206.82</f>
        <v>6206.82</v>
      </c>
      <c r="E1206">
        <f>2188.579</f>
        <v>2188.5790000000002</v>
      </c>
      <c r="F1206">
        <f>1913.46</f>
        <v>1913.46</v>
      </c>
      <c r="G1206">
        <f>8008.439</f>
        <v>8008.4390000000003</v>
      </c>
      <c r="H1206">
        <f>3082.03</f>
        <v>3082.03</v>
      </c>
      <c r="I1206">
        <f>9440.253</f>
        <v>9440.2530000000006</v>
      </c>
      <c r="J1206">
        <f>4072.59</f>
        <v>4072.59</v>
      </c>
      <c r="K1206">
        <f>11217.35</f>
        <v>11217.35</v>
      </c>
      <c r="L1206">
        <f>1990.1</f>
        <v>1990.1</v>
      </c>
      <c r="M1206">
        <f>8338.88</f>
        <v>8338.8799999999992</v>
      </c>
      <c r="N1206">
        <f>317.103</f>
        <v>317.10300000000001</v>
      </c>
      <c r="O1206">
        <f>2780.14</f>
        <v>2780.14</v>
      </c>
      <c r="P1206">
        <f>256.88</f>
        <v>256.88</v>
      </c>
      <c r="Q1206">
        <f>2563.539</f>
        <v>2563.5390000000002</v>
      </c>
      <c r="R1206">
        <f>5414.43</f>
        <v>5414.43</v>
      </c>
      <c r="S1206">
        <f>2433.53</f>
        <v>2433.5300000000002</v>
      </c>
      <c r="T1206">
        <f>3840.032</f>
        <v>3840.0320000000002</v>
      </c>
      <c r="U1206">
        <f>52146.04</f>
        <v>52146.04</v>
      </c>
      <c r="V1206">
        <f>414.33</f>
        <v>414.33</v>
      </c>
    </row>
    <row r="1207" spans="1:22" x14ac:dyDescent="0.2">
      <c r="A1207" s="1">
        <v>43418</v>
      </c>
      <c r="B1207">
        <f>2624.53</f>
        <v>2624.53</v>
      </c>
      <c r="C1207">
        <f>9319.87</f>
        <v>9319.8700000000008</v>
      </c>
      <c r="D1207">
        <f>6189.72</f>
        <v>6189.72</v>
      </c>
      <c r="E1207">
        <f>2160.151</f>
        <v>2160.1509999999998</v>
      </c>
      <c r="F1207">
        <f>1993.65</f>
        <v>1993.65</v>
      </c>
      <c r="G1207">
        <f>8118.86</f>
        <v>8118.86</v>
      </c>
      <c r="H1207">
        <f>3065.24</f>
        <v>3065.24</v>
      </c>
      <c r="I1207">
        <f>9497.953</f>
        <v>9497.9529999999995</v>
      </c>
      <c r="J1207">
        <f>4041.67</f>
        <v>4041.67</v>
      </c>
      <c r="K1207">
        <f>11093.97</f>
        <v>11093.97</v>
      </c>
      <c r="L1207">
        <f>1987.18</f>
        <v>1987.18</v>
      </c>
      <c r="M1207">
        <f>8290.17</f>
        <v>8290.17</v>
      </c>
      <c r="N1207">
        <f>322.691</f>
        <v>322.69099999999997</v>
      </c>
      <c r="O1207">
        <f>2808.43</f>
        <v>2808.43</v>
      </c>
      <c r="P1207">
        <f>256.9</f>
        <v>256.89999999999998</v>
      </c>
      <c r="Q1207">
        <f>2540.782</f>
        <v>2540.7820000000002</v>
      </c>
      <c r="R1207">
        <f>5355.94</f>
        <v>5355.94</v>
      </c>
      <c r="S1207">
        <f>2436.92</f>
        <v>2436.92</v>
      </c>
      <c r="T1207">
        <f>3821.367</f>
        <v>3821.3670000000002</v>
      </c>
      <c r="U1207">
        <f>51999.45</f>
        <v>51999.45</v>
      </c>
      <c r="V1207">
        <f>409.16</f>
        <v>409.16</v>
      </c>
    </row>
    <row r="1208" spans="1:22" x14ac:dyDescent="0.2">
      <c r="A1208" s="1">
        <v>43417</v>
      </c>
      <c r="B1208">
        <f>2627.14</f>
        <v>2627.14</v>
      </c>
      <c r="C1208">
        <f>9310.07</f>
        <v>9310.07</v>
      </c>
      <c r="D1208">
        <f>6207.29</f>
        <v>6207.29</v>
      </c>
      <c r="E1208">
        <f>2155.358</f>
        <v>2155.3580000000002</v>
      </c>
      <c r="F1208">
        <f>1991.44</f>
        <v>1991.44</v>
      </c>
      <c r="G1208">
        <f>8139.18</f>
        <v>8139.18</v>
      </c>
      <c r="H1208">
        <f>3055</f>
        <v>3055</v>
      </c>
      <c r="I1208">
        <f>9532.135</f>
        <v>9532.1350000000002</v>
      </c>
      <c r="J1208">
        <f>4064.23</f>
        <v>4064.23</v>
      </c>
      <c r="K1208">
        <f>11175.91</f>
        <v>11175.91</v>
      </c>
      <c r="L1208">
        <f>1994.85</f>
        <v>1994.85</v>
      </c>
      <c r="M1208">
        <f>8335.41</f>
        <v>8335.41</v>
      </c>
      <c r="N1208">
        <f>322.412</f>
        <v>322.41199999999998</v>
      </c>
      <c r="O1208">
        <f>2826.38</f>
        <v>2826.38</v>
      </c>
      <c r="P1208">
        <f>256.16</f>
        <v>256.16000000000003</v>
      </c>
      <c r="Q1208">
        <f>2549.724</f>
        <v>2549.7240000000002</v>
      </c>
      <c r="R1208">
        <f>5395.37</f>
        <v>5395.37</v>
      </c>
      <c r="S1208">
        <f>2432.76</f>
        <v>2432.7600000000002</v>
      </c>
      <c r="T1208">
        <f>3844.811</f>
        <v>3844.8110000000001</v>
      </c>
      <c r="U1208">
        <f>52109.8</f>
        <v>52109.8</v>
      </c>
      <c r="V1208">
        <f>414.94</f>
        <v>414.94</v>
      </c>
    </row>
    <row r="1209" spans="1:22" x14ac:dyDescent="0.2">
      <c r="A1209" s="1">
        <v>43416</v>
      </c>
      <c r="B1209">
        <f>2621.59</f>
        <v>2621.59</v>
      </c>
      <c r="C1209">
        <f>9350.06</f>
        <v>9350.06</v>
      </c>
      <c r="D1209">
        <f>6206.7</f>
        <v>6206.7</v>
      </c>
      <c r="E1209">
        <f>2156.188</f>
        <v>2156.1880000000001</v>
      </c>
      <c r="F1209">
        <f>1948.4</f>
        <v>1948.4</v>
      </c>
      <c r="G1209">
        <f>8056.162</f>
        <v>8056.1620000000003</v>
      </c>
      <c r="H1209">
        <f>3118.13</f>
        <v>3118.13</v>
      </c>
      <c r="I1209">
        <f>9446.376</f>
        <v>9446.3760000000002</v>
      </c>
      <c r="J1209">
        <f>4077.15</f>
        <v>4077.15</v>
      </c>
      <c r="K1209">
        <f>11190.99</f>
        <v>11190.99</v>
      </c>
      <c r="L1209">
        <f>1995.1</f>
        <v>1995.1</v>
      </c>
      <c r="M1209">
        <f>8343.36</f>
        <v>8343.36</v>
      </c>
      <c r="N1209">
        <f>320.22</f>
        <v>320.22000000000003</v>
      </c>
      <c r="O1209">
        <f>2805.76</f>
        <v>2805.76</v>
      </c>
      <c r="P1209">
        <f>261.63</f>
        <v>261.63</v>
      </c>
      <c r="Q1209">
        <f>2550.59</f>
        <v>2550.59</v>
      </c>
      <c r="R1209">
        <f>5403.19</f>
        <v>5403.19</v>
      </c>
      <c r="S1209">
        <f>2482.49</f>
        <v>2482.4899999999998</v>
      </c>
      <c r="T1209">
        <f>3838.658</f>
        <v>3838.6579999999999</v>
      </c>
      <c r="U1209">
        <f>52259.47</f>
        <v>52259.47</v>
      </c>
      <c r="V1209">
        <f>415.84</f>
        <v>415.84</v>
      </c>
    </row>
    <row r="1210" spans="1:22" x14ac:dyDescent="0.2">
      <c r="A1210" s="1">
        <v>43413</v>
      </c>
      <c r="B1210">
        <f>2657.55</f>
        <v>2657.55</v>
      </c>
      <c r="C1210">
        <f>9433.73</f>
        <v>9433.73</v>
      </c>
      <c r="D1210">
        <f>6252.68</f>
        <v>6252.68</v>
      </c>
      <c r="E1210">
        <f>2177.963</f>
        <v>2177.9630000000002</v>
      </c>
      <c r="F1210">
        <f>1987.62</f>
        <v>1987.62</v>
      </c>
      <c r="G1210">
        <f>8214.986</f>
        <v>8214.9860000000008</v>
      </c>
      <c r="H1210">
        <f>3109.85</f>
        <v>3109.85</v>
      </c>
      <c r="I1210">
        <f>9617.851</f>
        <v>9617.8510000000006</v>
      </c>
      <c r="J1210">
        <f>4123.77</f>
        <v>4123.7700000000004</v>
      </c>
      <c r="K1210">
        <f>11417.64</f>
        <v>11417.64</v>
      </c>
      <c r="L1210">
        <f>2012.85</f>
        <v>2012.85</v>
      </c>
      <c r="M1210">
        <f>8484.64</f>
        <v>8484.64</v>
      </c>
      <c r="N1210">
        <f>322.689</f>
        <v>322.68900000000002</v>
      </c>
      <c r="O1210">
        <f>2831.36</f>
        <v>2831.36</v>
      </c>
      <c r="P1210">
        <f>261.2</f>
        <v>261.2</v>
      </c>
      <c r="Q1210">
        <f>2577.943</f>
        <v>2577.9430000000002</v>
      </c>
      <c r="R1210">
        <f>5511.79</f>
        <v>5511.79</v>
      </c>
      <c r="S1210">
        <f>2484.01</f>
        <v>2484.0100000000002</v>
      </c>
      <c r="T1210">
        <f>3923.52</f>
        <v>3923.52</v>
      </c>
      <c r="U1210">
        <f>53295.35</f>
        <v>53295.35</v>
      </c>
      <c r="V1210">
        <f>427.1</f>
        <v>427.1</v>
      </c>
    </row>
    <row r="1211" spans="1:22" x14ac:dyDescent="0.2">
      <c r="A1211" s="1">
        <v>43412</v>
      </c>
      <c r="B1211">
        <f>2669.09</f>
        <v>2669.09</v>
      </c>
      <c r="C1211">
        <f>9588.94</f>
        <v>9588.94</v>
      </c>
      <c r="D1211">
        <f>6283.78</f>
        <v>6283.78</v>
      </c>
      <c r="E1211">
        <f>2216.677</f>
        <v>2216.6770000000001</v>
      </c>
      <c r="F1211">
        <f>2012.46</f>
        <v>2012.46</v>
      </c>
      <c r="G1211">
        <f>8315.563</f>
        <v>8315.5630000000001</v>
      </c>
      <c r="H1211">
        <f>3124.44</f>
        <v>3124.44</v>
      </c>
      <c r="I1211">
        <f>9702.61</f>
        <v>9702.61</v>
      </c>
      <c r="J1211">
        <f>4138.82</f>
        <v>4138.82</v>
      </c>
      <c r="K1211">
        <f>11523.88</f>
        <v>11523.88</v>
      </c>
      <c r="L1211">
        <f>2020.98</f>
        <v>2020.98</v>
      </c>
      <c r="M1211">
        <f>8563.08</f>
        <v>8563.08</v>
      </c>
      <c r="N1211">
        <f>322.955</f>
        <v>322.95499999999998</v>
      </c>
      <c r="O1211">
        <f>2841.27</f>
        <v>2841.27</v>
      </c>
      <c r="P1211">
        <f>262.18</f>
        <v>262.18</v>
      </c>
      <c r="Q1211">
        <f>2588.546</f>
        <v>2588.5459999999998</v>
      </c>
      <c r="R1211">
        <f>5562</f>
        <v>5562</v>
      </c>
      <c r="S1211">
        <f>2496.3</f>
        <v>2496.3000000000002</v>
      </c>
      <c r="T1211">
        <f>3946.653</f>
        <v>3946.6529999999998</v>
      </c>
      <c r="U1211">
        <f>54064.82</f>
        <v>54064.82</v>
      </c>
      <c r="V1211">
        <f>430.38</f>
        <v>430.38</v>
      </c>
    </row>
    <row r="1212" spans="1:22" x14ac:dyDescent="0.2">
      <c r="A1212" s="1">
        <v>43411</v>
      </c>
      <c r="B1212">
        <f>2644.91</f>
        <v>2644.91</v>
      </c>
      <c r="C1212">
        <f>9607.58</f>
        <v>9607.58</v>
      </c>
      <c r="D1212">
        <f>6257.81</f>
        <v>6257.81</v>
      </c>
      <c r="E1212">
        <f>2226.351</f>
        <v>2226.3510000000001</v>
      </c>
      <c r="F1212">
        <f>1984.57</f>
        <v>1984.57</v>
      </c>
      <c r="G1212">
        <f>8283.054</f>
        <v>8283.0540000000001</v>
      </c>
      <c r="H1212">
        <f>3102.85</f>
        <v>3102.85</v>
      </c>
      <c r="I1212">
        <f>9741.552</f>
        <v>9741.5519999999997</v>
      </c>
      <c r="J1212">
        <f>4136.55</f>
        <v>4136.55</v>
      </c>
      <c r="K1212">
        <f>11551.49</f>
        <v>11551.49</v>
      </c>
      <c r="L1212">
        <f>2018.26</f>
        <v>2018.26</v>
      </c>
      <c r="M1212">
        <f>8567.52</f>
        <v>8567.52</v>
      </c>
      <c r="N1212">
        <f>322.792</f>
        <v>322.79199999999997</v>
      </c>
      <c r="O1212">
        <f>2836.91</f>
        <v>2836.91</v>
      </c>
      <c r="P1212">
        <f>257.53</f>
        <v>257.52999999999997</v>
      </c>
      <c r="Q1212">
        <f>2582.857</f>
        <v>2582.857</v>
      </c>
      <c r="R1212">
        <f>5573.06</f>
        <v>5573.06</v>
      </c>
      <c r="S1212">
        <f>2453.51</f>
        <v>2453.5100000000002</v>
      </c>
      <c r="T1212">
        <f>3990.5</f>
        <v>3990.5</v>
      </c>
      <c r="U1212">
        <f>54700.64</f>
        <v>54700.639999999999</v>
      </c>
      <c r="V1212">
        <f>434.96</f>
        <v>434.96</v>
      </c>
    </row>
    <row r="1213" spans="1:22" x14ac:dyDescent="0.2">
      <c r="A1213" s="1">
        <v>43410</v>
      </c>
      <c r="B1213">
        <f>2633.9</f>
        <v>2633.9</v>
      </c>
      <c r="C1213">
        <f>9520.91</f>
        <v>9520.91</v>
      </c>
      <c r="D1213">
        <f>6190.45</f>
        <v>6190.45</v>
      </c>
      <c r="E1213">
        <f>2213.638</f>
        <v>2213.6379999999999</v>
      </c>
      <c r="F1213">
        <f>1968.59</f>
        <v>1968.59</v>
      </c>
      <c r="G1213">
        <f>8164.138</f>
        <v>8164.1379999999999</v>
      </c>
      <c r="H1213">
        <f>3122.16</f>
        <v>3122.16</v>
      </c>
      <c r="I1213">
        <f>9594.762</f>
        <v>9594.7620000000006</v>
      </c>
      <c r="J1213">
        <f>4072.11</f>
        <v>4072.11</v>
      </c>
      <c r="K1213">
        <f>11314.65</f>
        <v>11314.65</v>
      </c>
      <c r="L1213">
        <f>1995.23</f>
        <v>1995.23</v>
      </c>
      <c r="M1213">
        <f>8428.52</f>
        <v>8428.52</v>
      </c>
      <c r="N1213">
        <f>318.135</f>
        <v>318.13499999999999</v>
      </c>
      <c r="O1213">
        <f>2806.74</f>
        <v>2806.74</v>
      </c>
      <c r="P1213">
        <f>257.29</f>
        <v>257.29000000000002</v>
      </c>
      <c r="Q1213">
        <f>2544.855</f>
        <v>2544.855</v>
      </c>
      <c r="R1213">
        <f>5457.25</f>
        <v>5457.25</v>
      </c>
      <c r="S1213">
        <f>2463.76</f>
        <v>2463.7600000000002</v>
      </c>
      <c r="T1213">
        <f>3931.129</f>
        <v>3931.1289999999999</v>
      </c>
      <c r="U1213">
        <f>54450.55</f>
        <v>54450.55</v>
      </c>
      <c r="V1213">
        <f>429.36</f>
        <v>429.36</v>
      </c>
    </row>
    <row r="1214" spans="1:22" x14ac:dyDescent="0.2">
      <c r="A1214" s="1">
        <v>43409</v>
      </c>
      <c r="B1214">
        <f>2649.63</f>
        <v>2649.63</v>
      </c>
      <c r="C1214">
        <f>9528.31</f>
        <v>9528.31</v>
      </c>
      <c r="D1214">
        <f>6245.99</f>
        <v>6245.99</v>
      </c>
      <c r="E1214">
        <f>2213.72</f>
        <v>2213.7199999999998</v>
      </c>
      <c r="F1214">
        <f>1987.69</f>
        <v>1987.69</v>
      </c>
      <c r="G1214">
        <f>8196.502</f>
        <v>8196.5020000000004</v>
      </c>
      <c r="H1214">
        <f>3087.48</f>
        <v>3087.48</v>
      </c>
      <c r="I1214">
        <f>9603.437</f>
        <v>9603.4369999999999</v>
      </c>
      <c r="J1214">
        <f>4050.1</f>
        <v>4050.1</v>
      </c>
      <c r="K1214">
        <f>11244.42</f>
        <v>11244.42</v>
      </c>
      <c r="L1214">
        <f>1988.54</f>
        <v>1988.54</v>
      </c>
      <c r="M1214">
        <f>8387.1</f>
        <v>8387.1</v>
      </c>
      <c r="N1214">
        <f>317.868</f>
        <v>317.86799999999999</v>
      </c>
      <c r="O1214">
        <f>2816.2</f>
        <v>2816.2</v>
      </c>
      <c r="P1214">
        <f>255.72</f>
        <v>255.72</v>
      </c>
      <c r="Q1214">
        <f>2527.69</f>
        <v>2527.69</v>
      </c>
      <c r="R1214">
        <f>5422.88</f>
        <v>5422.88</v>
      </c>
      <c r="S1214">
        <f>2435.61</f>
        <v>2435.61</v>
      </c>
      <c r="T1214">
        <f>3977.579</f>
        <v>3977.5790000000002</v>
      </c>
      <c r="U1214">
        <f>54915.66</f>
        <v>54915.66</v>
      </c>
      <c r="V1214">
        <f>435.01</f>
        <v>435.01</v>
      </c>
    </row>
    <row r="1215" spans="1:22" x14ac:dyDescent="0.2">
      <c r="A1215" s="1">
        <v>43406</v>
      </c>
      <c r="B1215">
        <f>2656.71</f>
        <v>2656.71</v>
      </c>
      <c r="C1215">
        <f>9533.77</f>
        <v>9533.77</v>
      </c>
      <c r="D1215">
        <f>6237.44</f>
        <v>6237.44</v>
      </c>
      <c r="E1215">
        <f>2223.336</f>
        <v>2223.3359999999998</v>
      </c>
      <c r="F1215">
        <f>1983.79</f>
        <v>1983.79</v>
      </c>
      <c r="G1215">
        <f>8148.315</f>
        <v>8148.3149999999996</v>
      </c>
      <c r="H1215">
        <f>3127.87</f>
        <v>3127.87</v>
      </c>
      <c r="I1215">
        <f>9613.531</f>
        <v>9613.5310000000009</v>
      </c>
      <c r="J1215">
        <f>4009.04</f>
        <v>4009.04</v>
      </c>
      <c r="K1215">
        <f>11189.03</f>
        <v>11189.03</v>
      </c>
      <c r="L1215">
        <f>1974.74</f>
        <v>1974.74</v>
      </c>
      <c r="M1215">
        <f>8370.57</f>
        <v>8370.57</v>
      </c>
      <c r="N1215">
        <f>318.863</f>
        <v>318.863</v>
      </c>
      <c r="O1215">
        <f>2818.33</f>
        <v>2818.33</v>
      </c>
      <c r="P1215">
        <f>256.82</f>
        <v>256.82</v>
      </c>
      <c r="Q1215">
        <f>2509.658</f>
        <v>2509.6579999999999</v>
      </c>
      <c r="R1215">
        <f>5392.53</f>
        <v>5392.53</v>
      </c>
      <c r="S1215">
        <f>2462.88</f>
        <v>2462.88</v>
      </c>
      <c r="T1215">
        <f>3932.266</f>
        <v>3932.2660000000001</v>
      </c>
      <c r="U1215">
        <f>54271.19</f>
        <v>54271.19</v>
      </c>
      <c r="V1215">
        <f>428.1</f>
        <v>428.1</v>
      </c>
    </row>
    <row r="1216" spans="1:22" x14ac:dyDescent="0.2">
      <c r="A1216" s="1">
        <v>43405</v>
      </c>
      <c r="B1216">
        <f>2653.81</f>
        <v>2653.81</v>
      </c>
      <c r="C1216">
        <f>9351.64</f>
        <v>9351.64</v>
      </c>
      <c r="D1216">
        <f>6255.5</f>
        <v>6255.5</v>
      </c>
      <c r="E1216">
        <f>2166.955</f>
        <v>2166.9549999999999</v>
      </c>
      <c r="F1216">
        <f>1977.91</f>
        <v>1977.91</v>
      </c>
      <c r="G1216">
        <f>8181.925</f>
        <v>8181.9250000000002</v>
      </c>
      <c r="H1216">
        <f>3079.65</f>
        <v>3079.65</v>
      </c>
      <c r="I1216">
        <f>9586.015</f>
        <v>9586.0149999999994</v>
      </c>
      <c r="J1216">
        <f>4030.9</f>
        <v>4030.9</v>
      </c>
      <c r="K1216">
        <f>11261.54</f>
        <v>11261.54</v>
      </c>
      <c r="L1216">
        <f>1976.76</f>
        <v>1976.76</v>
      </c>
      <c r="M1216">
        <f>8387.49</f>
        <v>8387.49</v>
      </c>
      <c r="N1216">
        <f>318.704</f>
        <v>318.70400000000001</v>
      </c>
      <c r="O1216">
        <f>2812.76</f>
        <v>2812.76</v>
      </c>
      <c r="P1216">
        <f>254.62</f>
        <v>254.62</v>
      </c>
      <c r="Q1216">
        <f>2509.042</f>
        <v>2509.0419999999999</v>
      </c>
      <c r="R1216">
        <f>5426.33</f>
        <v>5426.33</v>
      </c>
      <c r="S1216">
        <f>2423.22</f>
        <v>2423.2199999999998</v>
      </c>
      <c r="T1216">
        <f>3878.901</f>
        <v>3878.9009999999998</v>
      </c>
      <c r="U1216">
        <f>53578.76</f>
        <v>53578.76</v>
      </c>
      <c r="V1216">
        <f>423.25</f>
        <v>423.25</v>
      </c>
    </row>
    <row r="1217" spans="1:22" x14ac:dyDescent="0.2">
      <c r="A1217" s="1">
        <v>43404</v>
      </c>
      <c r="B1217">
        <f>2617.13</f>
        <v>2617.13</v>
      </c>
      <c r="C1217">
        <f>9292.7</f>
        <v>9292.7000000000007</v>
      </c>
      <c r="D1217">
        <f>6266.04</f>
        <v>6266.04</v>
      </c>
      <c r="E1217">
        <f>2132.205</f>
        <v>2132.2049999999999</v>
      </c>
      <c r="F1217">
        <f>1899.93</f>
        <v>1899.93</v>
      </c>
      <c r="G1217">
        <f>8070.122</f>
        <v>8070.1220000000003</v>
      </c>
      <c r="H1217">
        <f>3176</f>
        <v>3176</v>
      </c>
      <c r="I1217">
        <f>9507.22</f>
        <v>9507.2199999999993</v>
      </c>
      <c r="J1217">
        <f>3991.57</f>
        <v>3991.57</v>
      </c>
      <c r="K1217">
        <f>11136.46</f>
        <v>11136.46</v>
      </c>
      <c r="L1217">
        <f>1966.19</f>
        <v>1966.19</v>
      </c>
      <c r="M1217">
        <f>8309.11</f>
        <v>8309.11</v>
      </c>
      <c r="N1217">
        <f>316.423</f>
        <v>316.423</v>
      </c>
      <c r="O1217">
        <f>2800.83</f>
        <v>2800.83</v>
      </c>
      <c r="P1217">
        <f>260.07</f>
        <v>260.07</v>
      </c>
      <c r="Q1217">
        <f>2481.0125</f>
        <v>2481.0124999999998</v>
      </c>
      <c r="R1217">
        <f>5369.49</f>
        <v>5369.49</v>
      </c>
      <c r="S1217">
        <f>2444.11</f>
        <v>2444.11</v>
      </c>
      <c r="T1217">
        <f>3804.597</f>
        <v>3804.5970000000002</v>
      </c>
      <c r="U1217">
        <f>52388.87</f>
        <v>52388.87</v>
      </c>
      <c r="V1217">
        <f>416.82</f>
        <v>416.82</v>
      </c>
    </row>
    <row r="1218" spans="1:22" x14ac:dyDescent="0.2">
      <c r="A1218" s="1">
        <v>43403</v>
      </c>
      <c r="B1218">
        <f>2608.15</f>
        <v>2608.15</v>
      </c>
      <c r="C1218">
        <f>9122.83</f>
        <v>9122.83</v>
      </c>
      <c r="D1218">
        <f>6184.94</f>
        <v>6184.94</v>
      </c>
      <c r="E1218">
        <f>2088.42</f>
        <v>2088.42</v>
      </c>
      <c r="F1218">
        <f>1882.66</f>
        <v>1882.66</v>
      </c>
      <c r="G1218">
        <f>7939.048</f>
        <v>7939.0479999999998</v>
      </c>
      <c r="H1218">
        <f>3109.5</f>
        <v>3109.5</v>
      </c>
      <c r="I1218">
        <f>9380.463</f>
        <v>9380.4629999999997</v>
      </c>
      <c r="J1218">
        <f>3990.22</f>
        <v>3990.22</v>
      </c>
      <c r="K1218">
        <f>11011.45</f>
        <v>11011.45</v>
      </c>
      <c r="L1218">
        <f>1959.5</f>
        <v>1959.5</v>
      </c>
      <c r="M1218">
        <f>8206.8</f>
        <v>8206.7999999999993</v>
      </c>
      <c r="N1218">
        <f>311.71</f>
        <v>311.70999999999998</v>
      </c>
      <c r="O1218">
        <f>2752.87</f>
        <v>2752.87</v>
      </c>
      <c r="P1218">
        <f>255.89</f>
        <v>255.89</v>
      </c>
      <c r="Q1218">
        <f>2481.811</f>
        <v>2481.8110000000001</v>
      </c>
      <c r="R1218">
        <f>5311.67</f>
        <v>5311.67</v>
      </c>
      <c r="S1218">
        <f>2392.66</f>
        <v>2392.66</v>
      </c>
      <c r="T1218">
        <f>3747.223</f>
        <v>3747.223</v>
      </c>
      <c r="U1218">
        <f>50756.59</f>
        <v>50756.59</v>
      </c>
      <c r="V1218">
        <f>410.92</f>
        <v>410.92</v>
      </c>
    </row>
    <row r="1219" spans="1:22" x14ac:dyDescent="0.2">
      <c r="A1219" s="1">
        <v>43402</v>
      </c>
      <c r="B1219">
        <f>2586.93</f>
        <v>2586.9299999999998</v>
      </c>
      <c r="C1219">
        <f>9118.5</f>
        <v>9118.5</v>
      </c>
      <c r="D1219">
        <f>6176.56</f>
        <v>6176.56</v>
      </c>
      <c r="E1219">
        <f>2085.018</f>
        <v>2085.018</v>
      </c>
      <c r="F1219">
        <f>1881.08</f>
        <v>1881.08</v>
      </c>
      <c r="G1219">
        <f>7978.388</f>
        <v>7978.3879999999999</v>
      </c>
      <c r="H1219">
        <f>3084.33</f>
        <v>3084.33</v>
      </c>
      <c r="I1219">
        <f>9389.111</f>
        <v>9389.1110000000008</v>
      </c>
      <c r="J1219">
        <f>3916.85</f>
        <v>3916.85</v>
      </c>
      <c r="K1219">
        <f>10839.54</f>
        <v>10839.54</v>
      </c>
      <c r="L1219">
        <f>1943.44</f>
        <v>1943.44</v>
      </c>
      <c r="M1219">
        <f>8117.82</f>
        <v>8117.82</v>
      </c>
      <c r="N1219">
        <f>311.918</f>
        <v>311.91800000000001</v>
      </c>
      <c r="O1219">
        <f>2753.64</f>
        <v>2753.64</v>
      </c>
      <c r="P1219">
        <f>253.37</f>
        <v>253.37</v>
      </c>
      <c r="Q1219">
        <f>2428.71</f>
        <v>2428.71</v>
      </c>
      <c r="R1219">
        <f>5229.28</f>
        <v>5229.28</v>
      </c>
      <c r="S1219">
        <f>2360.14</f>
        <v>2360.14</v>
      </c>
      <c r="T1219">
        <f>3751.961</f>
        <v>3751.9609999999998</v>
      </c>
      <c r="U1219">
        <f>51320.52</f>
        <v>51320.52</v>
      </c>
      <c r="V1219">
        <f>414.98</f>
        <v>414.98</v>
      </c>
    </row>
    <row r="1220" spans="1:22" x14ac:dyDescent="0.2">
      <c r="A1220" s="1">
        <v>43399</v>
      </c>
      <c r="B1220">
        <f>2551.25</f>
        <v>2551.25</v>
      </c>
      <c r="C1220">
        <f>9089.06</f>
        <v>9089.06</v>
      </c>
      <c r="D1220">
        <f>6100.29</f>
        <v>6100.29</v>
      </c>
      <c r="E1220">
        <f>2095.625</f>
        <v>2095.625</v>
      </c>
      <c r="F1220">
        <f>1840.99</f>
        <v>1840.99</v>
      </c>
      <c r="G1220">
        <f>7889.214</f>
        <v>7889.2139999999999</v>
      </c>
      <c r="H1220">
        <f>3125.15</f>
        <v>3125.15</v>
      </c>
      <c r="I1220">
        <f>9298.084</f>
        <v>9298.0840000000007</v>
      </c>
      <c r="J1220">
        <f>3909.08</f>
        <v>3909.08</v>
      </c>
      <c r="K1220">
        <f>10913.02</f>
        <v>10913.02</v>
      </c>
      <c r="L1220">
        <f>1933.24</f>
        <v>1933.24</v>
      </c>
      <c r="M1220">
        <f>8143.14</f>
        <v>8143.14</v>
      </c>
      <c r="N1220">
        <f>310.796</f>
        <v>310.79599999999999</v>
      </c>
      <c r="O1220">
        <f>2729.17</f>
        <v>2729.17</v>
      </c>
      <c r="P1220">
        <f>253.86</f>
        <v>253.86</v>
      </c>
      <c r="Q1220">
        <f>2420.909</f>
        <v>2420.9090000000001</v>
      </c>
      <c r="R1220">
        <f>5263.74</f>
        <v>5263.74</v>
      </c>
      <c r="S1220">
        <f>2369.64</f>
        <v>2369.64</v>
      </c>
      <c r="T1220">
        <f>3677.528</f>
        <v>3677.5279999999998</v>
      </c>
      <c r="U1220">
        <f>50837.57</f>
        <v>50837.57</v>
      </c>
      <c r="V1220">
        <f>403.75</f>
        <v>403.75</v>
      </c>
    </row>
    <row r="1221" spans="1:22" x14ac:dyDescent="0.2">
      <c r="A1221" s="1">
        <v>43398</v>
      </c>
      <c r="B1221">
        <f>2581.6</f>
        <v>2581.6</v>
      </c>
      <c r="C1221">
        <f>9191</f>
        <v>9191</v>
      </c>
      <c r="D1221">
        <f>6157.03</f>
        <v>6157.03</v>
      </c>
      <c r="E1221">
        <f>2116.545</f>
        <v>2116.5450000000001</v>
      </c>
      <c r="F1221">
        <f>1870.68</f>
        <v>1870.68</v>
      </c>
      <c r="G1221">
        <f>7960.854</f>
        <v>7960.8540000000003</v>
      </c>
      <c r="H1221">
        <f>3094.3</f>
        <v>3094.3</v>
      </c>
      <c r="I1221">
        <f>9371.833</f>
        <v>9371.8330000000005</v>
      </c>
      <c r="J1221">
        <f>3953.52</f>
        <v>3953.52</v>
      </c>
      <c r="K1221">
        <f>11104.65</f>
        <v>11104.65</v>
      </c>
      <c r="L1221">
        <f>1952.7</f>
        <v>1952.7</v>
      </c>
      <c r="M1221">
        <f>8243.26</f>
        <v>8243.26</v>
      </c>
      <c r="N1221">
        <f>313.692</f>
        <v>313.69200000000001</v>
      </c>
      <c r="O1221">
        <f>2752</f>
        <v>2752</v>
      </c>
      <c r="P1221">
        <f>254.34</f>
        <v>254.34</v>
      </c>
      <c r="Q1221">
        <f>2450.062</f>
        <v>2450.0619999999999</v>
      </c>
      <c r="R1221">
        <f>5356.54</f>
        <v>5356.54</v>
      </c>
      <c r="S1221">
        <f>2376.92</f>
        <v>2376.92</v>
      </c>
      <c r="T1221">
        <f>3741.621</f>
        <v>3741.6210000000001</v>
      </c>
      <c r="U1221">
        <f>51624.86</f>
        <v>51624.86</v>
      </c>
      <c r="V1221">
        <f>408.86</f>
        <v>408.86</v>
      </c>
    </row>
    <row r="1222" spans="1:22" x14ac:dyDescent="0.2">
      <c r="A1222" s="1">
        <v>43397</v>
      </c>
      <c r="B1222">
        <f>2567.93</f>
        <v>2567.9299999999998</v>
      </c>
      <c r="C1222">
        <f>9218.36</f>
        <v>9218.36</v>
      </c>
      <c r="D1222">
        <f>6119.75</f>
        <v>6119.75</v>
      </c>
      <c r="E1222">
        <f>2125.426</f>
        <v>2125.4259999999999</v>
      </c>
      <c r="F1222">
        <f>1895.72</f>
        <v>1895.72</v>
      </c>
      <c r="G1222">
        <f>7979.538</f>
        <v>7979.5379999999996</v>
      </c>
      <c r="H1222">
        <f>3167.38</f>
        <v>3167.38</v>
      </c>
      <c r="I1222">
        <f>9315.072</f>
        <v>9315.0720000000001</v>
      </c>
      <c r="J1222">
        <f>3921.05</f>
        <v>3921.05</v>
      </c>
      <c r="K1222">
        <f>10900.37</f>
        <v>10900.37</v>
      </c>
      <c r="L1222">
        <f>1954.06</f>
        <v>1954.06</v>
      </c>
      <c r="M1222">
        <f>8170.62</f>
        <v>8170.62</v>
      </c>
      <c r="N1222">
        <f>313.811</f>
        <v>313.81099999999998</v>
      </c>
      <c r="O1222">
        <f>2736.86</f>
        <v>2736.86</v>
      </c>
      <c r="P1222">
        <f>261.51</f>
        <v>261.51</v>
      </c>
      <c r="Q1222">
        <f>2429.8</f>
        <v>2429.8000000000002</v>
      </c>
      <c r="R1222">
        <f>5258.61</f>
        <v>5258.61</v>
      </c>
      <c r="S1222">
        <f>2452.86</f>
        <v>2452.86</v>
      </c>
      <c r="T1222">
        <f>3687.564</f>
        <v>3687.5639999999999</v>
      </c>
      <c r="U1222">
        <f>50877.34</f>
        <v>50877.34</v>
      </c>
      <c r="V1222">
        <f>403.65</f>
        <v>403.65</v>
      </c>
    </row>
    <row r="1223" spans="1:22" x14ac:dyDescent="0.2">
      <c r="A1223" s="1">
        <v>43396</v>
      </c>
      <c r="B1223">
        <f>2563.17</f>
        <v>2563.17</v>
      </c>
      <c r="C1223">
        <f>9222.49</f>
        <v>9222.49</v>
      </c>
      <c r="D1223">
        <f>6112.93</f>
        <v>6112.93</v>
      </c>
      <c r="E1223">
        <f>2142.03</f>
        <v>2142.0300000000002</v>
      </c>
      <c r="F1223">
        <f>1891.27</f>
        <v>1891.27</v>
      </c>
      <c r="G1223">
        <f>8007.82</f>
        <v>8007.82</v>
      </c>
      <c r="H1223">
        <f>3180.98</f>
        <v>3180.98</v>
      </c>
      <c r="I1223">
        <f>9408.387</f>
        <v>9408.3870000000006</v>
      </c>
      <c r="J1223">
        <f>4001.13</f>
        <v>4001.13</v>
      </c>
      <c r="K1223">
        <f>11250.7</f>
        <v>11250.7</v>
      </c>
      <c r="L1223">
        <f>1975.88</f>
        <v>1975.88</v>
      </c>
      <c r="M1223">
        <f>8356.33</f>
        <v>8356.33</v>
      </c>
      <c r="N1223">
        <f>313.323</f>
        <v>313.32299999999998</v>
      </c>
      <c r="O1223">
        <f>2742.79</f>
        <v>2742.79</v>
      </c>
      <c r="P1223">
        <f>259.8</f>
        <v>259.8</v>
      </c>
      <c r="Q1223">
        <f>2476.4</f>
        <v>2476.4</v>
      </c>
      <c r="R1223">
        <f>5426.08</f>
        <v>5426.08</v>
      </c>
      <c r="S1223">
        <f>2450.87</f>
        <v>2450.87</v>
      </c>
      <c r="T1223">
        <f>3678.61</f>
        <v>3678.61</v>
      </c>
      <c r="U1223">
        <f>51168.5</f>
        <v>51168.5</v>
      </c>
      <c r="V1223">
        <f>402.12</f>
        <v>402.12</v>
      </c>
    </row>
    <row r="1224" spans="1:22" x14ac:dyDescent="0.2">
      <c r="A1224" s="1">
        <v>43395</v>
      </c>
      <c r="B1224">
        <f>2580.08</f>
        <v>2580.08</v>
      </c>
      <c r="C1224">
        <f>9399.54</f>
        <v>9399.5400000000009</v>
      </c>
      <c r="D1224">
        <f>6189.9</f>
        <v>6189.9</v>
      </c>
      <c r="E1224">
        <f>2191.796</f>
        <v>2191.7959999999998</v>
      </c>
      <c r="F1224">
        <f>1903.98</f>
        <v>1903.98</v>
      </c>
      <c r="G1224">
        <f>8104.874</f>
        <v>8104.8739999999998</v>
      </c>
      <c r="H1224">
        <f>3241.92</f>
        <v>3241.92</v>
      </c>
      <c r="I1224">
        <f>9573.706</f>
        <v>9573.7060000000001</v>
      </c>
      <c r="J1224">
        <f>4018.35</f>
        <v>4018.35</v>
      </c>
      <c r="K1224">
        <f>11310.92</f>
        <v>11310.92</v>
      </c>
      <c r="L1224">
        <f>1985.95</f>
        <v>1985.95</v>
      </c>
      <c r="M1224">
        <f>8436.39</f>
        <v>8436.39</v>
      </c>
      <c r="N1224">
        <f>315.782</f>
        <v>315.78199999999998</v>
      </c>
      <c r="O1224">
        <f>2786.74</f>
        <v>2786.74</v>
      </c>
      <c r="P1224">
        <f>267.9</f>
        <v>267.89999999999998</v>
      </c>
      <c r="Q1224">
        <f>2488.492</f>
        <v>2488.4920000000002</v>
      </c>
      <c r="R1224">
        <f>5455.88</f>
        <v>5455.88</v>
      </c>
      <c r="S1224">
        <f>2517.07</f>
        <v>2517.0700000000002</v>
      </c>
      <c r="T1224">
        <f>3738.495</f>
        <v>3738.4949999999999</v>
      </c>
      <c r="U1224">
        <f>52204.16</f>
        <v>52204.160000000003</v>
      </c>
      <c r="V1224">
        <f>410.33</f>
        <v>410.33</v>
      </c>
    </row>
    <row r="1225" spans="1:22" x14ac:dyDescent="0.2">
      <c r="A1225" s="1">
        <v>43392</v>
      </c>
      <c r="B1225">
        <f>2584.37</f>
        <v>2584.37</v>
      </c>
      <c r="C1225">
        <f>9327.18</f>
        <v>9327.18</v>
      </c>
      <c r="D1225">
        <f>6196.05</f>
        <v>6196.05</v>
      </c>
      <c r="E1225">
        <f>2166.381</f>
        <v>2166.3809999999999</v>
      </c>
      <c r="F1225">
        <f>1916.39</f>
        <v>1916.39</v>
      </c>
      <c r="G1225">
        <f>8157.203</f>
        <v>8157.2030000000004</v>
      </c>
      <c r="H1225">
        <f>3243.54</f>
        <v>3243.54</v>
      </c>
      <c r="I1225">
        <f>9637.13</f>
        <v>9637.1299999999992</v>
      </c>
      <c r="J1225">
        <f>4038.86</f>
        <v>4038.86</v>
      </c>
      <c r="K1225">
        <f>11358.51</f>
        <v>11358.51</v>
      </c>
      <c r="L1225">
        <f>1996.42</f>
        <v>1996.42</v>
      </c>
      <c r="M1225">
        <f>8472.82</f>
        <v>8472.82</v>
      </c>
      <c r="N1225">
        <f>316.71</f>
        <v>316.70999999999998</v>
      </c>
      <c r="O1225">
        <f>2795.72</f>
        <v>2795.72</v>
      </c>
      <c r="P1225">
        <f>267.23</f>
        <v>267.23</v>
      </c>
      <c r="Q1225">
        <f>2500.29</f>
        <v>2500.29</v>
      </c>
      <c r="R1225">
        <f>5479.3</f>
        <v>5479.3</v>
      </c>
      <c r="S1225">
        <f>2513.41</f>
        <v>2513.41</v>
      </c>
      <c r="T1225">
        <f>3723.735</f>
        <v>3723.7350000000001</v>
      </c>
      <c r="U1225">
        <f>52092.98</f>
        <v>52092.98</v>
      </c>
      <c r="V1225">
        <f>407.81</f>
        <v>407.81</v>
      </c>
    </row>
    <row r="1226" spans="1:22" x14ac:dyDescent="0.2">
      <c r="A1226" s="1">
        <v>43391</v>
      </c>
      <c r="B1226">
        <f>2585.67</f>
        <v>2585.67</v>
      </c>
      <c r="C1226">
        <f>9325.07</f>
        <v>9325.07</v>
      </c>
      <c r="D1226">
        <f>6176.01</f>
        <v>6176.01</v>
      </c>
      <c r="E1226">
        <f>2165.119</f>
        <v>2165.1190000000001</v>
      </c>
      <c r="F1226">
        <f>1927.98</f>
        <v>1927.98</v>
      </c>
      <c r="G1226">
        <f>8142.919</f>
        <v>8142.9189999999999</v>
      </c>
      <c r="H1226">
        <f>3274.17</f>
        <v>3274.17</v>
      </c>
      <c r="I1226">
        <f>9642.764</f>
        <v>9642.7639999999992</v>
      </c>
      <c r="J1226">
        <f>4030.15</f>
        <v>4030.15</v>
      </c>
      <c r="K1226">
        <f>11366.32</f>
        <v>11366.32</v>
      </c>
      <c r="L1226">
        <f>1987.38</f>
        <v>1987.38</v>
      </c>
      <c r="M1226">
        <f>8481.35</f>
        <v>8481.35</v>
      </c>
      <c r="N1226">
        <f>316.719</f>
        <v>316.71899999999999</v>
      </c>
      <c r="O1226">
        <f>2797.13</f>
        <v>2797.13</v>
      </c>
      <c r="P1226">
        <f>268.62</f>
        <v>268.62</v>
      </c>
      <c r="Q1226">
        <f>2495.378</f>
        <v>2495.3780000000002</v>
      </c>
      <c r="R1226">
        <f>5481.13</f>
        <v>5481.13</v>
      </c>
      <c r="S1226">
        <f>2530.92</f>
        <v>2530.92</v>
      </c>
      <c r="T1226">
        <f>3720.666</f>
        <v>3720.6660000000002</v>
      </c>
      <c r="U1226">
        <f>52132.6</f>
        <v>52132.6</v>
      </c>
      <c r="V1226">
        <f>409.93</f>
        <v>409.93</v>
      </c>
    </row>
    <row r="1227" spans="1:22" x14ac:dyDescent="0.2">
      <c r="A1227" s="1">
        <v>43390</v>
      </c>
      <c r="B1227">
        <f>2594.36</f>
        <v>2594.36</v>
      </c>
      <c r="C1227">
        <f>9409.87</f>
        <v>9409.8700000000008</v>
      </c>
      <c r="D1227">
        <f>6198.89</f>
        <v>6198.89</v>
      </c>
      <c r="E1227">
        <f>2193.666</f>
        <v>2193.6660000000002</v>
      </c>
      <c r="F1227">
        <f>1937.83</f>
        <v>1937.83</v>
      </c>
      <c r="G1227">
        <f>8206.869</f>
        <v>8206.8690000000006</v>
      </c>
      <c r="H1227">
        <f>3294.99</f>
        <v>3294.99</v>
      </c>
      <c r="I1227">
        <f>9728.712</f>
        <v>9728.7119999999995</v>
      </c>
      <c r="J1227">
        <f>4060.47</f>
        <v>4060.47</v>
      </c>
      <c r="K1227">
        <f>11532.99</f>
        <v>11532.99</v>
      </c>
      <c r="L1227">
        <f>1996.08</f>
        <v>1996.08</v>
      </c>
      <c r="M1227">
        <f>8583.49</f>
        <v>8583.49</v>
      </c>
      <c r="N1227">
        <f>317.988</f>
        <v>317.988</v>
      </c>
      <c r="O1227">
        <f>2811.86</f>
        <v>2811.86</v>
      </c>
      <c r="P1227">
        <f>268.53</f>
        <v>268.52999999999997</v>
      </c>
      <c r="Q1227">
        <f>2515.194</f>
        <v>2515.194</v>
      </c>
      <c r="R1227">
        <f>5560.62</f>
        <v>5560.62</v>
      </c>
      <c r="S1227">
        <f>2544.62</f>
        <v>2544.62</v>
      </c>
      <c r="T1227">
        <f>3740.541</f>
        <v>3740.5410000000002</v>
      </c>
      <c r="U1227">
        <f>52391.02</f>
        <v>52391.02</v>
      </c>
      <c r="V1227">
        <f>413.17</f>
        <v>413.17</v>
      </c>
    </row>
    <row r="1228" spans="1:22" x14ac:dyDescent="0.2">
      <c r="A1228" s="1">
        <v>43389</v>
      </c>
      <c r="B1228">
        <f>2610.4</f>
        <v>2610.4</v>
      </c>
      <c r="C1228">
        <f>9398.51</f>
        <v>9398.51</v>
      </c>
      <c r="D1228">
        <f>6203.11</f>
        <v>6203.11</v>
      </c>
      <c r="E1228">
        <f>2195.724</f>
        <v>2195.7240000000002</v>
      </c>
      <c r="F1228">
        <f>1955.3</f>
        <v>1955.3</v>
      </c>
      <c r="G1228">
        <f>8262.945</f>
        <v>8262.9449999999997</v>
      </c>
      <c r="H1228">
        <f>3254.1</f>
        <v>3254.1</v>
      </c>
      <c r="I1228">
        <f>9816.277</f>
        <v>9816.277</v>
      </c>
      <c r="J1228">
        <f>4052.81</f>
        <v>4052.81</v>
      </c>
      <c r="K1228">
        <f>11538.1</f>
        <v>11538.1</v>
      </c>
      <c r="L1228">
        <f>1999.12</f>
        <v>1999.12</v>
      </c>
      <c r="M1228">
        <f>8590.29</f>
        <v>8590.2900000000009</v>
      </c>
      <c r="N1228">
        <f>321.171</f>
        <v>321.17099999999999</v>
      </c>
      <c r="O1228">
        <f>2822.62</f>
        <v>2822.62</v>
      </c>
      <c r="P1228">
        <f>264.02</f>
        <v>264.02</v>
      </c>
      <c r="Q1228">
        <f>2517.115</f>
        <v>2517.1149999999998</v>
      </c>
      <c r="R1228">
        <f>5561.8</f>
        <v>5561.8</v>
      </c>
      <c r="S1228">
        <f>2506.09</f>
        <v>2506.09</v>
      </c>
      <c r="T1228">
        <f>3794.291</f>
        <v>3794.2910000000002</v>
      </c>
      <c r="U1228">
        <f>53241.35</f>
        <v>53241.35</v>
      </c>
      <c r="V1228">
        <f>417.28</f>
        <v>417.28</v>
      </c>
    </row>
    <row r="1229" spans="1:22" x14ac:dyDescent="0.2">
      <c r="A1229" s="1">
        <v>43388</v>
      </c>
      <c r="B1229">
        <f>2583.56</f>
        <v>2583.56</v>
      </c>
      <c r="C1229">
        <f>9286.85</f>
        <v>9286.85</v>
      </c>
      <c r="D1229">
        <f>6176.59</f>
        <v>6176.59</v>
      </c>
      <c r="E1229">
        <f>2166.747</f>
        <v>2166.7469999999998</v>
      </c>
      <c r="F1229">
        <f>1936.44</f>
        <v>1936.44</v>
      </c>
      <c r="G1229">
        <f>8187.088</f>
        <v>8187.0879999999997</v>
      </c>
      <c r="H1229">
        <f>3227.24</f>
        <v>3227.24</v>
      </c>
      <c r="I1229">
        <f>9657.4</f>
        <v>9657.4</v>
      </c>
      <c r="J1229">
        <f>3989.19</f>
        <v>3989.19</v>
      </c>
      <c r="K1229">
        <f>11294.25</f>
        <v>11294.25</v>
      </c>
      <c r="L1229">
        <f>1973.72</f>
        <v>1973.72</v>
      </c>
      <c r="M1229">
        <f>8441.85</f>
        <v>8441.85</v>
      </c>
      <c r="N1229">
        <f>315.509</f>
        <v>315.50900000000001</v>
      </c>
      <c r="O1229">
        <f>2784.26</f>
        <v>2784.26</v>
      </c>
      <c r="P1229">
        <f>262.06</f>
        <v>262.06</v>
      </c>
      <c r="Q1229">
        <f>2480.693</f>
        <v>2480.6930000000002</v>
      </c>
      <c r="R1229">
        <f>5444.61</f>
        <v>5444.61</v>
      </c>
      <c r="S1229">
        <f>2487.57</f>
        <v>2487.5700000000002</v>
      </c>
      <c r="T1229">
        <f>3715.482</f>
        <v>3715.482</v>
      </c>
      <c r="U1229">
        <f>52466.98</f>
        <v>52466.98</v>
      </c>
      <c r="V1229">
        <f>409.21</f>
        <v>409.21</v>
      </c>
    </row>
    <row r="1230" spans="1:22" x14ac:dyDescent="0.2">
      <c r="A1230" s="1">
        <v>43385</v>
      </c>
      <c r="B1230">
        <f>2583.06</f>
        <v>2583.06</v>
      </c>
      <c r="C1230">
        <f>9383.33</f>
        <v>9383.33</v>
      </c>
      <c r="D1230">
        <f>6147.32</f>
        <v>6147.32</v>
      </c>
      <c r="E1230">
        <f>2185.524</f>
        <v>2185.5239999999999</v>
      </c>
      <c r="F1230">
        <f>1927.74</f>
        <v>1927.74</v>
      </c>
      <c r="G1230">
        <f>8163.665</f>
        <v>8163.665</v>
      </c>
      <c r="H1230">
        <f>3261.94</f>
        <v>3261.94</v>
      </c>
      <c r="I1230">
        <f>9615.988</f>
        <v>9615.9879999999994</v>
      </c>
      <c r="J1230">
        <f>3999.33</f>
        <v>3999.33</v>
      </c>
      <c r="K1230">
        <f>11359.22</f>
        <v>11359.22</v>
      </c>
      <c r="L1230">
        <f>1972.71</f>
        <v>1972.71</v>
      </c>
      <c r="M1230">
        <f>8475.89</f>
        <v>8475.89</v>
      </c>
      <c r="N1230">
        <f>314.935</f>
        <v>314.935</v>
      </c>
      <c r="O1230">
        <f>2777.62</f>
        <v>2777.62</v>
      </c>
      <c r="P1230">
        <f>265.07</f>
        <v>265.07</v>
      </c>
      <c r="Q1230">
        <f>2480.603</f>
        <v>2480.6030000000001</v>
      </c>
      <c r="R1230">
        <f>5476.83</f>
        <v>5476.83</v>
      </c>
      <c r="S1230">
        <f>2527.66</f>
        <v>2527.66</v>
      </c>
      <c r="T1230">
        <f>3798.473</f>
        <v>3798.473</v>
      </c>
      <c r="U1230">
        <f>53473.11</f>
        <v>53473.11</v>
      </c>
      <c r="V1230">
        <f>415.36</f>
        <v>415.36</v>
      </c>
    </row>
    <row r="1231" spans="1:22" x14ac:dyDescent="0.2">
      <c r="A1231" s="1">
        <v>43384</v>
      </c>
      <c r="B1231">
        <f>2573.83</f>
        <v>2573.83</v>
      </c>
      <c r="C1231">
        <f>9191.26</f>
        <v>9191.26</v>
      </c>
      <c r="D1231">
        <f>6157</f>
        <v>6157</v>
      </c>
      <c r="E1231">
        <f>2128.671</f>
        <v>2128.6709999999998</v>
      </c>
      <c r="F1231">
        <f>1924.55</f>
        <v>1924.55</v>
      </c>
      <c r="G1231">
        <f>8211.104</f>
        <v>8211.1039999999994</v>
      </c>
      <c r="H1231">
        <f>3256.8</f>
        <v>3256.8</v>
      </c>
      <c r="I1231">
        <f>9625.175</f>
        <v>9625.1749999999993</v>
      </c>
      <c r="J1231">
        <f>3964.03</f>
        <v>3964.03</v>
      </c>
      <c r="K1231">
        <f>11197.89</f>
        <v>11197.89</v>
      </c>
      <c r="L1231">
        <f>1967.45</f>
        <v>1967.45</v>
      </c>
      <c r="M1231">
        <f>8399.42</f>
        <v>8399.42</v>
      </c>
      <c r="N1231">
        <f>315.672</f>
        <v>315.67200000000003</v>
      </c>
      <c r="O1231">
        <f>2782.58</f>
        <v>2782.58</v>
      </c>
      <c r="P1231">
        <f>267.48</f>
        <v>267.48</v>
      </c>
      <c r="Q1231">
        <f>2463.743</f>
        <v>2463.7429999999999</v>
      </c>
      <c r="R1231">
        <f>5399.54</f>
        <v>5399.54</v>
      </c>
      <c r="S1231">
        <f>2526.8</f>
        <v>2526.8000000000002</v>
      </c>
      <c r="T1231">
        <f>3721.154</f>
        <v>3721.154</v>
      </c>
      <c r="U1231">
        <f>52229.33</f>
        <v>52229.33</v>
      </c>
      <c r="V1231">
        <f>407.84</f>
        <v>407.84</v>
      </c>
    </row>
    <row r="1232" spans="1:22" x14ac:dyDescent="0.2">
      <c r="A1232" s="1">
        <v>43383</v>
      </c>
      <c r="B1232">
        <f>2616.93</f>
        <v>2616.9299999999998</v>
      </c>
      <c r="C1232">
        <f>9535.03</f>
        <v>9535.0300000000007</v>
      </c>
      <c r="D1232">
        <f>6272.01</f>
        <v>6272.01</v>
      </c>
      <c r="E1232">
        <f>2197.332</f>
        <v>2197.3319999999999</v>
      </c>
      <c r="F1232">
        <f>1965.35</f>
        <v>1965.35</v>
      </c>
      <c r="G1232">
        <f>8357.168</f>
        <v>8357.1679999999997</v>
      </c>
      <c r="H1232">
        <f>3341.43</f>
        <v>3341.43</v>
      </c>
      <c r="I1232">
        <f>9794.428</f>
        <v>9794.4279999999999</v>
      </c>
      <c r="J1232">
        <f>4074.86</f>
        <v>4074.86</v>
      </c>
      <c r="K1232">
        <f>11431.64</f>
        <v>11431.64</v>
      </c>
      <c r="L1232">
        <f>2019.6</f>
        <v>2019.6</v>
      </c>
      <c r="M1232">
        <f>8580.01</f>
        <v>8580.01</v>
      </c>
      <c r="N1232">
        <f>321.47</f>
        <v>321.47000000000003</v>
      </c>
      <c r="O1232">
        <f>2840.92</f>
        <v>2840.92</v>
      </c>
      <c r="P1232">
        <f>275.21</f>
        <v>275.20999999999998</v>
      </c>
      <c r="Q1232">
        <f>2526.972</f>
        <v>2526.9720000000002</v>
      </c>
      <c r="R1232">
        <f>5512.94</f>
        <v>5512.94</v>
      </c>
      <c r="S1232">
        <f>2618.82</f>
        <v>2618.8200000000002</v>
      </c>
      <c r="T1232">
        <f>3789.327</f>
        <v>3789.3270000000002</v>
      </c>
      <c r="U1232">
        <f>52813.37</f>
        <v>52813.37</v>
      </c>
      <c r="V1232">
        <f>416.93</f>
        <v>416.93</v>
      </c>
    </row>
    <row r="1233" spans="1:22" x14ac:dyDescent="0.2">
      <c r="A1233" s="1">
        <v>43382</v>
      </c>
      <c r="B1233">
        <f>2625.82</f>
        <v>2625.82</v>
      </c>
      <c r="C1233">
        <f>9558.53</f>
        <v>9558.5300000000007</v>
      </c>
      <c r="D1233">
        <f>6352.63</f>
        <v>6352.63</v>
      </c>
      <c r="E1233">
        <f>2215.846</f>
        <v>2215.846</v>
      </c>
      <c r="F1233">
        <f>1946.15</f>
        <v>1946.15</v>
      </c>
      <c r="G1233">
        <f>8386.883</f>
        <v>8386.8829999999998</v>
      </c>
      <c r="H1233">
        <f>3325.07</f>
        <v>3325.07</v>
      </c>
      <c r="I1233">
        <f>9920.261</f>
        <v>9920.2610000000004</v>
      </c>
      <c r="J1233">
        <f>4170.53</f>
        <v>4170.53</v>
      </c>
      <c r="K1233">
        <f>11819.78</f>
        <v>11819.78</v>
      </c>
      <c r="L1233">
        <f>2040.95</f>
        <v>2040.95</v>
      </c>
      <c r="M1233">
        <f>8782.55</f>
        <v>8782.5499999999993</v>
      </c>
      <c r="N1233">
        <f>326.592</f>
        <v>326.59199999999998</v>
      </c>
      <c r="O1233">
        <f>2887.95</f>
        <v>2887.95</v>
      </c>
      <c r="P1233">
        <f>273.2</f>
        <v>273.2</v>
      </c>
      <c r="Q1233">
        <f>2590.38</f>
        <v>2590.38</v>
      </c>
      <c r="R1233">
        <f>5700.23</f>
        <v>5700.23</v>
      </c>
      <c r="S1233">
        <f>2614.76</f>
        <v>2614.7600000000002</v>
      </c>
      <c r="T1233">
        <f>3841</f>
        <v>3841</v>
      </c>
      <c r="U1233">
        <f>54187.82</f>
        <v>54187.82</v>
      </c>
      <c r="V1233">
        <f>423.15</f>
        <v>423.15</v>
      </c>
    </row>
    <row r="1234" spans="1:22" x14ac:dyDescent="0.2">
      <c r="A1234" s="1">
        <v>43381</v>
      </c>
      <c r="B1234">
        <f>2627.13</f>
        <v>2627.13</v>
      </c>
      <c r="C1234">
        <f>9544.91</f>
        <v>9544.91</v>
      </c>
      <c r="D1234">
        <f>6348.89</f>
        <v>6348.89</v>
      </c>
      <c r="E1234">
        <f>2219.159</f>
        <v>2219.1590000000001</v>
      </c>
      <c r="F1234">
        <f>1943.88</f>
        <v>1943.88</v>
      </c>
      <c r="G1234">
        <f>8364.005</f>
        <v>8364.0049999999992</v>
      </c>
      <c r="H1234">
        <f>3377.19</f>
        <v>3377.19</v>
      </c>
      <c r="I1234">
        <f>9903.997</f>
        <v>9903.9969999999994</v>
      </c>
      <c r="J1234">
        <f>4183.01</f>
        <v>4183.01</v>
      </c>
      <c r="K1234">
        <f>11834.69</f>
        <v>11834.69</v>
      </c>
      <c r="L1234">
        <f>2043.23</f>
        <v>2043.23</v>
      </c>
      <c r="M1234">
        <f>8801.72</f>
        <v>8801.7199999999993</v>
      </c>
      <c r="N1234">
        <f>326.674</f>
        <v>326.67399999999998</v>
      </c>
      <c r="O1234">
        <f>2877.91</f>
        <v>2877.91</v>
      </c>
      <c r="P1234" t="e">
        <f>NA()</f>
        <v>#N/A</v>
      </c>
      <c r="Q1234">
        <f>2615.713</f>
        <v>2615.7130000000002</v>
      </c>
      <c r="R1234">
        <f>5706.66</f>
        <v>5706.66</v>
      </c>
      <c r="S1234" t="e">
        <f>NA()</f>
        <v>#N/A</v>
      </c>
      <c r="T1234">
        <f>3851.843</f>
        <v>3851.8429999999998</v>
      </c>
      <c r="U1234">
        <f>54219.2</f>
        <v>54219.199999999997</v>
      </c>
      <c r="V1234">
        <f>421.97</f>
        <v>421.97</v>
      </c>
    </row>
    <row r="1235" spans="1:22" x14ac:dyDescent="0.2">
      <c r="A1235" s="1">
        <v>43378</v>
      </c>
      <c r="B1235">
        <f>2654.85</f>
        <v>2654.85</v>
      </c>
      <c r="C1235">
        <f>9591.73</f>
        <v>9591.73</v>
      </c>
      <c r="D1235">
        <f>6423.68</f>
        <v>6423.68</v>
      </c>
      <c r="E1235">
        <f>2230.676</f>
        <v>2230.6759999999999</v>
      </c>
      <c r="F1235">
        <f>1964.06</f>
        <v>1964.06</v>
      </c>
      <c r="G1235">
        <f>8467.447</f>
        <v>8467.4470000000001</v>
      </c>
      <c r="H1235">
        <f>3358.49</f>
        <v>3358.49</v>
      </c>
      <c r="I1235">
        <f>10048.221</f>
        <v>10048.221</v>
      </c>
      <c r="J1235">
        <f>4165.08</f>
        <v>4165.08</v>
      </c>
      <c r="K1235">
        <f>11844.42</f>
        <v>11844.42</v>
      </c>
      <c r="L1235">
        <f>2045.53</f>
        <v>2045.53</v>
      </c>
      <c r="M1235">
        <f>8833.8</f>
        <v>8833.7999999999993</v>
      </c>
      <c r="N1235">
        <f>329.683</f>
        <v>329.68299999999999</v>
      </c>
      <c r="O1235">
        <f>2911.22</f>
        <v>2911.22</v>
      </c>
      <c r="P1235">
        <f>277.54</f>
        <v>277.54000000000002</v>
      </c>
      <c r="Q1235">
        <f>2605.663</f>
        <v>2605.663</v>
      </c>
      <c r="R1235">
        <f>5708.9</f>
        <v>5708.9</v>
      </c>
      <c r="S1235">
        <f>2661.56</f>
        <v>2661.56</v>
      </c>
      <c r="T1235">
        <f>3844.948</f>
        <v>3844.9479999999999</v>
      </c>
      <c r="U1235">
        <f>54409.47</f>
        <v>54409.47</v>
      </c>
      <c r="V1235">
        <f>421.27</f>
        <v>421.27</v>
      </c>
    </row>
    <row r="1236" spans="1:22" x14ac:dyDescent="0.2">
      <c r="A1236" s="1">
        <v>43377</v>
      </c>
      <c r="B1236">
        <f>2660.4</f>
        <v>2660.4</v>
      </c>
      <c r="C1236">
        <f>9662.87</f>
        <v>9662.8700000000008</v>
      </c>
      <c r="D1236">
        <f>6511.28</f>
        <v>6511.28</v>
      </c>
      <c r="E1236">
        <f>2252.036</f>
        <v>2252.0360000000001</v>
      </c>
      <c r="F1236">
        <f>1972.56</f>
        <v>1972.56</v>
      </c>
      <c r="G1236">
        <f>8551.469</f>
        <v>8551.4689999999991</v>
      </c>
      <c r="H1236">
        <f>3377.06</f>
        <v>3377.06</v>
      </c>
      <c r="I1236">
        <f>10142.103</f>
        <v>10142.102999999999</v>
      </c>
      <c r="J1236">
        <f>4177.52</f>
        <v>4177.5200000000004</v>
      </c>
      <c r="K1236">
        <f>11913.64</f>
        <v>11913.64</v>
      </c>
      <c r="L1236">
        <f>2051.78</f>
        <v>2051.7800000000002</v>
      </c>
      <c r="M1236">
        <f>8891.22</f>
        <v>8891.2199999999993</v>
      </c>
      <c r="N1236">
        <f>330.197</f>
        <v>330.197</v>
      </c>
      <c r="O1236">
        <f>2934.09</f>
        <v>2934.09</v>
      </c>
      <c r="P1236">
        <f>277.41</f>
        <v>277.41000000000003</v>
      </c>
      <c r="Q1236">
        <f>2608.917</f>
        <v>2608.9169999999999</v>
      </c>
      <c r="R1236">
        <f>5740.56</f>
        <v>5740.56</v>
      </c>
      <c r="S1236">
        <f>2674.24</f>
        <v>2674.24</v>
      </c>
      <c r="T1236">
        <f>3878.664</f>
        <v>3878.6640000000002</v>
      </c>
      <c r="U1236">
        <f>55030.6</f>
        <v>55030.6</v>
      </c>
      <c r="V1236">
        <f>425.26</f>
        <v>425.26</v>
      </c>
    </row>
    <row r="1237" spans="1:22" x14ac:dyDescent="0.2">
      <c r="A1237" s="1">
        <v>43376</v>
      </c>
      <c r="B1237">
        <f>2688.04</f>
        <v>2688.04</v>
      </c>
      <c r="C1237">
        <f>9869.02</f>
        <v>9869.02</v>
      </c>
      <c r="D1237">
        <f>6585.54</f>
        <v>6585.54</v>
      </c>
      <c r="E1237">
        <f>2306.983</f>
        <v>2306.9830000000002</v>
      </c>
      <c r="F1237">
        <f>1977.48</f>
        <v>1977.48</v>
      </c>
      <c r="G1237">
        <f>8630.272</f>
        <v>8630.2720000000008</v>
      </c>
      <c r="H1237">
        <f>3360.29</f>
        <v>3360.29</v>
      </c>
      <c r="I1237">
        <f>10273.498</f>
        <v>10273.498</v>
      </c>
      <c r="J1237">
        <f>4190.05</f>
        <v>4190.05</v>
      </c>
      <c r="K1237">
        <f>12013.96</f>
        <v>12013.96</v>
      </c>
      <c r="L1237">
        <f>2062.47</f>
        <v>2062.4699999999998</v>
      </c>
      <c r="M1237">
        <f>8964.14</f>
        <v>8964.14</v>
      </c>
      <c r="N1237">
        <f>335.704</f>
        <v>335.70400000000001</v>
      </c>
      <c r="O1237">
        <f>2964.64</f>
        <v>2964.64</v>
      </c>
      <c r="P1237">
        <f>277.15</f>
        <v>277.14999999999998</v>
      </c>
      <c r="Q1237">
        <f>2621.552</f>
        <v>2621.5520000000001</v>
      </c>
      <c r="R1237">
        <f>5786.48</f>
        <v>5786.48</v>
      </c>
      <c r="S1237">
        <f>2676.54</f>
        <v>2676.54</v>
      </c>
      <c r="T1237">
        <f>3904.885</f>
        <v>3904.8850000000002</v>
      </c>
      <c r="U1237">
        <f>55171.5</f>
        <v>55171.5</v>
      </c>
      <c r="V1237">
        <f>428.99</f>
        <v>428.99</v>
      </c>
    </row>
    <row r="1238" spans="1:22" x14ac:dyDescent="0.2">
      <c r="A1238" s="1">
        <v>43375</v>
      </c>
      <c r="B1238">
        <f>2674.39</f>
        <v>2674.39</v>
      </c>
      <c r="C1238">
        <f>9855</f>
        <v>9855</v>
      </c>
      <c r="D1238">
        <f>6554.21</f>
        <v>6554.21</v>
      </c>
      <c r="E1238">
        <f>2302.852</f>
        <v>2302.8519999999999</v>
      </c>
      <c r="F1238">
        <f>1952.88</f>
        <v>1952.88</v>
      </c>
      <c r="G1238">
        <f>8575.565</f>
        <v>8575.5650000000005</v>
      </c>
      <c r="H1238">
        <f>3416.13</f>
        <v>3416.13</v>
      </c>
      <c r="I1238">
        <f>10248.196</f>
        <v>10248.196</v>
      </c>
      <c r="J1238">
        <f>4195.33</f>
        <v>4195.33</v>
      </c>
      <c r="K1238">
        <f>12003.71</f>
        <v>12003.71</v>
      </c>
      <c r="L1238">
        <f>2061.15</f>
        <v>2061.15</v>
      </c>
      <c r="M1238">
        <f>8964.1</f>
        <v>8964.1</v>
      </c>
      <c r="N1238">
        <f>334.242</f>
        <v>334.24200000000002</v>
      </c>
      <c r="O1238">
        <f>2948.23</f>
        <v>2948.23</v>
      </c>
      <c r="P1238">
        <f>278.9</f>
        <v>278.89999999999998</v>
      </c>
      <c r="Q1238">
        <f>2636.174</f>
        <v>2636.174</v>
      </c>
      <c r="R1238">
        <f>5782.37</f>
        <v>5782.37</v>
      </c>
      <c r="S1238">
        <f>2708.16</f>
        <v>2708.16</v>
      </c>
      <c r="T1238">
        <f>3926.791</f>
        <v>3926.7910000000002</v>
      </c>
      <c r="U1238">
        <f>55472.57</f>
        <v>55472.57</v>
      </c>
      <c r="V1238">
        <f>429.11</f>
        <v>429.11</v>
      </c>
    </row>
    <row r="1239" spans="1:22" x14ac:dyDescent="0.2">
      <c r="A1239" s="1">
        <v>43374</v>
      </c>
      <c r="B1239">
        <f>2684.15</f>
        <v>2684.15</v>
      </c>
      <c r="C1239">
        <f>9999.06</f>
        <v>9999.06</v>
      </c>
      <c r="D1239">
        <f>6572.73</f>
        <v>6572.73</v>
      </c>
      <c r="E1239">
        <f>2332.019</f>
        <v>2332.0189999999998</v>
      </c>
      <c r="F1239">
        <f>1976.75</f>
        <v>1976.75</v>
      </c>
      <c r="G1239">
        <f>8639.16</f>
        <v>8639.16</v>
      </c>
      <c r="H1239">
        <f>3390.95</f>
        <v>3390.95</v>
      </c>
      <c r="I1239">
        <f>10325.531</f>
        <v>10325.531000000001</v>
      </c>
      <c r="J1239">
        <f>4171.79</f>
        <v>4171.79</v>
      </c>
      <c r="K1239">
        <f>12008.7</f>
        <v>12008.7</v>
      </c>
      <c r="L1239">
        <f>2061.97</f>
        <v>2061.9699999999998</v>
      </c>
      <c r="M1239">
        <f>8982.65</f>
        <v>8982.65</v>
      </c>
      <c r="N1239">
        <f>335.924</f>
        <v>335.92399999999998</v>
      </c>
      <c r="O1239">
        <f>2963.98</f>
        <v>2963.98</v>
      </c>
      <c r="P1239">
        <f>278.1</f>
        <v>278.10000000000002</v>
      </c>
      <c r="Q1239">
        <f>2633.331</f>
        <v>2633.3310000000001</v>
      </c>
      <c r="R1239">
        <f>5784.45</f>
        <v>5784.45</v>
      </c>
      <c r="S1239">
        <f>2699.15</f>
        <v>2699.15</v>
      </c>
      <c r="T1239">
        <f>3976.035</f>
        <v>3976.0349999999999</v>
      </c>
      <c r="U1239">
        <f>55789.75</f>
        <v>55789.75</v>
      </c>
      <c r="V1239">
        <f>431.75</f>
        <v>431.75</v>
      </c>
    </row>
    <row r="1240" spans="1:22" x14ac:dyDescent="0.2">
      <c r="A1240" s="1">
        <v>43371</v>
      </c>
      <c r="B1240">
        <f>2700.15</f>
        <v>2700.15</v>
      </c>
      <c r="C1240">
        <f>10002.46</f>
        <v>10002.459999999999</v>
      </c>
      <c r="D1240">
        <f>6585.47</f>
        <v>6585.47</v>
      </c>
      <c r="E1240">
        <f>2335.379</f>
        <v>2335.3789999999999</v>
      </c>
      <c r="F1240">
        <f>2004.98</f>
        <v>2004.98</v>
      </c>
      <c r="G1240">
        <f>8654.536</f>
        <v>8654.5360000000001</v>
      </c>
      <c r="H1240">
        <f>3392.88</f>
        <v>3392.88</v>
      </c>
      <c r="I1240">
        <f>10329.088</f>
        <v>10329.088</v>
      </c>
      <c r="J1240">
        <f>4156.19</f>
        <v>4156.1899999999996</v>
      </c>
      <c r="K1240">
        <f>11967.3</f>
        <v>11967.3</v>
      </c>
      <c r="L1240">
        <f>2059.48</f>
        <v>2059.48</v>
      </c>
      <c r="M1240">
        <f>8965.29</f>
        <v>8965.2900000000009</v>
      </c>
      <c r="N1240">
        <f>334.063</f>
        <v>334.06299999999999</v>
      </c>
      <c r="O1240">
        <f>2957.8</f>
        <v>2957.8</v>
      </c>
      <c r="P1240">
        <f>279.23</f>
        <v>279.23</v>
      </c>
      <c r="Q1240">
        <f>2623.34</f>
        <v>2623.34</v>
      </c>
      <c r="R1240">
        <f>5763.42</f>
        <v>5763.42</v>
      </c>
      <c r="S1240">
        <f>2698.09</f>
        <v>2698.09</v>
      </c>
      <c r="T1240">
        <f>3992.164</f>
        <v>3992.1640000000002</v>
      </c>
      <c r="U1240">
        <f>55708.47</f>
        <v>55708.47</v>
      </c>
      <c r="V1240">
        <f>431.73</f>
        <v>431.73</v>
      </c>
    </row>
    <row r="1241" spans="1:22" x14ac:dyDescent="0.2">
      <c r="A1241" s="1">
        <v>43370</v>
      </c>
      <c r="B1241">
        <f>2719.05</f>
        <v>2719.05</v>
      </c>
      <c r="C1241">
        <f>9994.61</f>
        <v>9994.61</v>
      </c>
      <c r="D1241">
        <f>6616.38</f>
        <v>6616.38</v>
      </c>
      <c r="E1241">
        <f>2342.281</f>
        <v>2342.2809999999999</v>
      </c>
      <c r="F1241">
        <f>2040.35</f>
        <v>2040.35</v>
      </c>
      <c r="G1241">
        <f>8746.248</f>
        <v>8746.2479999999996</v>
      </c>
      <c r="H1241">
        <f>3364.25</f>
        <v>3364.25</v>
      </c>
      <c r="I1241">
        <f>10483.17</f>
        <v>10483.17</v>
      </c>
      <c r="J1241">
        <f>4147.93</f>
        <v>4147.93</v>
      </c>
      <c r="K1241">
        <f>11967.41</f>
        <v>11967.41</v>
      </c>
      <c r="L1241">
        <f>2064.07</f>
        <v>2064.0700000000002</v>
      </c>
      <c r="M1241">
        <f>8984.31</f>
        <v>8984.31</v>
      </c>
      <c r="N1241">
        <f>333.641</f>
        <v>333.64100000000002</v>
      </c>
      <c r="O1241">
        <f>2981.71</f>
        <v>2981.71</v>
      </c>
      <c r="P1241">
        <f>277.1</f>
        <v>277.10000000000002</v>
      </c>
      <c r="Q1241">
        <f>2619.225</f>
        <v>2619.2249999999999</v>
      </c>
      <c r="R1241">
        <f>5763.22</f>
        <v>5763.22</v>
      </c>
      <c r="S1241">
        <f>2672.65</f>
        <v>2672.65</v>
      </c>
      <c r="T1241">
        <f>4035.466</f>
        <v>4035.4659999999999</v>
      </c>
      <c r="U1241">
        <f>55988.57</f>
        <v>55988.57</v>
      </c>
      <c r="V1241">
        <f>434.14</f>
        <v>434.14</v>
      </c>
    </row>
    <row r="1242" spans="1:22" x14ac:dyDescent="0.2">
      <c r="A1242" s="1">
        <v>43369</v>
      </c>
      <c r="B1242">
        <f>2720.88</f>
        <v>2720.88</v>
      </c>
      <c r="C1242">
        <f>9892.04</f>
        <v>9892.0400000000009</v>
      </c>
      <c r="D1242">
        <f>6586.09</f>
        <v>6586.09</v>
      </c>
      <c r="E1242">
        <f>2329.59</f>
        <v>2329.59</v>
      </c>
      <c r="F1242">
        <f>2039.26</f>
        <v>2039.26</v>
      </c>
      <c r="G1242">
        <f>8751.282</f>
        <v>8751.2819999999992</v>
      </c>
      <c r="H1242">
        <f>3394.16</f>
        <v>3394.16</v>
      </c>
      <c r="I1242">
        <f>10510.178</f>
        <v>10510.178</v>
      </c>
      <c r="J1242">
        <f>4145.79</f>
        <v>4145.79</v>
      </c>
      <c r="K1242">
        <f>11932.4</f>
        <v>11932.4</v>
      </c>
      <c r="L1242">
        <f>2064.82</f>
        <v>2064.8200000000002</v>
      </c>
      <c r="M1242">
        <f>8985.26</f>
        <v>8985.26</v>
      </c>
      <c r="N1242">
        <f>331.344</f>
        <v>331.34399999999999</v>
      </c>
      <c r="O1242">
        <f>2969.44</f>
        <v>2969.44</v>
      </c>
      <c r="P1242">
        <f>280.47</f>
        <v>280.47000000000003</v>
      </c>
      <c r="Q1242">
        <f>2624.333</f>
        <v>2624.3330000000001</v>
      </c>
      <c r="R1242">
        <f>5746.27</f>
        <v>5746.27</v>
      </c>
      <c r="S1242">
        <f>2704.66</f>
        <v>2704.66</v>
      </c>
      <c r="T1242">
        <f>4028.648</f>
        <v>4028.6480000000001</v>
      </c>
      <c r="U1242">
        <f>56570.15</f>
        <v>56570.15</v>
      </c>
      <c r="V1242">
        <f>434.11</f>
        <v>434.11</v>
      </c>
    </row>
    <row r="1243" spans="1:22" x14ac:dyDescent="0.2">
      <c r="A1243" s="1">
        <v>43368</v>
      </c>
      <c r="B1243">
        <f>2725.93</f>
        <v>2725.93</v>
      </c>
      <c r="C1243">
        <f>9880.8</f>
        <v>9880.7999999999993</v>
      </c>
      <c r="D1243">
        <f>6582.65</f>
        <v>6582.65</v>
      </c>
      <c r="E1243">
        <f>2319.936</f>
        <v>2319.9360000000001</v>
      </c>
      <c r="F1243">
        <f>2037.21</f>
        <v>2037.21</v>
      </c>
      <c r="G1243">
        <f>8733.246</f>
        <v>8733.2459999999992</v>
      </c>
      <c r="H1243">
        <f>3396.58</f>
        <v>3396.58</v>
      </c>
      <c r="I1243">
        <f>10520.167</f>
        <v>10520.166999999999</v>
      </c>
      <c r="J1243">
        <f>4157.8</f>
        <v>4157.8</v>
      </c>
      <c r="K1243">
        <f>11973.25</f>
        <v>11973.25</v>
      </c>
      <c r="L1243">
        <f>2065.85</f>
        <v>2065.85</v>
      </c>
      <c r="M1243">
        <f>8999.01</f>
        <v>8999.01</v>
      </c>
      <c r="N1243">
        <f>329.225</f>
        <v>329.22500000000002</v>
      </c>
      <c r="O1243">
        <f>2962.09</f>
        <v>2962.09</v>
      </c>
      <c r="P1243">
        <f>279.12</f>
        <v>279.12</v>
      </c>
      <c r="Q1243">
        <f>2633.857</f>
        <v>2633.857</v>
      </c>
      <c r="R1243">
        <f>5765.25</f>
        <v>5765.25</v>
      </c>
      <c r="S1243">
        <f>2684.63</f>
        <v>2684.63</v>
      </c>
      <c r="T1243">
        <f>4018.695</f>
        <v>4018.6950000000002</v>
      </c>
      <c r="U1243">
        <f>56882.75</f>
        <v>56882.75</v>
      </c>
      <c r="V1243">
        <f>433.48</f>
        <v>433.48</v>
      </c>
    </row>
    <row r="1244" spans="1:22" x14ac:dyDescent="0.2">
      <c r="A1244" s="1">
        <v>43367</v>
      </c>
      <c r="B1244">
        <f>2729.93</f>
        <v>2729.93</v>
      </c>
      <c r="C1244">
        <f>9889.07</f>
        <v>9889.07</v>
      </c>
      <c r="D1244">
        <f>6539.56</f>
        <v>6539.56</v>
      </c>
      <c r="E1244">
        <f>2321.151</f>
        <v>2321.1509999999998</v>
      </c>
      <c r="F1244">
        <f>2026.17</f>
        <v>2026.17</v>
      </c>
      <c r="G1244">
        <f>8657.436</f>
        <v>8657.4359999999997</v>
      </c>
      <c r="H1244">
        <f>3374.02</f>
        <v>3374.02</v>
      </c>
      <c r="I1244">
        <f>10490.869</f>
        <v>10490.869000000001</v>
      </c>
      <c r="J1244">
        <f>4181.16</f>
        <v>4181.16</v>
      </c>
      <c r="K1244">
        <f>11984.73</f>
        <v>11984.73</v>
      </c>
      <c r="L1244">
        <f>2068.73</f>
        <v>2068.73</v>
      </c>
      <c r="M1244">
        <f>8993.36</f>
        <v>8993.36</v>
      </c>
      <c r="N1244">
        <f>326.815</f>
        <v>326.815</v>
      </c>
      <c r="O1244">
        <f>2945.64</f>
        <v>2945.64</v>
      </c>
      <c r="P1244" t="e">
        <f>NA()</f>
        <v>#N/A</v>
      </c>
      <c r="Q1244">
        <f>2643.66</f>
        <v>2643.66</v>
      </c>
      <c r="R1244">
        <f>5772.36</f>
        <v>5772.36</v>
      </c>
      <c r="S1244" t="e">
        <f>NA()</f>
        <v>#N/A</v>
      </c>
      <c r="T1244" t="e">
        <f>NA()</f>
        <v>#N/A</v>
      </c>
      <c r="U1244" t="e">
        <f>NA()</f>
        <v>#N/A</v>
      </c>
      <c r="V1244" t="e">
        <f>NA()</f>
        <v>#N/A</v>
      </c>
    </row>
    <row r="1245" spans="1:22" x14ac:dyDescent="0.2">
      <c r="A1245" s="1">
        <v>43364</v>
      </c>
      <c r="B1245">
        <f>2739.88</f>
        <v>2739.88</v>
      </c>
      <c r="C1245">
        <f>9927.36</f>
        <v>9927.36</v>
      </c>
      <c r="D1245">
        <f>6567.45</f>
        <v>6567.45</v>
      </c>
      <c r="E1245">
        <f>2341.182</f>
        <v>2341.1819999999998</v>
      </c>
      <c r="F1245">
        <f>2029.64</f>
        <v>2029.64</v>
      </c>
      <c r="G1245">
        <f>8664.65</f>
        <v>8664.65</v>
      </c>
      <c r="H1245">
        <f>3374.02</f>
        <v>3374.02</v>
      </c>
      <c r="I1245">
        <f>10532.187</f>
        <v>10532.187</v>
      </c>
      <c r="J1245">
        <f>4212.16</f>
        <v>4212.16</v>
      </c>
      <c r="K1245">
        <f>12025.6</f>
        <v>12025.6</v>
      </c>
      <c r="L1245">
        <f>2080.23</f>
        <v>2080.23</v>
      </c>
      <c r="M1245">
        <f>9021.72</f>
        <v>9021.7199999999993</v>
      </c>
      <c r="N1245">
        <f>328.949</f>
        <v>328.94900000000001</v>
      </c>
      <c r="O1245">
        <f>2961.81</f>
        <v>2961.81</v>
      </c>
      <c r="P1245">
        <f>276.43</f>
        <v>276.43</v>
      </c>
      <c r="Q1245">
        <f>2669.813</f>
        <v>2669.8130000000001</v>
      </c>
      <c r="R1245">
        <f>5792.72</f>
        <v>5792.72</v>
      </c>
      <c r="S1245">
        <f>2657.5</f>
        <v>2657.5</v>
      </c>
      <c r="T1245">
        <f>4050.184</f>
        <v>4050.1840000000002</v>
      </c>
      <c r="U1245">
        <f>57164.25</f>
        <v>57164.25</v>
      </c>
      <c r="V1245">
        <f>432.84</f>
        <v>432.84</v>
      </c>
    </row>
    <row r="1246" spans="1:22" x14ac:dyDescent="0.2">
      <c r="A1246" s="1">
        <v>43363</v>
      </c>
      <c r="B1246">
        <f>2722.25</f>
        <v>2722.25</v>
      </c>
      <c r="C1246">
        <f>9750.76</f>
        <v>9750.76</v>
      </c>
      <c r="D1246">
        <f>6459.69</f>
        <v>6459.69</v>
      </c>
      <c r="E1246">
        <f>2308.842</f>
        <v>2308.8420000000001</v>
      </c>
      <c r="F1246">
        <f>2036.17</f>
        <v>2036.17</v>
      </c>
      <c r="G1246">
        <f>8621.683</f>
        <v>8621.6830000000009</v>
      </c>
      <c r="H1246">
        <f>3332.61</f>
        <v>3332.61</v>
      </c>
      <c r="I1246">
        <f>10470.245</f>
        <v>10470.245000000001</v>
      </c>
      <c r="J1246">
        <f>4193.73</f>
        <v>4193.7299999999996</v>
      </c>
      <c r="K1246">
        <f>12031.83</f>
        <v>12031.83</v>
      </c>
      <c r="L1246">
        <f>2068.91</f>
        <v>2068.91</v>
      </c>
      <c r="M1246">
        <f>9003.77</f>
        <v>9003.77</v>
      </c>
      <c r="N1246">
        <f>328.513</f>
        <v>328.51299999999998</v>
      </c>
      <c r="O1246">
        <f>2946.62</f>
        <v>2946.62</v>
      </c>
      <c r="P1246">
        <f>273.88</f>
        <v>273.88</v>
      </c>
      <c r="Q1246">
        <f>2666.103</f>
        <v>2666.1030000000001</v>
      </c>
      <c r="R1246">
        <f>5794.72</f>
        <v>5794.72</v>
      </c>
      <c r="S1246">
        <f>2633.3</f>
        <v>2633.3</v>
      </c>
      <c r="T1246">
        <f>3997.78</f>
        <v>3997.78</v>
      </c>
      <c r="U1246">
        <f>56546.8</f>
        <v>56546.8</v>
      </c>
      <c r="V1246">
        <f>428.23</f>
        <v>428.23</v>
      </c>
    </row>
    <row r="1247" spans="1:22" x14ac:dyDescent="0.2">
      <c r="A1247" s="1">
        <v>43362</v>
      </c>
      <c r="B1247">
        <f>2713.09</f>
        <v>2713.09</v>
      </c>
      <c r="C1247">
        <f>9729.29</f>
        <v>9729.2900000000009</v>
      </c>
      <c r="D1247">
        <f>6427.65</f>
        <v>6427.65</v>
      </c>
      <c r="E1247">
        <f>2295.74</f>
        <v>2295.7399999999998</v>
      </c>
      <c r="F1247">
        <f>2012.9</f>
        <v>2012.9</v>
      </c>
      <c r="G1247">
        <f>8512.857</f>
        <v>8512.857</v>
      </c>
      <c r="H1247">
        <f>3341.82</f>
        <v>3341.82</v>
      </c>
      <c r="I1247">
        <f>10316.337</f>
        <v>10316.337</v>
      </c>
      <c r="J1247">
        <f>4155.72</f>
        <v>4155.72</v>
      </c>
      <c r="K1247">
        <f>11937.6</f>
        <v>11937.6</v>
      </c>
      <c r="L1247">
        <f>2050.33</f>
        <v>2050.33</v>
      </c>
      <c r="M1247">
        <f>8929.82</f>
        <v>8929.82</v>
      </c>
      <c r="N1247">
        <f>327.076</f>
        <v>327.07600000000002</v>
      </c>
      <c r="O1247">
        <f>2924.73</f>
        <v>2924.73</v>
      </c>
      <c r="P1247">
        <f>273.52</f>
        <v>273.52</v>
      </c>
      <c r="Q1247">
        <f>2647.094</f>
        <v>2647.0940000000001</v>
      </c>
      <c r="R1247">
        <f>5749.39</f>
        <v>5749.39</v>
      </c>
      <c r="S1247">
        <f>2630.45</f>
        <v>2630.45</v>
      </c>
      <c r="T1247">
        <f>4028.955</f>
        <v>4028.9549999999999</v>
      </c>
      <c r="U1247">
        <f>56445.57</f>
        <v>56445.57</v>
      </c>
      <c r="V1247">
        <f>429.73</f>
        <v>429.73</v>
      </c>
    </row>
    <row r="1248" spans="1:22" x14ac:dyDescent="0.2">
      <c r="A1248" s="1">
        <v>43361</v>
      </c>
      <c r="B1248">
        <f>2710</f>
        <v>2710</v>
      </c>
      <c r="C1248">
        <f>9611.35</f>
        <v>9611.35</v>
      </c>
      <c r="D1248">
        <f>6400.57</f>
        <v>6400.57</v>
      </c>
      <c r="E1248">
        <f>2269.982</f>
        <v>2269.982</v>
      </c>
      <c r="F1248">
        <f>2002.59</f>
        <v>2002.59</v>
      </c>
      <c r="G1248">
        <f>8472.394</f>
        <v>8472.3940000000002</v>
      </c>
      <c r="H1248">
        <f>3295.14</f>
        <v>3295.14</v>
      </c>
      <c r="I1248">
        <f>10317.27</f>
        <v>10317.27</v>
      </c>
      <c r="J1248">
        <f>4159.98</f>
        <v>4159.9799999999996</v>
      </c>
      <c r="K1248">
        <f>11926.13</f>
        <v>11926.13</v>
      </c>
      <c r="L1248">
        <f>2054.52</f>
        <v>2054.52</v>
      </c>
      <c r="M1248">
        <f>8907.11</f>
        <v>8907.11</v>
      </c>
      <c r="N1248">
        <f>328.008</f>
        <v>328.00799999999998</v>
      </c>
      <c r="O1248">
        <f>2915.45</f>
        <v>2915.45</v>
      </c>
      <c r="P1248">
        <f>270.13</f>
        <v>270.13</v>
      </c>
      <c r="Q1248">
        <f>2646.723</f>
        <v>2646.723</v>
      </c>
      <c r="R1248">
        <f>5742.18</f>
        <v>5742.18</v>
      </c>
      <c r="S1248">
        <f>2592.48</f>
        <v>2592.48</v>
      </c>
      <c r="T1248">
        <f>3995.266</f>
        <v>3995.2660000000001</v>
      </c>
      <c r="U1248">
        <f>56381.3</f>
        <v>56381.3</v>
      </c>
      <c r="V1248">
        <f>425.75</f>
        <v>425.75</v>
      </c>
    </row>
    <row r="1249" spans="1:22" x14ac:dyDescent="0.2">
      <c r="A1249" s="1">
        <v>43360</v>
      </c>
      <c r="B1249">
        <f>2706.33</f>
        <v>2706.33</v>
      </c>
      <c r="C1249">
        <f>9572.18</f>
        <v>9572.18</v>
      </c>
      <c r="D1249">
        <f>6402.21</f>
        <v>6402.21</v>
      </c>
      <c r="E1249">
        <f>2262.262</f>
        <v>2262.2620000000002</v>
      </c>
      <c r="F1249">
        <f>2002.06</f>
        <v>2002.06</v>
      </c>
      <c r="G1249">
        <f>8474.393</f>
        <v>8474.393</v>
      </c>
      <c r="H1249">
        <f>3243.98</f>
        <v>3243.98</v>
      </c>
      <c r="I1249">
        <f>10286.873</f>
        <v>10286.873</v>
      </c>
      <c r="J1249">
        <f>4147.04</f>
        <v>4147.04</v>
      </c>
      <c r="K1249">
        <f>11862.56</f>
        <v>11862.56</v>
      </c>
      <c r="L1249">
        <f>2052.38</f>
        <v>2052.38</v>
      </c>
      <c r="M1249">
        <f>8858.6</f>
        <v>8858.6</v>
      </c>
      <c r="N1249">
        <f>328.925</f>
        <v>328.92500000000001</v>
      </c>
      <c r="O1249">
        <f>2911.24</f>
        <v>2911.24</v>
      </c>
      <c r="P1249" t="e">
        <f>NA()</f>
        <v>#N/A</v>
      </c>
      <c r="Q1249">
        <f>2639.589</f>
        <v>2639.5889999999999</v>
      </c>
      <c r="R1249">
        <f>5711.29</f>
        <v>5711.29</v>
      </c>
      <c r="S1249" t="e">
        <f>NA()</f>
        <v>#N/A</v>
      </c>
      <c r="T1249">
        <f>3985.984</f>
        <v>3985.9839999999999</v>
      </c>
      <c r="U1249">
        <f>56298.65</f>
        <v>56298.65</v>
      </c>
      <c r="V1249">
        <f>423.22</f>
        <v>423.22</v>
      </c>
    </row>
    <row r="1250" spans="1:22" x14ac:dyDescent="0.2">
      <c r="A1250" s="1">
        <v>43357</v>
      </c>
      <c r="B1250">
        <f>2692.61</f>
        <v>2692.61</v>
      </c>
      <c r="C1250">
        <f>9656.35</f>
        <v>9656.35</v>
      </c>
      <c r="D1250">
        <f>6403.91</f>
        <v>6403.91</v>
      </c>
      <c r="E1250">
        <f>2289.004</f>
        <v>2289.0039999999999</v>
      </c>
      <c r="F1250">
        <f>1985.3</f>
        <v>1985.3</v>
      </c>
      <c r="G1250">
        <f>8427.218</f>
        <v>8427.2180000000008</v>
      </c>
      <c r="H1250">
        <f>3239.64</f>
        <v>3239.64</v>
      </c>
      <c r="I1250">
        <f>10263.663</f>
        <v>10263.663</v>
      </c>
      <c r="J1250">
        <f>4146.46</f>
        <v>4146.46</v>
      </c>
      <c r="K1250">
        <f>11934.19</f>
        <v>11934.19</v>
      </c>
      <c r="L1250">
        <f>2048</f>
        <v>2048</v>
      </c>
      <c r="M1250">
        <f>8883.29</f>
        <v>8883.2900000000009</v>
      </c>
      <c r="N1250">
        <f>329.117</f>
        <v>329.11700000000002</v>
      </c>
      <c r="O1250">
        <f>2908.73</f>
        <v>2908.73</v>
      </c>
      <c r="P1250">
        <f>264.29</f>
        <v>264.29000000000002</v>
      </c>
      <c r="Q1250">
        <f>2641.15</f>
        <v>2641.15</v>
      </c>
      <c r="R1250">
        <f>5743.19</f>
        <v>5743.19</v>
      </c>
      <c r="S1250">
        <f>2546.38</f>
        <v>2546.38</v>
      </c>
      <c r="T1250">
        <f>4039.995</f>
        <v>4039.9949999999999</v>
      </c>
      <c r="U1250">
        <f>56581.88</f>
        <v>56581.88</v>
      </c>
      <c r="V1250">
        <f>427.2</f>
        <v>427.2</v>
      </c>
    </row>
    <row r="1251" spans="1:22" x14ac:dyDescent="0.2">
      <c r="A1251" s="1">
        <v>43356</v>
      </c>
      <c r="B1251">
        <f>2683.15</f>
        <v>2683.15</v>
      </c>
      <c r="C1251">
        <f>9584.43</f>
        <v>9584.43</v>
      </c>
      <c r="D1251">
        <f>6384.21</f>
        <v>6384.21</v>
      </c>
      <c r="E1251">
        <f>2264.742</f>
        <v>2264.7420000000002</v>
      </c>
      <c r="F1251">
        <f>1983.27</f>
        <v>1983.27</v>
      </c>
      <c r="G1251">
        <f>8410.818</f>
        <v>8410.8179999999993</v>
      </c>
      <c r="H1251">
        <f>3206.35</f>
        <v>3206.35</v>
      </c>
      <c r="I1251">
        <f>10233.955</f>
        <v>10233.955</v>
      </c>
      <c r="J1251">
        <f>4143.95</f>
        <v>4143.95</v>
      </c>
      <c r="K1251">
        <f>11927.74</f>
        <v>11927.74</v>
      </c>
      <c r="L1251">
        <f>2045.54</f>
        <v>2045.54</v>
      </c>
      <c r="M1251">
        <f>8866.44</f>
        <v>8866.44</v>
      </c>
      <c r="N1251">
        <f>328.312</f>
        <v>328.31200000000001</v>
      </c>
      <c r="O1251">
        <f>2898.03</f>
        <v>2898.03</v>
      </c>
      <c r="P1251">
        <f>261.98</f>
        <v>261.98</v>
      </c>
      <c r="Q1251">
        <f>2638.398</f>
        <v>2638.3980000000001</v>
      </c>
      <c r="R1251">
        <f>5740.75</f>
        <v>5740.75</v>
      </c>
      <c r="S1251">
        <f>2519</f>
        <v>2519</v>
      </c>
      <c r="T1251">
        <f>4012.708</f>
        <v>4012.7080000000001</v>
      </c>
      <c r="U1251">
        <f>56166.86</f>
        <v>56166.86</v>
      </c>
      <c r="V1251">
        <f>422</f>
        <v>422</v>
      </c>
    </row>
    <row r="1252" spans="1:22" x14ac:dyDescent="0.2">
      <c r="A1252" s="1">
        <v>43355</v>
      </c>
      <c r="B1252">
        <f>2701.6</f>
        <v>2701.6</v>
      </c>
      <c r="C1252">
        <f>9471.41</f>
        <v>9471.41</v>
      </c>
      <c r="D1252">
        <f>6411.85</f>
        <v>6411.85</v>
      </c>
      <c r="E1252">
        <f>2235.37</f>
        <v>2235.37</v>
      </c>
      <c r="F1252">
        <f>1971.66</f>
        <v>1971.66</v>
      </c>
      <c r="G1252">
        <f>8402.889</f>
        <v>8402.8889999999992</v>
      </c>
      <c r="H1252">
        <f>3186.82</f>
        <v>3186.82</v>
      </c>
      <c r="I1252">
        <f>10190.6</f>
        <v>10190.6</v>
      </c>
      <c r="J1252">
        <f>4129.63</f>
        <v>4129.63</v>
      </c>
      <c r="K1252">
        <f>11862.69</f>
        <v>11862.69</v>
      </c>
      <c r="L1252">
        <f>2038.25</f>
        <v>2038.25</v>
      </c>
      <c r="M1252">
        <f>8823.63</f>
        <v>8823.6299999999992</v>
      </c>
      <c r="N1252">
        <f>329.259</f>
        <v>329.25900000000001</v>
      </c>
      <c r="O1252">
        <f>2900.12</f>
        <v>2900.12</v>
      </c>
      <c r="P1252">
        <f>258.65</f>
        <v>258.64999999999998</v>
      </c>
      <c r="Q1252">
        <f>2627.425</f>
        <v>2627.4250000000002</v>
      </c>
      <c r="R1252">
        <f>5709.08</f>
        <v>5709.08</v>
      </c>
      <c r="S1252">
        <f>2491.46</f>
        <v>2491.46</v>
      </c>
      <c r="T1252">
        <f>4001.319</f>
        <v>4001.319</v>
      </c>
      <c r="U1252">
        <f>55952.05</f>
        <v>55952.05</v>
      </c>
      <c r="V1252">
        <f>418.64</f>
        <v>418.64</v>
      </c>
    </row>
    <row r="1253" spans="1:22" x14ac:dyDescent="0.2">
      <c r="A1253" s="1">
        <v>43354</v>
      </c>
      <c r="B1253">
        <f>2695.3</f>
        <v>2695.3</v>
      </c>
      <c r="C1253">
        <f>9486.5</f>
        <v>9486.5</v>
      </c>
      <c r="D1253">
        <f>6376.94</f>
        <v>6376.94</v>
      </c>
      <c r="E1253">
        <f>2232.006</f>
        <v>2232.0059999999999</v>
      </c>
      <c r="F1253">
        <f>1960.77</f>
        <v>1960.77</v>
      </c>
      <c r="G1253">
        <f>8338.485</f>
        <v>8338.4850000000006</v>
      </c>
      <c r="H1253">
        <f>3200.28</f>
        <v>3200.28</v>
      </c>
      <c r="I1253">
        <f>10108.612</f>
        <v>10108.611999999999</v>
      </c>
      <c r="J1253">
        <f>4111.39</f>
        <v>4111.3900000000003</v>
      </c>
      <c r="K1253">
        <f>11856.7</f>
        <v>11856.7</v>
      </c>
      <c r="L1253">
        <f>2023.82</f>
        <v>2023.82</v>
      </c>
      <c r="M1253">
        <f>8802.91</f>
        <v>8802.91</v>
      </c>
      <c r="N1253">
        <f>328.39</f>
        <v>328.39</v>
      </c>
      <c r="O1253">
        <f>2887.17</f>
        <v>2887.17</v>
      </c>
      <c r="P1253">
        <f>260.63</f>
        <v>260.63</v>
      </c>
      <c r="Q1253">
        <f>2619.875</f>
        <v>2619.875</v>
      </c>
      <c r="R1253">
        <f>5706.99</f>
        <v>5706.99</v>
      </c>
      <c r="S1253">
        <f>2502.63</f>
        <v>2502.63</v>
      </c>
      <c r="T1253">
        <f>4012.152</f>
        <v>4012.152</v>
      </c>
      <c r="U1253">
        <f>56174.01</f>
        <v>56174.01</v>
      </c>
      <c r="V1253">
        <f>417.62</f>
        <v>417.62</v>
      </c>
    </row>
    <row r="1254" spans="1:22" x14ac:dyDescent="0.2">
      <c r="A1254" s="1">
        <v>43353</v>
      </c>
      <c r="B1254">
        <f>2705.94</f>
        <v>2705.94</v>
      </c>
      <c r="C1254">
        <f>9509.45</f>
        <v>9509.4500000000007</v>
      </c>
      <c r="D1254">
        <f>6381.99</f>
        <v>6381.99</v>
      </c>
      <c r="E1254">
        <f>2249.371</f>
        <v>2249.3710000000001</v>
      </c>
      <c r="F1254">
        <f>1968.95</f>
        <v>1968.95</v>
      </c>
      <c r="G1254">
        <f>8357.539</f>
        <v>8357.5390000000007</v>
      </c>
      <c r="H1254">
        <f>3194</f>
        <v>3194</v>
      </c>
      <c r="I1254">
        <f>10131.015</f>
        <v>10131.014999999999</v>
      </c>
      <c r="J1254">
        <f>4119.58</f>
        <v>4119.58</v>
      </c>
      <c r="K1254">
        <f>11812.72</f>
        <v>11812.72</v>
      </c>
      <c r="L1254">
        <f>2024.63</f>
        <v>2024.63</v>
      </c>
      <c r="M1254">
        <f>8781.78</f>
        <v>8781.7800000000007</v>
      </c>
      <c r="N1254">
        <f>328.368</f>
        <v>328.36799999999999</v>
      </c>
      <c r="O1254">
        <f>2888.03</f>
        <v>2888.03</v>
      </c>
      <c r="P1254">
        <f>260.17</f>
        <v>260.17</v>
      </c>
      <c r="Q1254">
        <f>2618.272</f>
        <v>2618.2719999999999</v>
      </c>
      <c r="R1254">
        <f>5685.34</f>
        <v>5685.34</v>
      </c>
      <c r="S1254">
        <f>2485.98</f>
        <v>2485.98</v>
      </c>
      <c r="T1254">
        <f>4034.375</f>
        <v>4034.375</v>
      </c>
      <c r="U1254">
        <f>56715.26</f>
        <v>56715.26</v>
      </c>
      <c r="V1254">
        <f>422.44</f>
        <v>422.44</v>
      </c>
    </row>
    <row r="1255" spans="1:22" x14ac:dyDescent="0.2">
      <c r="A1255" s="1">
        <v>43350</v>
      </c>
      <c r="B1255">
        <f>2702.43</f>
        <v>2702.43</v>
      </c>
      <c r="C1255">
        <f>9592.76</f>
        <v>9592.76</v>
      </c>
      <c r="D1255">
        <f>6380.59</f>
        <v>6380.59</v>
      </c>
      <c r="E1255">
        <f>2275.343</f>
        <v>2275.3429999999998</v>
      </c>
      <c r="F1255">
        <f>1955.2</f>
        <v>1955.2</v>
      </c>
      <c r="G1255">
        <f>8310.069</f>
        <v>8310.0689999999995</v>
      </c>
      <c r="H1255">
        <f>3183.78</f>
        <v>3183.78</v>
      </c>
      <c r="I1255">
        <f>10067.585</f>
        <v>10067.584999999999</v>
      </c>
      <c r="J1255">
        <f>4112.46</f>
        <v>4112.46</v>
      </c>
      <c r="K1255">
        <f>11788.49</f>
        <v>11788.49</v>
      </c>
      <c r="L1255">
        <f>2018.93</f>
        <v>2018.93</v>
      </c>
      <c r="M1255">
        <f>8760.98</f>
        <v>8760.98</v>
      </c>
      <c r="N1255">
        <f>327.024</f>
        <v>327.024</v>
      </c>
      <c r="O1255">
        <f>2875.33</f>
        <v>2875.33</v>
      </c>
      <c r="P1255">
        <f>259.42</f>
        <v>259.42</v>
      </c>
      <c r="Q1255">
        <f>2606.062</f>
        <v>2606.0619999999999</v>
      </c>
      <c r="R1255">
        <f>5674.58</f>
        <v>5674.58</v>
      </c>
      <c r="S1255">
        <f>2481.12</f>
        <v>2481.12</v>
      </c>
      <c r="T1255">
        <f>4080.774</f>
        <v>4080.7739999999999</v>
      </c>
      <c r="U1255">
        <f>57068.45</f>
        <v>57068.45</v>
      </c>
      <c r="V1255">
        <f>424.5</f>
        <v>424.5</v>
      </c>
    </row>
    <row r="1256" spans="1:22" x14ac:dyDescent="0.2">
      <c r="A1256" s="1">
        <v>43349</v>
      </c>
      <c r="B1256">
        <f>2712.6</f>
        <v>2712.6</v>
      </c>
      <c r="C1256">
        <f>9551.33</f>
        <v>9551.33</v>
      </c>
      <c r="D1256">
        <f>6416.76</f>
        <v>6416.76</v>
      </c>
      <c r="E1256">
        <f>2264.744</f>
        <v>2264.7440000000001</v>
      </c>
      <c r="F1256">
        <f>1959.61</f>
        <v>1959.61</v>
      </c>
      <c r="G1256">
        <f>8352.008</f>
        <v>8352.0079999999998</v>
      </c>
      <c r="H1256">
        <f>3215.8</f>
        <v>3215.8</v>
      </c>
      <c r="I1256">
        <f>10092.627</f>
        <v>10092.627</v>
      </c>
      <c r="J1256">
        <f>4122.82</f>
        <v>4122.82</v>
      </c>
      <c r="K1256">
        <f>11815.2</f>
        <v>11815.2</v>
      </c>
      <c r="L1256">
        <f>2021.7</f>
        <v>2021.7</v>
      </c>
      <c r="M1256">
        <f>8786.77</f>
        <v>8786.77</v>
      </c>
      <c r="N1256">
        <f>325.689</f>
        <v>325.68900000000002</v>
      </c>
      <c r="O1256">
        <f>2872.91</f>
        <v>2872.91</v>
      </c>
      <c r="P1256">
        <f>260.19</f>
        <v>260.19</v>
      </c>
      <c r="Q1256">
        <f>2613.7</f>
        <v>2613.6999999999998</v>
      </c>
      <c r="R1256">
        <f>5686.7</f>
        <v>5686.7</v>
      </c>
      <c r="S1256">
        <f>2492.99</f>
        <v>2492.9899999999998</v>
      </c>
      <c r="T1256">
        <f>4060.826</f>
        <v>4060.826</v>
      </c>
      <c r="U1256">
        <f>57130.48</f>
        <v>57130.48</v>
      </c>
      <c r="V1256">
        <f>425.57</f>
        <v>425.57</v>
      </c>
    </row>
    <row r="1257" spans="1:22" x14ac:dyDescent="0.2">
      <c r="A1257" s="1">
        <v>43348</v>
      </c>
      <c r="B1257">
        <f>2718.09</f>
        <v>2718.09</v>
      </c>
      <c r="C1257">
        <f>9560.51</f>
        <v>9560.51</v>
      </c>
      <c r="D1257">
        <f>6465.18</f>
        <v>6465.18</v>
      </c>
      <c r="E1257">
        <f>2271.714</f>
        <v>2271.7139999999999</v>
      </c>
      <c r="F1257">
        <f>1961.53</f>
        <v>1961.53</v>
      </c>
      <c r="G1257">
        <f>8419.676</f>
        <v>8419.6759999999995</v>
      </c>
      <c r="H1257">
        <f>3221.85</f>
        <v>3221.85</v>
      </c>
      <c r="I1257">
        <f>10132.774</f>
        <v>10132.773999999999</v>
      </c>
      <c r="J1257">
        <f>4121.16</f>
        <v>4121.16</v>
      </c>
      <c r="K1257">
        <f>11855.5</f>
        <v>11855.5</v>
      </c>
      <c r="L1257">
        <f>2024.21</f>
        <v>2024.21</v>
      </c>
      <c r="M1257">
        <f>8819.76</f>
        <v>8819.76</v>
      </c>
      <c r="N1257">
        <f>327.259</f>
        <v>327.25900000000001</v>
      </c>
      <c r="O1257">
        <f>2887.37</f>
        <v>2887.37</v>
      </c>
      <c r="P1257">
        <f>261.92</f>
        <v>261.92</v>
      </c>
      <c r="Q1257">
        <f>2611.907</f>
        <v>2611.9070000000002</v>
      </c>
      <c r="R1257">
        <f>5705.86</f>
        <v>5705.86</v>
      </c>
      <c r="S1257">
        <f>2511.48</f>
        <v>2511.48</v>
      </c>
      <c r="T1257">
        <f>4021.147</f>
        <v>4021.1469999999999</v>
      </c>
      <c r="U1257">
        <f>57102.13</f>
        <v>57102.13</v>
      </c>
      <c r="V1257">
        <f>426.52</f>
        <v>426.52</v>
      </c>
    </row>
    <row r="1258" spans="1:22" x14ac:dyDescent="0.2">
      <c r="A1258" s="1">
        <v>43347</v>
      </c>
      <c r="B1258">
        <f>2732.8</f>
        <v>2732.8</v>
      </c>
      <c r="C1258">
        <f>9695.6</f>
        <v>9695.6</v>
      </c>
      <c r="D1258">
        <f>6530.48</f>
        <v>6530.48</v>
      </c>
      <c r="E1258">
        <f>2312.384</f>
        <v>2312.384</v>
      </c>
      <c r="F1258">
        <f>1948.29</f>
        <v>1948.29</v>
      </c>
      <c r="G1258">
        <f>8423.399</f>
        <v>8423.3989999999994</v>
      </c>
      <c r="H1258">
        <f>3267.33</f>
        <v>3267.33</v>
      </c>
      <c r="I1258">
        <f>10201.806</f>
        <v>10201.806</v>
      </c>
      <c r="J1258">
        <f>4093.81</f>
        <v>4093.81</v>
      </c>
      <c r="K1258">
        <f>11893.84</f>
        <v>11893.84</v>
      </c>
      <c r="L1258">
        <f>2021.8</f>
        <v>2021.8</v>
      </c>
      <c r="M1258">
        <f>8860.73</f>
        <v>8860.73</v>
      </c>
      <c r="N1258">
        <f>331.284</f>
        <v>331.28399999999999</v>
      </c>
      <c r="O1258">
        <f>2920.5</f>
        <v>2920.5</v>
      </c>
      <c r="P1258">
        <f>263.33</f>
        <v>263.33</v>
      </c>
      <c r="Q1258">
        <f>2594.05</f>
        <v>2594.0500000000002</v>
      </c>
      <c r="R1258">
        <f>5721.86</f>
        <v>5721.86</v>
      </c>
      <c r="S1258">
        <f>2531.05</f>
        <v>2531.0500000000002</v>
      </c>
      <c r="T1258">
        <f>4071.193</f>
        <v>4071.1930000000002</v>
      </c>
      <c r="U1258">
        <f>57891.82</f>
        <v>57891.82</v>
      </c>
      <c r="V1258">
        <f>428.5</f>
        <v>428.5</v>
      </c>
    </row>
    <row r="1259" spans="1:22" x14ac:dyDescent="0.2">
      <c r="A1259" s="1">
        <v>43346</v>
      </c>
      <c r="B1259">
        <f>2766.03</f>
        <v>2766.03</v>
      </c>
      <c r="C1259">
        <f>9759.67</f>
        <v>9759.67</v>
      </c>
      <c r="D1259">
        <f>6571.41</f>
        <v>6571.41</v>
      </c>
      <c r="E1259">
        <f>2327.72</f>
        <v>2327.7199999999998</v>
      </c>
      <c r="F1259">
        <f>1982.6</f>
        <v>1982.6</v>
      </c>
      <c r="G1259">
        <f>8511.206</f>
        <v>8511.2060000000001</v>
      </c>
      <c r="H1259">
        <f>3287.42</f>
        <v>3287.42</v>
      </c>
      <c r="I1259">
        <f>10345.797</f>
        <v>10345.797</v>
      </c>
      <c r="J1259">
        <f>4102</f>
        <v>4102</v>
      </c>
      <c r="K1259">
        <f>11912.82</f>
        <v>11912.82</v>
      </c>
      <c r="L1259">
        <f>2037.24</f>
        <v>2037.24</v>
      </c>
      <c r="M1259">
        <f>8903.57</f>
        <v>8903.57</v>
      </c>
      <c r="N1259">
        <f>333.705</f>
        <v>333.70499999999998</v>
      </c>
      <c r="O1259">
        <f>2942.63</f>
        <v>2942.63</v>
      </c>
      <c r="P1259">
        <f>264.08</f>
        <v>264.08</v>
      </c>
      <c r="Q1259" t="e">
        <f>NA()</f>
        <v>#N/A</v>
      </c>
      <c r="R1259" t="e">
        <f>NA()</f>
        <v>#N/A</v>
      </c>
      <c r="S1259">
        <f>2534.09</f>
        <v>2534.09</v>
      </c>
      <c r="T1259">
        <f>4159.047</f>
        <v>4159.0469999999996</v>
      </c>
      <c r="U1259">
        <f>58711.15</f>
        <v>58711.15</v>
      </c>
      <c r="V1259">
        <f>435.55</f>
        <v>435.55</v>
      </c>
    </row>
    <row r="1260" spans="1:22" x14ac:dyDescent="0.2">
      <c r="A1260" s="1">
        <v>43343</v>
      </c>
      <c r="B1260">
        <f>2756.82</f>
        <v>2756.82</v>
      </c>
      <c r="C1260">
        <f>9821.35</f>
        <v>9821.35</v>
      </c>
      <c r="D1260">
        <f>6508.21</f>
        <v>6508.21</v>
      </c>
      <c r="E1260">
        <f>2347.057</f>
        <v>2347.0569999999998</v>
      </c>
      <c r="F1260">
        <f>1975.3</f>
        <v>1975.3</v>
      </c>
      <c r="G1260">
        <f>8505.503</f>
        <v>8505.5030000000006</v>
      </c>
      <c r="H1260">
        <f>3317.39</f>
        <v>3317.39</v>
      </c>
      <c r="I1260">
        <f>10344.053</f>
        <v>10344.053</v>
      </c>
      <c r="J1260">
        <f>4102</f>
        <v>4102</v>
      </c>
      <c r="K1260">
        <f>11912.82</f>
        <v>11912.82</v>
      </c>
      <c r="L1260">
        <f>2038.1</f>
        <v>2038.1</v>
      </c>
      <c r="M1260">
        <f>8911.93</f>
        <v>8911.93</v>
      </c>
      <c r="N1260">
        <f>334.079</f>
        <v>334.07900000000001</v>
      </c>
      <c r="O1260">
        <f>2940.28</f>
        <v>2940.28</v>
      </c>
      <c r="P1260">
        <f>266.59</f>
        <v>266.58999999999997</v>
      </c>
      <c r="Q1260">
        <f>2598.578</f>
        <v>2598.578</v>
      </c>
      <c r="R1260">
        <f>5730.8</f>
        <v>5730.8</v>
      </c>
      <c r="S1260">
        <f>2556.25</f>
        <v>2556.25</v>
      </c>
      <c r="T1260">
        <f>4149.878</f>
        <v>4149.8779999999997</v>
      </c>
      <c r="U1260">
        <f>58668.48</f>
        <v>58668.480000000003</v>
      </c>
      <c r="V1260">
        <f>430.6</f>
        <v>430.6</v>
      </c>
    </row>
    <row r="1261" spans="1:22" x14ac:dyDescent="0.2">
      <c r="A1261" s="1">
        <v>43342</v>
      </c>
      <c r="B1261">
        <f>2766.41</f>
        <v>2766.41</v>
      </c>
      <c r="C1261">
        <f>9787.08</f>
        <v>9787.08</v>
      </c>
      <c r="D1261">
        <f>6581.43</f>
        <v>6581.43</v>
      </c>
      <c r="E1261">
        <f>2351.124</f>
        <v>2351.1239999999998</v>
      </c>
      <c r="F1261">
        <f>1995.88</f>
        <v>1995.88</v>
      </c>
      <c r="G1261">
        <f>8605.836</f>
        <v>8605.8359999999993</v>
      </c>
      <c r="H1261">
        <f>3323.26</f>
        <v>3323.26</v>
      </c>
      <c r="I1261">
        <f>10448.699</f>
        <v>10448.699000000001</v>
      </c>
      <c r="J1261">
        <f>4103.22</f>
        <v>4103.22</v>
      </c>
      <c r="K1261">
        <f>11908.57</f>
        <v>11908.57</v>
      </c>
      <c r="L1261">
        <f>2047.6</f>
        <v>2047.6</v>
      </c>
      <c r="M1261">
        <f>8936.04</f>
        <v>8936.0400000000009</v>
      </c>
      <c r="N1261">
        <f>334.876</f>
        <v>334.87599999999998</v>
      </c>
      <c r="O1261">
        <f>2965.74</f>
        <v>2965.74</v>
      </c>
      <c r="P1261">
        <f>267.31</f>
        <v>267.31</v>
      </c>
      <c r="Q1261">
        <f>2595.525</f>
        <v>2595.5250000000001</v>
      </c>
      <c r="R1261">
        <f>5729.45</f>
        <v>5729.45</v>
      </c>
      <c r="S1261">
        <f>2561.83</f>
        <v>2561.83</v>
      </c>
      <c r="T1261">
        <f>4128.489</f>
        <v>4128.4889999999996</v>
      </c>
      <c r="U1261">
        <f>58802.69</f>
        <v>58802.69</v>
      </c>
      <c r="V1261">
        <f>431.16</f>
        <v>431.16</v>
      </c>
    </row>
    <row r="1262" spans="1:22" x14ac:dyDescent="0.2">
      <c r="A1262" s="1">
        <v>43341</v>
      </c>
      <c r="B1262">
        <f>2779.03</f>
        <v>2779.03</v>
      </c>
      <c r="C1262">
        <f>9882.73</f>
        <v>9882.73</v>
      </c>
      <c r="D1262">
        <f>6622.23</f>
        <v>6622.23</v>
      </c>
      <c r="E1262">
        <f>2378.609</f>
        <v>2378.6089999999999</v>
      </c>
      <c r="F1262">
        <f>2014.1</f>
        <v>2014.1</v>
      </c>
      <c r="G1262">
        <f>8650.43</f>
        <v>8650.43</v>
      </c>
      <c r="H1262">
        <f>3333.42</f>
        <v>3333.42</v>
      </c>
      <c r="I1262">
        <f>10516.392</f>
        <v>10516.392</v>
      </c>
      <c r="J1262">
        <f>4123.62</f>
        <v>4123.62</v>
      </c>
      <c r="K1262">
        <f>11959.85</f>
        <v>11959.85</v>
      </c>
      <c r="L1262">
        <f>2055.91</f>
        <v>2055.91</v>
      </c>
      <c r="M1262">
        <f>8972.52</f>
        <v>8972.52</v>
      </c>
      <c r="N1262">
        <f>335.224</f>
        <v>335.22399999999999</v>
      </c>
      <c r="O1262">
        <f>2975.04</f>
        <v>2975.04</v>
      </c>
      <c r="P1262">
        <f>267.97</f>
        <v>267.97000000000003</v>
      </c>
      <c r="Q1262">
        <f>2612.034</f>
        <v>2612.0340000000001</v>
      </c>
      <c r="R1262">
        <f>5754</f>
        <v>5754</v>
      </c>
      <c r="S1262">
        <f>2562.51</f>
        <v>2562.5100000000002</v>
      </c>
      <c r="T1262">
        <f>4181.7</f>
        <v>4181.7</v>
      </c>
      <c r="U1262">
        <f>60165.51</f>
        <v>60165.51</v>
      </c>
      <c r="V1262">
        <f>438.55</f>
        <v>438.55</v>
      </c>
    </row>
    <row r="1263" spans="1:22" x14ac:dyDescent="0.2">
      <c r="A1263" s="1">
        <v>43340</v>
      </c>
      <c r="B1263">
        <f>2799.95</f>
        <v>2799.95</v>
      </c>
      <c r="C1263">
        <f>9904.96</f>
        <v>9904.9599999999991</v>
      </c>
      <c r="D1263">
        <f>6669.52</f>
        <v>6669.52</v>
      </c>
      <c r="E1263">
        <f>2378.609</f>
        <v>2378.6089999999999</v>
      </c>
      <c r="F1263">
        <f>2017.3</f>
        <v>2017.3</v>
      </c>
      <c r="G1263">
        <f>8637.682</f>
        <v>8637.6820000000007</v>
      </c>
      <c r="H1263">
        <f>3337.62</f>
        <v>3337.62</v>
      </c>
      <c r="I1263">
        <f>10506.618</f>
        <v>10506.618</v>
      </c>
      <c r="J1263">
        <f>4111.83</f>
        <v>4111.83</v>
      </c>
      <c r="K1263">
        <f>11891.72</f>
        <v>11891.72</v>
      </c>
      <c r="L1263">
        <f>2052.79</f>
        <v>2052.79</v>
      </c>
      <c r="M1263">
        <f>8937.95</f>
        <v>8937.9500000000007</v>
      </c>
      <c r="N1263">
        <f>333.13</f>
        <v>333.13</v>
      </c>
      <c r="O1263">
        <f>2966.16</f>
        <v>2966.16</v>
      </c>
      <c r="P1263">
        <f>266.19</f>
        <v>266.19</v>
      </c>
      <c r="Q1263">
        <f>2601.961</f>
        <v>2601.9609999999998</v>
      </c>
      <c r="R1263">
        <f>5720.89</f>
        <v>5720.89</v>
      </c>
      <c r="S1263">
        <f>2550.12</f>
        <v>2550.12</v>
      </c>
      <c r="T1263">
        <f>4216.889</f>
        <v>4216.8890000000001</v>
      </c>
      <c r="U1263">
        <f>60039.27</f>
        <v>60039.27</v>
      </c>
      <c r="V1263">
        <f>439.53</f>
        <v>439.53</v>
      </c>
    </row>
    <row r="1264" spans="1:22" x14ac:dyDescent="0.2">
      <c r="A1264" s="1">
        <v>43339</v>
      </c>
      <c r="B1264">
        <f>2778.26</f>
        <v>2778.26</v>
      </c>
      <c r="C1264">
        <f>9868.95</f>
        <v>9868.9500000000007</v>
      </c>
      <c r="D1264" t="e">
        <f>NA()</f>
        <v>#N/A</v>
      </c>
      <c r="E1264">
        <f>2375.18</f>
        <v>2375.1799999999998</v>
      </c>
      <c r="F1264">
        <f>2004.08</f>
        <v>2004.08</v>
      </c>
      <c r="G1264">
        <f>8595.949</f>
        <v>8595.9490000000005</v>
      </c>
      <c r="H1264">
        <f>3323.83</f>
        <v>3323.83</v>
      </c>
      <c r="I1264">
        <f>10476.521</f>
        <v>10476.521000000001</v>
      </c>
      <c r="J1264">
        <f>4117.97</f>
        <v>4117.97</v>
      </c>
      <c r="K1264">
        <f>11888.83</f>
        <v>11888.83</v>
      </c>
      <c r="L1264">
        <f>2052.8</f>
        <v>2052.8000000000002</v>
      </c>
      <c r="M1264">
        <f>8927.23</f>
        <v>8927.23</v>
      </c>
      <c r="N1264">
        <f>332.646</f>
        <v>332.64600000000002</v>
      </c>
      <c r="O1264">
        <f>2966.8</f>
        <v>2966.8</v>
      </c>
      <c r="P1264">
        <f>266.09</f>
        <v>266.08999999999997</v>
      </c>
      <c r="Q1264">
        <f>2603.241</f>
        <v>2603.241</v>
      </c>
      <c r="R1264">
        <f>5719.3</f>
        <v>5719.3</v>
      </c>
      <c r="S1264">
        <f>2546.17</f>
        <v>2546.17</v>
      </c>
      <c r="T1264">
        <f>4199.141</f>
        <v>4199.1409999999996</v>
      </c>
      <c r="U1264">
        <f>59655.56</f>
        <v>59655.56</v>
      </c>
      <c r="V1264">
        <f>433.43</f>
        <v>433.43</v>
      </c>
    </row>
    <row r="1265" spans="1:22" x14ac:dyDescent="0.2">
      <c r="A1265" s="1">
        <v>43336</v>
      </c>
      <c r="B1265">
        <f>2778.26</f>
        <v>2778.26</v>
      </c>
      <c r="C1265">
        <f>9705.59</f>
        <v>9705.59</v>
      </c>
      <c r="D1265">
        <f>6634.73</f>
        <v>6634.73</v>
      </c>
      <c r="E1265">
        <f>2333.042</f>
        <v>2333.0419999999999</v>
      </c>
      <c r="F1265">
        <f>1999.18</f>
        <v>1999.18</v>
      </c>
      <c r="G1265">
        <f>8574.943</f>
        <v>8574.9429999999993</v>
      </c>
      <c r="H1265">
        <f>3293.26</f>
        <v>3293.26</v>
      </c>
      <c r="I1265">
        <f>10358.543</f>
        <v>10358.543</v>
      </c>
      <c r="J1265">
        <f>4100</f>
        <v>4100</v>
      </c>
      <c r="K1265">
        <f>11797.68</f>
        <v>11797.68</v>
      </c>
      <c r="L1265">
        <f>2041.75</f>
        <v>2041.75</v>
      </c>
      <c r="M1265">
        <f>8851.4</f>
        <v>8851.4</v>
      </c>
      <c r="N1265">
        <f>332.282</f>
        <v>332.28199999999998</v>
      </c>
      <c r="O1265">
        <f>2952.29</f>
        <v>2952.29</v>
      </c>
      <c r="P1265">
        <f>263.78</f>
        <v>263.77999999999997</v>
      </c>
      <c r="Q1265">
        <f>2591.027</f>
        <v>2591.027</v>
      </c>
      <c r="R1265">
        <f>5675.12</f>
        <v>5675.12</v>
      </c>
      <c r="S1265">
        <f>2517.09</f>
        <v>2517.09</v>
      </c>
      <c r="T1265">
        <f>4143.898</f>
        <v>4143.8980000000001</v>
      </c>
      <c r="U1265">
        <f>58797.68</f>
        <v>58797.68</v>
      </c>
      <c r="V1265">
        <f>427.05</f>
        <v>427.05</v>
      </c>
    </row>
    <row r="1266" spans="1:22" x14ac:dyDescent="0.2">
      <c r="A1266" s="1">
        <v>43335</v>
      </c>
      <c r="B1266">
        <f>2780.05</f>
        <v>2780.05</v>
      </c>
      <c r="C1266">
        <f>9712.31</f>
        <v>9712.31</v>
      </c>
      <c r="D1266">
        <f>6622.24</f>
        <v>6622.24</v>
      </c>
      <c r="E1266">
        <f>2328.574</f>
        <v>2328.5740000000001</v>
      </c>
      <c r="F1266">
        <f>1998.16</f>
        <v>1998.16</v>
      </c>
      <c r="G1266">
        <f>8543.837</f>
        <v>8543.8369999999995</v>
      </c>
      <c r="H1266">
        <f>3283.36</f>
        <v>3283.36</v>
      </c>
      <c r="I1266">
        <f>10299.877</f>
        <v>10299.877</v>
      </c>
      <c r="J1266">
        <f>4083.88</f>
        <v>4083.88</v>
      </c>
      <c r="K1266">
        <f>11721.6</f>
        <v>11721.6</v>
      </c>
      <c r="L1266">
        <f>2036.09</f>
        <v>2036.09</v>
      </c>
      <c r="M1266">
        <f>8800.49</f>
        <v>8800.49</v>
      </c>
      <c r="N1266">
        <f>332.978</f>
        <v>332.97800000000001</v>
      </c>
      <c r="O1266">
        <f>2950.5</f>
        <v>2950.5</v>
      </c>
      <c r="P1266">
        <f>262.52</f>
        <v>262.52</v>
      </c>
      <c r="Q1266">
        <f>2580.514</f>
        <v>2580.5140000000001</v>
      </c>
      <c r="R1266">
        <f>5640.1</f>
        <v>5640.1</v>
      </c>
      <c r="S1266">
        <f>2500.91</f>
        <v>2500.91</v>
      </c>
      <c r="T1266">
        <f>4124.678</f>
        <v>4124.6779999999999</v>
      </c>
      <c r="U1266">
        <f>58204.72</f>
        <v>58204.72</v>
      </c>
      <c r="V1266">
        <f>425.57</f>
        <v>425.57</v>
      </c>
    </row>
    <row r="1267" spans="1:22" x14ac:dyDescent="0.2">
      <c r="A1267" s="1">
        <v>43334</v>
      </c>
      <c r="B1267">
        <f>2777.31</f>
        <v>2777.31</v>
      </c>
      <c r="C1267">
        <f>9720.59</f>
        <v>9720.59</v>
      </c>
      <c r="D1267">
        <f>6628.16</f>
        <v>6628.16</v>
      </c>
      <c r="E1267">
        <f>2333.84</f>
        <v>2333.84</v>
      </c>
      <c r="F1267">
        <f>2011.73</f>
        <v>2011.73</v>
      </c>
      <c r="G1267">
        <f>8603.195</f>
        <v>8603.1949999999997</v>
      </c>
      <c r="H1267">
        <f>3318.18</f>
        <v>3318.18</v>
      </c>
      <c r="I1267">
        <f>10325.591</f>
        <v>10325.591</v>
      </c>
      <c r="J1267">
        <f>4093.47</f>
        <v>4093.47</v>
      </c>
      <c r="K1267">
        <f>11742.58</f>
        <v>11742.58</v>
      </c>
      <c r="L1267">
        <f>2041.89</f>
        <v>2041.89</v>
      </c>
      <c r="M1267">
        <f>8827.36</f>
        <v>8827.36</v>
      </c>
      <c r="N1267">
        <f>333.539</f>
        <v>333.53899999999999</v>
      </c>
      <c r="O1267">
        <f>2955.61</f>
        <v>2955.61</v>
      </c>
      <c r="P1267">
        <f>262.43</f>
        <v>262.43</v>
      </c>
      <c r="Q1267">
        <f>2588.121</f>
        <v>2588.1210000000001</v>
      </c>
      <c r="R1267">
        <f>5649.31</f>
        <v>5649.31</v>
      </c>
      <c r="S1267">
        <f>2501.15</f>
        <v>2501.15</v>
      </c>
      <c r="T1267">
        <f>4108.685</f>
        <v>4108.6850000000004</v>
      </c>
      <c r="U1267">
        <f>58125.95</f>
        <v>58125.95</v>
      </c>
      <c r="V1267">
        <f>426.99</f>
        <v>426.99</v>
      </c>
    </row>
    <row r="1268" spans="1:22" x14ac:dyDescent="0.2">
      <c r="A1268" s="1">
        <v>43333</v>
      </c>
      <c r="B1268">
        <f>2777.1</f>
        <v>2777.1</v>
      </c>
      <c r="C1268">
        <f>9675.67</f>
        <v>9675.67</v>
      </c>
      <c r="D1268">
        <f>6620.68</f>
        <v>6620.68</v>
      </c>
      <c r="E1268">
        <f>2319.599</f>
        <v>2319.5990000000002</v>
      </c>
      <c r="F1268">
        <f>1999.79</f>
        <v>1999.79</v>
      </c>
      <c r="G1268">
        <f>8564.311</f>
        <v>8564.3109999999997</v>
      </c>
      <c r="H1268">
        <f>3291.12</f>
        <v>3291.12</v>
      </c>
      <c r="I1268">
        <f>10252.222</f>
        <v>10252.222</v>
      </c>
      <c r="J1268">
        <f>4108.67</f>
        <v>4108.67</v>
      </c>
      <c r="K1268">
        <f>11744.95</f>
        <v>11744.95</v>
      </c>
      <c r="L1268">
        <f>2041.88</f>
        <v>2041.88</v>
      </c>
      <c r="M1268">
        <f>8809.87</f>
        <v>8809.8700000000008</v>
      </c>
      <c r="N1268">
        <f>333.797</f>
        <v>333.79700000000003</v>
      </c>
      <c r="O1268">
        <f>2954.61</f>
        <v>2954.61</v>
      </c>
      <c r="P1268">
        <f>261.79</f>
        <v>261.79000000000002</v>
      </c>
      <c r="Q1268">
        <f>2597.507</f>
        <v>2597.5070000000001</v>
      </c>
      <c r="R1268">
        <f>5651.39</f>
        <v>5651.39</v>
      </c>
      <c r="S1268">
        <f>2482.06</f>
        <v>2482.06</v>
      </c>
      <c r="T1268">
        <f>4061.32</f>
        <v>4061.32</v>
      </c>
      <c r="U1268">
        <f>57186.66</f>
        <v>57186.66</v>
      </c>
      <c r="V1268">
        <f>419.38</f>
        <v>419.38</v>
      </c>
    </row>
    <row r="1269" spans="1:22" x14ac:dyDescent="0.2">
      <c r="A1269" s="1">
        <v>43332</v>
      </c>
      <c r="B1269">
        <f>2773.21</f>
        <v>2773.21</v>
      </c>
      <c r="C1269">
        <f>9585.6</f>
        <v>9585.6</v>
      </c>
      <c r="D1269">
        <f>6643.05</f>
        <v>6643.05</v>
      </c>
      <c r="E1269">
        <f>2295.71</f>
        <v>2295.71</v>
      </c>
      <c r="F1269">
        <f>1982.66</f>
        <v>1982.66</v>
      </c>
      <c r="G1269">
        <f>8522.369</f>
        <v>8522.3690000000006</v>
      </c>
      <c r="H1269">
        <f>3321.26</f>
        <v>3321.26</v>
      </c>
      <c r="I1269">
        <f>10133.261</f>
        <v>10133.261</v>
      </c>
      <c r="J1269">
        <f>4111.17</f>
        <v>4111.17</v>
      </c>
      <c r="K1269">
        <f>11717.17</f>
        <v>11717.17</v>
      </c>
      <c r="L1269">
        <f>2040.04</f>
        <v>2040.04</v>
      </c>
      <c r="M1269">
        <f>8782.51</f>
        <v>8782.51</v>
      </c>
      <c r="N1269">
        <f>334.233</f>
        <v>334.233</v>
      </c>
      <c r="O1269">
        <f>2950.27</f>
        <v>2950.27</v>
      </c>
      <c r="P1269">
        <f>263.57</f>
        <v>263.57</v>
      </c>
      <c r="Q1269">
        <f>2593.934</f>
        <v>2593.9340000000002</v>
      </c>
      <c r="R1269">
        <f>5639.53</f>
        <v>5639.53</v>
      </c>
      <c r="S1269">
        <f>2491.97</f>
        <v>2491.9699999999998</v>
      </c>
      <c r="T1269">
        <f>4036.78</f>
        <v>4036.78</v>
      </c>
      <c r="U1269">
        <f>57145.62</f>
        <v>57145.62</v>
      </c>
      <c r="V1269">
        <f>418.89</f>
        <v>418.89</v>
      </c>
    </row>
    <row r="1270" spans="1:22" x14ac:dyDescent="0.2">
      <c r="A1270" s="1">
        <v>43329</v>
      </c>
      <c r="B1270">
        <f>2767.18</f>
        <v>2767.18</v>
      </c>
      <c r="C1270">
        <f>9527</f>
        <v>9527</v>
      </c>
      <c r="D1270">
        <f>6614.46</f>
        <v>6614.46</v>
      </c>
      <c r="E1270">
        <f>2271.481</f>
        <v>2271.4810000000002</v>
      </c>
      <c r="F1270">
        <f>1978.51</f>
        <v>1978.51</v>
      </c>
      <c r="G1270">
        <f>8473.696</f>
        <v>8473.6959999999999</v>
      </c>
      <c r="H1270">
        <f>3333.68</f>
        <v>3333.68</v>
      </c>
      <c r="I1270">
        <f>10046.693</f>
        <v>10046.692999999999</v>
      </c>
      <c r="J1270">
        <f>4098.05</f>
        <v>4098.05</v>
      </c>
      <c r="K1270">
        <f>11688.83</f>
        <v>11688.83</v>
      </c>
      <c r="L1270">
        <f>2032.37</f>
        <v>2032.37</v>
      </c>
      <c r="M1270">
        <f>8752.74</f>
        <v>8752.74</v>
      </c>
      <c r="N1270">
        <f>332.867</f>
        <v>332.86700000000002</v>
      </c>
      <c r="O1270">
        <f>2933.68</f>
        <v>2933.68</v>
      </c>
      <c r="P1270">
        <f>264.27</f>
        <v>264.27</v>
      </c>
      <c r="Q1270">
        <f>2585.32</f>
        <v>2585.3200000000002</v>
      </c>
      <c r="R1270">
        <f>5625.66</f>
        <v>5625.66</v>
      </c>
      <c r="S1270">
        <f>2499.91</f>
        <v>2499.91</v>
      </c>
      <c r="T1270">
        <f>4006.763</f>
        <v>4006.7629999999999</v>
      </c>
      <c r="U1270">
        <f>56647.52</f>
        <v>56647.519999999997</v>
      </c>
      <c r="V1270">
        <f>416.11</f>
        <v>416.11</v>
      </c>
    </row>
    <row r="1271" spans="1:22" x14ac:dyDescent="0.2">
      <c r="A1271" s="1">
        <v>43328</v>
      </c>
      <c r="B1271">
        <f>2766.74</f>
        <v>2766.74</v>
      </c>
      <c r="C1271">
        <f>9547.53</f>
        <v>9547.5300000000007</v>
      </c>
      <c r="D1271">
        <f>6612.53</f>
        <v>6612.53</v>
      </c>
      <c r="E1271">
        <f>2268.356</f>
        <v>2268.3560000000002</v>
      </c>
      <c r="F1271">
        <f>1977.24</f>
        <v>1977.24</v>
      </c>
      <c r="G1271">
        <f>8461.483</f>
        <v>8461.4830000000002</v>
      </c>
      <c r="H1271">
        <f>3312.55</f>
        <v>3312.55</v>
      </c>
      <c r="I1271">
        <f>10040.741</f>
        <v>10040.741</v>
      </c>
      <c r="J1271">
        <f>4076.16</f>
        <v>4076.16</v>
      </c>
      <c r="K1271">
        <f>11650.33</f>
        <v>11650.33</v>
      </c>
      <c r="L1271">
        <f>2024.05</f>
        <v>2024.05</v>
      </c>
      <c r="M1271">
        <f>8723.23</f>
        <v>8723.23</v>
      </c>
      <c r="N1271">
        <f>332.732</f>
        <v>332.73200000000003</v>
      </c>
      <c r="O1271">
        <f>2935.62</f>
        <v>2935.62</v>
      </c>
      <c r="P1271">
        <f>262.29</f>
        <v>262.29000000000002</v>
      </c>
      <c r="Q1271">
        <f>2567.521</f>
        <v>2567.5210000000002</v>
      </c>
      <c r="R1271">
        <f>5606.56</f>
        <v>5606.56</v>
      </c>
      <c r="S1271">
        <f>2484.62</f>
        <v>2484.62</v>
      </c>
      <c r="T1271">
        <f>4023.045</f>
        <v>4023.0450000000001</v>
      </c>
      <c r="U1271">
        <f>56562.34</f>
        <v>56562.34</v>
      </c>
      <c r="V1271">
        <f>414.88</f>
        <v>414.88</v>
      </c>
    </row>
    <row r="1272" spans="1:22" x14ac:dyDescent="0.2">
      <c r="A1272" s="1">
        <v>43327</v>
      </c>
      <c r="B1272">
        <f>2746.12</f>
        <v>2746.12</v>
      </c>
      <c r="C1272">
        <f>9550.77</f>
        <v>9550.77</v>
      </c>
      <c r="D1272">
        <f>6546.29</f>
        <v>6546.29</v>
      </c>
      <c r="E1272">
        <f>2272.301</f>
        <v>2272.3009999999999</v>
      </c>
      <c r="F1272">
        <f>1943.08</f>
        <v>1943.08</v>
      </c>
      <c r="G1272">
        <f>8342.36</f>
        <v>8342.36</v>
      </c>
      <c r="H1272">
        <f>3326.04</f>
        <v>3326.04</v>
      </c>
      <c r="I1272">
        <f>9927.042</f>
        <v>9927.0419999999995</v>
      </c>
      <c r="J1272">
        <f>4022.54</f>
        <v>4022.54</v>
      </c>
      <c r="K1272">
        <f>11555.85</f>
        <v>11555.85</v>
      </c>
      <c r="L1272">
        <f>2002.16</f>
        <v>2002.16</v>
      </c>
      <c r="M1272">
        <f>8657.63</f>
        <v>8657.6299999999992</v>
      </c>
      <c r="N1272">
        <f>330.579</f>
        <v>330.57900000000001</v>
      </c>
      <c r="O1272">
        <f>2919.6</f>
        <v>2919.6</v>
      </c>
      <c r="P1272">
        <f>263.15</f>
        <v>263.14999999999998</v>
      </c>
      <c r="Q1272">
        <f>2545.057</f>
        <v>2545.0569999999998</v>
      </c>
      <c r="R1272">
        <f>5560.85</f>
        <v>5560.85</v>
      </c>
      <c r="S1272">
        <f>2500.6</f>
        <v>2500.6</v>
      </c>
      <c r="T1272">
        <f>3966.826</f>
        <v>3966.826</v>
      </c>
      <c r="U1272">
        <f>55646.15</f>
        <v>55646.15</v>
      </c>
      <c r="V1272">
        <f>405.35</f>
        <v>405.35</v>
      </c>
    </row>
    <row r="1273" spans="1:22" x14ac:dyDescent="0.2">
      <c r="A1273" s="1">
        <v>43326</v>
      </c>
      <c r="B1273">
        <f>2775.22</f>
        <v>2775.22</v>
      </c>
      <c r="C1273">
        <f>9686.89</f>
        <v>9686.89</v>
      </c>
      <c r="D1273">
        <f>6645.62</f>
        <v>6645.62</v>
      </c>
      <c r="E1273">
        <f>2314.593</f>
        <v>2314.5929999999998</v>
      </c>
      <c r="F1273">
        <f>1971.86</f>
        <v>1971.86</v>
      </c>
      <c r="G1273">
        <f>8523.501</f>
        <v>8523.5010000000002</v>
      </c>
      <c r="H1273">
        <f>3334.8</f>
        <v>3334.8</v>
      </c>
      <c r="I1273">
        <f>10108.987</f>
        <v>10108.986999999999</v>
      </c>
      <c r="J1273">
        <f>4031.16</f>
        <v>4031.16</v>
      </c>
      <c r="K1273">
        <f>11646.24</f>
        <v>11646.24</v>
      </c>
      <c r="L1273">
        <f>2012</f>
        <v>2012</v>
      </c>
      <c r="M1273">
        <f>8744.39</f>
        <v>8744.39</v>
      </c>
      <c r="N1273">
        <f>334.249</f>
        <v>334.24900000000002</v>
      </c>
      <c r="O1273">
        <f>2962.77</f>
        <v>2962.77</v>
      </c>
      <c r="P1273">
        <f>264.73</f>
        <v>264.73</v>
      </c>
      <c r="Q1273">
        <f>2546.437</f>
        <v>2546.4369999999999</v>
      </c>
      <c r="R1273">
        <f>5602.41</f>
        <v>5602.41</v>
      </c>
      <c r="S1273">
        <f>2519.63</f>
        <v>2519.63</v>
      </c>
      <c r="T1273">
        <f>4063.599</f>
        <v>4063.5990000000002</v>
      </c>
      <c r="U1273">
        <f>57608.94</f>
        <v>57608.94</v>
      </c>
      <c r="V1273">
        <f>418.93</f>
        <v>418.93</v>
      </c>
    </row>
    <row r="1274" spans="1:22" x14ac:dyDescent="0.2">
      <c r="A1274" s="1">
        <v>43325</v>
      </c>
      <c r="B1274">
        <f>2786.08</f>
        <v>2786.08</v>
      </c>
      <c r="C1274">
        <f>9637.89</f>
        <v>9637.89</v>
      </c>
      <c r="D1274">
        <f>6672.52</f>
        <v>6672.52</v>
      </c>
      <c r="E1274">
        <f>2316.04</f>
        <v>2316.04</v>
      </c>
      <c r="F1274">
        <f>1991.05</f>
        <v>1991.05</v>
      </c>
      <c r="G1274">
        <f>8573.875</f>
        <v>8573.875</v>
      </c>
      <c r="H1274">
        <f>3288.54</f>
        <v>3288.54</v>
      </c>
      <c r="I1274">
        <f>10137.873</f>
        <v>10137.873</v>
      </c>
      <c r="J1274">
        <f>4012.7</f>
        <v>4012.7</v>
      </c>
      <c r="K1274">
        <f>11572.53</f>
        <v>11572.53</v>
      </c>
      <c r="L1274">
        <f>2007.3</f>
        <v>2007.3</v>
      </c>
      <c r="M1274">
        <f>8703.05</f>
        <v>8703.0499999999993</v>
      </c>
      <c r="N1274">
        <f>333.631</f>
        <v>333.63099999999997</v>
      </c>
      <c r="O1274">
        <f>2961.59</f>
        <v>2961.59</v>
      </c>
      <c r="P1274">
        <f>260.76</f>
        <v>260.76</v>
      </c>
      <c r="Q1274">
        <f>2526.854</f>
        <v>2526.8539999999998</v>
      </c>
      <c r="R1274">
        <f>5566.36</f>
        <v>5566.36</v>
      </c>
      <c r="S1274">
        <f>2479.2</f>
        <v>2479.1999999999998</v>
      </c>
      <c r="T1274">
        <f>4047.41</f>
        <v>4047.41</v>
      </c>
      <c r="U1274">
        <f>57885.26</f>
        <v>57885.26</v>
      </c>
      <c r="V1274">
        <f>420.25</f>
        <v>420.25</v>
      </c>
    </row>
    <row r="1275" spans="1:22" x14ac:dyDescent="0.2">
      <c r="A1275" s="1">
        <v>43322</v>
      </c>
      <c r="B1275">
        <f>2799.6</f>
        <v>2799.6</v>
      </c>
      <c r="C1275">
        <f>9811.45</f>
        <v>9811.4500000000007</v>
      </c>
      <c r="D1275">
        <f>6693.96</f>
        <v>6693.96</v>
      </c>
      <c r="E1275">
        <f>2358.332</f>
        <v>2358.3319999999999</v>
      </c>
      <c r="F1275">
        <f>1995</f>
        <v>1995</v>
      </c>
      <c r="G1275">
        <f>8601.876</f>
        <v>8601.8760000000002</v>
      </c>
      <c r="H1275">
        <f>3363.61</f>
        <v>3363.61</v>
      </c>
      <c r="I1275">
        <f>10180.497</f>
        <v>10180.496999999999</v>
      </c>
      <c r="J1275">
        <f>4022.96</f>
        <v>4022.96</v>
      </c>
      <c r="K1275">
        <f>11619.58</f>
        <v>11619.58</v>
      </c>
      <c r="L1275">
        <f>2014.09</f>
        <v>2014.09</v>
      </c>
      <c r="M1275">
        <f>8753.57</f>
        <v>8753.57</v>
      </c>
      <c r="N1275">
        <f>333.618</f>
        <v>333.61799999999999</v>
      </c>
      <c r="O1275">
        <f>2970.73</f>
        <v>2970.73</v>
      </c>
      <c r="P1275">
        <f>266.15</f>
        <v>266.14999999999998</v>
      </c>
      <c r="Q1275">
        <f>2533.336</f>
        <v>2533.3359999999998</v>
      </c>
      <c r="R1275">
        <f>5588.66</f>
        <v>5588.66</v>
      </c>
      <c r="S1275">
        <f>2533.18</f>
        <v>2533.1799999999998</v>
      </c>
      <c r="T1275">
        <f>4075.241</f>
        <v>4075.241</v>
      </c>
      <c r="U1275">
        <f>57703.02</f>
        <v>57703.02</v>
      </c>
      <c r="V1275">
        <f>419.92</f>
        <v>419.92</v>
      </c>
    </row>
    <row r="1276" spans="1:22" x14ac:dyDescent="0.2">
      <c r="A1276" s="1">
        <v>43321</v>
      </c>
      <c r="B1276">
        <f>2828.78</f>
        <v>2828.78</v>
      </c>
      <c r="C1276">
        <f>9939.83</f>
        <v>9939.83</v>
      </c>
      <c r="D1276">
        <f>6759.23</f>
        <v>6759.23</v>
      </c>
      <c r="E1276">
        <f>2394.068</f>
        <v>2394.0680000000002</v>
      </c>
      <c r="F1276">
        <f>2031.01</f>
        <v>2031.01</v>
      </c>
      <c r="G1276">
        <f>8749.675</f>
        <v>8749.6749999999993</v>
      </c>
      <c r="H1276">
        <f>3395.3</f>
        <v>3395.3</v>
      </c>
      <c r="I1276">
        <f>10443.655</f>
        <v>10443.655000000001</v>
      </c>
      <c r="J1276">
        <f>4047.97</f>
        <v>4047.97</v>
      </c>
      <c r="K1276">
        <f>11696.82</f>
        <v>11696.82</v>
      </c>
      <c r="L1276">
        <f>2036.62</f>
        <v>2036.62</v>
      </c>
      <c r="M1276">
        <f>8849.48</f>
        <v>8849.48</v>
      </c>
      <c r="N1276">
        <f>335.341</f>
        <v>335.34100000000001</v>
      </c>
      <c r="O1276">
        <f>3002.7</f>
        <v>3002.7</v>
      </c>
      <c r="P1276">
        <f>268.35</f>
        <v>268.35000000000002</v>
      </c>
      <c r="Q1276">
        <f>2549.401</f>
        <v>2549.4009999999998</v>
      </c>
      <c r="R1276">
        <f>5627</f>
        <v>5627</v>
      </c>
      <c r="S1276">
        <f>2562.63</f>
        <v>2562.63</v>
      </c>
      <c r="T1276" t="e">
        <f>NA()</f>
        <v>#N/A</v>
      </c>
      <c r="U1276" t="e">
        <f>NA()</f>
        <v>#N/A</v>
      </c>
      <c r="V1276" t="e">
        <f>NA()</f>
        <v>#N/A</v>
      </c>
    </row>
    <row r="1277" spans="1:22" x14ac:dyDescent="0.2">
      <c r="A1277" s="1">
        <v>43320</v>
      </c>
      <c r="B1277">
        <f>2837.52</f>
        <v>2837.52</v>
      </c>
      <c r="C1277">
        <f>9970.02</f>
        <v>9970.02</v>
      </c>
      <c r="D1277">
        <f>6756.35</f>
        <v>6756.35</v>
      </c>
      <c r="E1277">
        <f>2396.125</f>
        <v>2396.125</v>
      </c>
      <c r="F1277">
        <f>2036.47</f>
        <v>2036.47</v>
      </c>
      <c r="G1277">
        <f>8755.242</f>
        <v>8755.2420000000002</v>
      </c>
      <c r="H1277">
        <f>3408.88</f>
        <v>3408.88</v>
      </c>
      <c r="I1277">
        <f>10452.007</f>
        <v>10452.007</v>
      </c>
      <c r="J1277">
        <f>4053.06</f>
        <v>4053.06</v>
      </c>
      <c r="K1277">
        <f>11708.32</f>
        <v>11708.32</v>
      </c>
      <c r="L1277">
        <f>2036.18</f>
        <v>2036.18</v>
      </c>
      <c r="M1277">
        <f>8855.15</f>
        <v>8855.15</v>
      </c>
      <c r="N1277">
        <f>334.224</f>
        <v>334.22399999999999</v>
      </c>
      <c r="O1277">
        <f>2996.95</f>
        <v>2996.95</v>
      </c>
      <c r="P1277">
        <f>269.78</f>
        <v>269.77999999999997</v>
      </c>
      <c r="Q1277">
        <f>2553.652</f>
        <v>2553.652</v>
      </c>
      <c r="R1277">
        <f>5633.67</f>
        <v>5633.67</v>
      </c>
      <c r="S1277">
        <f>2569.33</f>
        <v>2569.33</v>
      </c>
      <c r="T1277">
        <f>4126.945</f>
        <v>4126.9449999999997</v>
      </c>
      <c r="U1277">
        <f>57786.31</f>
        <v>57786.31</v>
      </c>
      <c r="V1277">
        <f>423.84</f>
        <v>423.84</v>
      </c>
    </row>
    <row r="1278" spans="1:22" x14ac:dyDescent="0.2">
      <c r="A1278" s="1">
        <v>43319</v>
      </c>
      <c r="B1278">
        <f>2819.1</f>
        <v>2819.1</v>
      </c>
      <c r="C1278">
        <f>9969.24</f>
        <v>9969.24</v>
      </c>
      <c r="D1278">
        <f>6705.82</f>
        <v>6705.82</v>
      </c>
      <c r="E1278">
        <f>2396.136</f>
        <v>2396.136</v>
      </c>
      <c r="F1278">
        <f>2032.83</f>
        <v>2032.83</v>
      </c>
      <c r="G1278">
        <f>8736.625</f>
        <v>8736.625</v>
      </c>
      <c r="H1278">
        <f>3404.1</f>
        <v>3404.1</v>
      </c>
      <c r="I1278">
        <f>10474.848</f>
        <v>10474.848</v>
      </c>
      <c r="J1278">
        <f>4059.65</f>
        <v>4059.65</v>
      </c>
      <c r="K1278">
        <f>11712.17</f>
        <v>11712.17</v>
      </c>
      <c r="L1278">
        <f>2037.08</f>
        <v>2037.08</v>
      </c>
      <c r="M1278">
        <f>8857.7</f>
        <v>8857.7000000000007</v>
      </c>
      <c r="N1278">
        <f>335.086</f>
        <v>335.08600000000001</v>
      </c>
      <c r="O1278">
        <f>3001.55</f>
        <v>3001.55</v>
      </c>
      <c r="P1278">
        <f>270.5</f>
        <v>270.5</v>
      </c>
      <c r="Q1278">
        <f>2560.178</f>
        <v>2560.1779999999999</v>
      </c>
      <c r="R1278">
        <f>5634.98</f>
        <v>5634.98</v>
      </c>
      <c r="S1278">
        <f>2571.31</f>
        <v>2571.31</v>
      </c>
      <c r="T1278">
        <f>4076.81</f>
        <v>4076.81</v>
      </c>
      <c r="U1278">
        <f>57705.64</f>
        <v>57705.64</v>
      </c>
      <c r="V1278">
        <f>422.67</f>
        <v>422.67</v>
      </c>
    </row>
    <row r="1279" spans="1:22" x14ac:dyDescent="0.2">
      <c r="A1279" s="1">
        <v>43318</v>
      </c>
      <c r="B1279">
        <f>2792.94</f>
        <v>2792.94</v>
      </c>
      <c r="C1279">
        <f>9923.8</f>
        <v>9923.7999999999993</v>
      </c>
      <c r="D1279">
        <f>6658.29</f>
        <v>6658.29</v>
      </c>
      <c r="E1279">
        <f>2376.504</f>
        <v>2376.5039999999999</v>
      </c>
      <c r="F1279">
        <f>2012.65</f>
        <v>2012.65</v>
      </c>
      <c r="G1279">
        <f>8663.14</f>
        <v>8663.14</v>
      </c>
      <c r="H1279">
        <f>3360.98</f>
        <v>3360.98</v>
      </c>
      <c r="I1279">
        <f>10396.19</f>
        <v>10396.19</v>
      </c>
      <c r="J1279">
        <f>4047.37</f>
        <v>4047.37</v>
      </c>
      <c r="K1279">
        <f>11677.45</f>
        <v>11677.45</v>
      </c>
      <c r="L1279">
        <f>2028.68</f>
        <v>2028.68</v>
      </c>
      <c r="M1279">
        <f>8818.74</f>
        <v>8818.74</v>
      </c>
      <c r="N1279">
        <f>335.505</f>
        <v>335.505</v>
      </c>
      <c r="O1279">
        <f>2986.48</f>
        <v>2986.48</v>
      </c>
      <c r="P1279">
        <f>269.75</f>
        <v>269.75</v>
      </c>
      <c r="Q1279">
        <f>2555.134</f>
        <v>2555.134</v>
      </c>
      <c r="R1279">
        <f>5619.05</f>
        <v>5619.05</v>
      </c>
      <c r="S1279">
        <f>2551.94</f>
        <v>2551.94</v>
      </c>
      <c r="T1279">
        <f>4033.388</f>
        <v>4033.3879999999999</v>
      </c>
      <c r="U1279">
        <f>56861.21</f>
        <v>56861.21</v>
      </c>
      <c r="V1279">
        <f>415.94</f>
        <v>415.94</v>
      </c>
    </row>
    <row r="1280" spans="1:22" x14ac:dyDescent="0.2">
      <c r="A1280" s="1">
        <v>43315</v>
      </c>
      <c r="B1280">
        <f>2788.52</f>
        <v>2788.52</v>
      </c>
      <c r="C1280">
        <f>9932.87</f>
        <v>9932.8700000000008</v>
      </c>
      <c r="D1280">
        <f>6654.23</f>
        <v>6654.23</v>
      </c>
      <c r="E1280">
        <f>2381.661</f>
        <v>2381.6610000000001</v>
      </c>
      <c r="F1280">
        <f>2013.52</f>
        <v>2013.52</v>
      </c>
      <c r="G1280">
        <f>8710.434</f>
        <v>8710.4339999999993</v>
      </c>
      <c r="H1280">
        <f>3377.62</f>
        <v>3377.62</v>
      </c>
      <c r="I1280">
        <f>10431.345</f>
        <v>10431.344999999999</v>
      </c>
      <c r="J1280">
        <f>4038.85</f>
        <v>4038.85</v>
      </c>
      <c r="K1280">
        <f>11634.78</f>
        <v>11634.78</v>
      </c>
      <c r="L1280">
        <f>2027.91</f>
        <v>2027.91</v>
      </c>
      <c r="M1280">
        <f>8810.02</f>
        <v>8810.02</v>
      </c>
      <c r="N1280">
        <f>335.646</f>
        <v>335.64600000000002</v>
      </c>
      <c r="O1280">
        <f>2989.87</f>
        <v>2989.87</v>
      </c>
      <c r="P1280">
        <f>272.11</f>
        <v>272.11</v>
      </c>
      <c r="Q1280">
        <f>2550.467</f>
        <v>2550.4670000000001</v>
      </c>
      <c r="R1280">
        <f>5598.71</f>
        <v>5598.71</v>
      </c>
      <c r="S1280">
        <f>2566.2</f>
        <v>2566.1999999999998</v>
      </c>
      <c r="T1280">
        <f>4076.49</f>
        <v>4076.49</v>
      </c>
      <c r="U1280">
        <f>57118.03</f>
        <v>57118.03</v>
      </c>
      <c r="V1280">
        <f>418.91</f>
        <v>418.91</v>
      </c>
    </row>
    <row r="1281" spans="1:22" x14ac:dyDescent="0.2">
      <c r="A1281" s="1">
        <v>43314</v>
      </c>
      <c r="B1281">
        <f>2763.81</f>
        <v>2763.81</v>
      </c>
      <c r="C1281">
        <f>9875.8</f>
        <v>9875.7999999999993</v>
      </c>
      <c r="D1281">
        <f>6581.97</f>
        <v>6581.97</v>
      </c>
      <c r="E1281">
        <f>2367.956</f>
        <v>2367.9560000000001</v>
      </c>
      <c r="F1281">
        <f>1987.93</f>
        <v>1987.93</v>
      </c>
      <c r="G1281">
        <f>8625.6</f>
        <v>8625.6</v>
      </c>
      <c r="H1281">
        <f>3375.93</f>
        <v>3375.93</v>
      </c>
      <c r="I1281">
        <f>10400.432</f>
        <v>10400.432000000001</v>
      </c>
      <c r="J1281">
        <f>4007.15</f>
        <v>4007.15</v>
      </c>
      <c r="K1281">
        <f>11584.06</f>
        <v>11584.06</v>
      </c>
      <c r="L1281">
        <f>2015.85</f>
        <v>2015.85</v>
      </c>
      <c r="M1281">
        <f>8777.36</f>
        <v>8777.36</v>
      </c>
      <c r="N1281">
        <f>333.154</f>
        <v>333.154</v>
      </c>
      <c r="O1281">
        <f>2969.7</f>
        <v>2969.7</v>
      </c>
      <c r="P1281">
        <f>274.13</f>
        <v>274.13</v>
      </c>
      <c r="Q1281">
        <f>2533.661</f>
        <v>2533.6610000000001</v>
      </c>
      <c r="R1281">
        <f>5572.08</f>
        <v>5572.08</v>
      </c>
      <c r="S1281">
        <f>2580.2</f>
        <v>2580.1999999999998</v>
      </c>
      <c r="T1281">
        <f>4030.38</f>
        <v>4030.38</v>
      </c>
      <c r="U1281">
        <f>56470.72</f>
        <v>56470.720000000001</v>
      </c>
      <c r="V1281">
        <f>414.7</f>
        <v>414.7</v>
      </c>
    </row>
    <row r="1282" spans="1:22" x14ac:dyDescent="0.2">
      <c r="A1282" s="1">
        <v>43313</v>
      </c>
      <c r="B1282">
        <f>2804.53</f>
        <v>2804.53</v>
      </c>
      <c r="C1282">
        <f>10029.21</f>
        <v>10029.209999999999</v>
      </c>
      <c r="D1282">
        <f>6646.47</f>
        <v>6646.47</v>
      </c>
      <c r="E1282">
        <f>2410.553</f>
        <v>2410.5529999999999</v>
      </c>
      <c r="F1282">
        <f>2034.56</f>
        <v>2034.56</v>
      </c>
      <c r="G1282">
        <f>8771.774</f>
        <v>8771.7739999999994</v>
      </c>
      <c r="H1282">
        <f>3403.5</f>
        <v>3403.5</v>
      </c>
      <c r="I1282">
        <f>10524.125</f>
        <v>10524.125</v>
      </c>
      <c r="J1282">
        <f>4004.41</f>
        <v>4004.41</v>
      </c>
      <c r="K1282">
        <f>11519.96</f>
        <v>11519.96</v>
      </c>
      <c r="L1282">
        <f>2025.38</f>
        <v>2025.38</v>
      </c>
      <c r="M1282">
        <f>8783.72</f>
        <v>8783.7199999999993</v>
      </c>
      <c r="N1282">
        <f>332.78</f>
        <v>332.78</v>
      </c>
      <c r="O1282">
        <f>2995.11</f>
        <v>2995.11</v>
      </c>
      <c r="P1282">
        <f>276.81</f>
        <v>276.81</v>
      </c>
      <c r="Q1282">
        <f>2526.12</f>
        <v>2526.12</v>
      </c>
      <c r="R1282">
        <f>5544.19</f>
        <v>5544.19</v>
      </c>
      <c r="S1282">
        <f>2606.22</f>
        <v>2606.2199999999998</v>
      </c>
      <c r="T1282">
        <f>4099.523</f>
        <v>4099.5230000000001</v>
      </c>
      <c r="U1282">
        <f>57399.53</f>
        <v>57399.53</v>
      </c>
      <c r="V1282">
        <f>419.96</f>
        <v>419.96</v>
      </c>
    </row>
    <row r="1283" spans="1:22" x14ac:dyDescent="0.2">
      <c r="A1283" s="1">
        <v>43312</v>
      </c>
      <c r="B1283">
        <f>2838.44</f>
        <v>2838.44</v>
      </c>
      <c r="C1283">
        <f>10024.88</f>
        <v>10024.879999999999</v>
      </c>
      <c r="D1283">
        <f>6729.71</f>
        <v>6729.71</v>
      </c>
      <c r="E1283">
        <f>2411.556</f>
        <v>2411.556</v>
      </c>
      <c r="F1283">
        <f>2062.43</f>
        <v>2062.4299999999998</v>
      </c>
      <c r="G1283">
        <f>8876.614</f>
        <v>8876.6139999999996</v>
      </c>
      <c r="H1283">
        <f>3364.64</f>
        <v>3364.64</v>
      </c>
      <c r="I1283">
        <f>10581.581</f>
        <v>10581.581</v>
      </c>
      <c r="J1283">
        <f>4032.47</f>
        <v>4032.47</v>
      </c>
      <c r="K1283">
        <f>11530.98</f>
        <v>11530.98</v>
      </c>
      <c r="L1283">
        <f>2035.65</f>
        <v>2035.65</v>
      </c>
      <c r="M1283">
        <f>8798.94</f>
        <v>8798.94</v>
      </c>
      <c r="N1283">
        <f>333.77</f>
        <v>333.77</v>
      </c>
      <c r="O1283">
        <f>3009.64</f>
        <v>3009.64</v>
      </c>
      <c r="P1283">
        <f>275.18</f>
        <v>275.18</v>
      </c>
      <c r="Q1283">
        <f>2552.013</f>
        <v>2552.0129999999999</v>
      </c>
      <c r="R1283">
        <f>5549.96</f>
        <v>5549.96</v>
      </c>
      <c r="S1283">
        <f>2581.96</f>
        <v>2581.96</v>
      </c>
      <c r="T1283">
        <f>4091.49</f>
        <v>4091.49</v>
      </c>
      <c r="U1283">
        <f>57432.46</f>
        <v>57432.46</v>
      </c>
      <c r="V1283">
        <f>421.06</f>
        <v>421.06</v>
      </c>
    </row>
    <row r="1284" spans="1:22" x14ac:dyDescent="0.2">
      <c r="A1284" s="1">
        <v>43311</v>
      </c>
      <c r="B1284">
        <f>2816.59</f>
        <v>2816.59</v>
      </c>
      <c r="C1284">
        <f>10011.93</f>
        <v>10011.93</v>
      </c>
      <c r="D1284">
        <f>6688.1</f>
        <v>6688.1</v>
      </c>
      <c r="E1284">
        <f>2417.362</f>
        <v>2417.3620000000001</v>
      </c>
      <c r="F1284">
        <f>2059.32</f>
        <v>2059.3200000000002</v>
      </c>
      <c r="G1284">
        <f>8842.349</f>
        <v>8842.3490000000002</v>
      </c>
      <c r="H1284">
        <f>3408.14</f>
        <v>3408.14</v>
      </c>
      <c r="I1284">
        <f>10578.724</f>
        <v>10578.724</v>
      </c>
      <c r="J1284">
        <f>4001.64</f>
        <v>4001.64</v>
      </c>
      <c r="K1284">
        <f>11472.75</f>
        <v>11472.75</v>
      </c>
      <c r="L1284">
        <f>2028.48</f>
        <v>2028.48</v>
      </c>
      <c r="M1284">
        <f>8778.72</f>
        <v>8778.7199999999993</v>
      </c>
      <c r="N1284">
        <f>333.934</f>
        <v>333.93400000000003</v>
      </c>
      <c r="O1284">
        <f>3001.46</f>
        <v>3001.46</v>
      </c>
      <c r="P1284">
        <f>278.64</f>
        <v>278.64</v>
      </c>
      <c r="Q1284">
        <f>2527.141</f>
        <v>2527.1410000000001</v>
      </c>
      <c r="R1284">
        <f>5522.81</f>
        <v>5522.81</v>
      </c>
      <c r="S1284">
        <f>2603.85</f>
        <v>2603.85</v>
      </c>
      <c r="T1284">
        <f>4069.06</f>
        <v>4069.06</v>
      </c>
      <c r="U1284">
        <f>57313.14</f>
        <v>57313.14</v>
      </c>
      <c r="V1284">
        <f>417.57</f>
        <v>417.57</v>
      </c>
    </row>
    <row r="1285" spans="1:22" x14ac:dyDescent="0.2">
      <c r="A1285" s="1">
        <v>43308</v>
      </c>
      <c r="B1285">
        <f>2814.91</f>
        <v>2814.91</v>
      </c>
      <c r="C1285">
        <f>9980.31</f>
        <v>9980.31</v>
      </c>
      <c r="D1285">
        <f>6688.5</f>
        <v>6688.5</v>
      </c>
      <c r="E1285">
        <f>2421.984</f>
        <v>2421.9839999999999</v>
      </c>
      <c r="F1285">
        <f>2047.19</f>
        <v>2047.19</v>
      </c>
      <c r="G1285">
        <f>8825.583</f>
        <v>8825.5830000000005</v>
      </c>
      <c r="H1285">
        <f>3405.78</f>
        <v>3405.78</v>
      </c>
      <c r="I1285">
        <f>10553.597</f>
        <v>10553.597</v>
      </c>
      <c r="J1285">
        <f>4000.98</f>
        <v>4000.98</v>
      </c>
      <c r="K1285">
        <f>11542.19</f>
        <v>11542.19</v>
      </c>
      <c r="L1285">
        <f>2021.88</f>
        <v>2021.88</v>
      </c>
      <c r="M1285">
        <f>8810.02</f>
        <v>8810.02</v>
      </c>
      <c r="N1285">
        <f>336.094</f>
        <v>336.09399999999999</v>
      </c>
      <c r="O1285">
        <f>3009.66</f>
        <v>3009.66</v>
      </c>
      <c r="P1285">
        <f>280.38</f>
        <v>280.38</v>
      </c>
      <c r="Q1285">
        <f>2532.717</f>
        <v>2532.7170000000001</v>
      </c>
      <c r="R1285">
        <f>5554.31</f>
        <v>5554.31</v>
      </c>
      <c r="S1285">
        <f>2615.07</f>
        <v>2615.0700000000002</v>
      </c>
      <c r="T1285">
        <f>4056.514</f>
        <v>4056.5140000000001</v>
      </c>
      <c r="U1285">
        <f>57162.38</f>
        <v>57162.38</v>
      </c>
      <c r="V1285">
        <f>414.59</f>
        <v>414.59</v>
      </c>
    </row>
    <row r="1286" spans="1:22" x14ac:dyDescent="0.2">
      <c r="A1286" s="1">
        <v>43307</v>
      </c>
      <c r="B1286">
        <f>2794.19</f>
        <v>2794.19</v>
      </c>
      <c r="C1286">
        <f>9935.14</f>
        <v>9935.14</v>
      </c>
      <c r="D1286">
        <f>6655.38</f>
        <v>6655.38</v>
      </c>
      <c r="E1286">
        <f>2414.855</f>
        <v>2414.855</v>
      </c>
      <c r="F1286">
        <f>2026.56</f>
        <v>2026.56</v>
      </c>
      <c r="G1286">
        <f>8791.858</f>
        <v>8791.8580000000002</v>
      </c>
      <c r="H1286">
        <f>3382.06</f>
        <v>3382.06</v>
      </c>
      <c r="I1286">
        <f>10518.699</f>
        <v>10518.699000000001</v>
      </c>
      <c r="J1286">
        <f>4017.47</f>
        <v>4017.47</v>
      </c>
      <c r="K1286">
        <f>11622.74</f>
        <v>11622.74</v>
      </c>
      <c r="L1286">
        <f>2020.32</f>
        <v>2020.32</v>
      </c>
      <c r="M1286">
        <f>8833.74</f>
        <v>8833.74</v>
      </c>
      <c r="N1286">
        <f>334.614</f>
        <v>334.61399999999998</v>
      </c>
      <c r="O1286">
        <f>2997.46</f>
        <v>2997.46</v>
      </c>
      <c r="P1286">
        <f>279.04</f>
        <v>279.04000000000002</v>
      </c>
      <c r="Q1286">
        <f>2542.259</f>
        <v>2542.259</v>
      </c>
      <c r="R1286">
        <f>5590.99</f>
        <v>5590.99</v>
      </c>
      <c r="S1286">
        <f>2600.17</f>
        <v>2600.17</v>
      </c>
      <c r="T1286">
        <f>4044.994</f>
        <v>4044.9940000000001</v>
      </c>
      <c r="U1286">
        <f>56743.25</f>
        <v>56743.25</v>
      </c>
      <c r="V1286">
        <f>413.62</f>
        <v>413.62</v>
      </c>
    </row>
    <row r="1287" spans="1:22" x14ac:dyDescent="0.2">
      <c r="A1287" s="1">
        <v>43306</v>
      </c>
      <c r="B1287">
        <f>2799.39</f>
        <v>2799.39</v>
      </c>
      <c r="C1287">
        <f>9919.8</f>
        <v>9919.7999999999993</v>
      </c>
      <c r="D1287">
        <f>6648.35</f>
        <v>6648.35</v>
      </c>
      <c r="E1287">
        <f>2413.692</f>
        <v>2413.692</v>
      </c>
      <c r="F1287">
        <f>2026.65</f>
        <v>2026.65</v>
      </c>
      <c r="G1287">
        <f>8786.593</f>
        <v>8786.5930000000008</v>
      </c>
      <c r="H1287">
        <f>3360.92</f>
        <v>3360.92</v>
      </c>
      <c r="I1287">
        <f>10423.467</f>
        <v>10423.467000000001</v>
      </c>
      <c r="J1287">
        <f>3999.85</f>
        <v>3999.85</v>
      </c>
      <c r="K1287">
        <f>11656.49</f>
        <v>11656.49</v>
      </c>
      <c r="L1287">
        <f>2009.55</f>
        <v>2009.55</v>
      </c>
      <c r="M1287">
        <f>8832.6</f>
        <v>8832.6</v>
      </c>
      <c r="N1287">
        <f>332.259</f>
        <v>332.25900000000001</v>
      </c>
      <c r="O1287">
        <f>2973.42</f>
        <v>2973.42</v>
      </c>
      <c r="P1287">
        <f>275.73</f>
        <v>275.73</v>
      </c>
      <c r="Q1287">
        <f>2527.224</f>
        <v>2527.2240000000002</v>
      </c>
      <c r="R1287">
        <f>5607.99</f>
        <v>5607.99</v>
      </c>
      <c r="S1287">
        <f>2582.05</f>
        <v>2582.0500000000002</v>
      </c>
      <c r="T1287">
        <f>4019.321</f>
        <v>4019.3209999999999</v>
      </c>
      <c r="U1287">
        <f>56387.87</f>
        <v>56387.87</v>
      </c>
      <c r="V1287">
        <f>411.03</f>
        <v>411.03</v>
      </c>
    </row>
    <row r="1288" spans="1:22" x14ac:dyDescent="0.2">
      <c r="A1288" s="1">
        <v>43305</v>
      </c>
      <c r="B1288">
        <f>2813.05</f>
        <v>2813.05</v>
      </c>
      <c r="C1288">
        <f>9877.28</f>
        <v>9877.2800000000007</v>
      </c>
      <c r="D1288">
        <f>6692.45</f>
        <v>6692.45</v>
      </c>
      <c r="E1288">
        <f>2394.352</f>
        <v>2394.3519999999999</v>
      </c>
      <c r="F1288">
        <f>2043.8</f>
        <v>2043.8</v>
      </c>
      <c r="G1288">
        <f>8847.14</f>
        <v>8847.14</v>
      </c>
      <c r="H1288">
        <f>3343.19</f>
        <v>3343.19</v>
      </c>
      <c r="I1288">
        <f>10474.726</f>
        <v>10474.726000000001</v>
      </c>
      <c r="J1288">
        <f>3974.04</f>
        <v>3974.04</v>
      </c>
      <c r="K1288">
        <f>11550.46</f>
        <v>11550.46</v>
      </c>
      <c r="L1288">
        <f>2006.84</f>
        <v>2006.84</v>
      </c>
      <c r="M1288">
        <f>8788.7</f>
        <v>8788.7000000000007</v>
      </c>
      <c r="N1288">
        <f>332.605</f>
        <v>332.60500000000002</v>
      </c>
      <c r="O1288">
        <f>2982.98</f>
        <v>2982.98</v>
      </c>
      <c r="P1288">
        <f>275.47</f>
        <v>275.47000000000003</v>
      </c>
      <c r="Q1288">
        <f>2510.785</f>
        <v>2510.7849999999999</v>
      </c>
      <c r="R1288">
        <f>5557.37</f>
        <v>5557.37</v>
      </c>
      <c r="S1288">
        <f>2572.31</f>
        <v>2572.31</v>
      </c>
      <c r="T1288">
        <f>4026.6</f>
        <v>4026.6</v>
      </c>
      <c r="U1288">
        <f>57054.84</f>
        <v>57054.84</v>
      </c>
      <c r="V1288">
        <f>413.64</f>
        <v>413.64</v>
      </c>
    </row>
    <row r="1289" spans="1:22" x14ac:dyDescent="0.2">
      <c r="A1289" s="1">
        <v>43304</v>
      </c>
      <c r="B1289">
        <f>2803.32</f>
        <v>2803.32</v>
      </c>
      <c r="C1289">
        <f>9772.67</f>
        <v>9772.67</v>
      </c>
      <c r="D1289">
        <f>6646.21</f>
        <v>6646.21</v>
      </c>
      <c r="E1289">
        <f>2370.188</f>
        <v>2370.1880000000001</v>
      </c>
      <c r="F1289">
        <f>2018.59</f>
        <v>2018.59</v>
      </c>
      <c r="G1289">
        <f>8757.288</f>
        <v>8757.2880000000005</v>
      </c>
      <c r="H1289">
        <f>3315.36</f>
        <v>3315.36</v>
      </c>
      <c r="I1289">
        <f>10391.822</f>
        <v>10391.822</v>
      </c>
      <c r="J1289">
        <f>3946.74</f>
        <v>3946.74</v>
      </c>
      <c r="K1289">
        <f>11501.85</f>
        <v>11501.85</v>
      </c>
      <c r="L1289">
        <f>1992.75</f>
        <v>1992.75</v>
      </c>
      <c r="M1289">
        <f>8740.86</f>
        <v>8740.86</v>
      </c>
      <c r="N1289">
        <f>330.81</f>
        <v>330.81</v>
      </c>
      <c r="O1289">
        <f>2955.63</f>
        <v>2955.63</v>
      </c>
      <c r="P1289">
        <f>274.08</f>
        <v>274.08</v>
      </c>
      <c r="Q1289">
        <f>2498.903</f>
        <v>2498.9029999999998</v>
      </c>
      <c r="R1289">
        <f>5530.66</f>
        <v>5530.66</v>
      </c>
      <c r="S1289">
        <f>2560.28</f>
        <v>2560.2800000000002</v>
      </c>
      <c r="T1289">
        <f>4045.443</f>
        <v>4045.4430000000002</v>
      </c>
      <c r="U1289">
        <f>56556.81</f>
        <v>56556.81</v>
      </c>
      <c r="V1289">
        <f>407.61</f>
        <v>407.61</v>
      </c>
    </row>
    <row r="1290" spans="1:22" x14ac:dyDescent="0.2">
      <c r="A1290" s="1">
        <v>43301</v>
      </c>
      <c r="B1290">
        <f>2821.93</f>
        <v>2821.93</v>
      </c>
      <c r="C1290">
        <f>9727.93</f>
        <v>9727.93</v>
      </c>
      <c r="D1290">
        <f>6666.18</f>
        <v>6666.18</v>
      </c>
      <c r="E1290">
        <f>2371.034</f>
        <v>2371.0340000000001</v>
      </c>
      <c r="F1290">
        <f>2027.34</f>
        <v>2027.34</v>
      </c>
      <c r="G1290">
        <f>8776.766</f>
        <v>8776.7659999999996</v>
      </c>
      <c r="H1290">
        <f>3318.85</f>
        <v>3318.85</v>
      </c>
      <c r="I1290">
        <f>10410.162</f>
        <v>10410.162</v>
      </c>
      <c r="J1290">
        <f>3949.87</f>
        <v>3949.87</v>
      </c>
      <c r="K1290">
        <f>11483.1</f>
        <v>11483.1</v>
      </c>
      <c r="L1290">
        <f>1996.06</f>
        <v>1996.06</v>
      </c>
      <c r="M1290">
        <f>8739.51</f>
        <v>8739.51</v>
      </c>
      <c r="N1290">
        <f>332.296</f>
        <v>332.29599999999999</v>
      </c>
      <c r="O1290">
        <f>2962.02</f>
        <v>2962.02</v>
      </c>
      <c r="P1290">
        <f>273.14</f>
        <v>273.14</v>
      </c>
      <c r="Q1290">
        <f>2507.965</f>
        <v>2507.9650000000001</v>
      </c>
      <c r="R1290">
        <f>5520.5</f>
        <v>5520.5</v>
      </c>
      <c r="S1290">
        <f>2569.54</f>
        <v>2569.54</v>
      </c>
      <c r="T1290">
        <f>4101.397</f>
        <v>4101.3969999999999</v>
      </c>
      <c r="U1290">
        <f>56990.2</f>
        <v>56990.2</v>
      </c>
      <c r="V1290">
        <f>408.78</f>
        <v>408.78</v>
      </c>
    </row>
    <row r="1291" spans="1:22" x14ac:dyDescent="0.2">
      <c r="A1291" s="1">
        <v>43300</v>
      </c>
      <c r="B1291">
        <f>2818.92</f>
        <v>2818.92</v>
      </c>
      <c r="C1291">
        <f>9619.51</f>
        <v>9619.51</v>
      </c>
      <c r="D1291">
        <f>6670.67</f>
        <v>6670.67</v>
      </c>
      <c r="E1291">
        <f>2350.157</f>
        <v>2350.1570000000002</v>
      </c>
      <c r="F1291">
        <f>2014.16</f>
        <v>2014.16</v>
      </c>
      <c r="G1291">
        <f>8714.479</f>
        <v>8714.4789999999994</v>
      </c>
      <c r="H1291">
        <f>3299.75</f>
        <v>3299.75</v>
      </c>
      <c r="I1291">
        <f>10345.17</f>
        <v>10345.17</v>
      </c>
      <c r="J1291">
        <f>3955.48</f>
        <v>3955.48</v>
      </c>
      <c r="K1291">
        <f>11494.56</f>
        <v>11494.56</v>
      </c>
      <c r="L1291">
        <f>1991.12</f>
        <v>1991.12</v>
      </c>
      <c r="M1291">
        <f>8721.59</f>
        <v>8721.59</v>
      </c>
      <c r="N1291">
        <f>330.981</f>
        <v>330.98099999999999</v>
      </c>
      <c r="O1291">
        <f>2965.36</f>
        <v>2965.36</v>
      </c>
      <c r="P1291">
        <f>272.77</f>
        <v>272.77</v>
      </c>
      <c r="Q1291">
        <f>2500.508</f>
        <v>2500.5079999999998</v>
      </c>
      <c r="R1291">
        <f>5525.51</f>
        <v>5525.51</v>
      </c>
      <c r="S1291">
        <f>2576.33</f>
        <v>2576.33</v>
      </c>
      <c r="T1291">
        <f>4057.138</f>
        <v>4057.1379999999999</v>
      </c>
      <c r="U1291">
        <f>56276.72</f>
        <v>56276.72</v>
      </c>
      <c r="V1291">
        <f>409.14</f>
        <v>409.14</v>
      </c>
    </row>
    <row r="1292" spans="1:22" x14ac:dyDescent="0.2">
      <c r="A1292" s="1">
        <v>43299</v>
      </c>
      <c r="B1292">
        <f>2830.62</f>
        <v>2830.62</v>
      </c>
      <c r="C1292">
        <f>9683.27</f>
        <v>9683.27</v>
      </c>
      <c r="D1292">
        <f>6663.99</f>
        <v>6663.99</v>
      </c>
      <c r="E1292">
        <f>2367.719</f>
        <v>2367.7190000000001</v>
      </c>
      <c r="F1292">
        <f>2028.62</f>
        <v>2028.62</v>
      </c>
      <c r="G1292">
        <f>8736.431</f>
        <v>8736.4310000000005</v>
      </c>
      <c r="H1292">
        <f>3301.7</f>
        <v>3301.7</v>
      </c>
      <c r="I1292">
        <f>10401.018</f>
        <v>10401.018</v>
      </c>
      <c r="J1292">
        <f>3967.27</f>
        <v>3967.27</v>
      </c>
      <c r="K1292">
        <f>11536.95</f>
        <v>11536.95</v>
      </c>
      <c r="L1292">
        <f>1996.36</f>
        <v>1996.36</v>
      </c>
      <c r="M1292">
        <f>8751.3</f>
        <v>8751.2999999999993</v>
      </c>
      <c r="N1292">
        <f>331.809</f>
        <v>331.80900000000003</v>
      </c>
      <c r="O1292">
        <f>2971.33</f>
        <v>2971.33</v>
      </c>
      <c r="P1292">
        <f>273.92</f>
        <v>273.92</v>
      </c>
      <c r="Q1292">
        <f>2498.881</f>
        <v>2498.8809999999999</v>
      </c>
      <c r="R1292">
        <f>5546.86</f>
        <v>5546.86</v>
      </c>
      <c r="S1292">
        <f>2578.72</f>
        <v>2578.7199999999998</v>
      </c>
      <c r="T1292">
        <f>3996.642</f>
        <v>3996.6419999999998</v>
      </c>
      <c r="U1292">
        <f>56237.2</f>
        <v>56237.2</v>
      </c>
      <c r="V1292">
        <f>410.56</f>
        <v>410.56</v>
      </c>
    </row>
    <row r="1293" spans="1:22" x14ac:dyDescent="0.2">
      <c r="A1293" s="1">
        <v>43298</v>
      </c>
      <c r="B1293">
        <f>2818.72</f>
        <v>2818.72</v>
      </c>
      <c r="C1293">
        <f>9658.66</f>
        <v>9658.66</v>
      </c>
      <c r="D1293">
        <f>6620.63</f>
        <v>6620.63</v>
      </c>
      <c r="E1293">
        <f>2371.654</f>
        <v>2371.654</v>
      </c>
      <c r="F1293">
        <f>2041.02</f>
        <v>2041.02</v>
      </c>
      <c r="G1293">
        <f>8753.876</f>
        <v>8753.8760000000002</v>
      </c>
      <c r="H1293">
        <f>3288.58</f>
        <v>3288.58</v>
      </c>
      <c r="I1293">
        <f>10360.353</f>
        <v>10360.352999999999</v>
      </c>
      <c r="J1293">
        <f>3966.54</f>
        <v>3966.54</v>
      </c>
      <c r="K1293">
        <f>11514.83</f>
        <v>11514.83</v>
      </c>
      <c r="L1293">
        <f>1996.46</f>
        <v>1996.46</v>
      </c>
      <c r="M1293">
        <f>8734.57</f>
        <v>8734.57</v>
      </c>
      <c r="N1293">
        <f>331.457</f>
        <v>331.45699999999999</v>
      </c>
      <c r="O1293">
        <f>2955.8</f>
        <v>2955.8</v>
      </c>
      <c r="P1293">
        <f>273.27</f>
        <v>273.27</v>
      </c>
      <c r="Q1293">
        <f>2496.243</f>
        <v>2496.2429999999999</v>
      </c>
      <c r="R1293">
        <f>5534.91</f>
        <v>5534.91</v>
      </c>
      <c r="S1293">
        <f>2569.63</f>
        <v>2569.63</v>
      </c>
      <c r="T1293">
        <f>3993.646</f>
        <v>3993.6460000000002</v>
      </c>
      <c r="U1293">
        <f>56113.06</f>
        <v>56113.06</v>
      </c>
      <c r="V1293">
        <f>408.4</f>
        <v>408.4</v>
      </c>
    </row>
    <row r="1294" spans="1:22" x14ac:dyDescent="0.2">
      <c r="A1294" s="1">
        <v>43297</v>
      </c>
      <c r="B1294">
        <f>2813.78</f>
        <v>2813.78</v>
      </c>
      <c r="C1294">
        <f>9658.95</f>
        <v>9658.9500000000007</v>
      </c>
      <c r="D1294">
        <f>6598.17</f>
        <v>6598.17</v>
      </c>
      <c r="E1294">
        <f>2369.996</f>
        <v>2369.9960000000001</v>
      </c>
      <c r="F1294">
        <f>2043</f>
        <v>2043</v>
      </c>
      <c r="G1294">
        <f>8769.699</f>
        <v>8769.6990000000005</v>
      </c>
      <c r="H1294">
        <f>3267.71</f>
        <v>3267.71</v>
      </c>
      <c r="I1294">
        <f>10348.615</f>
        <v>10348.615</v>
      </c>
      <c r="J1294">
        <f>3949.72</f>
        <v>3949.72</v>
      </c>
      <c r="K1294">
        <f>11466.23</f>
        <v>11466.23</v>
      </c>
      <c r="L1294">
        <f>1995.51</f>
        <v>1995.51</v>
      </c>
      <c r="M1294">
        <f>8712.61</f>
        <v>8712.61</v>
      </c>
      <c r="N1294">
        <f>331.041</f>
        <v>331.041</v>
      </c>
      <c r="O1294">
        <f>2947.68</f>
        <v>2947.68</v>
      </c>
      <c r="P1294" t="e">
        <f>NA()</f>
        <v>#N/A</v>
      </c>
      <c r="Q1294">
        <f>2481.989</f>
        <v>2481.989</v>
      </c>
      <c r="R1294">
        <f>5512.92</f>
        <v>5512.92</v>
      </c>
      <c r="S1294" t="e">
        <f>NA()</f>
        <v>#N/A</v>
      </c>
      <c r="T1294">
        <f>3953.904</f>
        <v>3953.904</v>
      </c>
      <c r="U1294">
        <f>55442.04</f>
        <v>55442.04</v>
      </c>
      <c r="V1294">
        <f>402.31</f>
        <v>402.31</v>
      </c>
    </row>
    <row r="1295" spans="1:22" x14ac:dyDescent="0.2">
      <c r="A1295" s="1">
        <v>43294</v>
      </c>
      <c r="B1295">
        <f>2838.46</f>
        <v>2838.46</v>
      </c>
      <c r="C1295">
        <f>9695.97</f>
        <v>9695.9699999999993</v>
      </c>
      <c r="D1295">
        <f>6651.48</f>
        <v>6651.48</v>
      </c>
      <c r="E1295">
        <f>2381.614</f>
        <v>2381.614</v>
      </c>
      <c r="F1295">
        <f>2052.64</f>
        <v>2052.64</v>
      </c>
      <c r="G1295">
        <f>8827.272</f>
        <v>8827.2720000000008</v>
      </c>
      <c r="H1295">
        <f>3267.42</f>
        <v>3267.42</v>
      </c>
      <c r="I1295">
        <f>10320.745</f>
        <v>10320.745000000001</v>
      </c>
      <c r="J1295">
        <f>3956.93</f>
        <v>3956.93</v>
      </c>
      <c r="K1295">
        <f>11479.9</f>
        <v>11479.9</v>
      </c>
      <c r="L1295">
        <f>1996.15</f>
        <v>1996.15</v>
      </c>
      <c r="M1295">
        <f>8719.74</f>
        <v>8719.74</v>
      </c>
      <c r="N1295">
        <f>332.8</f>
        <v>332.8</v>
      </c>
      <c r="O1295">
        <f>2957.64</f>
        <v>2957.64</v>
      </c>
      <c r="P1295">
        <f>269.35</f>
        <v>269.35000000000002</v>
      </c>
      <c r="Q1295">
        <f>2491.195</f>
        <v>2491.1950000000002</v>
      </c>
      <c r="R1295">
        <f>5518.33</f>
        <v>5518.33</v>
      </c>
      <c r="S1295">
        <f>2547.59</f>
        <v>2547.59</v>
      </c>
      <c r="T1295">
        <f>4012.508</f>
        <v>4012.5079999999998</v>
      </c>
      <c r="U1295">
        <f>56364.14</f>
        <v>56364.14</v>
      </c>
      <c r="V1295">
        <f>409.63</f>
        <v>409.63</v>
      </c>
    </row>
    <row r="1296" spans="1:22" x14ac:dyDescent="0.2">
      <c r="A1296" s="1">
        <v>43293</v>
      </c>
      <c r="B1296">
        <f>2846.75</f>
        <v>2846.75</v>
      </c>
      <c r="C1296">
        <f>9630.32</f>
        <v>9630.32</v>
      </c>
      <c r="D1296">
        <f>6642.34</f>
        <v>6642.34</v>
      </c>
      <c r="E1296">
        <f>2369.498</f>
        <v>2369.498</v>
      </c>
      <c r="F1296">
        <f>2054.96</f>
        <v>2054.96</v>
      </c>
      <c r="G1296">
        <f>8831.749</f>
        <v>8831.7489999999998</v>
      </c>
      <c r="H1296">
        <f>3238.31</f>
        <v>3238.31</v>
      </c>
      <c r="I1296">
        <f>10312.221</f>
        <v>10312.221</v>
      </c>
      <c r="J1296">
        <f>3954.95</f>
        <v>3954.95</v>
      </c>
      <c r="K1296">
        <f>11469.48</f>
        <v>11469.48</v>
      </c>
      <c r="L1296">
        <f>1995.13</f>
        <v>1995.13</v>
      </c>
      <c r="M1296">
        <f>8704.45</f>
        <v>8704.4500000000007</v>
      </c>
      <c r="N1296">
        <f>331.734</f>
        <v>331.73399999999998</v>
      </c>
      <c r="O1296">
        <f>2949.77</f>
        <v>2949.77</v>
      </c>
      <c r="P1296">
        <f>267.61</f>
        <v>267.61</v>
      </c>
      <c r="Q1296">
        <f>2479.394</f>
        <v>2479.3939999999998</v>
      </c>
      <c r="R1296">
        <f>5512.36</f>
        <v>5512.36</v>
      </c>
      <c r="S1296">
        <f>2517.55</f>
        <v>2517.5500000000002</v>
      </c>
      <c r="T1296">
        <f>4018.767</f>
        <v>4018.7669999999998</v>
      </c>
      <c r="U1296">
        <f>56849.36</f>
        <v>56849.36</v>
      </c>
      <c r="V1296">
        <f>414.27</f>
        <v>414.27</v>
      </c>
    </row>
    <row r="1297" spans="1:22" x14ac:dyDescent="0.2">
      <c r="A1297" s="1">
        <v>43292</v>
      </c>
      <c r="B1297">
        <f>2830.89</f>
        <v>2830.89</v>
      </c>
      <c r="C1297">
        <f>9606.56</f>
        <v>9606.56</v>
      </c>
      <c r="D1297">
        <f>6590.68</f>
        <v>6590.68</v>
      </c>
      <c r="E1297">
        <f>2356.457</f>
        <v>2356.4569999999999</v>
      </c>
      <c r="F1297">
        <f>2055.45</f>
        <v>2055.4499999999998</v>
      </c>
      <c r="G1297">
        <f>8778.369</f>
        <v>8778.3690000000006</v>
      </c>
      <c r="H1297">
        <f>3268.22</f>
        <v>3268.22</v>
      </c>
      <c r="I1297">
        <f>10271.838</f>
        <v>10271.838</v>
      </c>
      <c r="J1297">
        <f>3925.64</f>
        <v>3925.64</v>
      </c>
      <c r="K1297">
        <f>11368.7</f>
        <v>11368.7</v>
      </c>
      <c r="L1297">
        <f>1985.64</f>
        <v>1985.64</v>
      </c>
      <c r="M1297">
        <f>8648.49</f>
        <v>8648.49</v>
      </c>
      <c r="N1297">
        <f>326.812</f>
        <v>326.81200000000001</v>
      </c>
      <c r="O1297">
        <f>2926.15</f>
        <v>2926.15</v>
      </c>
      <c r="P1297">
        <f>266.9</f>
        <v>266.89999999999998</v>
      </c>
      <c r="Q1297">
        <f>2468.657</f>
        <v>2468.6570000000002</v>
      </c>
      <c r="R1297">
        <f>5464.01</f>
        <v>5464.01</v>
      </c>
      <c r="S1297">
        <f>2506.06</f>
        <v>2506.06</v>
      </c>
      <c r="T1297">
        <f>3976.441</f>
        <v>3976.4409999999998</v>
      </c>
      <c r="U1297">
        <f>57231.01</f>
        <v>57231.01</v>
      </c>
      <c r="V1297">
        <f>416.71</f>
        <v>416.71</v>
      </c>
    </row>
    <row r="1298" spans="1:22" x14ac:dyDescent="0.2">
      <c r="A1298" s="1">
        <v>43291</v>
      </c>
      <c r="B1298">
        <f>2858.67</f>
        <v>2858.67</v>
      </c>
      <c r="C1298">
        <f>9703.7</f>
        <v>9703.7000000000007</v>
      </c>
      <c r="D1298">
        <f>6677.56</f>
        <v>6677.56</v>
      </c>
      <c r="E1298">
        <f>2381.227</f>
        <v>2381.2269999999999</v>
      </c>
      <c r="F1298">
        <f>2078.36</f>
        <v>2078.36</v>
      </c>
      <c r="G1298">
        <f>8904.377</f>
        <v>8904.3770000000004</v>
      </c>
      <c r="H1298">
        <f>3304.85</f>
        <v>3304.85</v>
      </c>
      <c r="I1298">
        <f>10398.373</f>
        <v>10398.373</v>
      </c>
      <c r="J1298">
        <f>3961.26</f>
        <v>3961.26</v>
      </c>
      <c r="K1298">
        <f>11449.29</f>
        <v>11449.29</v>
      </c>
      <c r="L1298">
        <f>2004.68</f>
        <v>2004.68</v>
      </c>
      <c r="M1298">
        <f>8724.35</f>
        <v>8724.35</v>
      </c>
      <c r="N1298">
        <f>329.795</f>
        <v>329.79500000000002</v>
      </c>
      <c r="O1298">
        <f>2965.37</f>
        <v>2965.37</v>
      </c>
      <c r="P1298">
        <f>268.94</f>
        <v>268.94</v>
      </c>
      <c r="Q1298">
        <f>2489.38</f>
        <v>2489.38</v>
      </c>
      <c r="R1298">
        <f>5503.05</f>
        <v>5503.05</v>
      </c>
      <c r="S1298">
        <f>2527.06</f>
        <v>2527.06</v>
      </c>
      <c r="T1298">
        <f>3994.792</f>
        <v>3994.7919999999999</v>
      </c>
      <c r="U1298">
        <f>58027.11</f>
        <v>58027.11</v>
      </c>
      <c r="V1298">
        <f>423.64</f>
        <v>423.64</v>
      </c>
    </row>
    <row r="1299" spans="1:22" x14ac:dyDescent="0.2">
      <c r="A1299" s="1">
        <v>43290</v>
      </c>
      <c r="B1299">
        <f>2861.17</f>
        <v>2861.17</v>
      </c>
      <c r="C1299">
        <f>9656.47</f>
        <v>9656.4699999999993</v>
      </c>
      <c r="D1299">
        <f>6674.05</f>
        <v>6674.05</v>
      </c>
      <c r="E1299">
        <f>2379.078</f>
        <v>2379.078</v>
      </c>
      <c r="F1299">
        <f>2083.01</f>
        <v>2083.0100000000002</v>
      </c>
      <c r="G1299">
        <f>8899.415</f>
        <v>8899.4150000000009</v>
      </c>
      <c r="H1299">
        <f>3309.31</f>
        <v>3309.31</v>
      </c>
      <c r="I1299">
        <f>10386.142</f>
        <v>10386.142</v>
      </c>
      <c r="J1299">
        <f>3927.57</f>
        <v>3927.57</v>
      </c>
      <c r="K1299">
        <f>11411.01</f>
        <v>11411.01</v>
      </c>
      <c r="L1299">
        <f>1995.05</f>
        <v>1995.05</v>
      </c>
      <c r="M1299">
        <f>8704.91</f>
        <v>8704.91</v>
      </c>
      <c r="N1299">
        <f>327.572</f>
        <v>327.572</v>
      </c>
      <c r="O1299">
        <f>2951.4</f>
        <v>2951.4</v>
      </c>
      <c r="P1299">
        <f>270.93</f>
        <v>270.93</v>
      </c>
      <c r="Q1299">
        <f>2472.698</f>
        <v>2472.6979999999999</v>
      </c>
      <c r="R1299">
        <f>5483.89</f>
        <v>5483.89</v>
      </c>
      <c r="S1299">
        <f>2520.66</f>
        <v>2520.66</v>
      </c>
      <c r="T1299">
        <f>4012.95</f>
        <v>4012.95</v>
      </c>
      <c r="U1299">
        <f>58219.91</f>
        <v>58219.91</v>
      </c>
      <c r="V1299">
        <f>424.95</f>
        <v>424.95</v>
      </c>
    </row>
    <row r="1300" spans="1:22" x14ac:dyDescent="0.2">
      <c r="A1300" s="1">
        <v>43287</v>
      </c>
      <c r="B1300">
        <f>2844.2</f>
        <v>2844.2</v>
      </c>
      <c r="C1300">
        <f>9494.75</f>
        <v>9494.75</v>
      </c>
      <c r="D1300">
        <f>6613.02</f>
        <v>6613.02</v>
      </c>
      <c r="E1300">
        <f>2341.665</f>
        <v>2341.665</v>
      </c>
      <c r="F1300">
        <f>2073.18</f>
        <v>2073.1799999999998</v>
      </c>
      <c r="G1300">
        <f>8825.424</f>
        <v>8825.4240000000009</v>
      </c>
      <c r="H1300">
        <f>3303.89</f>
        <v>3303.89</v>
      </c>
      <c r="I1300">
        <f>10330.999</f>
        <v>10330.999</v>
      </c>
      <c r="J1300">
        <f>3913.65</f>
        <v>3913.65</v>
      </c>
      <c r="K1300">
        <f>11307.5</f>
        <v>11307.5</v>
      </c>
      <c r="L1300">
        <f>1991.41</f>
        <v>1991.41</v>
      </c>
      <c r="M1300">
        <f>8632.18</f>
        <v>8632.18</v>
      </c>
      <c r="N1300">
        <f>326.905</f>
        <v>326.90499999999997</v>
      </c>
      <c r="O1300">
        <f>2937.4</f>
        <v>2937.4</v>
      </c>
      <c r="P1300">
        <f>267.49</f>
        <v>267.49</v>
      </c>
      <c r="Q1300">
        <f>2456.428</f>
        <v>2456.4279999999999</v>
      </c>
      <c r="R1300">
        <f>5434.36</f>
        <v>5434.36</v>
      </c>
      <c r="S1300">
        <f>2490.85</f>
        <v>2490.85</v>
      </c>
      <c r="T1300">
        <f>3943.53</f>
        <v>3943.53</v>
      </c>
      <c r="U1300">
        <f>57313.88</f>
        <v>57313.88</v>
      </c>
      <c r="V1300">
        <f>418.09</f>
        <v>418.09</v>
      </c>
    </row>
    <row r="1301" spans="1:22" x14ac:dyDescent="0.2">
      <c r="A1301" s="1">
        <v>43286</v>
      </c>
      <c r="B1301">
        <f>2847.11</f>
        <v>2847.11</v>
      </c>
      <c r="C1301">
        <f>9498.43</f>
        <v>9498.43</v>
      </c>
      <c r="D1301">
        <f>6600.46</f>
        <v>6600.46</v>
      </c>
      <c r="E1301">
        <f>2328.943</f>
        <v>2328.9430000000002</v>
      </c>
      <c r="F1301">
        <f>2058.69</f>
        <v>2058.69</v>
      </c>
      <c r="G1301">
        <f>8776.149</f>
        <v>8776.1489999999994</v>
      </c>
      <c r="H1301">
        <f>3274.6</f>
        <v>3274.6</v>
      </c>
      <c r="I1301">
        <f>10258.436</f>
        <v>10258.436</v>
      </c>
      <c r="J1301">
        <f>3891.4</f>
        <v>3891.4</v>
      </c>
      <c r="K1301">
        <f>11210.12</f>
        <v>11210.12</v>
      </c>
      <c r="L1301">
        <f>1979.26</f>
        <v>1979.26</v>
      </c>
      <c r="M1301">
        <f>8560.14</f>
        <v>8560.14</v>
      </c>
      <c r="N1301">
        <f>325.5</f>
        <v>325.5</v>
      </c>
      <c r="O1301">
        <f>2931.39</f>
        <v>2931.39</v>
      </c>
      <c r="P1301">
        <f>265.64</f>
        <v>265.64</v>
      </c>
      <c r="Q1301">
        <f>2447.018</f>
        <v>2447.018</v>
      </c>
      <c r="R1301">
        <f>5388.28</f>
        <v>5388.28</v>
      </c>
      <c r="S1301">
        <f>2468.25</f>
        <v>2468.25</v>
      </c>
      <c r="T1301">
        <f>3963.776</f>
        <v>3963.7759999999998</v>
      </c>
      <c r="U1301">
        <f>57414</f>
        <v>57414</v>
      </c>
      <c r="V1301">
        <f>419.76</f>
        <v>419.76</v>
      </c>
    </row>
    <row r="1302" spans="1:22" x14ac:dyDescent="0.2">
      <c r="A1302" s="1">
        <v>43285</v>
      </c>
      <c r="B1302">
        <f>2839.67</f>
        <v>2839.67</v>
      </c>
      <c r="C1302">
        <f>9496.15</f>
        <v>9496.15</v>
      </c>
      <c r="D1302">
        <f>6573.83</f>
        <v>6573.83</v>
      </c>
      <c r="E1302">
        <f>2329.587</f>
        <v>2329.587</v>
      </c>
      <c r="F1302">
        <f>2053.74</f>
        <v>2053.7399999999998</v>
      </c>
      <c r="G1302">
        <f>8732.287</f>
        <v>8732.2870000000003</v>
      </c>
      <c r="H1302">
        <f>3288.77</f>
        <v>3288.77</v>
      </c>
      <c r="I1302">
        <f>10146.839</f>
        <v>10146.839</v>
      </c>
      <c r="J1302">
        <f>3854.04</f>
        <v>3854.04</v>
      </c>
      <c r="K1302">
        <f>11111.77</f>
        <v>11111.77</v>
      </c>
      <c r="L1302">
        <f>1964.69</f>
        <v>1964.69</v>
      </c>
      <c r="M1302">
        <f>8501.66</f>
        <v>8501.66</v>
      </c>
      <c r="N1302">
        <f>326.105</f>
        <v>326.10500000000002</v>
      </c>
      <c r="O1302">
        <f>2919.3</f>
        <v>2919.3</v>
      </c>
      <c r="P1302">
        <f>268.08</f>
        <v>268.08</v>
      </c>
      <c r="Q1302" t="e">
        <f>NA()</f>
        <v>#N/A</v>
      </c>
      <c r="R1302" t="e">
        <f>NA()</f>
        <v>#N/A</v>
      </c>
      <c r="S1302">
        <f>2493.36</f>
        <v>2493.36</v>
      </c>
      <c r="T1302">
        <f>4006.033</f>
        <v>4006.0329999999999</v>
      </c>
      <c r="U1302">
        <f>57600.02</f>
        <v>57600.02</v>
      </c>
      <c r="V1302">
        <f>420.47</f>
        <v>420.47</v>
      </c>
    </row>
    <row r="1303" spans="1:22" x14ac:dyDescent="0.2">
      <c r="A1303" s="1">
        <v>43284</v>
      </c>
      <c r="B1303">
        <f>2833.75</f>
        <v>2833.75</v>
      </c>
      <c r="C1303">
        <f>9477.25</f>
        <v>9477.25</v>
      </c>
      <c r="D1303">
        <f>6591.36</f>
        <v>6591.36</v>
      </c>
      <c r="E1303">
        <f>2332.269</f>
        <v>2332.2689999999998</v>
      </c>
      <c r="F1303">
        <f>2043.33</f>
        <v>2043.33</v>
      </c>
      <c r="G1303">
        <f>8731.244</f>
        <v>8731.2440000000006</v>
      </c>
      <c r="H1303">
        <f>3275.97</f>
        <v>3275.97</v>
      </c>
      <c r="I1303">
        <f>10143.403</f>
        <v>10143.403</v>
      </c>
      <c r="J1303">
        <f>3854.04</f>
        <v>3854.04</v>
      </c>
      <c r="K1303">
        <f>11111.77</f>
        <v>11111.77</v>
      </c>
      <c r="L1303">
        <f>1961.69</f>
        <v>1961.69</v>
      </c>
      <c r="M1303">
        <f>8501.08</f>
        <v>8501.08</v>
      </c>
      <c r="N1303">
        <f>325.236</f>
        <v>325.23599999999999</v>
      </c>
      <c r="O1303">
        <f>2916.2</f>
        <v>2916.2</v>
      </c>
      <c r="P1303">
        <f>265.76</f>
        <v>265.76</v>
      </c>
      <c r="Q1303">
        <f>2424.263</f>
        <v>2424.2629999999999</v>
      </c>
      <c r="R1303">
        <f>5340.93</f>
        <v>5340.93</v>
      </c>
      <c r="S1303">
        <f>2492.69</f>
        <v>2492.69</v>
      </c>
      <c r="T1303">
        <f>3991.085</f>
        <v>3991.085</v>
      </c>
      <c r="U1303">
        <f>57488.76</f>
        <v>57488.76</v>
      </c>
      <c r="V1303">
        <f>420.01</f>
        <v>420.01</v>
      </c>
    </row>
    <row r="1304" spans="1:22" x14ac:dyDescent="0.2">
      <c r="A1304" s="1">
        <v>43283</v>
      </c>
      <c r="B1304">
        <f>2822.19</f>
        <v>2822.19</v>
      </c>
      <c r="C1304">
        <f>9486.69</f>
        <v>9486.69</v>
      </c>
      <c r="D1304">
        <f>6551.91</f>
        <v>6551.91</v>
      </c>
      <c r="E1304">
        <f>2335.496</f>
        <v>2335.4960000000001</v>
      </c>
      <c r="F1304">
        <f>2018.73</f>
        <v>2018.73</v>
      </c>
      <c r="G1304">
        <f>8647.386</f>
        <v>8647.3860000000004</v>
      </c>
      <c r="H1304">
        <f>3285.52</f>
        <v>3285.52</v>
      </c>
      <c r="I1304">
        <f>10015.052</f>
        <v>10015.052</v>
      </c>
      <c r="J1304">
        <f>3856.54</f>
        <v>3856.54</v>
      </c>
      <c r="K1304">
        <f>11166.2</f>
        <v>11166.2</v>
      </c>
      <c r="L1304">
        <f>1950.11</f>
        <v>1950.11</v>
      </c>
      <c r="M1304">
        <f>8501.1</f>
        <v>8501.1</v>
      </c>
      <c r="N1304">
        <f>323.279</f>
        <v>323.279</v>
      </c>
      <c r="O1304">
        <f>2893.18</f>
        <v>2893.18</v>
      </c>
      <c r="P1304">
        <f>266.17</f>
        <v>266.17</v>
      </c>
      <c r="Q1304">
        <f>2425.464</f>
        <v>2425.4639999999999</v>
      </c>
      <c r="R1304">
        <f>5367.49</f>
        <v>5367.49</v>
      </c>
      <c r="S1304">
        <f>2496.36</f>
        <v>2496.36</v>
      </c>
      <c r="T1304">
        <f>3922.281</f>
        <v>3922.2809999999999</v>
      </c>
      <c r="U1304">
        <f>57159.59</f>
        <v>57159.59</v>
      </c>
      <c r="V1304">
        <f>416.98</f>
        <v>416.98</v>
      </c>
    </row>
    <row r="1305" spans="1:22" x14ac:dyDescent="0.2">
      <c r="A1305" s="1">
        <v>43280</v>
      </c>
      <c r="B1305">
        <f>2832.74</f>
        <v>2832.74</v>
      </c>
      <c r="C1305">
        <f>9539.19</f>
        <v>9539.19</v>
      </c>
      <c r="D1305">
        <f>6629.24</f>
        <v>6629.24</v>
      </c>
      <c r="E1305">
        <f>2357.686</f>
        <v>2357.6860000000001</v>
      </c>
      <c r="F1305">
        <f>2057.83</f>
        <v>2057.83</v>
      </c>
      <c r="G1305">
        <f>8799.628</f>
        <v>8799.6280000000006</v>
      </c>
      <c r="H1305">
        <f>3346.72</f>
        <v>3346.72</v>
      </c>
      <c r="I1305">
        <f>10143.926</f>
        <v>10143.925999999999</v>
      </c>
      <c r="J1305">
        <f>3858.47</f>
        <v>3858.47</v>
      </c>
      <c r="K1305">
        <f>11131.38</f>
        <v>11131.38</v>
      </c>
      <c r="L1305">
        <f>1962.12</f>
        <v>1962.12</v>
      </c>
      <c r="M1305">
        <f>8530.35</f>
        <v>8530.35</v>
      </c>
      <c r="N1305">
        <f>325.853</f>
        <v>325.85300000000001</v>
      </c>
      <c r="O1305">
        <f>2915.88</f>
        <v>2915.88</v>
      </c>
      <c r="P1305">
        <f>272.16</f>
        <v>272.16000000000003</v>
      </c>
      <c r="Q1305">
        <f>2431.069</f>
        <v>2431.069</v>
      </c>
      <c r="R1305">
        <f>5350.83</f>
        <v>5350.83</v>
      </c>
      <c r="S1305">
        <f>2548.78</f>
        <v>2548.7800000000002</v>
      </c>
      <c r="T1305">
        <f>3897.042</f>
        <v>3897.0419999999999</v>
      </c>
      <c r="U1305">
        <f>57610.98</f>
        <v>57610.98</v>
      </c>
      <c r="V1305">
        <f>415.06</f>
        <v>415.06</v>
      </c>
    </row>
    <row r="1306" spans="1:22" x14ac:dyDescent="0.2">
      <c r="A1306" s="1">
        <v>43279</v>
      </c>
      <c r="B1306">
        <f>2820.98</f>
        <v>2820.98</v>
      </c>
      <c r="C1306">
        <f>9314.27</f>
        <v>9314.27</v>
      </c>
      <c r="D1306">
        <f>6610.75</f>
        <v>6610.75</v>
      </c>
      <c r="E1306">
        <f>2307.265</f>
        <v>2307.2649999999999</v>
      </c>
      <c r="F1306">
        <f>2029.42</f>
        <v>2029.42</v>
      </c>
      <c r="G1306">
        <f>8702.556</f>
        <v>8702.5560000000005</v>
      </c>
      <c r="H1306">
        <f>3343.18</f>
        <v>3343.18</v>
      </c>
      <c r="I1306">
        <f>9964.61</f>
        <v>9964.61</v>
      </c>
      <c r="J1306">
        <f>3853.55</f>
        <v>3853.55</v>
      </c>
      <c r="K1306">
        <f>11121.32</f>
        <v>11121.32</v>
      </c>
      <c r="L1306">
        <f>1948.89</f>
        <v>1948.89</v>
      </c>
      <c r="M1306">
        <f>8490.24</f>
        <v>8490.24</v>
      </c>
      <c r="N1306">
        <f>323.577</f>
        <v>323.577</v>
      </c>
      <c r="O1306">
        <f>2893.25</f>
        <v>2893.25</v>
      </c>
      <c r="P1306">
        <f>271.83</f>
        <v>271.83</v>
      </c>
      <c r="Q1306">
        <f>2428.187</f>
        <v>2428.1869999999999</v>
      </c>
      <c r="R1306">
        <f>5346.44</f>
        <v>5346.44</v>
      </c>
      <c r="S1306">
        <f>2543.06</f>
        <v>2543.06</v>
      </c>
      <c r="T1306">
        <f>3803.798</f>
        <v>3803.7979999999998</v>
      </c>
      <c r="U1306">
        <f>55795.2</f>
        <v>55795.199999999997</v>
      </c>
      <c r="V1306">
        <f>403.74</f>
        <v>403.74</v>
      </c>
    </row>
    <row r="1307" spans="1:22" x14ac:dyDescent="0.2">
      <c r="A1307" s="1">
        <v>43278</v>
      </c>
      <c r="B1307">
        <f>2831.76</f>
        <v>2831.76</v>
      </c>
      <c r="C1307">
        <f>9379.42</f>
        <v>9379.42</v>
      </c>
      <c r="D1307">
        <f>6610.59</f>
        <v>6610.59</v>
      </c>
      <c r="E1307">
        <f>2317.53</f>
        <v>2317.5300000000002</v>
      </c>
      <c r="F1307">
        <f>2052.75</f>
        <v>2052.75</v>
      </c>
      <c r="G1307">
        <f>8735.63</f>
        <v>8735.6299999999992</v>
      </c>
      <c r="H1307">
        <f>3345.67</f>
        <v>3345.67</v>
      </c>
      <c r="I1307">
        <f>10072.757</f>
        <v>10072.757</v>
      </c>
      <c r="J1307">
        <f>3840.12</f>
        <v>3840.12</v>
      </c>
      <c r="K1307">
        <f>11051.82</f>
        <v>11051.82</v>
      </c>
      <c r="L1307">
        <f>1948.28</f>
        <v>1948.28</v>
      </c>
      <c r="M1307">
        <f>8474.67</f>
        <v>8474.67</v>
      </c>
      <c r="N1307">
        <f>324.729</f>
        <v>324.72899999999998</v>
      </c>
      <c r="O1307">
        <f>2914.07</f>
        <v>2914.07</v>
      </c>
      <c r="P1307">
        <f>273.76</f>
        <v>273.76</v>
      </c>
      <c r="Q1307">
        <f>2420.712</f>
        <v>2420.712</v>
      </c>
      <c r="R1307">
        <f>5312.89</f>
        <v>5312.89</v>
      </c>
      <c r="S1307">
        <f>2549.61</f>
        <v>2549.61</v>
      </c>
      <c r="T1307">
        <f>3784.564</f>
        <v>3784.5639999999999</v>
      </c>
      <c r="U1307">
        <f>55369.26</f>
        <v>55369.26</v>
      </c>
      <c r="V1307">
        <f>402.95</f>
        <v>402.95</v>
      </c>
    </row>
    <row r="1308" spans="1:22" x14ac:dyDescent="0.2">
      <c r="A1308" s="1">
        <v>43277</v>
      </c>
      <c r="B1308">
        <f>2817.52</f>
        <v>2817.52</v>
      </c>
      <c r="C1308">
        <f>9504.45</f>
        <v>9504.4500000000007</v>
      </c>
      <c r="D1308">
        <f>6537.94</f>
        <v>6537.94</v>
      </c>
      <c r="E1308">
        <f>2351.521</f>
        <v>2351.5210000000002</v>
      </c>
      <c r="F1308">
        <f>2055.91</f>
        <v>2055.91</v>
      </c>
      <c r="G1308">
        <f>8694.316</f>
        <v>8694.3160000000007</v>
      </c>
      <c r="H1308">
        <f>3376.11</f>
        <v>3376.11</v>
      </c>
      <c r="I1308">
        <f>10067.103</f>
        <v>10067.102999999999</v>
      </c>
      <c r="J1308">
        <f>3864.4</f>
        <v>3864.4</v>
      </c>
      <c r="K1308">
        <f>11150.4</f>
        <v>11150.4</v>
      </c>
      <c r="L1308">
        <f>1953.48</f>
        <v>1953.48</v>
      </c>
      <c r="M1308">
        <f>8522.94</f>
        <v>8522.94</v>
      </c>
      <c r="N1308">
        <f>321.911</f>
        <v>321.911</v>
      </c>
      <c r="O1308">
        <f>2891.08</f>
        <v>2891.08</v>
      </c>
      <c r="P1308">
        <f>273.03</f>
        <v>273.02999999999997</v>
      </c>
      <c r="Q1308">
        <f>2433.53</f>
        <v>2433.5300000000002</v>
      </c>
      <c r="R1308">
        <f>5359.01</f>
        <v>5359.01</v>
      </c>
      <c r="S1308">
        <f>2545.97</f>
        <v>2545.9699999999998</v>
      </c>
      <c r="T1308">
        <f>3835.579</f>
        <v>3835.5790000000002</v>
      </c>
      <c r="U1308">
        <f>55254.67</f>
        <v>55254.67</v>
      </c>
      <c r="V1308">
        <f>406.93</f>
        <v>406.93</v>
      </c>
    </row>
    <row r="1309" spans="1:22" x14ac:dyDescent="0.2">
      <c r="A1309" s="1">
        <v>43276</v>
      </c>
      <c r="B1309">
        <f>2827.39</f>
        <v>2827.39</v>
      </c>
      <c r="C1309">
        <f>9535.92</f>
        <v>9535.92</v>
      </c>
      <c r="D1309">
        <f>6513.58</f>
        <v>6513.58</v>
      </c>
      <c r="E1309">
        <f>2358.142</f>
        <v>2358.1419999999998</v>
      </c>
      <c r="F1309">
        <f>2056.08</f>
        <v>2056.08</v>
      </c>
      <c r="G1309">
        <f>8682.418</f>
        <v>8682.4179999999997</v>
      </c>
      <c r="H1309">
        <f>3362.41</f>
        <v>3362.41</v>
      </c>
      <c r="I1309">
        <f>10084.731</f>
        <v>10084.731</v>
      </c>
      <c r="J1309">
        <f>3869.78</f>
        <v>3869.78</v>
      </c>
      <c r="K1309">
        <f>11125.35</f>
        <v>11125.35</v>
      </c>
      <c r="L1309">
        <f>1954.26</f>
        <v>1954.26</v>
      </c>
      <c r="M1309">
        <f>8511.42</f>
        <v>8511.42</v>
      </c>
      <c r="N1309">
        <f>322.41</f>
        <v>322.41000000000003</v>
      </c>
      <c r="O1309">
        <f>2889.23</f>
        <v>2889.23</v>
      </c>
      <c r="P1309">
        <f>271.4</f>
        <v>271.39999999999998</v>
      </c>
      <c r="Q1309">
        <f>2432.5</f>
        <v>2432.5</v>
      </c>
      <c r="R1309">
        <f>5347.23</f>
        <v>5347.23</v>
      </c>
      <c r="S1309">
        <f>2541.85</f>
        <v>2541.85</v>
      </c>
      <c r="T1309">
        <f>3868.108</f>
        <v>3868.1080000000002</v>
      </c>
      <c r="U1309">
        <f>55889.26</f>
        <v>55889.26</v>
      </c>
      <c r="V1309">
        <f>408.47</f>
        <v>408.47</v>
      </c>
    </row>
    <row r="1310" spans="1:22" x14ac:dyDescent="0.2">
      <c r="A1310" s="1">
        <v>43273</v>
      </c>
      <c r="B1310">
        <f>2867.64</f>
        <v>2867.64</v>
      </c>
      <c r="C1310">
        <f>9623.2</f>
        <v>9623.2000000000007</v>
      </c>
      <c r="D1310">
        <f>6663.13</f>
        <v>6663.13</v>
      </c>
      <c r="E1310">
        <f>2391.417</f>
        <v>2391.4169999999999</v>
      </c>
      <c r="F1310">
        <f>2095.2</f>
        <v>2095.1999999999998</v>
      </c>
      <c r="G1310">
        <f>8883.617</f>
        <v>8883.6170000000002</v>
      </c>
      <c r="H1310">
        <f>3379.78</f>
        <v>3379.78</v>
      </c>
      <c r="I1310">
        <f>10237.78</f>
        <v>10237.780000000001</v>
      </c>
      <c r="J1310">
        <f>3898.68</f>
        <v>3898.68</v>
      </c>
      <c r="K1310">
        <f>11283.3</f>
        <v>11283.3</v>
      </c>
      <c r="L1310">
        <f>1971.09</f>
        <v>1971.09</v>
      </c>
      <c r="M1310">
        <f>8631</f>
        <v>8631</v>
      </c>
      <c r="N1310">
        <f>327.709</f>
        <v>327.709</v>
      </c>
      <c r="O1310">
        <f>2952.82</f>
        <v>2952.82</v>
      </c>
      <c r="P1310">
        <f>273.97</f>
        <v>273.97000000000003</v>
      </c>
      <c r="Q1310">
        <f>2445.74</f>
        <v>2445.7399999999998</v>
      </c>
      <c r="R1310">
        <f>5421.63</f>
        <v>5421.63</v>
      </c>
      <c r="S1310">
        <f>2566.2</f>
        <v>2566.1999999999998</v>
      </c>
      <c r="T1310">
        <f>3918.858</f>
        <v>3918.8580000000002</v>
      </c>
      <c r="U1310">
        <f>56856.66</f>
        <v>56856.66</v>
      </c>
      <c r="V1310">
        <f>416.62</f>
        <v>416.62</v>
      </c>
    </row>
    <row r="1311" spans="1:22" x14ac:dyDescent="0.2">
      <c r="A1311" s="1">
        <v>43272</v>
      </c>
      <c r="B1311">
        <f>2815.06</f>
        <v>2815.06</v>
      </c>
      <c r="C1311">
        <f>9566.96</f>
        <v>9566.9599999999991</v>
      </c>
      <c r="D1311">
        <f>6554</f>
        <v>6554</v>
      </c>
      <c r="E1311">
        <f>2374.199</f>
        <v>2374.1990000000001</v>
      </c>
      <c r="F1311">
        <f>2061.67</f>
        <v>2061.67</v>
      </c>
      <c r="G1311">
        <f>8725.345</f>
        <v>8725.3449999999993</v>
      </c>
      <c r="H1311">
        <f>3395.48</f>
        <v>3395.48</v>
      </c>
      <c r="I1311">
        <f>10115.024</f>
        <v>10115.023999999999</v>
      </c>
      <c r="J1311">
        <f>3874.07</f>
        <v>3874.07</v>
      </c>
      <c r="K1311">
        <f>11262.9</f>
        <v>11262.9</v>
      </c>
      <c r="L1311">
        <f>1954.06</f>
        <v>1954.06</v>
      </c>
      <c r="M1311">
        <f>8594.22</f>
        <v>8594.2199999999993</v>
      </c>
      <c r="N1311">
        <f>324.764</f>
        <v>324.76400000000001</v>
      </c>
      <c r="O1311">
        <f>2919.43</f>
        <v>2919.43</v>
      </c>
      <c r="P1311">
        <f>273.85</f>
        <v>273.85000000000002</v>
      </c>
      <c r="Q1311">
        <f>2433.502</f>
        <v>2433.502</v>
      </c>
      <c r="R1311">
        <f>5411.4</f>
        <v>5411.4</v>
      </c>
      <c r="S1311">
        <f>2574.74</f>
        <v>2574.7399999999998</v>
      </c>
      <c r="T1311">
        <f>3871.073</f>
        <v>3871.0729999999999</v>
      </c>
      <c r="U1311">
        <f>56234.43</f>
        <v>56234.43</v>
      </c>
      <c r="V1311">
        <f>413.28</f>
        <v>413.28</v>
      </c>
    </row>
    <row r="1312" spans="1:22" x14ac:dyDescent="0.2">
      <c r="A1312" s="1">
        <v>43271</v>
      </c>
      <c r="B1312">
        <f>2848.21</f>
        <v>2848.21</v>
      </c>
      <c r="C1312">
        <f>9654.71</f>
        <v>9654.7099999999991</v>
      </c>
      <c r="D1312">
        <f>6613.22</f>
        <v>6613.22</v>
      </c>
      <c r="E1312">
        <f>2402.753</f>
        <v>2402.7530000000002</v>
      </c>
      <c r="F1312">
        <f>2070.23</f>
        <v>2070.23</v>
      </c>
      <c r="G1312">
        <f>8749.342</f>
        <v>8749.3420000000006</v>
      </c>
      <c r="H1312">
        <f>3400.26</f>
        <v>3400.26</v>
      </c>
      <c r="I1312">
        <f>10191.058</f>
        <v>10191.058000000001</v>
      </c>
      <c r="J1312">
        <f>3896.94</f>
        <v>3896.94</v>
      </c>
      <c r="K1312">
        <f>11337.01</f>
        <v>11337.01</v>
      </c>
      <c r="L1312">
        <f>1963.56</f>
        <v>1963.56</v>
      </c>
      <c r="M1312">
        <f>8641.5</f>
        <v>8641.5</v>
      </c>
      <c r="N1312">
        <f>325.643</f>
        <v>325.64299999999997</v>
      </c>
      <c r="O1312">
        <f>2945.44</f>
        <v>2945.44</v>
      </c>
      <c r="P1312">
        <f>275.35</f>
        <v>275.35000000000002</v>
      </c>
      <c r="Q1312">
        <f>2447.468</f>
        <v>2447.4679999999998</v>
      </c>
      <c r="R1312">
        <f>5445.43</f>
        <v>5445.43</v>
      </c>
      <c r="S1312">
        <f>2577.85</f>
        <v>2577.85</v>
      </c>
      <c r="T1312">
        <f>3882.983</f>
        <v>3882.9830000000002</v>
      </c>
      <c r="U1312">
        <f>56651.66</f>
        <v>56651.66</v>
      </c>
      <c r="V1312">
        <f>414.76</f>
        <v>414.76</v>
      </c>
    </row>
    <row r="1313" spans="1:22" x14ac:dyDescent="0.2">
      <c r="A1313" s="1">
        <v>43270</v>
      </c>
      <c r="B1313">
        <f>2838.93</f>
        <v>2838.93</v>
      </c>
      <c r="C1313">
        <f>9609.3</f>
        <v>9609.2999999999993</v>
      </c>
      <c r="D1313">
        <f>6592.79</f>
        <v>6592.79</v>
      </c>
      <c r="E1313">
        <f>2384.219</f>
        <v>2384.2190000000001</v>
      </c>
      <c r="F1313">
        <f>2065.62</f>
        <v>2065.62</v>
      </c>
      <c r="G1313">
        <f>8721.801</f>
        <v>8721.8009999999995</v>
      </c>
      <c r="H1313">
        <f>3395.09</f>
        <v>3395.09</v>
      </c>
      <c r="I1313">
        <f>10150.599</f>
        <v>10150.599</v>
      </c>
      <c r="J1313">
        <f>3899.82</f>
        <v>3899.82</v>
      </c>
      <c r="K1313">
        <f>11315.51</f>
        <v>11315.51</v>
      </c>
      <c r="L1313">
        <f>1961.6</f>
        <v>1961.6</v>
      </c>
      <c r="M1313">
        <f>8615.64</f>
        <v>8615.64</v>
      </c>
      <c r="N1313">
        <f>323.3</f>
        <v>323.3</v>
      </c>
      <c r="O1313">
        <f>2936.43</f>
        <v>2936.43</v>
      </c>
      <c r="P1313">
        <f>273.91</f>
        <v>273.91000000000003</v>
      </c>
      <c r="Q1313">
        <f>2449.285</f>
        <v>2449.2849999999999</v>
      </c>
      <c r="R1313">
        <f>5436.13</f>
        <v>5436.13</v>
      </c>
      <c r="S1313">
        <f>2564.88</f>
        <v>2564.88</v>
      </c>
      <c r="T1313">
        <f>3837.798</f>
        <v>3837.7979999999998</v>
      </c>
      <c r="U1313">
        <f>56253.31</f>
        <v>56253.31</v>
      </c>
      <c r="V1313">
        <f>410.98</f>
        <v>410.98</v>
      </c>
    </row>
    <row r="1314" spans="1:22" x14ac:dyDescent="0.2">
      <c r="A1314" s="1">
        <v>43269</v>
      </c>
      <c r="B1314">
        <f>2852.08</f>
        <v>2852.08</v>
      </c>
      <c r="C1314">
        <f>9779.63</f>
        <v>9779.6299999999992</v>
      </c>
      <c r="D1314">
        <f>6616.62</f>
        <v>6616.62</v>
      </c>
      <c r="E1314">
        <f>2429.957</f>
        <v>2429.9569999999999</v>
      </c>
      <c r="F1314">
        <f>2087.32</f>
        <v>2087.3200000000002</v>
      </c>
      <c r="G1314">
        <f>8799.155</f>
        <v>8799.1550000000007</v>
      </c>
      <c r="H1314">
        <f>3422.77</f>
        <v>3422.77</v>
      </c>
      <c r="I1314">
        <f>10274.258</f>
        <v>10274.258</v>
      </c>
      <c r="J1314">
        <f>3906.62</f>
        <v>3906.62</v>
      </c>
      <c r="K1314">
        <f>11361.68</f>
        <v>11361.68</v>
      </c>
      <c r="L1314">
        <f>1969.58</f>
        <v>1969.58</v>
      </c>
      <c r="M1314">
        <f>8673.9</f>
        <v>8673.9</v>
      </c>
      <c r="N1314">
        <f>325.423</f>
        <v>325.423</v>
      </c>
      <c r="O1314">
        <f>2958.08</f>
        <v>2958.08</v>
      </c>
      <c r="P1314">
        <f>277.89</f>
        <v>277.89</v>
      </c>
      <c r="Q1314">
        <f>2461.195</f>
        <v>2461.1950000000002</v>
      </c>
      <c r="R1314">
        <f>5457.83</f>
        <v>5457.83</v>
      </c>
      <c r="S1314">
        <f>2605.33</f>
        <v>2605.33</v>
      </c>
      <c r="T1314">
        <f>3883.048</f>
        <v>3883.0479999999998</v>
      </c>
      <c r="U1314">
        <f>57236.84</f>
        <v>57236.84</v>
      </c>
      <c r="V1314">
        <f>416.83</f>
        <v>416.83</v>
      </c>
    </row>
    <row r="1315" spans="1:22" x14ac:dyDescent="0.2">
      <c r="A1315" s="1">
        <v>43266</v>
      </c>
      <c r="B1315">
        <f>2849.91</f>
        <v>2849.91</v>
      </c>
      <c r="C1315">
        <f>9842.69</f>
        <v>9842.69</v>
      </c>
      <c r="D1315">
        <f>6618.86</f>
        <v>6618.86</v>
      </c>
      <c r="E1315">
        <f>2446.811</f>
        <v>2446.8110000000001</v>
      </c>
      <c r="F1315">
        <f>2095.56</f>
        <v>2095.56</v>
      </c>
      <c r="G1315">
        <f>8830.046</f>
        <v>8830.0460000000003</v>
      </c>
      <c r="H1315">
        <f>3453.92</f>
        <v>3453.92</v>
      </c>
      <c r="I1315">
        <f>10380.444</f>
        <v>10380.444</v>
      </c>
      <c r="J1315">
        <f>3940.01</f>
        <v>3940.01</v>
      </c>
      <c r="K1315">
        <f>11382.36</f>
        <v>11382.36</v>
      </c>
      <c r="L1315">
        <f>1985.2</f>
        <v>1985.2</v>
      </c>
      <c r="M1315">
        <f>8707.6</f>
        <v>8707.6</v>
      </c>
      <c r="N1315">
        <f>328</f>
        <v>328</v>
      </c>
      <c r="O1315">
        <f>2980.67</f>
        <v>2980.67</v>
      </c>
      <c r="P1315">
        <f>280.07</f>
        <v>280.07</v>
      </c>
      <c r="Q1315">
        <f>2480.806</f>
        <v>2480.806</v>
      </c>
      <c r="R1315">
        <f>5469.37</f>
        <v>5469.37</v>
      </c>
      <c r="S1315">
        <f>2631.22</f>
        <v>2631.22</v>
      </c>
      <c r="T1315">
        <f>3939.181</f>
        <v>3939.181</v>
      </c>
      <c r="U1315">
        <f>57660.5</f>
        <v>57660.5</v>
      </c>
      <c r="V1315">
        <f>423.07</f>
        <v>423.07</v>
      </c>
    </row>
    <row r="1316" spans="1:22" x14ac:dyDescent="0.2">
      <c r="A1316" s="1">
        <v>43265</v>
      </c>
      <c r="B1316">
        <f>2902.8</f>
        <v>2902.8</v>
      </c>
      <c r="C1316">
        <f>9921.69</f>
        <v>9921.69</v>
      </c>
      <c r="D1316">
        <f>6733.2</f>
        <v>6733.2</v>
      </c>
      <c r="E1316">
        <f>2472.849</f>
        <v>2472.8490000000002</v>
      </c>
      <c r="F1316">
        <f>2146.05</f>
        <v>2146.0500000000002</v>
      </c>
      <c r="G1316">
        <f>9015.336</f>
        <v>9015.3359999999993</v>
      </c>
      <c r="H1316">
        <f>3468.58</f>
        <v>3468.58</v>
      </c>
      <c r="I1316">
        <f>10480.49</f>
        <v>10480.49</v>
      </c>
      <c r="J1316">
        <f>3929.79</f>
        <v>3929.79</v>
      </c>
      <c r="K1316">
        <f>11391.14</f>
        <v>11391.14</v>
      </c>
      <c r="L1316">
        <f>1987.34</f>
        <v>1987.34</v>
      </c>
      <c r="M1316">
        <f>8739.17</f>
        <v>8739.17</v>
      </c>
      <c r="N1316">
        <f>329.982</f>
        <v>329.98200000000003</v>
      </c>
      <c r="O1316">
        <f>3011.59</f>
        <v>3011.59</v>
      </c>
      <c r="P1316">
        <f>280.35</f>
        <v>280.35000000000002</v>
      </c>
      <c r="Q1316">
        <f>2472.868</f>
        <v>2472.8679999999999</v>
      </c>
      <c r="R1316">
        <f>5474.37</f>
        <v>5474.37</v>
      </c>
      <c r="S1316">
        <f>2623.65</f>
        <v>2623.65</v>
      </c>
      <c r="T1316">
        <f>3990.975</f>
        <v>3990.9749999999999</v>
      </c>
      <c r="U1316">
        <f>58495.67</f>
        <v>58495.67</v>
      </c>
      <c r="V1316">
        <f>429.55</f>
        <v>429.55</v>
      </c>
    </row>
    <row r="1317" spans="1:22" x14ac:dyDescent="0.2">
      <c r="A1317" s="1">
        <v>43264</v>
      </c>
      <c r="B1317">
        <f>2877.16</f>
        <v>2877.16</v>
      </c>
      <c r="C1317">
        <f>10013.82</f>
        <v>10013.82</v>
      </c>
      <c r="D1317">
        <f>6675.5</f>
        <v>6675.5</v>
      </c>
      <c r="E1317">
        <f>2494.238</f>
        <v>2494.2379999999998</v>
      </c>
      <c r="F1317">
        <f>2122.73</f>
        <v>2122.73</v>
      </c>
      <c r="G1317">
        <f>8962.574</f>
        <v>8962.5740000000005</v>
      </c>
      <c r="H1317">
        <f>3495.26</f>
        <v>3495.26</v>
      </c>
      <c r="I1317">
        <f>10475.187</f>
        <v>10475.187</v>
      </c>
      <c r="J1317">
        <f>3924.54</f>
        <v>3924.54</v>
      </c>
      <c r="K1317">
        <f>11356.99</f>
        <v>11356.99</v>
      </c>
      <c r="L1317">
        <f>1985.87</f>
        <v>1985.87</v>
      </c>
      <c r="M1317">
        <f>8729.63</f>
        <v>8729.6299999999992</v>
      </c>
      <c r="N1317">
        <f>326.219</f>
        <v>326.21899999999999</v>
      </c>
      <c r="O1317">
        <f>2973.36</f>
        <v>2973.36</v>
      </c>
      <c r="P1317">
        <f>281.4</f>
        <v>281.39999999999998</v>
      </c>
      <c r="Q1317">
        <f>2469.402</f>
        <v>2469.402</v>
      </c>
      <c r="R1317">
        <f>5459.21</f>
        <v>5459.21</v>
      </c>
      <c r="S1317">
        <f>2647.89</f>
        <v>2647.89</v>
      </c>
      <c r="T1317">
        <f>3951.995</f>
        <v>3951.9949999999999</v>
      </c>
      <c r="U1317">
        <f>58437.23</f>
        <v>58437.23</v>
      </c>
      <c r="V1317">
        <f>428.04</f>
        <v>428.04</v>
      </c>
    </row>
    <row r="1318" spans="1:22" x14ac:dyDescent="0.2">
      <c r="A1318" s="1">
        <v>43263</v>
      </c>
      <c r="B1318">
        <f>2886.64</f>
        <v>2886.64</v>
      </c>
      <c r="C1318">
        <f>10042.42</f>
        <v>10042.42</v>
      </c>
      <c r="D1318">
        <f>6675.58</f>
        <v>6675.58</v>
      </c>
      <c r="E1318">
        <f>2504.544</f>
        <v>2504.5439999999999</v>
      </c>
      <c r="F1318">
        <f>2129.19</f>
        <v>2129.19</v>
      </c>
      <c r="G1318">
        <f>8955.444</f>
        <v>8955.4439999999995</v>
      </c>
      <c r="H1318">
        <f>3479.02</f>
        <v>3479.02</v>
      </c>
      <c r="I1318">
        <f>10469.788</f>
        <v>10469.788</v>
      </c>
      <c r="J1318">
        <f>3949.61</f>
        <v>3949.61</v>
      </c>
      <c r="K1318">
        <f>11402.19</f>
        <v>11402.19</v>
      </c>
      <c r="L1318">
        <f>1995.28</f>
        <v>1995.28</v>
      </c>
      <c r="M1318">
        <f>8750.21</f>
        <v>8750.2099999999991</v>
      </c>
      <c r="N1318">
        <f>325.872</f>
        <v>325.87200000000001</v>
      </c>
      <c r="O1318">
        <f>2972.42</f>
        <v>2972.42</v>
      </c>
      <c r="P1318">
        <f>279.18</f>
        <v>279.18</v>
      </c>
      <c r="Q1318">
        <f>2486.506</f>
        <v>2486.5059999999999</v>
      </c>
      <c r="R1318">
        <f>5481.07</f>
        <v>5481.07</v>
      </c>
      <c r="S1318">
        <f>2636.79</f>
        <v>2636.79</v>
      </c>
      <c r="T1318">
        <f>3948.695</f>
        <v>3948.6950000000002</v>
      </c>
      <c r="U1318">
        <f>58207.82</f>
        <v>58207.82</v>
      </c>
      <c r="V1318">
        <f>429.33</f>
        <v>429.33</v>
      </c>
    </row>
    <row r="1319" spans="1:22" x14ac:dyDescent="0.2">
      <c r="A1319" s="1">
        <v>43262</v>
      </c>
      <c r="B1319">
        <f>2896.85</f>
        <v>2896.85</v>
      </c>
      <c r="C1319">
        <f>10052.84</f>
        <v>10052.84</v>
      </c>
      <c r="D1319">
        <f>6704.72</f>
        <v>6704.72</v>
      </c>
      <c r="E1319">
        <f>2501.851</f>
        <v>2501.8510000000001</v>
      </c>
      <c r="F1319">
        <f>2141.3</f>
        <v>2141.3000000000002</v>
      </c>
      <c r="G1319">
        <f>9021.565</f>
        <v>9021.5650000000005</v>
      </c>
      <c r="H1319">
        <f>3487.08</f>
        <v>3487.08</v>
      </c>
      <c r="I1319">
        <f>10483.728</f>
        <v>10483.727999999999</v>
      </c>
      <c r="J1319">
        <f>3945.17</f>
        <v>3945.17</v>
      </c>
      <c r="K1319">
        <f>11378.95</f>
        <v>11378.95</v>
      </c>
      <c r="L1319">
        <f>1996.58</f>
        <v>1996.58</v>
      </c>
      <c r="M1319">
        <f>8745.2</f>
        <v>8745.2000000000007</v>
      </c>
      <c r="N1319">
        <f>326.074</f>
        <v>326.07400000000001</v>
      </c>
      <c r="O1319">
        <f>2972.77</f>
        <v>2972.77</v>
      </c>
      <c r="P1319">
        <f>278.44</f>
        <v>278.44</v>
      </c>
      <c r="Q1319">
        <f>2483.355</f>
        <v>2483.355</v>
      </c>
      <c r="R1319">
        <f>5471.29</f>
        <v>5471.29</v>
      </c>
      <c r="S1319">
        <f>2628</f>
        <v>2628</v>
      </c>
      <c r="T1319">
        <f>3936.32</f>
        <v>3936.32</v>
      </c>
      <c r="U1319">
        <f>58146.1</f>
        <v>58146.1</v>
      </c>
      <c r="V1319">
        <f>431.27</f>
        <v>431.27</v>
      </c>
    </row>
    <row r="1320" spans="1:22" x14ac:dyDescent="0.2">
      <c r="A1320" s="1">
        <v>43259</v>
      </c>
      <c r="B1320">
        <f>2859.89</f>
        <v>2859.89</v>
      </c>
      <c r="C1320">
        <f>10054.44</f>
        <v>10054.44</v>
      </c>
      <c r="D1320">
        <f>6655.88</f>
        <v>6655.88</v>
      </c>
      <c r="E1320">
        <f>2492.835</f>
        <v>2492.835</v>
      </c>
      <c r="F1320">
        <f>2128.16</f>
        <v>2128.16</v>
      </c>
      <c r="G1320">
        <f>8964.417</f>
        <v>8964.4169999999995</v>
      </c>
      <c r="H1320">
        <f>3504.46</f>
        <v>3504.46</v>
      </c>
      <c r="I1320">
        <f>10352.168</f>
        <v>10352.168</v>
      </c>
      <c r="J1320">
        <f>3943.52</f>
        <v>3943.52</v>
      </c>
      <c r="K1320">
        <f>11366.74</f>
        <v>11366.74</v>
      </c>
      <c r="L1320">
        <f>1988.91</f>
        <v>1988.91</v>
      </c>
      <c r="M1320">
        <f>8718.27</f>
        <v>8718.27</v>
      </c>
      <c r="N1320">
        <f>324.26</f>
        <v>324.26</v>
      </c>
      <c r="O1320">
        <f>2949.21</f>
        <v>2949.21</v>
      </c>
      <c r="P1320">
        <f>278.12</f>
        <v>278.12</v>
      </c>
      <c r="Q1320">
        <f>2481.443</f>
        <v>2481.4430000000002</v>
      </c>
      <c r="R1320">
        <f>5465.42</f>
        <v>5465.42</v>
      </c>
      <c r="S1320">
        <f>2620.05</f>
        <v>2620.0500000000002</v>
      </c>
      <c r="T1320">
        <f>3944.737</f>
        <v>3944.7370000000001</v>
      </c>
      <c r="U1320">
        <f>58223.72</f>
        <v>58223.72</v>
      </c>
      <c r="V1320">
        <f>429.56</f>
        <v>429.56</v>
      </c>
    </row>
    <row r="1321" spans="1:22" x14ac:dyDescent="0.2">
      <c r="A1321" s="1">
        <v>43258</v>
      </c>
      <c r="B1321">
        <f>2867.65</f>
        <v>2867.65</v>
      </c>
      <c r="C1321">
        <f>10195.52</f>
        <v>10195.52</v>
      </c>
      <c r="D1321">
        <f>6676.1</f>
        <v>6676.1</v>
      </c>
      <c r="E1321">
        <f>2523.989</f>
        <v>2523.989</v>
      </c>
      <c r="F1321">
        <f>2137.94</f>
        <v>2137.94</v>
      </c>
      <c r="G1321">
        <f>9001.616</f>
        <v>9001.616</v>
      </c>
      <c r="H1321">
        <f>3509.72</f>
        <v>3509.72</v>
      </c>
      <c r="I1321">
        <f>10435.665</f>
        <v>10435.665000000001</v>
      </c>
      <c r="J1321">
        <f>3929.04</f>
        <v>3929.04</v>
      </c>
      <c r="K1321">
        <f>11330.12</f>
        <v>11330.12</v>
      </c>
      <c r="L1321">
        <f>1989.05</f>
        <v>1989.05</v>
      </c>
      <c r="M1321">
        <f>8717.26</f>
        <v>8717.26</v>
      </c>
      <c r="N1321">
        <f>323.835</f>
        <v>323.83499999999998</v>
      </c>
      <c r="O1321">
        <f>2957.42</f>
        <v>2957.42</v>
      </c>
      <c r="P1321">
        <f>279.18</f>
        <v>279.18</v>
      </c>
      <c r="Q1321">
        <f>2466.253</f>
        <v>2466.2530000000002</v>
      </c>
      <c r="R1321">
        <f>5448.18</f>
        <v>5448.18</v>
      </c>
      <c r="S1321">
        <f>2631.18</f>
        <v>2631.18</v>
      </c>
      <c r="T1321">
        <f>3960.917</f>
        <v>3960.9169999999999</v>
      </c>
      <c r="U1321">
        <f>58391.64</f>
        <v>58391.64</v>
      </c>
      <c r="V1321">
        <f>430.53</f>
        <v>430.53</v>
      </c>
    </row>
    <row r="1322" spans="1:22" x14ac:dyDescent="0.2">
      <c r="A1322" s="1">
        <v>43257</v>
      </c>
      <c r="B1322">
        <f>2873.3</f>
        <v>2873.3</v>
      </c>
      <c r="C1322">
        <f>10185.12</f>
        <v>10185.120000000001</v>
      </c>
      <c r="D1322">
        <f>6673.84</f>
        <v>6673.84</v>
      </c>
      <c r="E1322">
        <f>2523.841</f>
        <v>2523.8409999999999</v>
      </c>
      <c r="F1322">
        <f>2137.4</f>
        <v>2137.4</v>
      </c>
      <c r="G1322">
        <f>9003.467</f>
        <v>9003.4670000000006</v>
      </c>
      <c r="H1322">
        <f>3485.62</f>
        <v>3485.62</v>
      </c>
      <c r="I1322">
        <f>10407.034</f>
        <v>10407.034</v>
      </c>
      <c r="J1322">
        <f>3923.33</f>
        <v>3923.33</v>
      </c>
      <c r="K1322">
        <f>11339.29</f>
        <v>11339.29</v>
      </c>
      <c r="L1322">
        <f>1981.87</f>
        <v>1981.87</v>
      </c>
      <c r="M1322">
        <f>8711.92</f>
        <v>8711.92</v>
      </c>
      <c r="N1322">
        <f>325.601</f>
        <v>325.601</v>
      </c>
      <c r="O1322">
        <f>2962.51</f>
        <v>2962.51</v>
      </c>
      <c r="P1322">
        <f>278.98</f>
        <v>278.98</v>
      </c>
      <c r="Q1322">
        <f>2460.004</f>
        <v>2460.0039999999999</v>
      </c>
      <c r="R1322">
        <f>5451.09</f>
        <v>5451.09</v>
      </c>
      <c r="S1322">
        <f>2612.49</f>
        <v>2612.4899999999998</v>
      </c>
      <c r="T1322">
        <f>3966.002</f>
        <v>3966.002</v>
      </c>
      <c r="U1322">
        <f>58081.87</f>
        <v>58081.87</v>
      </c>
      <c r="V1322">
        <f>427.32</f>
        <v>427.32</v>
      </c>
    </row>
    <row r="1323" spans="1:22" x14ac:dyDescent="0.2">
      <c r="A1323" s="1">
        <v>43256</v>
      </c>
      <c r="B1323">
        <f>2861.22</f>
        <v>2861.22</v>
      </c>
      <c r="C1323">
        <f>10143.47</f>
        <v>10143.469999999999</v>
      </c>
      <c r="D1323">
        <f>6651.71</f>
        <v>6651.71</v>
      </c>
      <c r="E1323">
        <f>2511.125</f>
        <v>2511.125</v>
      </c>
      <c r="F1323">
        <f>2108.44</f>
        <v>2108.44</v>
      </c>
      <c r="G1323">
        <f>8918.433</f>
        <v>8918.4330000000009</v>
      </c>
      <c r="H1323">
        <f>3479.28</f>
        <v>3479.28</v>
      </c>
      <c r="I1323">
        <f>10312.291</f>
        <v>10312.290999999999</v>
      </c>
      <c r="J1323">
        <f>3891.24</f>
        <v>3891.24</v>
      </c>
      <c r="K1323">
        <f>11240.74</f>
        <v>11240.74</v>
      </c>
      <c r="L1323">
        <f>1968.73</f>
        <v>1968.73</v>
      </c>
      <c r="M1323">
        <f>8640.78</f>
        <v>8640.7800000000007</v>
      </c>
      <c r="N1323">
        <f>326.567</f>
        <v>326.56700000000001</v>
      </c>
      <c r="O1323">
        <f>2963.75</f>
        <v>2963.75</v>
      </c>
      <c r="P1323">
        <f>278.3</f>
        <v>278.3</v>
      </c>
      <c r="Q1323">
        <f>2442.573</f>
        <v>2442.5729999999999</v>
      </c>
      <c r="R1323">
        <f>5404.62</f>
        <v>5404.62</v>
      </c>
      <c r="S1323">
        <f>2608.64</f>
        <v>2608.64</v>
      </c>
      <c r="T1323">
        <f>3976.876</f>
        <v>3976.8760000000002</v>
      </c>
      <c r="U1323">
        <f>57779.11</f>
        <v>57779.11</v>
      </c>
      <c r="V1323">
        <f>425.43</f>
        <v>425.43</v>
      </c>
    </row>
    <row r="1324" spans="1:22" x14ac:dyDescent="0.2">
      <c r="A1324" s="1">
        <v>43255</v>
      </c>
      <c r="B1324">
        <f>2880.32</f>
        <v>2880.32</v>
      </c>
      <c r="C1324">
        <f>10188.38</f>
        <v>10188.379999999999</v>
      </c>
      <c r="D1324">
        <f>6698.86</f>
        <v>6698.86</v>
      </c>
      <c r="E1324">
        <f>2515.935</f>
        <v>2515.9349999999999</v>
      </c>
      <c r="F1324">
        <f>2120.15</f>
        <v>2120.15</v>
      </c>
      <c r="G1324">
        <f>8975.065</f>
        <v>8975.0650000000005</v>
      </c>
      <c r="H1324">
        <f>3480.86</f>
        <v>3480.86</v>
      </c>
      <c r="I1324">
        <f>10365.989</f>
        <v>10365.989</v>
      </c>
      <c r="J1324">
        <f>3894.88</f>
        <v>3894.88</v>
      </c>
      <c r="K1324">
        <f>11230.3</f>
        <v>11230.3</v>
      </c>
      <c r="L1324">
        <f>1974.76</f>
        <v>1974.76</v>
      </c>
      <c r="M1324">
        <f>8650.37</f>
        <v>8650.3700000000008</v>
      </c>
      <c r="N1324">
        <f>326.673</f>
        <v>326.673</v>
      </c>
      <c r="O1324">
        <f>2971.47</f>
        <v>2971.47</v>
      </c>
      <c r="P1324">
        <f>277.88</f>
        <v>277.88</v>
      </c>
      <c r="Q1324">
        <f>2438.674</f>
        <v>2438.674</v>
      </c>
      <c r="R1324">
        <f>5400.5</f>
        <v>5400.5</v>
      </c>
      <c r="S1324">
        <f>2608.24</f>
        <v>2608.2399999999998</v>
      </c>
      <c r="T1324">
        <f>4032.412</f>
        <v>4032.4119999999998</v>
      </c>
      <c r="U1324">
        <f>57870.89</f>
        <v>57870.89</v>
      </c>
      <c r="V1324">
        <f>429.91</f>
        <v>429.91</v>
      </c>
    </row>
    <row r="1325" spans="1:22" x14ac:dyDescent="0.2">
      <c r="A1325" s="1">
        <v>43252</v>
      </c>
      <c r="B1325">
        <f>2865.4</f>
        <v>2865.4</v>
      </c>
      <c r="C1325">
        <f>10028.28</f>
        <v>10028.280000000001</v>
      </c>
      <c r="D1325">
        <f>6664.66</f>
        <v>6664.66</v>
      </c>
      <c r="E1325">
        <f>2479.386</f>
        <v>2479.386</v>
      </c>
      <c r="F1325">
        <f>2105.85</f>
        <v>2105.85</v>
      </c>
      <c r="G1325">
        <f>8926.806</f>
        <v>8926.8060000000005</v>
      </c>
      <c r="H1325">
        <f>3428.49</f>
        <v>3428.49</v>
      </c>
      <c r="I1325">
        <f>10303.081</f>
        <v>10303.081</v>
      </c>
      <c r="J1325">
        <f>3877.48</f>
        <v>3877.48</v>
      </c>
      <c r="K1325">
        <f>11179.27</f>
        <v>11179.27</v>
      </c>
      <c r="L1325">
        <f>1964.82</f>
        <v>1964.82</v>
      </c>
      <c r="M1325">
        <f>8598.36</f>
        <v>8598.36</v>
      </c>
      <c r="N1325">
        <f>325.915</f>
        <v>325.91500000000002</v>
      </c>
      <c r="O1325">
        <f>2964.41</f>
        <v>2964.41</v>
      </c>
      <c r="P1325">
        <f>274.15</f>
        <v>274.14999999999998</v>
      </c>
      <c r="Q1325">
        <f>2426.227</f>
        <v>2426.2269999999999</v>
      </c>
      <c r="R1325">
        <f>5376.29</f>
        <v>5376.29</v>
      </c>
      <c r="S1325">
        <f>2570.74</f>
        <v>2570.7399999999998</v>
      </c>
      <c r="T1325">
        <f>3982.367</f>
        <v>3982.3670000000002</v>
      </c>
      <c r="U1325">
        <f>57282.14</f>
        <v>57282.14</v>
      </c>
      <c r="V1325">
        <f>426.15</f>
        <v>426.15</v>
      </c>
    </row>
    <row r="1326" spans="1:22" x14ac:dyDescent="0.2">
      <c r="A1326" s="1">
        <v>43251</v>
      </c>
      <c r="B1326">
        <f>2847.01</f>
        <v>2847.01</v>
      </c>
      <c r="C1326">
        <f>9964.13</f>
        <v>9964.1299999999992</v>
      </c>
      <c r="D1326">
        <f>6644.27</f>
        <v>6644.27</v>
      </c>
      <c r="E1326">
        <f>2458.184</f>
        <v>2458.1840000000002</v>
      </c>
      <c r="F1326">
        <f>2087.53</f>
        <v>2087.5300000000002</v>
      </c>
      <c r="G1326">
        <f>8885.139</f>
        <v>8885.1389999999992</v>
      </c>
      <c r="H1326">
        <f>3463.4</f>
        <v>3463.4</v>
      </c>
      <c r="I1326">
        <f>10195.729</f>
        <v>10195.728999999999</v>
      </c>
      <c r="J1326">
        <f>3840.18</f>
        <v>3840.18</v>
      </c>
      <c r="K1326">
        <f>11056.29</f>
        <v>11056.29</v>
      </c>
      <c r="L1326">
        <f>1955.49</f>
        <v>1955.49</v>
      </c>
      <c r="M1326">
        <f>8531.33</f>
        <v>8531.33</v>
      </c>
      <c r="N1326">
        <f>323.983</f>
        <v>323.983</v>
      </c>
      <c r="O1326">
        <f>2932.57</f>
        <v>2932.57</v>
      </c>
      <c r="P1326">
        <f>274.51</f>
        <v>274.51</v>
      </c>
      <c r="Q1326">
        <f>2410.288</f>
        <v>2410.288</v>
      </c>
      <c r="R1326">
        <f>5318.1</f>
        <v>5318.1</v>
      </c>
      <c r="S1326">
        <f>2568.21</f>
        <v>2568.21</v>
      </c>
      <c r="T1326">
        <f>3953.268</f>
        <v>3953.268</v>
      </c>
      <c r="U1326">
        <f>56157.89</f>
        <v>56157.89</v>
      </c>
      <c r="V1326">
        <f>418.78</f>
        <v>418.78</v>
      </c>
    </row>
    <row r="1327" spans="1:22" x14ac:dyDescent="0.2">
      <c r="A1327" s="1">
        <v>43250</v>
      </c>
      <c r="B1327">
        <f>2849.8</f>
        <v>2849.8</v>
      </c>
      <c r="C1327">
        <f>9894.1</f>
        <v>9894.1</v>
      </c>
      <c r="D1327">
        <f>6648.86</f>
        <v>6648.86</v>
      </c>
      <c r="E1327">
        <f>2440.307</f>
        <v>2440.3069999999998</v>
      </c>
      <c r="F1327">
        <f>2089.55</f>
        <v>2089.5500000000002</v>
      </c>
      <c r="G1327">
        <f>8871.695</f>
        <v>8871.6949999999997</v>
      </c>
      <c r="H1327">
        <f>3448.47</f>
        <v>3448.47</v>
      </c>
      <c r="I1327">
        <f>10217.816</f>
        <v>10217.816000000001</v>
      </c>
      <c r="J1327">
        <f>3871.39</f>
        <v>3871.39</v>
      </c>
      <c r="K1327">
        <f>11130.29</f>
        <v>11130.29</v>
      </c>
      <c r="L1327">
        <f>1965.21</f>
        <v>1965.21</v>
      </c>
      <c r="M1327">
        <f>8559.93</f>
        <v>8559.93</v>
      </c>
      <c r="N1327">
        <f>324.893</f>
        <v>324.89299999999997</v>
      </c>
      <c r="O1327">
        <f>2949.16</f>
        <v>2949.16</v>
      </c>
      <c r="P1327">
        <f>274.27</f>
        <v>274.27</v>
      </c>
      <c r="Q1327">
        <f>2442.464</f>
        <v>2442.4639999999999</v>
      </c>
      <c r="R1327">
        <f>5353.76</f>
        <v>5353.76</v>
      </c>
      <c r="S1327">
        <f>2551.57</f>
        <v>2551.5700000000002</v>
      </c>
      <c r="T1327">
        <f>3932.2</f>
        <v>3932.2</v>
      </c>
      <c r="U1327">
        <f>55601.63</f>
        <v>55601.63</v>
      </c>
      <c r="V1327">
        <f>412.42</f>
        <v>412.42</v>
      </c>
    </row>
    <row r="1328" spans="1:22" x14ac:dyDescent="0.2">
      <c r="A1328" s="1">
        <v>43249</v>
      </c>
      <c r="B1328">
        <f>2835.94</f>
        <v>2835.94</v>
      </c>
      <c r="C1328">
        <f>10009.66</f>
        <v>10009.66</v>
      </c>
      <c r="D1328">
        <f>6599.64</f>
        <v>6599.64</v>
      </c>
      <c r="E1328">
        <f>2469.737</f>
        <v>2469.7370000000001</v>
      </c>
      <c r="F1328">
        <f>2077.37</f>
        <v>2077.37</v>
      </c>
      <c r="G1328">
        <f>8803.024</f>
        <v>8803.0239999999994</v>
      </c>
      <c r="H1328">
        <f>3504.16</f>
        <v>3504.16</v>
      </c>
      <c r="I1328">
        <f>10139.105</f>
        <v>10139.105</v>
      </c>
      <c r="J1328">
        <f>3818.14</f>
        <v>3818.14</v>
      </c>
      <c r="K1328">
        <f>10989.56</f>
        <v>10989.56</v>
      </c>
      <c r="L1328">
        <f>1948.26</f>
        <v>1948.26</v>
      </c>
      <c r="M1328">
        <f>8487.79</f>
        <v>8487.7900000000009</v>
      </c>
      <c r="N1328">
        <f>325.328</f>
        <v>325.32799999999997</v>
      </c>
      <c r="O1328">
        <f>2943.95</f>
        <v>2943.95</v>
      </c>
      <c r="P1328">
        <f>277.68</f>
        <v>277.68</v>
      </c>
      <c r="Q1328">
        <f>2406.988</f>
        <v>2406.9879999999998</v>
      </c>
      <c r="R1328">
        <f>5285.7</f>
        <v>5285.7</v>
      </c>
      <c r="S1328">
        <f>2589.36</f>
        <v>2589.36</v>
      </c>
      <c r="T1328">
        <f>3941.577</f>
        <v>3941.5770000000002</v>
      </c>
      <c r="U1328">
        <f>55935.75</f>
        <v>55935.75</v>
      </c>
      <c r="V1328">
        <f>413.85</f>
        <v>413.85</v>
      </c>
    </row>
    <row r="1329" spans="1:22" x14ac:dyDescent="0.2">
      <c r="A1329" s="1">
        <v>43248</v>
      </c>
      <c r="B1329">
        <f>2902.09</f>
        <v>2902.09</v>
      </c>
      <c r="C1329">
        <f>10106.77</f>
        <v>10106.77</v>
      </c>
      <c r="D1329" t="e">
        <f>NA()</f>
        <v>#N/A</v>
      </c>
      <c r="E1329">
        <f>2492.9</f>
        <v>2492.9</v>
      </c>
      <c r="F1329">
        <f>2123.57</f>
        <v>2123.5700000000002</v>
      </c>
      <c r="G1329">
        <f>8934.48</f>
        <v>8934.48</v>
      </c>
      <c r="H1329">
        <f>3502.74</f>
        <v>3502.74</v>
      </c>
      <c r="I1329">
        <f>10338.654</f>
        <v>10338.654</v>
      </c>
      <c r="J1329">
        <f>3848.91</f>
        <v>3848.91</v>
      </c>
      <c r="K1329">
        <f>11113.35</f>
        <v>11113.35</v>
      </c>
      <c r="L1329">
        <f>1968.77</f>
        <v>1968.77</v>
      </c>
      <c r="M1329">
        <f>8584.39</f>
        <v>8584.39</v>
      </c>
      <c r="N1329">
        <f>327.876</f>
        <v>327.87599999999998</v>
      </c>
      <c r="O1329">
        <f>2981.53</f>
        <v>2981.53</v>
      </c>
      <c r="P1329">
        <f>279.09</f>
        <v>279.08999999999997</v>
      </c>
      <c r="Q1329" t="e">
        <f>NA()</f>
        <v>#N/A</v>
      </c>
      <c r="R1329" t="e">
        <f>NA()</f>
        <v>#N/A</v>
      </c>
      <c r="S1329">
        <f>2601.87</f>
        <v>2601.87</v>
      </c>
      <c r="T1329">
        <f>4029.257</f>
        <v>4029.2570000000001</v>
      </c>
      <c r="U1329">
        <f>56857.24</f>
        <v>56857.24</v>
      </c>
      <c r="V1329">
        <f>419.42</f>
        <v>419.42</v>
      </c>
    </row>
    <row r="1330" spans="1:22" x14ac:dyDescent="0.2">
      <c r="A1330" s="1">
        <v>43245</v>
      </c>
      <c r="B1330">
        <f>2902.09</f>
        <v>2902.09</v>
      </c>
      <c r="C1330">
        <f>10107.85</f>
        <v>10107.85</v>
      </c>
      <c r="D1330">
        <f>6684.07</f>
        <v>6684.07</v>
      </c>
      <c r="E1330">
        <f>2492.029</f>
        <v>2492.029</v>
      </c>
      <c r="F1330">
        <f>2125.81</f>
        <v>2125.81</v>
      </c>
      <c r="G1330">
        <f>8943.885</f>
        <v>8943.8850000000002</v>
      </c>
      <c r="H1330">
        <f>3518.54</f>
        <v>3518.54</v>
      </c>
      <c r="I1330">
        <f>10411.247</f>
        <v>10411.246999999999</v>
      </c>
      <c r="J1330">
        <f>3848.91</f>
        <v>3848.91</v>
      </c>
      <c r="K1330">
        <f>11113.35</f>
        <v>11113.35</v>
      </c>
      <c r="L1330">
        <f>1972.7</f>
        <v>1972.7</v>
      </c>
      <c r="M1330">
        <f>8598</f>
        <v>8598</v>
      </c>
      <c r="N1330">
        <f>327.485</f>
        <v>327.48500000000001</v>
      </c>
      <c r="O1330">
        <f>2988.32</f>
        <v>2988.32</v>
      </c>
      <c r="P1330">
        <f>279.3</f>
        <v>279.3</v>
      </c>
      <c r="Q1330">
        <f>2434.136</f>
        <v>2434.136</v>
      </c>
      <c r="R1330">
        <f>5347.31</f>
        <v>5347.31</v>
      </c>
      <c r="S1330">
        <f>2603.76</f>
        <v>2603.7600000000002</v>
      </c>
      <c r="T1330">
        <f>4040.057</f>
        <v>4040.0569999999998</v>
      </c>
      <c r="U1330">
        <f>56916.97</f>
        <v>56916.97</v>
      </c>
      <c r="V1330">
        <f>420.5</f>
        <v>420.5</v>
      </c>
    </row>
    <row r="1331" spans="1:22" x14ac:dyDescent="0.2">
      <c r="A1331" s="1">
        <v>43244</v>
      </c>
      <c r="B1331">
        <f>2896.98</f>
        <v>2896.98</v>
      </c>
      <c r="C1331">
        <f>10069.9</f>
        <v>10069.9</v>
      </c>
      <c r="D1331">
        <f>6672.36</f>
        <v>6672.36</v>
      </c>
      <c r="E1331">
        <f>2487.62</f>
        <v>2487.62</v>
      </c>
      <c r="F1331">
        <f>2124.93</f>
        <v>2124.9299999999998</v>
      </c>
      <c r="G1331">
        <f>8973.139</f>
        <v>8973.1389999999992</v>
      </c>
      <c r="H1331">
        <f>3540.99</f>
        <v>3540.99</v>
      </c>
      <c r="I1331">
        <f>10465.696</f>
        <v>10465.696</v>
      </c>
      <c r="J1331">
        <f>3860.67</f>
        <v>3860.67</v>
      </c>
      <c r="K1331">
        <f>11138.61</f>
        <v>11138.61</v>
      </c>
      <c r="L1331">
        <f>1981.42</f>
        <v>1981.42</v>
      </c>
      <c r="M1331">
        <f>8625.49</f>
        <v>8625.49</v>
      </c>
      <c r="N1331">
        <f>325.937</f>
        <v>325.93700000000001</v>
      </c>
      <c r="O1331">
        <f>2985.91</f>
        <v>2985.91</v>
      </c>
      <c r="P1331">
        <f>279.94</f>
        <v>279.94</v>
      </c>
      <c r="Q1331">
        <f>2438.434</f>
        <v>2438.4340000000002</v>
      </c>
      <c r="R1331">
        <f>5359.32</f>
        <v>5359.32</v>
      </c>
      <c r="S1331">
        <f>2609.57</f>
        <v>2609.5700000000002</v>
      </c>
      <c r="T1331">
        <f>3976.098</f>
        <v>3976.098</v>
      </c>
      <c r="U1331">
        <f>56699.2</f>
        <v>56699.199999999997</v>
      </c>
      <c r="V1331">
        <f>418.81</f>
        <v>418.81</v>
      </c>
    </row>
    <row r="1332" spans="1:22" x14ac:dyDescent="0.2">
      <c r="A1332" s="1">
        <v>43243</v>
      </c>
      <c r="B1332">
        <f>2918.64</f>
        <v>2918.64</v>
      </c>
      <c r="C1332">
        <f>10049.97</f>
        <v>10049.969999999999</v>
      </c>
      <c r="D1332">
        <f>6731.87</f>
        <v>6731.87</v>
      </c>
      <c r="E1332">
        <f>2482.675</f>
        <v>2482.6750000000002</v>
      </c>
      <c r="F1332">
        <f>2139.91</f>
        <v>2139.91</v>
      </c>
      <c r="G1332">
        <f>9033.283</f>
        <v>9033.2829999999994</v>
      </c>
      <c r="H1332">
        <f>3564.01</f>
        <v>3564.01</v>
      </c>
      <c r="I1332">
        <f>10494.894</f>
        <v>10494.894</v>
      </c>
      <c r="J1332">
        <f>3871.51</f>
        <v>3871.51</v>
      </c>
      <c r="K1332">
        <f>11160.61</f>
        <v>11160.61</v>
      </c>
      <c r="L1332">
        <f>1986.63</f>
        <v>1986.63</v>
      </c>
      <c r="M1332">
        <f>8645.93</f>
        <v>8645.93</v>
      </c>
      <c r="N1332">
        <f>326.122</f>
        <v>326.12200000000001</v>
      </c>
      <c r="O1332">
        <f>3003.78</f>
        <v>3003.78</v>
      </c>
      <c r="P1332">
        <f>282.42</f>
        <v>282.42</v>
      </c>
      <c r="Q1332">
        <f>2436.503</f>
        <v>2436.5030000000002</v>
      </c>
      <c r="R1332">
        <f>5369.99</f>
        <v>5369.99</v>
      </c>
      <c r="S1332">
        <f>2641.41</f>
        <v>2641.41</v>
      </c>
      <c r="T1332">
        <f>4050.976</f>
        <v>4050.9760000000001</v>
      </c>
      <c r="U1332">
        <f>57043.42</f>
        <v>57043.42</v>
      </c>
      <c r="V1332">
        <f>424.47</f>
        <v>424.47</v>
      </c>
    </row>
    <row r="1333" spans="1:22" x14ac:dyDescent="0.2">
      <c r="A1333" s="1">
        <v>43242</v>
      </c>
      <c r="B1333">
        <f>2950.69</f>
        <v>2950.69</v>
      </c>
      <c r="C1333">
        <f>10165.52</f>
        <v>10165.52</v>
      </c>
      <c r="D1333">
        <f>6808.8</f>
        <v>6808.8</v>
      </c>
      <c r="E1333">
        <f>2502.147</f>
        <v>2502.1469999999999</v>
      </c>
      <c r="F1333">
        <f>2168.94</f>
        <v>2168.94</v>
      </c>
      <c r="G1333">
        <f>9190.398</f>
        <v>9190.3979999999992</v>
      </c>
      <c r="H1333">
        <f>3552.42</f>
        <v>3552.42</v>
      </c>
      <c r="I1333">
        <f>10680.149</f>
        <v>10680.148999999999</v>
      </c>
      <c r="J1333">
        <f>3854.69</f>
        <v>3854.69</v>
      </c>
      <c r="K1333">
        <f>11122.81</f>
        <v>11122.81</v>
      </c>
      <c r="L1333">
        <f>1997.03</f>
        <v>1997.03</v>
      </c>
      <c r="M1333">
        <f>8669.44</f>
        <v>8669.44</v>
      </c>
      <c r="N1333">
        <f>327.872</f>
        <v>327.87200000000001</v>
      </c>
      <c r="O1333">
        <f>3038.55</f>
        <v>3038.55</v>
      </c>
      <c r="P1333">
        <f>283.12</f>
        <v>283.12</v>
      </c>
      <c r="Q1333">
        <f>2433.497</f>
        <v>2433.4969999999998</v>
      </c>
      <c r="R1333">
        <f>5352.45</f>
        <v>5352.45</v>
      </c>
      <c r="S1333">
        <f>2659.41</f>
        <v>2659.41</v>
      </c>
      <c r="T1333">
        <f>4116.594</f>
        <v>4116.5940000000001</v>
      </c>
      <c r="U1333">
        <f>58121.84</f>
        <v>58121.84</v>
      </c>
      <c r="V1333">
        <f>433.9</f>
        <v>433.9</v>
      </c>
    </row>
    <row r="1334" spans="1:22" x14ac:dyDescent="0.2">
      <c r="A1334" s="1">
        <v>43241</v>
      </c>
      <c r="B1334">
        <f>2943.4</f>
        <v>2943.4</v>
      </c>
      <c r="C1334">
        <f>10100.61</f>
        <v>10100.61</v>
      </c>
      <c r="D1334">
        <f>6793</f>
        <v>6793</v>
      </c>
      <c r="E1334">
        <f>2489.756</f>
        <v>2489.7559999999999</v>
      </c>
      <c r="F1334">
        <f>2163.74</f>
        <v>2163.7399999999998</v>
      </c>
      <c r="G1334">
        <f>9159.057</f>
        <v>9159.0570000000007</v>
      </c>
      <c r="H1334">
        <f>3556.48</f>
        <v>3556.48</v>
      </c>
      <c r="I1334">
        <f>10623.672</f>
        <v>10623.672</v>
      </c>
      <c r="J1334">
        <f>3869.66</f>
        <v>3869.66</v>
      </c>
      <c r="K1334">
        <f>11160.08</f>
        <v>11160.08</v>
      </c>
      <c r="L1334">
        <f>1997.91</f>
        <v>1997.91</v>
      </c>
      <c r="M1334">
        <f>8676.32</f>
        <v>8676.32</v>
      </c>
      <c r="N1334">
        <f>327.873</f>
        <v>327.87299999999999</v>
      </c>
      <c r="O1334">
        <f>3027.98</f>
        <v>3027.98</v>
      </c>
      <c r="P1334">
        <f>284.43</f>
        <v>284.43</v>
      </c>
      <c r="Q1334">
        <f>2452.433</f>
        <v>2452.433</v>
      </c>
      <c r="R1334">
        <f>5369.19</f>
        <v>5369.19</v>
      </c>
      <c r="S1334">
        <f>2665.56</f>
        <v>2665.56</v>
      </c>
      <c r="T1334">
        <f>4072.716</f>
        <v>4072.7159999999999</v>
      </c>
      <c r="U1334">
        <f>57821.2</f>
        <v>57821.2</v>
      </c>
      <c r="V1334">
        <f>431.37</f>
        <v>431.37</v>
      </c>
    </row>
    <row r="1335" spans="1:22" x14ac:dyDescent="0.2">
      <c r="A1335" s="1">
        <v>43238</v>
      </c>
      <c r="B1335">
        <f>2917.36</f>
        <v>2917.36</v>
      </c>
      <c r="C1335">
        <f>10076.91</f>
        <v>10076.91</v>
      </c>
      <c r="D1335">
        <f>6723.53</f>
        <v>6723.53</v>
      </c>
      <c r="E1335">
        <f>2492.272</f>
        <v>2492.2719999999999</v>
      </c>
      <c r="F1335">
        <f>2145.2</f>
        <v>2145.1999999999998</v>
      </c>
      <c r="G1335">
        <f>9111.553</f>
        <v>9111.5529999999999</v>
      </c>
      <c r="H1335">
        <f>3588.49</f>
        <v>3588.49</v>
      </c>
      <c r="I1335">
        <f>10611.48</f>
        <v>10611.48</v>
      </c>
      <c r="J1335">
        <f>3839.94</f>
        <v>3839.94</v>
      </c>
      <c r="K1335">
        <f>11078.25</f>
        <v>11078.25</v>
      </c>
      <c r="L1335">
        <f>1989.01</f>
        <v>1989.01</v>
      </c>
      <c r="M1335">
        <f>8634.31</f>
        <v>8634.31</v>
      </c>
      <c r="N1335">
        <f>326.453</f>
        <v>326.45299999999997</v>
      </c>
      <c r="O1335">
        <f>3017.24</f>
        <v>3017.24</v>
      </c>
      <c r="P1335">
        <f>284.91</f>
        <v>284.91000000000003</v>
      </c>
      <c r="Q1335">
        <f>2431.477</f>
        <v>2431.4769999999999</v>
      </c>
      <c r="R1335">
        <f>5329.66</f>
        <v>5329.66</v>
      </c>
      <c r="S1335">
        <f>2667.77</f>
        <v>2667.77</v>
      </c>
      <c r="T1335">
        <f>4084.69</f>
        <v>4084.69</v>
      </c>
      <c r="U1335">
        <f>57804.33</f>
        <v>57804.33</v>
      </c>
      <c r="V1335">
        <f>430.92</f>
        <v>430.92</v>
      </c>
    </row>
    <row r="1336" spans="1:22" x14ac:dyDescent="0.2">
      <c r="A1336" s="1">
        <v>43237</v>
      </c>
      <c r="B1336">
        <f>2925.83</f>
        <v>2925.83</v>
      </c>
      <c r="C1336">
        <f>10137.43</f>
        <v>10137.43</v>
      </c>
      <c r="D1336">
        <f>6731.46</f>
        <v>6731.46</v>
      </c>
      <c r="E1336">
        <f>2505.777</f>
        <v>2505.777</v>
      </c>
      <c r="F1336">
        <f>2160.68</f>
        <v>2160.6799999999998</v>
      </c>
      <c r="G1336">
        <f>9147.14</f>
        <v>9147.14</v>
      </c>
      <c r="H1336">
        <f>3564.36</f>
        <v>3564.36</v>
      </c>
      <c r="I1336">
        <f>10651.438</f>
        <v>10651.438</v>
      </c>
      <c r="J1336">
        <f>3848.9</f>
        <v>3848.9</v>
      </c>
      <c r="K1336">
        <f>11104.91</f>
        <v>11104.91</v>
      </c>
      <c r="L1336">
        <f>1993.22</f>
        <v>1993.22</v>
      </c>
      <c r="M1336">
        <f>8651.63</f>
        <v>8651.6299999999992</v>
      </c>
      <c r="N1336">
        <f>325.543</f>
        <v>325.54300000000001</v>
      </c>
      <c r="O1336">
        <f>3023.5</f>
        <v>3023.5</v>
      </c>
      <c r="P1336">
        <f>284.35</f>
        <v>284.35000000000002</v>
      </c>
      <c r="Q1336">
        <f>2431.729</f>
        <v>2431.7289999999998</v>
      </c>
      <c r="R1336">
        <f>5343.29</f>
        <v>5343.29</v>
      </c>
      <c r="S1336">
        <f>2657.66</f>
        <v>2657.66</v>
      </c>
      <c r="T1336">
        <f>4105.509</f>
        <v>4105.509</v>
      </c>
      <c r="U1336">
        <f>58184.25</f>
        <v>58184.25</v>
      </c>
      <c r="V1336">
        <f>433.29</f>
        <v>433.29</v>
      </c>
    </row>
    <row r="1337" spans="1:22" x14ac:dyDescent="0.2">
      <c r="A1337" s="1">
        <v>43236</v>
      </c>
      <c r="B1337">
        <f>2899.94</f>
        <v>2899.94</v>
      </c>
      <c r="C1337">
        <f>10257.78</f>
        <v>10257.780000000001</v>
      </c>
      <c r="D1337">
        <f>6679.1</f>
        <v>6679.1</v>
      </c>
      <c r="E1337">
        <f>2529.469</f>
        <v>2529.4690000000001</v>
      </c>
      <c r="F1337">
        <f>2147.37</f>
        <v>2147.37</v>
      </c>
      <c r="G1337">
        <f>9063.563</f>
        <v>9063.5630000000001</v>
      </c>
      <c r="H1337">
        <f>3549.18</f>
        <v>3549.18</v>
      </c>
      <c r="I1337">
        <f>10582.285</f>
        <v>10582.285</v>
      </c>
      <c r="J1337">
        <f>3852.47</f>
        <v>3852.47</v>
      </c>
      <c r="K1337">
        <f>11109.94</f>
        <v>11109.94</v>
      </c>
      <c r="L1337">
        <f>1989.61</f>
        <v>1989.61</v>
      </c>
      <c r="M1337">
        <f>8638.25</f>
        <v>8638.25</v>
      </c>
      <c r="N1337">
        <f>322.796</f>
        <v>322.79599999999999</v>
      </c>
      <c r="O1337">
        <f>3002.62</f>
        <v>3002.62</v>
      </c>
      <c r="P1337">
        <f>283.51</f>
        <v>283.51</v>
      </c>
      <c r="Q1337">
        <f>2426.663</f>
        <v>2426.663</v>
      </c>
      <c r="R1337">
        <f>5346.33</f>
        <v>5346.33</v>
      </c>
      <c r="S1337">
        <f>2645.87</f>
        <v>2645.87</v>
      </c>
      <c r="T1337">
        <f>4162.896</f>
        <v>4162.8959999999997</v>
      </c>
      <c r="U1337">
        <f>58621.77</f>
        <v>58621.77</v>
      </c>
      <c r="V1337">
        <f>437.11</f>
        <v>437.11</v>
      </c>
    </row>
    <row r="1338" spans="1:22" x14ac:dyDescent="0.2">
      <c r="A1338" s="1">
        <v>43235</v>
      </c>
      <c r="B1338">
        <f>2916.04</f>
        <v>2916.04</v>
      </c>
      <c r="C1338">
        <f>10219.56</f>
        <v>10219.56</v>
      </c>
      <c r="D1338">
        <f>6669.41</f>
        <v>6669.41</v>
      </c>
      <c r="E1338">
        <f>2518.788</f>
        <v>2518.788</v>
      </c>
      <c r="F1338">
        <f>2149.91</f>
        <v>2149.91</v>
      </c>
      <c r="G1338">
        <f>9057.861</f>
        <v>9057.8610000000008</v>
      </c>
      <c r="H1338">
        <f>3545.4</f>
        <v>3545.4</v>
      </c>
      <c r="I1338">
        <f>10648.492</f>
        <v>10648.492</v>
      </c>
      <c r="J1338">
        <f>3835.33</f>
        <v>3835.33</v>
      </c>
      <c r="K1338">
        <f>11062.38</f>
        <v>11062.38</v>
      </c>
      <c r="L1338">
        <f>1986.04</f>
        <v>1986.04</v>
      </c>
      <c r="M1338">
        <f>8624.47</f>
        <v>8624.4699999999993</v>
      </c>
      <c r="N1338">
        <f>320.509</f>
        <v>320.50900000000001</v>
      </c>
      <c r="O1338">
        <f>2998.8</f>
        <v>2998.8</v>
      </c>
      <c r="P1338">
        <f>283.43</f>
        <v>283.43</v>
      </c>
      <c r="Q1338">
        <f>2413.324</f>
        <v>2413.3240000000001</v>
      </c>
      <c r="R1338">
        <f>5323.23</f>
        <v>5323.23</v>
      </c>
      <c r="S1338">
        <f>2652.91</f>
        <v>2652.91</v>
      </c>
      <c r="T1338">
        <f>4140.579</f>
        <v>4140.5789999999997</v>
      </c>
      <c r="U1338">
        <f>57891.77</f>
        <v>57891.77</v>
      </c>
      <c r="V1338">
        <f>434.93</f>
        <v>434.93</v>
      </c>
    </row>
    <row r="1339" spans="1:22" x14ac:dyDescent="0.2">
      <c r="A1339" s="1">
        <v>43234</v>
      </c>
      <c r="B1339">
        <f>2921.23</f>
        <v>2921.23</v>
      </c>
      <c r="C1339">
        <f>10414.65</f>
        <v>10414.65</v>
      </c>
      <c r="D1339">
        <f>6659.05</f>
        <v>6659.05</v>
      </c>
      <c r="E1339">
        <f>2559.51</f>
        <v>2559.5100000000002</v>
      </c>
      <c r="F1339">
        <f>2164.51</f>
        <v>2164.5100000000002</v>
      </c>
      <c r="G1339">
        <f>9108.41</f>
        <v>9108.41</v>
      </c>
      <c r="H1339">
        <f>3567.45</f>
        <v>3567.45</v>
      </c>
      <c r="I1339">
        <f>10747.54</f>
        <v>10747.54</v>
      </c>
      <c r="J1339">
        <f>3856.45</f>
        <v>3856.45</v>
      </c>
      <c r="K1339">
        <f>11137.18</f>
        <v>11137.18</v>
      </c>
      <c r="L1339">
        <f>2001.02</f>
        <v>2001.02</v>
      </c>
      <c r="M1339">
        <f>8689</f>
        <v>8689</v>
      </c>
      <c r="N1339">
        <f>320.681</f>
        <v>320.68099999999998</v>
      </c>
      <c r="O1339">
        <f>2992.89</f>
        <v>2992.89</v>
      </c>
      <c r="P1339">
        <f>283.21</f>
        <v>283.20999999999998</v>
      </c>
      <c r="Q1339">
        <f>2424.788</f>
        <v>2424.788</v>
      </c>
      <c r="R1339">
        <f>5359.66</f>
        <v>5359.66</v>
      </c>
      <c r="S1339">
        <f>2654.04</f>
        <v>2654.04</v>
      </c>
      <c r="T1339">
        <f>4216.237</f>
        <v>4216.2370000000001</v>
      </c>
      <c r="U1339">
        <f>58614.45</f>
        <v>58614.45</v>
      </c>
      <c r="V1339">
        <f>439.89</f>
        <v>439.89</v>
      </c>
    </row>
    <row r="1340" spans="1:22" x14ac:dyDescent="0.2">
      <c r="A1340" s="1">
        <v>43231</v>
      </c>
      <c r="B1340">
        <f>2926.39</f>
        <v>2926.39</v>
      </c>
      <c r="C1340">
        <f>10345.32</f>
        <v>10345.32</v>
      </c>
      <c r="D1340">
        <f>6670.77</f>
        <v>6670.77</v>
      </c>
      <c r="E1340">
        <f>2549.754</f>
        <v>2549.7539999999999</v>
      </c>
      <c r="F1340">
        <f>2170.82</f>
        <v>2170.8200000000002</v>
      </c>
      <c r="G1340">
        <f>9096.139</f>
        <v>9096.1389999999992</v>
      </c>
      <c r="H1340">
        <f>3565.57</f>
        <v>3565.57</v>
      </c>
      <c r="I1340">
        <f>10717.536</f>
        <v>10717.536</v>
      </c>
      <c r="J1340">
        <f>3847.93</f>
        <v>3847.93</v>
      </c>
      <c r="K1340">
        <f>11129</f>
        <v>11129</v>
      </c>
      <c r="L1340">
        <f>1995.66</f>
        <v>1995.66</v>
      </c>
      <c r="M1340">
        <f>8670.57</f>
        <v>8670.57</v>
      </c>
      <c r="N1340">
        <f>319.213</f>
        <v>319.21300000000002</v>
      </c>
      <c r="O1340">
        <f>2992.98</f>
        <v>2992.98</v>
      </c>
      <c r="P1340">
        <f>282.19</f>
        <v>282.19</v>
      </c>
      <c r="Q1340">
        <f>2421.582</f>
        <v>2421.5819999999999</v>
      </c>
      <c r="R1340">
        <f>5354.69</f>
        <v>5354.69</v>
      </c>
      <c r="S1340">
        <f>2637.94</f>
        <v>2637.94</v>
      </c>
      <c r="T1340">
        <f>4232.028</f>
        <v>4232.0280000000002</v>
      </c>
      <c r="U1340">
        <f>58422.86</f>
        <v>58422.86</v>
      </c>
      <c r="V1340">
        <f>439.65</f>
        <v>439.65</v>
      </c>
    </row>
    <row r="1341" spans="1:22" x14ac:dyDescent="0.2">
      <c r="A1341" s="1">
        <v>43230</v>
      </c>
      <c r="B1341">
        <f>2906.84</f>
        <v>2906.84</v>
      </c>
      <c r="C1341">
        <f>10204.05</f>
        <v>10204.049999999999</v>
      </c>
      <c r="D1341">
        <f>6650.4</f>
        <v>6650.4</v>
      </c>
      <c r="E1341">
        <f>2532.34</f>
        <v>2532.34</v>
      </c>
      <c r="F1341">
        <f>2145.74</f>
        <v>2145.7399999999998</v>
      </c>
      <c r="G1341">
        <f>9007.986</f>
        <v>9007.9860000000008</v>
      </c>
      <c r="H1341">
        <f>3542.54</f>
        <v>3542.54</v>
      </c>
      <c r="I1341">
        <f>10653.063</f>
        <v>10653.063</v>
      </c>
      <c r="J1341">
        <f>3836.54</f>
        <v>3836.54</v>
      </c>
      <c r="K1341">
        <f>11108.32</f>
        <v>11108.32</v>
      </c>
      <c r="L1341">
        <f>1986.73</f>
        <v>1986.73</v>
      </c>
      <c r="M1341">
        <f>8633.13</f>
        <v>8633.1299999999992</v>
      </c>
      <c r="N1341">
        <f>319.299</f>
        <v>319.29899999999998</v>
      </c>
      <c r="O1341">
        <f>2988.13</f>
        <v>2988.13</v>
      </c>
      <c r="P1341">
        <f>278.23</f>
        <v>278.23</v>
      </c>
      <c r="Q1341">
        <f>2416.747</f>
        <v>2416.7469999999998</v>
      </c>
      <c r="R1341">
        <f>5343.7</f>
        <v>5343.7</v>
      </c>
      <c r="S1341">
        <f>2612.44</f>
        <v>2612.44</v>
      </c>
      <c r="T1341">
        <f>4212.555</f>
        <v>4212.5550000000003</v>
      </c>
      <c r="U1341">
        <f>58005.62</f>
        <v>58005.62</v>
      </c>
      <c r="V1341">
        <f>431.8</f>
        <v>431.8</v>
      </c>
    </row>
    <row r="1342" spans="1:22" x14ac:dyDescent="0.2">
      <c r="A1342" s="1">
        <v>43229</v>
      </c>
      <c r="B1342">
        <f>2906.62</f>
        <v>2906.62</v>
      </c>
      <c r="C1342">
        <f>10130.68</f>
        <v>10130.68</v>
      </c>
      <c r="D1342">
        <f>6598.45</f>
        <v>6598.45</v>
      </c>
      <c r="E1342">
        <f>2504.335</f>
        <v>2504.335</v>
      </c>
      <c r="F1342">
        <f>2144.87</f>
        <v>2144.87</v>
      </c>
      <c r="G1342">
        <f>9009.341</f>
        <v>9009.3410000000003</v>
      </c>
      <c r="H1342">
        <f>3525.02</f>
        <v>3525.02</v>
      </c>
      <c r="I1342">
        <f>10616.744</f>
        <v>10616.744000000001</v>
      </c>
      <c r="J1342">
        <f>3801.72</f>
        <v>3801.72</v>
      </c>
      <c r="K1342">
        <f>11005.94</f>
        <v>11005.94</v>
      </c>
      <c r="L1342">
        <f>1974.83</f>
        <v>1974.83</v>
      </c>
      <c r="M1342">
        <f>8573.2</f>
        <v>8573.2000000000007</v>
      </c>
      <c r="N1342">
        <f>318.745</f>
        <v>318.745</v>
      </c>
      <c r="O1342">
        <f>2987.9</f>
        <v>2987.9</v>
      </c>
      <c r="P1342">
        <f>276.97</f>
        <v>276.97000000000003</v>
      </c>
      <c r="Q1342">
        <f>2396.385</f>
        <v>2396.3850000000002</v>
      </c>
      <c r="R1342">
        <f>5292.9</f>
        <v>5292.9</v>
      </c>
      <c r="S1342">
        <f>2605.52</f>
        <v>2605.52</v>
      </c>
      <c r="T1342">
        <f>4243.552</f>
        <v>4243.5519999999997</v>
      </c>
      <c r="U1342">
        <f>57915.13</f>
        <v>57915.13</v>
      </c>
      <c r="V1342">
        <f>433.89</f>
        <v>433.89</v>
      </c>
    </row>
    <row r="1343" spans="1:22" x14ac:dyDescent="0.2">
      <c r="A1343" s="1">
        <v>43228</v>
      </c>
      <c r="B1343">
        <f>2875.2</f>
        <v>2875.2</v>
      </c>
      <c r="C1343">
        <f>10139.31</f>
        <v>10139.31</v>
      </c>
      <c r="D1343">
        <f>6515.12</f>
        <v>6515.12</v>
      </c>
      <c r="E1343">
        <f>2501.828</f>
        <v>2501.828</v>
      </c>
      <c r="F1343">
        <f>2103.93</f>
        <v>2103.9299999999998</v>
      </c>
      <c r="G1343">
        <f>8854.803</f>
        <v>8854.8029999999999</v>
      </c>
      <c r="H1343">
        <f>3561.55</f>
        <v>3561.55</v>
      </c>
      <c r="I1343">
        <f>10586.055</f>
        <v>10586.055</v>
      </c>
      <c r="J1343">
        <f>3768.66</f>
        <v>3768.66</v>
      </c>
      <c r="K1343">
        <f>10901.01</f>
        <v>10901.01</v>
      </c>
      <c r="L1343">
        <f>1961.16</f>
        <v>1961.16</v>
      </c>
      <c r="M1343">
        <f>8512.11</f>
        <v>8512.11</v>
      </c>
      <c r="N1343">
        <f>316.222</f>
        <v>316.22199999999998</v>
      </c>
      <c r="O1343">
        <f>2966.17</f>
        <v>2966.17</v>
      </c>
      <c r="P1343">
        <f>277.7</f>
        <v>277.7</v>
      </c>
      <c r="Q1343">
        <f>2377.414</f>
        <v>2377.4140000000002</v>
      </c>
      <c r="R1343">
        <f>5241.53</f>
        <v>5241.53</v>
      </c>
      <c r="S1343">
        <f>2615.68</f>
        <v>2615.6799999999998</v>
      </c>
      <c r="T1343">
        <f>4240.775</f>
        <v>4240.7749999999996</v>
      </c>
      <c r="U1343">
        <f>57665.24</f>
        <v>57665.24</v>
      </c>
      <c r="V1343">
        <f>429.97</f>
        <v>429.97</v>
      </c>
    </row>
    <row r="1344" spans="1:22" x14ac:dyDescent="0.2">
      <c r="A1344" s="1">
        <v>43227</v>
      </c>
      <c r="B1344">
        <f>2868.21</f>
        <v>2868.21</v>
      </c>
      <c r="C1344">
        <f>10130.21</f>
        <v>10130.209999999999</v>
      </c>
      <c r="D1344" t="e">
        <f>NA()</f>
        <v>#N/A</v>
      </c>
      <c r="E1344">
        <f>2494.613</f>
        <v>2494.6129999999998</v>
      </c>
      <c r="F1344">
        <f>2107.39</f>
        <v>2107.39</v>
      </c>
      <c r="G1344">
        <f>8893.24</f>
        <v>8893.24</v>
      </c>
      <c r="H1344">
        <f>3559.62</f>
        <v>3559.62</v>
      </c>
      <c r="I1344">
        <f>10624.101</f>
        <v>10624.101000000001</v>
      </c>
      <c r="J1344">
        <f>3781.03</f>
        <v>3781.03</v>
      </c>
      <c r="K1344">
        <f>10901.95</f>
        <v>10901.95</v>
      </c>
      <c r="L1344">
        <f>1968.36</f>
        <v>1968.36</v>
      </c>
      <c r="M1344">
        <f>8519.04</f>
        <v>8519.0400000000009</v>
      </c>
      <c r="N1344">
        <f>313.967</f>
        <v>313.96699999999998</v>
      </c>
      <c r="O1344">
        <f>2962.62</f>
        <v>2962.62</v>
      </c>
      <c r="P1344">
        <f>276.62</f>
        <v>276.62</v>
      </c>
      <c r="Q1344">
        <f>2380.63</f>
        <v>2380.63</v>
      </c>
      <c r="R1344">
        <f>5242.87</f>
        <v>5242.87</v>
      </c>
      <c r="S1344">
        <f>2605.92</f>
        <v>2605.92</v>
      </c>
      <c r="T1344">
        <f>4287.529</f>
        <v>4287.5290000000005</v>
      </c>
      <c r="U1344">
        <f>57880.72</f>
        <v>57880.72</v>
      </c>
      <c r="V1344">
        <f>437.06</f>
        <v>437.06</v>
      </c>
    </row>
    <row r="1345" spans="1:22" x14ac:dyDescent="0.2">
      <c r="A1345" s="1">
        <v>43224</v>
      </c>
      <c r="B1345">
        <f>2868.21</f>
        <v>2868.21</v>
      </c>
      <c r="C1345">
        <f>10114.39</f>
        <v>10114.39</v>
      </c>
      <c r="D1345">
        <f>6516.32</f>
        <v>6516.32</v>
      </c>
      <c r="E1345">
        <f>2487.007</f>
        <v>2487.0070000000001</v>
      </c>
      <c r="F1345">
        <f>2099.39</f>
        <v>2099.39</v>
      </c>
      <c r="G1345">
        <f>8859.487</f>
        <v>8859.4869999999992</v>
      </c>
      <c r="H1345">
        <f>3571.05</f>
        <v>3571.05</v>
      </c>
      <c r="I1345">
        <f>10559.078</f>
        <v>10559.078</v>
      </c>
      <c r="J1345">
        <f>3779.61</f>
        <v>3779.61</v>
      </c>
      <c r="K1345">
        <f>10860.8</f>
        <v>10860.8</v>
      </c>
      <c r="L1345">
        <f>1963.46</f>
        <v>1963.46</v>
      </c>
      <c r="M1345">
        <f>8487.12</f>
        <v>8487.1200000000008</v>
      </c>
      <c r="N1345">
        <f>312.272</f>
        <v>312.27199999999999</v>
      </c>
      <c r="O1345">
        <f>2943.23</f>
        <v>2943.23</v>
      </c>
      <c r="P1345" t="e">
        <f>NA()</f>
        <v>#N/A</v>
      </c>
      <c r="Q1345">
        <f>2379.08</f>
        <v>2379.08</v>
      </c>
      <c r="R1345">
        <f>5224.71</f>
        <v>5224.71</v>
      </c>
      <c r="S1345" t="e">
        <f>NA()</f>
        <v>#N/A</v>
      </c>
      <c r="T1345">
        <f>4278.625</f>
        <v>4278.625</v>
      </c>
      <c r="U1345">
        <f>57648.87</f>
        <v>57648.87</v>
      </c>
      <c r="V1345">
        <f>434.71</f>
        <v>434.71</v>
      </c>
    </row>
    <row r="1346" spans="1:22" x14ac:dyDescent="0.2">
      <c r="A1346" s="1">
        <v>43223</v>
      </c>
      <c r="B1346">
        <f>2854.38</f>
        <v>2854.38</v>
      </c>
      <c r="C1346">
        <f>10106.52</f>
        <v>10106.52</v>
      </c>
      <c r="D1346">
        <f>6460.82</f>
        <v>6460.82</v>
      </c>
      <c r="E1346">
        <f>2490.396</f>
        <v>2490.3960000000002</v>
      </c>
      <c r="F1346">
        <f>2089.68</f>
        <v>2089.6799999999998</v>
      </c>
      <c r="G1346">
        <f>8801.869</f>
        <v>8801.8690000000006</v>
      </c>
      <c r="H1346">
        <f>3573.34</f>
        <v>3573.34</v>
      </c>
      <c r="I1346">
        <f>10505.601</f>
        <v>10505.601000000001</v>
      </c>
      <c r="J1346">
        <f>3739.86</f>
        <v>3739.86</v>
      </c>
      <c r="K1346">
        <f>10721.88</f>
        <v>10721.88</v>
      </c>
      <c r="L1346">
        <f>1950.61</f>
        <v>1950.61</v>
      </c>
      <c r="M1346">
        <f>8411.85</f>
        <v>8411.85</v>
      </c>
      <c r="N1346">
        <f>310.39</f>
        <v>310.39</v>
      </c>
      <c r="O1346">
        <f>2922.53</f>
        <v>2922.53</v>
      </c>
      <c r="P1346" t="e">
        <f>NA()</f>
        <v>#N/A</v>
      </c>
      <c r="Q1346">
        <f>2349.972</f>
        <v>2349.9720000000002</v>
      </c>
      <c r="R1346">
        <f>5157.7</f>
        <v>5157.7</v>
      </c>
      <c r="S1346" t="e">
        <f>NA()</f>
        <v>#N/A</v>
      </c>
      <c r="T1346">
        <f>4283.64</f>
        <v>4283.6400000000003</v>
      </c>
      <c r="U1346">
        <f>57273.88</f>
        <v>57273.88</v>
      </c>
      <c r="V1346">
        <f>435.82</f>
        <v>435.82</v>
      </c>
    </row>
    <row r="1347" spans="1:22" x14ac:dyDescent="0.2">
      <c r="A1347" s="1">
        <v>43222</v>
      </c>
      <c r="B1347">
        <f>2867.18</f>
        <v>2867.18</v>
      </c>
      <c r="C1347">
        <f>10256.57</f>
        <v>10256.57</v>
      </c>
      <c r="D1347">
        <f>6492.7</f>
        <v>6492.7</v>
      </c>
      <c r="E1347">
        <f>2519.95</f>
        <v>2519.9499999999998</v>
      </c>
      <c r="F1347">
        <f>2103.5</f>
        <v>2103.5</v>
      </c>
      <c r="G1347">
        <f>8885.044</f>
        <v>8885.0439999999999</v>
      </c>
      <c r="H1347">
        <f>3543.12</f>
        <v>3543.12</v>
      </c>
      <c r="I1347">
        <f>10574.065</f>
        <v>10574.065000000001</v>
      </c>
      <c r="J1347">
        <f>3743.24</f>
        <v>3743.24</v>
      </c>
      <c r="K1347">
        <f>10744.65</f>
        <v>10744.65</v>
      </c>
      <c r="L1347">
        <f>1956.27</f>
        <v>1956.27</v>
      </c>
      <c r="M1347">
        <f>8431.2</f>
        <v>8431.2000000000007</v>
      </c>
      <c r="N1347">
        <f>311.801</f>
        <v>311.80099999999999</v>
      </c>
      <c r="O1347">
        <f>2941.78</f>
        <v>2941.78</v>
      </c>
      <c r="P1347">
        <f>276.8</f>
        <v>276.8</v>
      </c>
      <c r="Q1347">
        <f>2363.031</f>
        <v>2363.0309999999999</v>
      </c>
      <c r="R1347">
        <f>5168.79</f>
        <v>5168.79</v>
      </c>
      <c r="S1347">
        <f>2603.45</f>
        <v>2603.4499999999998</v>
      </c>
      <c r="T1347">
        <f>4368.331</f>
        <v>4368.3310000000001</v>
      </c>
      <c r="U1347">
        <f>58450.44</f>
        <v>58450.44</v>
      </c>
      <c r="V1347">
        <f>443</f>
        <v>443</v>
      </c>
    </row>
    <row r="1348" spans="1:22" x14ac:dyDescent="0.2">
      <c r="A1348" s="1">
        <v>43221</v>
      </c>
      <c r="B1348">
        <f>2853.07</f>
        <v>2853.07</v>
      </c>
      <c r="C1348">
        <f>10348.98</f>
        <v>10348.98</v>
      </c>
      <c r="D1348">
        <f>6473.04</f>
        <v>6473.04</v>
      </c>
      <c r="E1348">
        <f>2543.68</f>
        <v>2543.6799999999998</v>
      </c>
      <c r="F1348">
        <f>2097.87</f>
        <v>2097.87</v>
      </c>
      <c r="G1348">
        <f>8853.023</f>
        <v>8853.0229999999992</v>
      </c>
      <c r="H1348">
        <f>3568.44</f>
        <v>3568.44</v>
      </c>
      <c r="I1348">
        <f>10534.707</f>
        <v>10534.707</v>
      </c>
      <c r="J1348">
        <f>3785.26</f>
        <v>3785.26</v>
      </c>
      <c r="K1348">
        <f>10819.61</f>
        <v>10819.61</v>
      </c>
      <c r="L1348">
        <f>1966.78</f>
        <v>1966.78</v>
      </c>
      <c r="M1348">
        <f>8459.31</f>
        <v>8459.31</v>
      </c>
      <c r="N1348">
        <f>310.26</f>
        <v>310.26</v>
      </c>
      <c r="O1348">
        <f>2923.5</f>
        <v>2923.5</v>
      </c>
      <c r="P1348">
        <f>276.23</f>
        <v>276.23</v>
      </c>
      <c r="Q1348">
        <f>2386.338</f>
        <v>2386.3380000000002</v>
      </c>
      <c r="R1348">
        <f>5206.31</f>
        <v>5206.3100000000004</v>
      </c>
      <c r="S1348">
        <f>2607.36</f>
        <v>2607.36</v>
      </c>
      <c r="T1348" t="e">
        <f>NA()</f>
        <v>#N/A</v>
      </c>
      <c r="U1348" t="e">
        <f>NA()</f>
        <v>#N/A</v>
      </c>
      <c r="V1348" t="e">
        <f>NA()</f>
        <v>#N/A</v>
      </c>
    </row>
    <row r="1349" spans="1:22" x14ac:dyDescent="0.2">
      <c r="A1349" s="1">
        <v>43220</v>
      </c>
      <c r="B1349">
        <f>2848.01</f>
        <v>2848.01</v>
      </c>
      <c r="C1349">
        <f>10381.65</f>
        <v>10381.65</v>
      </c>
      <c r="D1349">
        <f>6463.52</f>
        <v>6463.52</v>
      </c>
      <c r="E1349">
        <f>2547.855</f>
        <v>2547.855</v>
      </c>
      <c r="F1349">
        <f>2119.38</f>
        <v>2119.38</v>
      </c>
      <c r="G1349">
        <f>8959.333</f>
        <v>8959.3330000000005</v>
      </c>
      <c r="H1349">
        <f>3578.76</f>
        <v>3578.76</v>
      </c>
      <c r="I1349">
        <f>10615.087</f>
        <v>10615.087</v>
      </c>
      <c r="J1349">
        <f>3802.1</f>
        <v>3802.1</v>
      </c>
      <c r="K1349">
        <f>10793.11</f>
        <v>10793.11</v>
      </c>
      <c r="L1349">
        <f>1977.2</f>
        <v>1977.2</v>
      </c>
      <c r="M1349">
        <f>8470.21</f>
        <v>8470.2099999999991</v>
      </c>
      <c r="N1349">
        <f>309.935</f>
        <v>309.935</v>
      </c>
      <c r="O1349">
        <f>2925.33</f>
        <v>2925.33</v>
      </c>
      <c r="P1349" t="e">
        <f>NA()</f>
        <v>#N/A</v>
      </c>
      <c r="Q1349">
        <f>2387.24909</f>
        <v>2387.2490899999998</v>
      </c>
      <c r="R1349">
        <f>5193.04</f>
        <v>5193.04</v>
      </c>
      <c r="S1349" t="e">
        <f>NA()</f>
        <v>#N/A</v>
      </c>
      <c r="T1349">
        <f>4329.585</f>
        <v>4329.585</v>
      </c>
      <c r="U1349">
        <f>58236.13</f>
        <v>58236.13</v>
      </c>
      <c r="V1349">
        <f>438.96</f>
        <v>438.96</v>
      </c>
    </row>
    <row r="1350" spans="1:22" x14ac:dyDescent="0.2">
      <c r="A1350" s="1">
        <v>43217</v>
      </c>
      <c r="B1350">
        <f>2840.76</f>
        <v>2840.76</v>
      </c>
      <c r="C1350">
        <f>10318.62</f>
        <v>10318.620000000001</v>
      </c>
      <c r="D1350">
        <f>6457.42</f>
        <v>6457.42</v>
      </c>
      <c r="E1350">
        <f>2529.773</f>
        <v>2529.7730000000001</v>
      </c>
      <c r="F1350">
        <f>2120.99</f>
        <v>2120.9899999999998</v>
      </c>
      <c r="G1350">
        <f>8966.118</f>
        <v>8966.1180000000004</v>
      </c>
      <c r="H1350">
        <f>3589.91</f>
        <v>3589.91</v>
      </c>
      <c r="I1350">
        <f>10601.582</f>
        <v>10601.582</v>
      </c>
      <c r="J1350">
        <f>3837.39</f>
        <v>3837.39</v>
      </c>
      <c r="K1350">
        <f>10878.39</f>
        <v>10878.39</v>
      </c>
      <c r="L1350">
        <f>1981.42</f>
        <v>1981.42</v>
      </c>
      <c r="M1350">
        <f>8507.55</f>
        <v>8507.5499999999993</v>
      </c>
      <c r="N1350">
        <f>309.186</f>
        <v>309.18599999999998</v>
      </c>
      <c r="O1350">
        <f>2918.25</f>
        <v>2918.25</v>
      </c>
      <c r="P1350">
        <f>276.35</f>
        <v>276.35000000000002</v>
      </c>
      <c r="Q1350">
        <f>2410.957</f>
        <v>2410.9569999999999</v>
      </c>
      <c r="R1350">
        <f>5235.73</f>
        <v>5235.7299999999996</v>
      </c>
      <c r="S1350">
        <f>2611.85</f>
        <v>2611.85</v>
      </c>
      <c r="T1350" t="e">
        <f>NA()</f>
        <v>#N/A</v>
      </c>
      <c r="U1350" t="e">
        <f>NA()</f>
        <v>#N/A</v>
      </c>
      <c r="V1350" t="e">
        <f>NA()</f>
        <v>#N/A</v>
      </c>
    </row>
    <row r="1351" spans="1:22" x14ac:dyDescent="0.2">
      <c r="A1351" s="1">
        <v>43216</v>
      </c>
      <c r="B1351">
        <f>2816.58</f>
        <v>2816.58</v>
      </c>
      <c r="C1351">
        <f>10238.46</f>
        <v>10238.459999999999</v>
      </c>
      <c r="D1351">
        <f>6387.89</f>
        <v>6387.89</v>
      </c>
      <c r="E1351">
        <f>2503.524</f>
        <v>2503.5239999999999</v>
      </c>
      <c r="F1351">
        <f>2121.78</f>
        <v>2121.7800000000002</v>
      </c>
      <c r="G1351">
        <f>8959.444</f>
        <v>8959.4439999999995</v>
      </c>
      <c r="H1351">
        <f>3576.45</f>
        <v>3576.45</v>
      </c>
      <c r="I1351">
        <f>10573.779</f>
        <v>10573.779</v>
      </c>
      <c r="J1351">
        <f>3830.71</f>
        <v>3830.71</v>
      </c>
      <c r="K1351">
        <f>10869.77</f>
        <v>10869.77</v>
      </c>
      <c r="L1351">
        <f>1978.27</f>
        <v>1978.27</v>
      </c>
      <c r="M1351">
        <f>8491.49</f>
        <v>8491.49</v>
      </c>
      <c r="N1351">
        <f>307.282</f>
        <v>307.28199999999998</v>
      </c>
      <c r="O1351">
        <f>2910.16</f>
        <v>2910.16</v>
      </c>
      <c r="P1351">
        <f>274.54</f>
        <v>274.54000000000002</v>
      </c>
      <c r="Q1351">
        <f>2404.108</f>
        <v>2404.1080000000002</v>
      </c>
      <c r="R1351">
        <f>5229.61</f>
        <v>5229.6099999999997</v>
      </c>
      <c r="S1351">
        <f>2604.36</f>
        <v>2604.36</v>
      </c>
      <c r="T1351">
        <f>4273.355</f>
        <v>4273.3549999999996</v>
      </c>
      <c r="U1351">
        <f>57453.04</f>
        <v>57453.04</v>
      </c>
      <c r="V1351">
        <f>433.81</f>
        <v>433.81</v>
      </c>
    </row>
    <row r="1352" spans="1:22" x14ac:dyDescent="0.2">
      <c r="A1352" s="1">
        <v>43215</v>
      </c>
      <c r="B1352">
        <f>2788.68</f>
        <v>2788.68</v>
      </c>
      <c r="C1352">
        <f>10225.67</f>
        <v>10225.67</v>
      </c>
      <c r="D1352">
        <f>6345.24</f>
        <v>6345.24</v>
      </c>
      <c r="E1352">
        <f>2494.596</f>
        <v>2494.596</v>
      </c>
      <c r="F1352">
        <f>2110.98</f>
        <v>2110.98</v>
      </c>
      <c r="G1352">
        <f>8901.832</f>
        <v>8901.8320000000003</v>
      </c>
      <c r="H1352">
        <f>3581.23</f>
        <v>3581.23</v>
      </c>
      <c r="I1352">
        <f>10527.103</f>
        <v>10527.102999999999</v>
      </c>
      <c r="J1352">
        <f>3805.33</f>
        <v>3805.33</v>
      </c>
      <c r="K1352">
        <f>10757.04</f>
        <v>10757.04</v>
      </c>
      <c r="L1352">
        <f>1967.22</f>
        <v>1967.22</v>
      </c>
      <c r="M1352">
        <f>8426.22</f>
        <v>8426.2199999999993</v>
      </c>
      <c r="N1352">
        <f>303.513</f>
        <v>303.51299999999998</v>
      </c>
      <c r="O1352">
        <f>2882.72</f>
        <v>2882.72</v>
      </c>
      <c r="P1352">
        <f>274.34</f>
        <v>274.33999999999997</v>
      </c>
      <c r="Q1352">
        <f>2392.098</f>
        <v>2392.098</v>
      </c>
      <c r="R1352">
        <f>5175.59</f>
        <v>5175.59</v>
      </c>
      <c r="S1352">
        <f>2597.89</f>
        <v>2597.89</v>
      </c>
      <c r="T1352">
        <f>4223.862</f>
        <v>4223.8620000000001</v>
      </c>
      <c r="U1352">
        <f>56987.19</f>
        <v>56987.19</v>
      </c>
      <c r="V1352">
        <f>431.39</f>
        <v>431.39</v>
      </c>
    </row>
    <row r="1353" spans="1:22" x14ac:dyDescent="0.2">
      <c r="A1353" s="1">
        <v>43214</v>
      </c>
      <c r="B1353">
        <f>2797.77</f>
        <v>2797.77</v>
      </c>
      <c r="C1353">
        <f>10327.03</f>
        <v>10327.030000000001</v>
      </c>
      <c r="D1353">
        <f>6384.86</f>
        <v>6384.86</v>
      </c>
      <c r="E1353">
        <f>2525.072</f>
        <v>2525.0720000000001</v>
      </c>
      <c r="F1353">
        <f>2111.82</f>
        <v>2111.8200000000002</v>
      </c>
      <c r="G1353">
        <f>8980.152</f>
        <v>8980.152</v>
      </c>
      <c r="H1353">
        <f>3581.44</f>
        <v>3581.44</v>
      </c>
      <c r="I1353">
        <f>10641.375</f>
        <v>10641.375</v>
      </c>
      <c r="J1353">
        <f>3791.32</f>
        <v>3791.32</v>
      </c>
      <c r="K1353">
        <f>10740.94</f>
        <v>10740.94</v>
      </c>
      <c r="L1353">
        <f>1973.91</f>
        <v>1973.91</v>
      </c>
      <c r="M1353">
        <f>8443.97</f>
        <v>8443.9699999999993</v>
      </c>
      <c r="N1353">
        <f>304.764</f>
        <v>304.76400000000001</v>
      </c>
      <c r="O1353">
        <f>2901.27</f>
        <v>2901.27</v>
      </c>
      <c r="P1353">
        <f>273.04</f>
        <v>273.04000000000002</v>
      </c>
      <c r="Q1353">
        <f>2381.589</f>
        <v>2381.5889999999999</v>
      </c>
      <c r="R1353">
        <f>5166.1</f>
        <v>5166.1000000000004</v>
      </c>
      <c r="S1353">
        <f>2600.82</f>
        <v>2600.8200000000002</v>
      </c>
      <c r="T1353">
        <f>4267.41</f>
        <v>4267.41</v>
      </c>
      <c r="U1353">
        <f>57675.21</f>
        <v>57675.21</v>
      </c>
      <c r="V1353">
        <f>438.49</f>
        <v>438.49</v>
      </c>
    </row>
    <row r="1354" spans="1:22" x14ac:dyDescent="0.2">
      <c r="A1354" s="1">
        <v>43213</v>
      </c>
      <c r="B1354">
        <f>2810.75</f>
        <v>2810.75</v>
      </c>
      <c r="C1354">
        <f>10371.76</f>
        <v>10371.76</v>
      </c>
      <c r="D1354">
        <f>6362.05</f>
        <v>6362.05</v>
      </c>
      <c r="E1354">
        <f>2533.673</f>
        <v>2533.6729999999998</v>
      </c>
      <c r="F1354">
        <f>2118.96</f>
        <v>2118.96</v>
      </c>
      <c r="G1354">
        <f>8937.421</f>
        <v>8937.4210000000003</v>
      </c>
      <c r="H1354">
        <f>3568.33</f>
        <v>3568.33</v>
      </c>
      <c r="I1354">
        <f>10660.912</f>
        <v>10660.912</v>
      </c>
      <c r="J1354">
        <f>3824.85</f>
        <v>3824.85</v>
      </c>
      <c r="K1354">
        <f>10884.96</f>
        <v>10884.96</v>
      </c>
      <c r="L1354">
        <f>1982.74</f>
        <v>1982.74</v>
      </c>
      <c r="M1354">
        <f>8506.64</f>
        <v>8506.64</v>
      </c>
      <c r="N1354">
        <f>304.832</f>
        <v>304.83199999999999</v>
      </c>
      <c r="O1354">
        <f>2900.68</f>
        <v>2900.68</v>
      </c>
      <c r="P1354">
        <f>271.05</f>
        <v>271.05</v>
      </c>
      <c r="Q1354">
        <f>2410.837</f>
        <v>2410.837</v>
      </c>
      <c r="R1354">
        <f>5236.04</f>
        <v>5236.04</v>
      </c>
      <c r="S1354">
        <f>2572.96</f>
        <v>2572.96</v>
      </c>
      <c r="T1354">
        <f>4301.979</f>
        <v>4301.9790000000003</v>
      </c>
      <c r="U1354">
        <f>57679.51</f>
        <v>57679.51</v>
      </c>
      <c r="V1354">
        <f>439.83</f>
        <v>439.83</v>
      </c>
    </row>
    <row r="1355" spans="1:22" x14ac:dyDescent="0.2">
      <c r="A1355" s="1">
        <v>43210</v>
      </c>
      <c r="B1355">
        <f>2801.5</f>
        <v>2801.5</v>
      </c>
      <c r="C1355">
        <f>10482.24</f>
        <v>10482.24</v>
      </c>
      <c r="D1355">
        <f>6335.65</f>
        <v>6335.65</v>
      </c>
      <c r="E1355">
        <f>2555.465</f>
        <v>2555.4650000000001</v>
      </c>
      <c r="F1355">
        <f>2117.05</f>
        <v>2117.0500000000002</v>
      </c>
      <c r="G1355">
        <f>8947</f>
        <v>8947</v>
      </c>
      <c r="H1355">
        <f>3583.4</f>
        <v>3583.4</v>
      </c>
      <c r="I1355">
        <f>10672.775</f>
        <v>10672.775</v>
      </c>
      <c r="J1355">
        <f>3817.66</f>
        <v>3817.66</v>
      </c>
      <c r="K1355">
        <f>10885.1</f>
        <v>10885.1</v>
      </c>
      <c r="L1355">
        <f>1982.52</f>
        <v>1982.52</v>
      </c>
      <c r="M1355">
        <f>8516.29</f>
        <v>8516.2900000000009</v>
      </c>
      <c r="N1355">
        <f>305.892</f>
        <v>305.892</v>
      </c>
      <c r="O1355">
        <f>2889.38</f>
        <v>2889.38</v>
      </c>
      <c r="P1355">
        <f>270.5</f>
        <v>270.5</v>
      </c>
      <c r="Q1355">
        <f>2412.643</f>
        <v>2412.643</v>
      </c>
      <c r="R1355">
        <f>5235.75</f>
        <v>5235.75</v>
      </c>
      <c r="S1355">
        <f>2573.46</f>
        <v>2573.46</v>
      </c>
      <c r="T1355">
        <f>4341.111</f>
        <v>4341.1109999999999</v>
      </c>
      <c r="U1355">
        <f>57581.73</f>
        <v>57581.73</v>
      </c>
      <c r="V1355">
        <f>440.16</f>
        <v>440.16</v>
      </c>
    </row>
    <row r="1356" spans="1:22" x14ac:dyDescent="0.2">
      <c r="A1356" s="1">
        <v>43209</v>
      </c>
      <c r="B1356">
        <f>2781.32</f>
        <v>2781.32</v>
      </c>
      <c r="C1356">
        <f>10614.28</f>
        <v>10614.28</v>
      </c>
      <c r="D1356">
        <f>6301.9</f>
        <v>6301.9</v>
      </c>
      <c r="E1356">
        <f>2590.07</f>
        <v>2590.0700000000002</v>
      </c>
      <c r="F1356">
        <f>2131.23</f>
        <v>2131.23</v>
      </c>
      <c r="G1356">
        <f>9029.744</f>
        <v>9029.7440000000006</v>
      </c>
      <c r="H1356">
        <f>3597.37</f>
        <v>3597.37</v>
      </c>
      <c r="I1356">
        <f>10735.843</f>
        <v>10735.843000000001</v>
      </c>
      <c r="J1356">
        <f>3851.25</f>
        <v>3851.25</v>
      </c>
      <c r="K1356">
        <f>10976.78</f>
        <v>10976.78</v>
      </c>
      <c r="L1356">
        <f>1996.65</f>
        <v>1996.65</v>
      </c>
      <c r="M1356">
        <f>8581.17</f>
        <v>8581.17</v>
      </c>
      <c r="N1356">
        <f>306.19</f>
        <v>306.19</v>
      </c>
      <c r="O1356">
        <f>2888.84</f>
        <v>2888.84</v>
      </c>
      <c r="P1356">
        <f>270.39</f>
        <v>270.39</v>
      </c>
      <c r="Q1356">
        <f>2439.704</f>
        <v>2439.7040000000002</v>
      </c>
      <c r="R1356">
        <f>5280.57</f>
        <v>5280.57</v>
      </c>
      <c r="S1356">
        <f>2572.05</f>
        <v>2572.0500000000002</v>
      </c>
      <c r="T1356">
        <f>4329.66</f>
        <v>4329.66</v>
      </c>
      <c r="U1356">
        <f>57526.79</f>
        <v>57526.79</v>
      </c>
      <c r="V1356">
        <f>441.57</f>
        <v>441.57</v>
      </c>
    </row>
    <row r="1357" spans="1:22" x14ac:dyDescent="0.2">
      <c r="A1357" s="1">
        <v>43208</v>
      </c>
      <c r="B1357">
        <f>2783.43</f>
        <v>2783.43</v>
      </c>
      <c r="C1357">
        <f>10526.52</f>
        <v>10526.52</v>
      </c>
      <c r="D1357">
        <f>6283.52</f>
        <v>6283.52</v>
      </c>
      <c r="E1357">
        <f>2572.597</f>
        <v>2572.5970000000002</v>
      </c>
      <c r="F1357">
        <f>2135.97</f>
        <v>2135.9699999999998</v>
      </c>
      <c r="G1357">
        <f>9010.726</f>
        <v>9010.7260000000006</v>
      </c>
      <c r="H1357">
        <f>3603.94</f>
        <v>3603.94</v>
      </c>
      <c r="I1357">
        <f>10750.8</f>
        <v>10750.8</v>
      </c>
      <c r="J1357">
        <f>3898.88</f>
        <v>3898.88</v>
      </c>
      <c r="K1357">
        <f>11037.51</f>
        <v>11037.51</v>
      </c>
      <c r="L1357">
        <f>2013.07</f>
        <v>2013.07</v>
      </c>
      <c r="M1357">
        <f>8611.48</f>
        <v>8611.48</v>
      </c>
      <c r="N1357">
        <f>305.823</f>
        <v>305.82299999999998</v>
      </c>
      <c r="O1357">
        <f>2886.21</f>
        <v>2886.21</v>
      </c>
      <c r="P1357">
        <f>271.72</f>
        <v>271.72000000000003</v>
      </c>
      <c r="Q1357">
        <f>2459.027</f>
        <v>2459.027</v>
      </c>
      <c r="R1357">
        <f>5310.32</f>
        <v>5310.32</v>
      </c>
      <c r="S1357">
        <f>2571.3</f>
        <v>2571.3000000000002</v>
      </c>
      <c r="T1357">
        <f>4335.239</f>
        <v>4335.2389999999996</v>
      </c>
      <c r="U1357">
        <f>57713.29</f>
        <v>57713.29</v>
      </c>
      <c r="V1357">
        <f>441.46</f>
        <v>441.46</v>
      </c>
    </row>
    <row r="1358" spans="1:22" x14ac:dyDescent="0.2">
      <c r="A1358" s="1">
        <v>43207</v>
      </c>
      <c r="B1358">
        <f>2748.75</f>
        <v>2748.75</v>
      </c>
      <c r="C1358">
        <f>10424.71</f>
        <v>10424.709999999999</v>
      </c>
      <c r="D1358">
        <f>6205.14</f>
        <v>6205.14</v>
      </c>
      <c r="E1358">
        <f>2546.709</f>
        <v>2546.7089999999998</v>
      </c>
      <c r="F1358">
        <f>2124.13</f>
        <v>2124.13</v>
      </c>
      <c r="G1358">
        <f>8941.509</f>
        <v>8941.509</v>
      </c>
      <c r="H1358">
        <f>3578.4</f>
        <v>3578.4</v>
      </c>
      <c r="I1358">
        <f>10698.57</f>
        <v>10698.57</v>
      </c>
      <c r="J1358">
        <f>3908.87</f>
        <v>3908.87</v>
      </c>
      <c r="K1358">
        <f>11027.69</f>
        <v>11027.69</v>
      </c>
      <c r="L1358">
        <f>2010.56</f>
        <v>2010.56</v>
      </c>
      <c r="M1358">
        <f>8581.67</f>
        <v>8581.67</v>
      </c>
      <c r="N1358">
        <f>306.07</f>
        <v>306.07</v>
      </c>
      <c r="O1358">
        <f>2877.5</f>
        <v>2877.5</v>
      </c>
      <c r="P1358">
        <f>268.9</f>
        <v>268.89999999999998</v>
      </c>
      <c r="Q1358">
        <f>2454.713</f>
        <v>2454.7130000000002</v>
      </c>
      <c r="R1358">
        <f>5305.9</f>
        <v>5305.9</v>
      </c>
      <c r="S1358">
        <f>2542.38</f>
        <v>2542.38</v>
      </c>
      <c r="T1358">
        <f>4274.104</f>
        <v>4274.1040000000003</v>
      </c>
      <c r="U1358">
        <f>56826.74</f>
        <v>56826.74</v>
      </c>
      <c r="V1358">
        <f>429.5</f>
        <v>429.5</v>
      </c>
    </row>
    <row r="1359" spans="1:22" x14ac:dyDescent="0.2">
      <c r="A1359" s="1">
        <v>43206</v>
      </c>
      <c r="B1359">
        <f>2732.46</f>
        <v>2732.46</v>
      </c>
      <c r="C1359">
        <f>10433.31</f>
        <v>10433.31</v>
      </c>
      <c r="D1359">
        <f>6181.22</f>
        <v>6181.22</v>
      </c>
      <c r="E1359">
        <f>2543.911</f>
        <v>2543.9110000000001</v>
      </c>
      <c r="F1359">
        <f>2112.41</f>
        <v>2112.41</v>
      </c>
      <c r="G1359">
        <f>8920.015</f>
        <v>8920.0149999999994</v>
      </c>
      <c r="H1359">
        <f>3591.84</f>
        <v>3591.84</v>
      </c>
      <c r="I1359">
        <f>10611.71</f>
        <v>10611.71</v>
      </c>
      <c r="J1359">
        <f>3884.84</f>
        <v>3884.84</v>
      </c>
      <c r="K1359">
        <f>10908.41</f>
        <v>10908.41</v>
      </c>
      <c r="L1359">
        <f>1999.17</f>
        <v>1999.17</v>
      </c>
      <c r="M1359">
        <f>8513.95</f>
        <v>8513.9500000000007</v>
      </c>
      <c r="N1359">
        <f>303.723</f>
        <v>303.72300000000001</v>
      </c>
      <c r="O1359">
        <f>2854.46</f>
        <v>2854.46</v>
      </c>
      <c r="P1359">
        <f>269.41</f>
        <v>269.41000000000003</v>
      </c>
      <c r="Q1359">
        <f>2438.106</f>
        <v>2438.1060000000002</v>
      </c>
      <c r="R1359">
        <f>5249.94</f>
        <v>5249.94</v>
      </c>
      <c r="S1359">
        <f>2551.54</f>
        <v>2551.54</v>
      </c>
      <c r="T1359">
        <f>4235.46</f>
        <v>4235.46</v>
      </c>
      <c r="U1359">
        <f>56733.47</f>
        <v>56733.47</v>
      </c>
      <c r="V1359">
        <f>427.7</f>
        <v>427.7</v>
      </c>
    </row>
    <row r="1360" spans="1:22" x14ac:dyDescent="0.2">
      <c r="A1360" s="1">
        <v>43203</v>
      </c>
      <c r="B1360">
        <f>2750.91</f>
        <v>2750.91</v>
      </c>
      <c r="C1360">
        <f>10512.35</f>
        <v>10512.35</v>
      </c>
      <c r="D1360">
        <f>6238.2</f>
        <v>6238.2</v>
      </c>
      <c r="E1360">
        <f>2558.854</f>
        <v>2558.8539999999998</v>
      </c>
      <c r="F1360">
        <f>2113.97</f>
        <v>2113.9699999999998</v>
      </c>
      <c r="G1360">
        <f>8952.403</f>
        <v>8952.4030000000002</v>
      </c>
      <c r="H1360">
        <f>3568.54</f>
        <v>3568.54</v>
      </c>
      <c r="I1360">
        <f>10594.085</f>
        <v>10594.084999999999</v>
      </c>
      <c r="J1360">
        <f>3853.01</f>
        <v>3853.01</v>
      </c>
      <c r="K1360">
        <f>10819.79</f>
        <v>10819.79</v>
      </c>
      <c r="L1360">
        <f>1988.47</f>
        <v>1988.47</v>
      </c>
      <c r="M1360">
        <f>8467.9</f>
        <v>8467.9</v>
      </c>
      <c r="N1360">
        <f>304.319</f>
        <v>304.31900000000002</v>
      </c>
      <c r="O1360">
        <f>2863.89</f>
        <v>2863.89</v>
      </c>
      <c r="P1360">
        <f>266.96</f>
        <v>266.95999999999998</v>
      </c>
      <c r="Q1360">
        <f>2410.244</f>
        <v>2410.2440000000001</v>
      </c>
      <c r="R1360">
        <f>5207.57</f>
        <v>5207.57</v>
      </c>
      <c r="S1360">
        <f>2541.46</f>
        <v>2541.46</v>
      </c>
      <c r="T1360">
        <f>4233.435</f>
        <v>4233.4350000000004</v>
      </c>
      <c r="U1360">
        <f>56563.17</f>
        <v>56563.17</v>
      </c>
      <c r="V1360">
        <f>429.77</f>
        <v>429.77</v>
      </c>
    </row>
    <row r="1361" spans="1:22" x14ac:dyDescent="0.2">
      <c r="A1361" s="1">
        <v>43202</v>
      </c>
      <c r="B1361">
        <f>2743.79</f>
        <v>2743.79</v>
      </c>
      <c r="C1361">
        <f>10565.36</f>
        <v>10565.36</v>
      </c>
      <c r="D1361">
        <f>6232.86</f>
        <v>6232.86</v>
      </c>
      <c r="E1361">
        <f>2573.453</f>
        <v>2573.453</v>
      </c>
      <c r="F1361">
        <f>2109.12</f>
        <v>2109.12</v>
      </c>
      <c r="G1361">
        <f>8936.242</f>
        <v>8936.2420000000002</v>
      </c>
      <c r="H1361">
        <f>3558.86</f>
        <v>3558.86</v>
      </c>
      <c r="I1361">
        <f>10572.532</f>
        <v>10572.531999999999</v>
      </c>
      <c r="J1361">
        <f>3855.86</f>
        <v>3855.86</v>
      </c>
      <c r="K1361">
        <f>10852.77</f>
        <v>10852.77</v>
      </c>
      <c r="L1361">
        <f>1986.46</f>
        <v>1986.46</v>
      </c>
      <c r="M1361">
        <f>8475.03</f>
        <v>8475.0300000000007</v>
      </c>
      <c r="N1361">
        <f>304.165</f>
        <v>304.16500000000002</v>
      </c>
      <c r="O1361">
        <f>2860.56</f>
        <v>2860.56</v>
      </c>
      <c r="P1361">
        <f>265.93</f>
        <v>265.93</v>
      </c>
      <c r="Q1361">
        <f>2413.743</f>
        <v>2413.7429999999999</v>
      </c>
      <c r="R1361">
        <f>5222.55</f>
        <v>5222.55</v>
      </c>
      <c r="S1361">
        <f>2525.53</f>
        <v>2525.5300000000002</v>
      </c>
      <c r="T1361">
        <f>4241.352</f>
        <v>4241.3519999999999</v>
      </c>
      <c r="U1361">
        <f>56480.98</f>
        <v>56480.98</v>
      </c>
      <c r="V1361">
        <f>427</f>
        <v>427</v>
      </c>
    </row>
    <row r="1362" spans="1:22" x14ac:dyDescent="0.2">
      <c r="A1362" s="1">
        <v>43201</v>
      </c>
      <c r="B1362">
        <f>2718.76</f>
        <v>2718.76</v>
      </c>
      <c r="C1362">
        <f>10533.18</f>
        <v>10533.18</v>
      </c>
      <c r="D1362">
        <f>6228.17</f>
        <v>6228.17</v>
      </c>
      <c r="E1362">
        <f>2570.483</f>
        <v>2570.4830000000002</v>
      </c>
      <c r="F1362">
        <f>2092.15</f>
        <v>2092.15</v>
      </c>
      <c r="G1362">
        <f>8913.696</f>
        <v>8913.6959999999999</v>
      </c>
      <c r="H1362">
        <f>3599.85</f>
        <v>3599.85</v>
      </c>
      <c r="I1362">
        <f>10563.778</f>
        <v>10563.778</v>
      </c>
      <c r="J1362">
        <f>3833.09</f>
        <v>3833.09</v>
      </c>
      <c r="K1362">
        <f>10765.1</f>
        <v>10765.1</v>
      </c>
      <c r="L1362">
        <f>1983.14</f>
        <v>1983.14</v>
      </c>
      <c r="M1362">
        <f>8440.24</f>
        <v>8440.24</v>
      </c>
      <c r="N1362">
        <f>301.914</f>
        <v>301.91399999999999</v>
      </c>
      <c r="O1362">
        <f>2839.22</f>
        <v>2839.22</v>
      </c>
      <c r="P1362">
        <f>267.5</f>
        <v>267.5</v>
      </c>
      <c r="Q1362">
        <f>2406.45</f>
        <v>2406.4499999999998</v>
      </c>
      <c r="R1362">
        <f>5179.19</f>
        <v>5179.1899999999996</v>
      </c>
      <c r="S1362">
        <f>2535.49</f>
        <v>2535.4899999999998</v>
      </c>
      <c r="T1362">
        <f>4224.466</f>
        <v>4224.4660000000003</v>
      </c>
      <c r="U1362">
        <f>56170.07</f>
        <v>56170.07</v>
      </c>
      <c r="V1362">
        <f>424.99</f>
        <v>424.99</v>
      </c>
    </row>
    <row r="1363" spans="1:22" x14ac:dyDescent="0.2">
      <c r="A1363" s="1">
        <v>43200</v>
      </c>
      <c r="B1363">
        <f>2713.57</f>
        <v>2713.57</v>
      </c>
      <c r="C1363">
        <f>10514.43</f>
        <v>10514.43</v>
      </c>
      <c r="D1363">
        <f>6236.41</f>
        <v>6236.41</v>
      </c>
      <c r="E1363">
        <f>2569.399</f>
        <v>2569.3989999999999</v>
      </c>
      <c r="F1363">
        <f>2090.46</f>
        <v>2090.46</v>
      </c>
      <c r="G1363">
        <f>8904.205</f>
        <v>8904.2049999999999</v>
      </c>
      <c r="H1363">
        <f>3592.99</f>
        <v>3592.99</v>
      </c>
      <c r="I1363">
        <f>10612.193</f>
        <v>10612.192999999999</v>
      </c>
      <c r="J1363">
        <f>3852.05</f>
        <v>3852.05</v>
      </c>
      <c r="K1363">
        <f>10822.59</f>
        <v>10822.59</v>
      </c>
      <c r="L1363">
        <f>1988.46</f>
        <v>1988.46</v>
      </c>
      <c r="M1363">
        <f>8470.3</f>
        <v>8470.2999999999993</v>
      </c>
      <c r="N1363">
        <f>303.685</f>
        <v>303.685</v>
      </c>
      <c r="O1363">
        <f>2856.93</f>
        <v>2856.93</v>
      </c>
      <c r="P1363">
        <f>268.97</f>
        <v>268.97000000000003</v>
      </c>
      <c r="Q1363">
        <f>2419.592</f>
        <v>2419.5920000000001</v>
      </c>
      <c r="R1363">
        <f>5207.73</f>
        <v>5207.7299999999996</v>
      </c>
      <c r="S1363">
        <f>2545.24</f>
        <v>2545.2399999999998</v>
      </c>
      <c r="T1363">
        <f>4252.167</f>
        <v>4252.1670000000004</v>
      </c>
      <c r="U1363">
        <f>56747.24</f>
        <v>56747.24</v>
      </c>
      <c r="V1363">
        <f>430.94</f>
        <v>430.94</v>
      </c>
    </row>
    <row r="1364" spans="1:22" x14ac:dyDescent="0.2">
      <c r="A1364" s="1">
        <v>43199</v>
      </c>
      <c r="B1364">
        <f>2695.59</f>
        <v>2695.59</v>
      </c>
      <c r="C1364">
        <f>10429.54</f>
        <v>10429.540000000001</v>
      </c>
      <c r="D1364">
        <f>6174.62</f>
        <v>6174.62</v>
      </c>
      <c r="E1364">
        <f>2542.529</f>
        <v>2542.529</v>
      </c>
      <c r="F1364">
        <f>2060.13</f>
        <v>2060.13</v>
      </c>
      <c r="G1364">
        <f>8781.097</f>
        <v>8781.0969999999998</v>
      </c>
      <c r="H1364">
        <f>3565.12</f>
        <v>3565.12</v>
      </c>
      <c r="I1364">
        <f>10498.754</f>
        <v>10498.754000000001</v>
      </c>
      <c r="J1364">
        <f>3791.63</f>
        <v>3791.63</v>
      </c>
      <c r="K1364">
        <f>10641.61</f>
        <v>10641.61</v>
      </c>
      <c r="L1364">
        <f>1963.54</f>
        <v>1963.54</v>
      </c>
      <c r="M1364">
        <f>8352.77</f>
        <v>8352.77</v>
      </c>
      <c r="N1364">
        <f>302.465</f>
        <v>302.46499999999997</v>
      </c>
      <c r="O1364">
        <f>2832.83</f>
        <v>2832.83</v>
      </c>
      <c r="P1364">
        <f>269.27</f>
        <v>269.27</v>
      </c>
      <c r="Q1364">
        <f>2389.209</f>
        <v>2389.2089999999998</v>
      </c>
      <c r="R1364">
        <f>5121.9</f>
        <v>5121.8999999999996</v>
      </c>
      <c r="S1364">
        <f>2536.35</f>
        <v>2536.35</v>
      </c>
      <c r="T1364">
        <f>4249.749</f>
        <v>4249.7489999999998</v>
      </c>
      <c r="U1364">
        <f>56091.56</f>
        <v>56091.56</v>
      </c>
      <c r="V1364">
        <f>423.11</f>
        <v>423.11</v>
      </c>
    </row>
    <row r="1365" spans="1:22" x14ac:dyDescent="0.2">
      <c r="A1365" s="1">
        <v>43196</v>
      </c>
      <c r="B1365">
        <f>2705.43</f>
        <v>2705.43</v>
      </c>
      <c r="C1365">
        <f>10492.78</f>
        <v>10492.78</v>
      </c>
      <c r="D1365">
        <f>6165.08</f>
        <v>6165.08</v>
      </c>
      <c r="E1365">
        <f>2540.122</f>
        <v>2540.1219999999998</v>
      </c>
      <c r="F1365">
        <f>2048.95</f>
        <v>2048.9499999999998</v>
      </c>
      <c r="G1365">
        <f>8743.757</f>
        <v>8743.7569999999996</v>
      </c>
      <c r="H1365">
        <f>3556.2</f>
        <v>3556.2</v>
      </c>
      <c r="I1365">
        <f>10438.39</f>
        <v>10438.39</v>
      </c>
      <c r="J1365">
        <f>3778.02</f>
        <v>3778.02</v>
      </c>
      <c r="K1365">
        <f>10605.41</f>
        <v>10605.41</v>
      </c>
      <c r="L1365">
        <f>1954.06</f>
        <v>1954.06</v>
      </c>
      <c r="M1365">
        <f>8317.08</f>
        <v>8317.08</v>
      </c>
      <c r="N1365">
        <f>301.128</f>
        <v>301.12799999999999</v>
      </c>
      <c r="O1365">
        <f>2827.78</f>
        <v>2827.78</v>
      </c>
      <c r="P1365">
        <f>267.51</f>
        <v>267.51</v>
      </c>
      <c r="Q1365">
        <f>2386.781</f>
        <v>2386.7809999999999</v>
      </c>
      <c r="R1365">
        <f>5103.35</f>
        <v>5103.3500000000004</v>
      </c>
      <c r="S1365">
        <f>2526.67</f>
        <v>2526.67</v>
      </c>
      <c r="T1365">
        <f>4225.973</f>
        <v>4225.973</v>
      </c>
      <c r="U1365">
        <f>55878.81</f>
        <v>55878.81</v>
      </c>
      <c r="V1365">
        <f>424.84</f>
        <v>424.84</v>
      </c>
    </row>
    <row r="1366" spans="1:22" x14ac:dyDescent="0.2">
      <c r="A1366" s="1">
        <v>43195</v>
      </c>
      <c r="B1366">
        <f>2694.75</f>
        <v>2694.75</v>
      </c>
      <c r="C1366">
        <f>10523.72</f>
        <v>10523.72</v>
      </c>
      <c r="D1366">
        <f>6178.7</f>
        <v>6178.7</v>
      </c>
      <c r="E1366">
        <f>2549.965</f>
        <v>2549.9650000000001</v>
      </c>
      <c r="F1366">
        <f>2034.97</f>
        <v>2034.97</v>
      </c>
      <c r="G1366">
        <f>8708.121</f>
        <v>8708.1209999999992</v>
      </c>
      <c r="H1366">
        <f>3544.42</f>
        <v>3544.42</v>
      </c>
      <c r="I1366">
        <f>10449.696</f>
        <v>10449.696</v>
      </c>
      <c r="J1366">
        <f>3852.87</f>
        <v>3852.87</v>
      </c>
      <c r="K1366">
        <f>10840.65</f>
        <v>10840.65</v>
      </c>
      <c r="L1366">
        <f>1971.25</f>
        <v>1971.25</v>
      </c>
      <c r="M1366">
        <f>8427.59</f>
        <v>8427.59</v>
      </c>
      <c r="N1366">
        <f>300.138</f>
        <v>300.13799999999998</v>
      </c>
      <c r="O1366">
        <f>2835.38</f>
        <v>2835.38</v>
      </c>
      <c r="P1366">
        <f>268.56</f>
        <v>268.56</v>
      </c>
      <c r="Q1366">
        <f>2434.36</f>
        <v>2434.36</v>
      </c>
      <c r="R1366">
        <f>5217.62</f>
        <v>5217.62</v>
      </c>
      <c r="S1366">
        <f>2534.47</f>
        <v>2534.4699999999998</v>
      </c>
      <c r="T1366">
        <f>4228.352</f>
        <v>4228.3519999999999</v>
      </c>
      <c r="U1366">
        <f>55761.15</f>
        <v>55761.15</v>
      </c>
      <c r="V1366">
        <f>423.15</f>
        <v>423.15</v>
      </c>
    </row>
    <row r="1367" spans="1:22" x14ac:dyDescent="0.2">
      <c r="A1367" s="1">
        <v>43194</v>
      </c>
      <c r="B1367">
        <f>2652.8</f>
        <v>2652.8</v>
      </c>
      <c r="C1367">
        <f>10463.36</f>
        <v>10463.36</v>
      </c>
      <c r="D1367">
        <f>6030.39</f>
        <v>6030.39</v>
      </c>
      <c r="E1367">
        <f>2526.206</f>
        <v>2526.2060000000001</v>
      </c>
      <c r="F1367">
        <f>2007.11</f>
        <v>2007.11</v>
      </c>
      <c r="G1367">
        <f>8551.363</f>
        <v>8551.3629999999994</v>
      </c>
      <c r="H1367">
        <f>3544.8</f>
        <v>3544.8</v>
      </c>
      <c r="I1367">
        <f>10257.358</f>
        <v>10257.358</v>
      </c>
      <c r="J1367">
        <f>3827.85</f>
        <v>3827.85</v>
      </c>
      <c r="K1367">
        <f>10764.19</f>
        <v>10764.19</v>
      </c>
      <c r="L1367">
        <f>1950.71</f>
        <v>1950.71</v>
      </c>
      <c r="M1367">
        <f>8347.68</f>
        <v>8347.68</v>
      </c>
      <c r="N1367">
        <f>294.192</f>
        <v>294.19200000000001</v>
      </c>
      <c r="O1367">
        <f>2767.49</f>
        <v>2767.49</v>
      </c>
      <c r="P1367">
        <f>266.47</f>
        <v>266.47000000000003</v>
      </c>
      <c r="Q1367">
        <f>2420.861</f>
        <v>2420.8609999999999</v>
      </c>
      <c r="R1367">
        <f>5181.31</f>
        <v>5181.3100000000004</v>
      </c>
      <c r="S1367">
        <f>2507.3</f>
        <v>2507.3000000000002</v>
      </c>
      <c r="T1367">
        <f>4149.719</f>
        <v>4149.7190000000001</v>
      </c>
      <c r="U1367">
        <f>54602.68</f>
        <v>54602.68</v>
      </c>
      <c r="V1367">
        <f>411.83</f>
        <v>411.83</v>
      </c>
    </row>
    <row r="1368" spans="1:22" x14ac:dyDescent="0.2">
      <c r="A1368" s="1">
        <v>43193</v>
      </c>
      <c r="B1368">
        <f>2649.41</f>
        <v>2649.41</v>
      </c>
      <c r="C1368">
        <f>10592.97</f>
        <v>10592.97</v>
      </c>
      <c r="D1368">
        <f>6027.34</f>
        <v>6027.34</v>
      </c>
      <c r="E1368">
        <f>2557.502</f>
        <v>2557.502</v>
      </c>
      <c r="F1368">
        <f>2001.24</f>
        <v>2001.24</v>
      </c>
      <c r="G1368">
        <f>8523.355</f>
        <v>8523.3549999999996</v>
      </c>
      <c r="H1368">
        <f>3521.98</f>
        <v>3521.98</v>
      </c>
      <c r="I1368">
        <f>10298.407</f>
        <v>10298.406999999999</v>
      </c>
      <c r="J1368">
        <f>3786.38</f>
        <v>3786.38</v>
      </c>
      <c r="K1368">
        <f>10640.82</f>
        <v>10640.82</v>
      </c>
      <c r="L1368">
        <f>1942.58</f>
        <v>1942.58</v>
      </c>
      <c r="M1368">
        <f>8296.29</f>
        <v>8296.2900000000009</v>
      </c>
      <c r="N1368">
        <f>294.429</f>
        <v>294.42899999999997</v>
      </c>
      <c r="O1368">
        <f>2779.97</f>
        <v>2779.97</v>
      </c>
      <c r="P1368">
        <f>264.45</f>
        <v>264.45</v>
      </c>
      <c r="Q1368">
        <f>2389.035</f>
        <v>2389.0349999999999</v>
      </c>
      <c r="R1368">
        <f>5121.7</f>
        <v>5121.7</v>
      </c>
      <c r="S1368">
        <f>2503.89</f>
        <v>2503.89</v>
      </c>
      <c r="T1368">
        <f>4215.737</f>
        <v>4215.7370000000001</v>
      </c>
      <c r="U1368">
        <f>54864.79</f>
        <v>54864.79</v>
      </c>
      <c r="V1368">
        <f>417.57</f>
        <v>417.57</v>
      </c>
    </row>
    <row r="1369" spans="1:22" x14ac:dyDescent="0.2">
      <c r="A1369" s="1">
        <v>43192</v>
      </c>
      <c r="B1369">
        <f>2659.19</f>
        <v>2659.19</v>
      </c>
      <c r="C1369">
        <f>10599.5</f>
        <v>10599.5</v>
      </c>
      <c r="D1369" t="e">
        <f>NA()</f>
        <v>#N/A</v>
      </c>
      <c r="E1369">
        <f>2555.824</f>
        <v>2555.8240000000001</v>
      </c>
      <c r="F1369">
        <f>2003.51</f>
        <v>2003.51</v>
      </c>
      <c r="G1369">
        <f>8561.66</f>
        <v>8561.66</v>
      </c>
      <c r="H1369">
        <f>3548.8</f>
        <v>3548.8</v>
      </c>
      <c r="I1369">
        <f>10394.205</f>
        <v>10394.205</v>
      </c>
      <c r="J1369">
        <f>3729.93</f>
        <v>3729.93</v>
      </c>
      <c r="K1369">
        <f>10510.56</f>
        <v>10510.56</v>
      </c>
      <c r="L1369">
        <f>1937.67</f>
        <v>1937.67</v>
      </c>
      <c r="M1369">
        <f>8254.46</f>
        <v>8254.4599999999991</v>
      </c>
      <c r="N1369" t="e">
        <f>NA()</f>
        <v>#N/A</v>
      </c>
      <c r="O1369" t="e">
        <f>NA()</f>
        <v>#N/A</v>
      </c>
      <c r="P1369">
        <f>264.39</f>
        <v>264.39</v>
      </c>
      <c r="Q1369">
        <f>2355.583</f>
        <v>2355.5830000000001</v>
      </c>
      <c r="R1369">
        <f>5057.69</f>
        <v>5057.6899999999996</v>
      </c>
      <c r="S1369">
        <f>2511.21</f>
        <v>2511.21</v>
      </c>
      <c r="T1369" t="e">
        <f>NA()</f>
        <v>#N/A</v>
      </c>
      <c r="U1369" t="e">
        <f>NA()</f>
        <v>#N/A</v>
      </c>
      <c r="V1369" t="e">
        <f>NA()</f>
        <v>#N/A</v>
      </c>
    </row>
    <row r="1370" spans="1:22" x14ac:dyDescent="0.2">
      <c r="A1370" s="1">
        <v>43189</v>
      </c>
      <c r="B1370">
        <f>2659.19</f>
        <v>2659.19</v>
      </c>
      <c r="C1370">
        <f>10616.29</f>
        <v>10616.29</v>
      </c>
      <c r="D1370" t="e">
        <f>NA()</f>
        <v>#N/A</v>
      </c>
      <c r="E1370">
        <f>2558.701</f>
        <v>2558.701</v>
      </c>
      <c r="F1370">
        <f>1999.95</f>
        <v>1999.95</v>
      </c>
      <c r="G1370">
        <f>8546.429</f>
        <v>8546.4290000000001</v>
      </c>
      <c r="H1370">
        <f>3550.45</f>
        <v>3550.45</v>
      </c>
      <c r="I1370">
        <f>10383.952</f>
        <v>10383.951999999999</v>
      </c>
      <c r="J1370">
        <f>3818.41</f>
        <v>3818.41</v>
      </c>
      <c r="K1370">
        <f>10749.94</f>
        <v>10749.94</v>
      </c>
      <c r="L1370">
        <f>1959.74</f>
        <v>1959.74</v>
      </c>
      <c r="M1370">
        <f>8368.88</f>
        <v>8368.8799999999992</v>
      </c>
      <c r="N1370" t="e">
        <f>NA()</f>
        <v>#N/A</v>
      </c>
      <c r="O1370" t="e">
        <f>NA()</f>
        <v>#N/A</v>
      </c>
      <c r="P1370">
        <f>265.99</f>
        <v>265.99</v>
      </c>
      <c r="Q1370" t="e">
        <f>NA()</f>
        <v>#N/A</v>
      </c>
      <c r="R1370" t="e">
        <f>NA()</f>
        <v>#N/A</v>
      </c>
      <c r="S1370">
        <f>2522.26</f>
        <v>2522.2600000000002</v>
      </c>
      <c r="T1370" t="e">
        <f>NA()</f>
        <v>#N/A</v>
      </c>
      <c r="U1370" t="e">
        <f>NA()</f>
        <v>#N/A</v>
      </c>
      <c r="V1370" t="e">
        <f>NA()</f>
        <v>#N/A</v>
      </c>
    </row>
    <row r="1371" spans="1:22" x14ac:dyDescent="0.2">
      <c r="A1371" s="1">
        <v>43188</v>
      </c>
      <c r="B1371">
        <f>2659.19</f>
        <v>2659.19</v>
      </c>
      <c r="C1371">
        <f>10598.64</f>
        <v>10598.64</v>
      </c>
      <c r="D1371">
        <f>6049.76</f>
        <v>6049.76</v>
      </c>
      <c r="E1371">
        <f>2555.197</f>
        <v>2555.1970000000001</v>
      </c>
      <c r="F1371">
        <f>1999.95</f>
        <v>1999.95</v>
      </c>
      <c r="G1371">
        <f>8546.429</f>
        <v>8546.4290000000001</v>
      </c>
      <c r="H1371">
        <f>3526.59</f>
        <v>3526.59</v>
      </c>
      <c r="I1371">
        <f>10383.952</f>
        <v>10383.951999999999</v>
      </c>
      <c r="J1371">
        <f>3818.41</f>
        <v>3818.41</v>
      </c>
      <c r="K1371">
        <f>10749.94</f>
        <v>10749.94</v>
      </c>
      <c r="L1371">
        <f>1959.28</f>
        <v>1959.28</v>
      </c>
      <c r="M1371">
        <f>8363.54</f>
        <v>8363.5400000000009</v>
      </c>
      <c r="N1371">
        <f>296.04</f>
        <v>296.04000000000002</v>
      </c>
      <c r="O1371">
        <f>2792.52</f>
        <v>2792.52</v>
      </c>
      <c r="P1371">
        <f>264.93</f>
        <v>264.93</v>
      </c>
      <c r="Q1371">
        <f>2408.935</f>
        <v>2408.9349999999999</v>
      </c>
      <c r="R1371">
        <f>5173.19</f>
        <v>5173.1899999999996</v>
      </c>
      <c r="S1371">
        <f>2504.18</f>
        <v>2504.1799999999998</v>
      </c>
      <c r="T1371">
        <f>4271.262</f>
        <v>4271.2619999999997</v>
      </c>
      <c r="U1371">
        <f>55474.52</f>
        <v>55474.52</v>
      </c>
      <c r="V1371">
        <f>422.7</f>
        <v>422.7</v>
      </c>
    </row>
    <row r="1372" spans="1:22" x14ac:dyDescent="0.2">
      <c r="A1372" s="1">
        <v>43187</v>
      </c>
      <c r="B1372">
        <f>2656.39</f>
        <v>2656.39</v>
      </c>
      <c r="C1372">
        <f>10551.09</f>
        <v>10551.09</v>
      </c>
      <c r="D1372">
        <f>6036.23</f>
        <v>6036.23</v>
      </c>
      <c r="E1372">
        <f>2539.386</f>
        <v>2539.386</v>
      </c>
      <c r="F1372">
        <f>2008.89</f>
        <v>2008.89</v>
      </c>
      <c r="G1372">
        <f>8571.862</f>
        <v>8571.8619999999992</v>
      </c>
      <c r="H1372">
        <f>3519.58</f>
        <v>3519.58</v>
      </c>
      <c r="I1372">
        <f>10368.06</f>
        <v>10368.06</v>
      </c>
      <c r="J1372">
        <f>3772.96</f>
        <v>3772.96</v>
      </c>
      <c r="K1372">
        <f>10603.46</f>
        <v>10603.46</v>
      </c>
      <c r="L1372">
        <f>1947.52</f>
        <v>1947.52</v>
      </c>
      <c r="M1372">
        <f>8290.63</f>
        <v>8290.6299999999992</v>
      </c>
      <c r="N1372">
        <f>295.669</f>
        <v>295.66899999999998</v>
      </c>
      <c r="O1372">
        <f>2778.97</f>
        <v>2778.97</v>
      </c>
      <c r="P1372">
        <f>264.42</f>
        <v>264.42</v>
      </c>
      <c r="Q1372">
        <f>2381.396</f>
        <v>2381.3960000000002</v>
      </c>
      <c r="R1372">
        <f>5102.69</f>
        <v>5102.6899999999996</v>
      </c>
      <c r="S1372">
        <f>2497.66</f>
        <v>2497.66</v>
      </c>
      <c r="T1372">
        <f>4210.559</f>
        <v>4210.5590000000002</v>
      </c>
      <c r="U1372">
        <f>54763.97</f>
        <v>54763.97</v>
      </c>
      <c r="V1372">
        <f>414.54</f>
        <v>414.54</v>
      </c>
    </row>
    <row r="1373" spans="1:22" x14ac:dyDescent="0.2">
      <c r="A1373" s="1">
        <v>43186</v>
      </c>
      <c r="B1373">
        <f>2638.62</f>
        <v>2638.62</v>
      </c>
      <c r="C1373">
        <f>10705.6</f>
        <v>10705.6</v>
      </c>
      <c r="D1373">
        <f>5998.01</f>
        <v>5998.01</v>
      </c>
      <c r="E1373">
        <f>2588.252</f>
        <v>2588.252</v>
      </c>
      <c r="F1373">
        <f>2009.09</f>
        <v>2009.09</v>
      </c>
      <c r="G1373">
        <f>8540.312</f>
        <v>8540.3119999999999</v>
      </c>
      <c r="H1373">
        <f>3519.83</f>
        <v>3519.83</v>
      </c>
      <c r="I1373">
        <f>10363.084</f>
        <v>10363.084000000001</v>
      </c>
      <c r="J1373">
        <f>3770.07</f>
        <v>3770.07</v>
      </c>
      <c r="K1373">
        <f>10635.68</f>
        <v>10635.68</v>
      </c>
      <c r="L1373">
        <f>1943.07</f>
        <v>1943.07</v>
      </c>
      <c r="M1373">
        <f>8313.97</f>
        <v>8313.9699999999993</v>
      </c>
      <c r="N1373">
        <f>291.163</f>
        <v>291.16300000000001</v>
      </c>
      <c r="O1373">
        <f>2764.51</f>
        <v>2764.51</v>
      </c>
      <c r="P1373">
        <f>263.75</f>
        <v>263.75</v>
      </c>
      <c r="Q1373">
        <f>2377.345</f>
        <v>2377.3449999999998</v>
      </c>
      <c r="R1373">
        <f>5116.75</f>
        <v>5116.75</v>
      </c>
      <c r="S1373">
        <f>2500.67</f>
        <v>2500.67</v>
      </c>
      <c r="T1373">
        <f>4288.923</f>
        <v>4288.9229999999998</v>
      </c>
      <c r="U1373">
        <f>56050.79</f>
        <v>56050.79</v>
      </c>
      <c r="V1373">
        <f>426.14</f>
        <v>426.14</v>
      </c>
    </row>
    <row r="1374" spans="1:22" x14ac:dyDescent="0.2">
      <c r="A1374" s="1">
        <v>43185</v>
      </c>
      <c r="B1374">
        <f>2605.42</f>
        <v>2605.42</v>
      </c>
      <c r="C1374">
        <f>10636.23</f>
        <v>10636.23</v>
      </c>
      <c r="D1374">
        <f>5902.52</f>
        <v>5902.52</v>
      </c>
      <c r="E1374">
        <f>2581.385</f>
        <v>2581.3850000000002</v>
      </c>
      <c r="F1374">
        <f>2000.94</f>
        <v>2000.94</v>
      </c>
      <c r="G1374">
        <f>8455.966</f>
        <v>8455.9660000000003</v>
      </c>
      <c r="H1374">
        <f>3458.1</f>
        <v>3458.1</v>
      </c>
      <c r="I1374">
        <f>10281.059</f>
        <v>10281.058999999999</v>
      </c>
      <c r="J1374">
        <f>3805.87</f>
        <v>3805.87</v>
      </c>
      <c r="K1374">
        <f>10825.15</f>
        <v>10825.15</v>
      </c>
      <c r="L1374">
        <f>1941.49</f>
        <v>1941.49</v>
      </c>
      <c r="M1374">
        <f>8368.37</f>
        <v>8368.3700000000008</v>
      </c>
      <c r="N1374">
        <f>287.616</f>
        <v>287.61599999999999</v>
      </c>
      <c r="O1374">
        <f>2730.7</f>
        <v>2730.7</v>
      </c>
      <c r="P1374">
        <f>257.19</f>
        <v>257.19</v>
      </c>
      <c r="Q1374">
        <f>2397.431</f>
        <v>2397.431</v>
      </c>
      <c r="R1374">
        <f>5206.69</f>
        <v>5206.6899999999996</v>
      </c>
      <c r="S1374">
        <f>2433.96</f>
        <v>2433.96</v>
      </c>
      <c r="T1374">
        <f>4300.741</f>
        <v>4300.741</v>
      </c>
      <c r="U1374">
        <f>56176.43</f>
        <v>56176.43</v>
      </c>
      <c r="V1374">
        <f>426.39</f>
        <v>426.39</v>
      </c>
    </row>
    <row r="1375" spans="1:22" x14ac:dyDescent="0.2">
      <c r="A1375" s="1">
        <v>43182</v>
      </c>
      <c r="B1375">
        <f>2618.86</f>
        <v>2618.86</v>
      </c>
      <c r="C1375">
        <f>10625.14</f>
        <v>10625.14</v>
      </c>
      <c r="D1375">
        <f>5931.01</f>
        <v>5931.01</v>
      </c>
      <c r="E1375">
        <f>2559.077</f>
        <v>2559.0770000000002</v>
      </c>
      <c r="F1375">
        <f>2007.85</f>
        <v>2007.85</v>
      </c>
      <c r="G1375">
        <f>8450.506</f>
        <v>8450.5059999999994</v>
      </c>
      <c r="H1375">
        <f>3456.31</f>
        <v>3456.31</v>
      </c>
      <c r="I1375">
        <f>10286.405</f>
        <v>10286.405000000001</v>
      </c>
      <c r="J1375">
        <f>3714.02</f>
        <v>3714.02</v>
      </c>
      <c r="K1375">
        <f>10541.99</f>
        <v>10541.99</v>
      </c>
      <c r="L1375">
        <f>1924.97</f>
        <v>1924.97</v>
      </c>
      <c r="M1375">
        <f>8236.47</f>
        <v>8236.4699999999993</v>
      </c>
      <c r="N1375">
        <f>289.979</f>
        <v>289.97899999999998</v>
      </c>
      <c r="O1375">
        <f>2748.58</f>
        <v>2748.58</v>
      </c>
      <c r="P1375">
        <f>255.79</f>
        <v>255.79</v>
      </c>
      <c r="Q1375">
        <f>2350.71</f>
        <v>2350.71</v>
      </c>
      <c r="R1375">
        <f>5069.03</f>
        <v>5069.03</v>
      </c>
      <c r="S1375">
        <f>2424.67</f>
        <v>2424.67</v>
      </c>
      <c r="T1375">
        <f>4308.423</f>
        <v>4308.4229999999998</v>
      </c>
      <c r="U1375">
        <f>56405.64</f>
        <v>56405.64</v>
      </c>
      <c r="V1375">
        <f>426.9</f>
        <v>426.9</v>
      </c>
    </row>
    <row r="1376" spans="1:22" x14ac:dyDescent="0.2">
      <c r="A1376" s="1">
        <v>43181</v>
      </c>
      <c r="B1376">
        <f>2619.11</f>
        <v>2619.11</v>
      </c>
      <c r="C1376">
        <f>10737.19</f>
        <v>10737.19</v>
      </c>
      <c r="D1376">
        <f>5957.27</f>
        <v>5957.27</v>
      </c>
      <c r="E1376">
        <f>2612.766</f>
        <v>2612.7660000000001</v>
      </c>
      <c r="F1376">
        <f>1997.97</f>
        <v>1997.97</v>
      </c>
      <c r="G1376">
        <f>8453.32</f>
        <v>8453.32</v>
      </c>
      <c r="H1376">
        <f>3562.68</f>
        <v>3562.68</v>
      </c>
      <c r="I1376">
        <f>10351.924</f>
        <v>10351.924000000001</v>
      </c>
      <c r="J1376">
        <f>3784.98</f>
        <v>3784.98</v>
      </c>
      <c r="K1376">
        <f>10766.82</f>
        <v>10766.82</v>
      </c>
      <c r="L1376">
        <f>1950.38</f>
        <v>1950.38</v>
      </c>
      <c r="M1376">
        <f>8382.86</f>
        <v>8382.86</v>
      </c>
      <c r="N1376">
        <f>291.279</f>
        <v>291.279</v>
      </c>
      <c r="O1376">
        <f>2774.63</f>
        <v>2774.63</v>
      </c>
      <c r="P1376">
        <f>264.4</f>
        <v>264.39999999999998</v>
      </c>
      <c r="Q1376">
        <f>2389.585</f>
        <v>2389.585</v>
      </c>
      <c r="R1376">
        <f>5177.52</f>
        <v>5177.5200000000004</v>
      </c>
      <c r="S1376">
        <f>2515.61</f>
        <v>2515.61</v>
      </c>
      <c r="T1376">
        <f>4315.33</f>
        <v>4315.33</v>
      </c>
      <c r="U1376">
        <f>57224.6</f>
        <v>57224.6</v>
      </c>
      <c r="V1376">
        <f>432.43</f>
        <v>432.43</v>
      </c>
    </row>
    <row r="1377" spans="1:22" x14ac:dyDescent="0.2">
      <c r="A1377" s="1">
        <v>43180</v>
      </c>
      <c r="B1377">
        <f>2654.42</f>
        <v>2654.42</v>
      </c>
      <c r="C1377">
        <f>10786.85</f>
        <v>10786.85</v>
      </c>
      <c r="D1377">
        <f>6026.01</f>
        <v>6026.01</v>
      </c>
      <c r="E1377">
        <f>2640.693</f>
        <v>2640.6930000000002</v>
      </c>
      <c r="F1377">
        <f>2019.11</f>
        <v>2019.11</v>
      </c>
      <c r="G1377">
        <f>8534.74</f>
        <v>8534.74</v>
      </c>
      <c r="H1377">
        <f>3522.93</f>
        <v>3522.93</v>
      </c>
      <c r="I1377">
        <f>10481.761</f>
        <v>10481.761</v>
      </c>
      <c r="J1377">
        <f>3864.17</f>
        <v>3864.17</v>
      </c>
      <c r="K1377">
        <f>11043.29</f>
        <v>11043.29</v>
      </c>
      <c r="L1377">
        <f>1979.18</f>
        <v>1979.18</v>
      </c>
      <c r="M1377">
        <f>8528.27</f>
        <v>8528.27</v>
      </c>
      <c r="N1377">
        <f>294.708</f>
        <v>294.70800000000003</v>
      </c>
      <c r="O1377">
        <f>2816.93</f>
        <v>2816.93</v>
      </c>
      <c r="P1377" t="e">
        <f>NA()</f>
        <v>#N/A</v>
      </c>
      <c r="Q1377">
        <f>2450.292</f>
        <v>2450.2919999999999</v>
      </c>
      <c r="R1377">
        <f>5310.96</f>
        <v>5310.96</v>
      </c>
      <c r="S1377" t="e">
        <f>NA()</f>
        <v>#N/A</v>
      </c>
      <c r="T1377" t="e">
        <f>NA()</f>
        <v>#N/A</v>
      </c>
      <c r="U1377" t="e">
        <f>NA()</f>
        <v>#N/A</v>
      </c>
      <c r="V1377" t="e">
        <f>NA()</f>
        <v>#N/A</v>
      </c>
    </row>
    <row r="1378" spans="1:22" x14ac:dyDescent="0.2">
      <c r="A1378" s="1">
        <v>43179</v>
      </c>
      <c r="B1378">
        <f>2653.87</f>
        <v>2653.87</v>
      </c>
      <c r="C1378">
        <f>10751.64</f>
        <v>10751.64</v>
      </c>
      <c r="D1378">
        <f>6045.1</f>
        <v>6045.1</v>
      </c>
      <c r="E1378">
        <f>2641.19</f>
        <v>2641.19</v>
      </c>
      <c r="F1378">
        <f>2016.98</f>
        <v>2016.98</v>
      </c>
      <c r="G1378">
        <f>8528.326</f>
        <v>8528.3259999999991</v>
      </c>
      <c r="H1378">
        <f>3520.12</f>
        <v>3520.12</v>
      </c>
      <c r="I1378">
        <f>10509.593</f>
        <v>10509.593000000001</v>
      </c>
      <c r="J1378">
        <f>3871.65</f>
        <v>3871.65</v>
      </c>
      <c r="K1378">
        <f>11059.54</f>
        <v>11059.54</v>
      </c>
      <c r="L1378">
        <f>1982.6</f>
        <v>1982.6</v>
      </c>
      <c r="M1378">
        <f>8534.4</f>
        <v>8534.4</v>
      </c>
      <c r="N1378">
        <f>295.85</f>
        <v>295.85000000000002</v>
      </c>
      <c r="O1378">
        <f>2820.46</f>
        <v>2820.46</v>
      </c>
      <c r="P1378">
        <f>262.57</f>
        <v>262.57</v>
      </c>
      <c r="Q1378">
        <f>2453.975</f>
        <v>2453.9749999999999</v>
      </c>
      <c r="R1378">
        <f>5320.2</f>
        <v>5320.2</v>
      </c>
      <c r="S1378">
        <f>2499.45</f>
        <v>2499.4499999999998</v>
      </c>
      <c r="T1378">
        <f>4382.029</f>
        <v>4382.0290000000005</v>
      </c>
      <c r="U1378">
        <f>58288.87</f>
        <v>58288.87</v>
      </c>
      <c r="V1378">
        <f>436.77</f>
        <v>436.77</v>
      </c>
    </row>
    <row r="1379" spans="1:22" x14ac:dyDescent="0.2">
      <c r="A1379" s="1">
        <v>43178</v>
      </c>
      <c r="B1379">
        <f>2653</f>
        <v>2653</v>
      </c>
      <c r="C1379">
        <f>10733.11</f>
        <v>10733.11</v>
      </c>
      <c r="D1379">
        <f>6029.4</f>
        <v>6029.4</v>
      </c>
      <c r="E1379">
        <f>2627.019</f>
        <v>2627.0189999999998</v>
      </c>
      <c r="F1379">
        <f>2012.46</f>
        <v>2012.46</v>
      </c>
      <c r="G1379">
        <f>8517.725</f>
        <v>8517.7250000000004</v>
      </c>
      <c r="H1379">
        <f>3527.26</f>
        <v>3527.26</v>
      </c>
      <c r="I1379">
        <f>10506.698</f>
        <v>10506.698</v>
      </c>
      <c r="J1379">
        <f>3869.04</f>
        <v>3869.04</v>
      </c>
      <c r="K1379">
        <f>11042.82</f>
        <v>11042.82</v>
      </c>
      <c r="L1379">
        <f>1984.49</f>
        <v>1984.49</v>
      </c>
      <c r="M1379">
        <f>8532.22</f>
        <v>8532.2199999999993</v>
      </c>
      <c r="N1379">
        <f>295.618</f>
        <v>295.61799999999999</v>
      </c>
      <c r="O1379">
        <f>2805.41</f>
        <v>2805.41</v>
      </c>
      <c r="P1379">
        <f>261.42</f>
        <v>261.42</v>
      </c>
      <c r="Q1379">
        <f>2450.886</f>
        <v>2450.886</v>
      </c>
      <c r="R1379">
        <f>5312.23</f>
        <v>5312.23</v>
      </c>
      <c r="S1379">
        <f>2504.81</f>
        <v>2504.81</v>
      </c>
      <c r="T1379">
        <f>4341.956</f>
        <v>4341.9560000000001</v>
      </c>
      <c r="U1379">
        <f>58088.42</f>
        <v>58088.42</v>
      </c>
      <c r="V1379">
        <f>432.72</f>
        <v>432.72</v>
      </c>
    </row>
    <row r="1380" spans="1:22" x14ac:dyDescent="0.2">
      <c r="A1380" s="1">
        <v>43175</v>
      </c>
      <c r="B1380">
        <f>2663.29</f>
        <v>2663.29</v>
      </c>
      <c r="C1380">
        <f>10802.61</f>
        <v>10802.61</v>
      </c>
      <c r="D1380">
        <f>6133.17</f>
        <v>6133.17</v>
      </c>
      <c r="E1380">
        <f>2647.886</f>
        <v>2647.886</v>
      </c>
      <c r="F1380">
        <f>2016.69</f>
        <v>2016.69</v>
      </c>
      <c r="G1380">
        <f>8591.39</f>
        <v>8591.39</v>
      </c>
      <c r="H1380">
        <f>3547.09</f>
        <v>3547.09</v>
      </c>
      <c r="I1380">
        <f>10572.174</f>
        <v>10572.174000000001</v>
      </c>
      <c r="J1380">
        <f>3920.53</f>
        <v>3920.53</v>
      </c>
      <c r="K1380">
        <f>11200.28</f>
        <v>11200.28</v>
      </c>
      <c r="L1380">
        <f>2002.5</f>
        <v>2002.5</v>
      </c>
      <c r="M1380">
        <f>8627.3</f>
        <v>8627.2999999999993</v>
      </c>
      <c r="N1380">
        <f>300.804</f>
        <v>300.80399999999997</v>
      </c>
      <c r="O1380">
        <f>2836.81</f>
        <v>2836.81</v>
      </c>
      <c r="P1380">
        <f>263.23</f>
        <v>263.23</v>
      </c>
      <c r="Q1380">
        <f>2478.487</f>
        <v>2478.4870000000001</v>
      </c>
      <c r="R1380">
        <f>5388.74</f>
        <v>5388.74</v>
      </c>
      <c r="S1380">
        <f>2529.07</f>
        <v>2529.0700000000002</v>
      </c>
      <c r="T1380">
        <f>4340.911</f>
        <v>4340.9110000000001</v>
      </c>
      <c r="U1380">
        <f>58101.02</f>
        <v>58101.02</v>
      </c>
      <c r="V1380">
        <f>437.24</f>
        <v>437.24</v>
      </c>
    </row>
    <row r="1381" spans="1:22" x14ac:dyDescent="0.2">
      <c r="A1381" s="1">
        <v>43174</v>
      </c>
      <c r="B1381">
        <f>2672.68</f>
        <v>2672.68</v>
      </c>
      <c r="C1381">
        <f>10803.59</f>
        <v>10803.59</v>
      </c>
      <c r="D1381">
        <f>6112.3</f>
        <v>6112.3</v>
      </c>
      <c r="E1381">
        <f>2654.522</f>
        <v>2654.5219999999999</v>
      </c>
      <c r="F1381">
        <f>2026.02</f>
        <v>2026.02</v>
      </c>
      <c r="G1381">
        <f>8580.33</f>
        <v>8580.33</v>
      </c>
      <c r="H1381">
        <f>3559.83</f>
        <v>3559.83</v>
      </c>
      <c r="I1381">
        <f>10581.729</f>
        <v>10581.728999999999</v>
      </c>
      <c r="J1381">
        <f>3905.5</f>
        <v>3905.5</v>
      </c>
      <c r="K1381">
        <f>11179.64</f>
        <v>11179.64</v>
      </c>
      <c r="L1381">
        <f>2000.01</f>
        <v>2000.01</v>
      </c>
      <c r="M1381">
        <f>8623.41</f>
        <v>8623.41</v>
      </c>
      <c r="N1381">
        <f>300.84</f>
        <v>300.83999999999997</v>
      </c>
      <c r="O1381">
        <f>2827.19</f>
        <v>2827.19</v>
      </c>
      <c r="P1381">
        <f>264.23</f>
        <v>264.23</v>
      </c>
      <c r="Q1381">
        <f>2466.672</f>
        <v>2466.672</v>
      </c>
      <c r="R1381">
        <f>5379.39</f>
        <v>5379.39</v>
      </c>
      <c r="S1381">
        <f>2539.2</f>
        <v>2539.1999999999998</v>
      </c>
      <c r="T1381">
        <f>4359.01</f>
        <v>4359.01</v>
      </c>
      <c r="U1381">
        <f>58203.77</f>
        <v>58203.77</v>
      </c>
      <c r="V1381">
        <f>433.65</f>
        <v>433.65</v>
      </c>
    </row>
    <row r="1382" spans="1:22" x14ac:dyDescent="0.2">
      <c r="A1382" s="1">
        <v>43173</v>
      </c>
      <c r="B1382">
        <f>2686.35</f>
        <v>2686.35</v>
      </c>
      <c r="C1382">
        <f>10833.55</f>
        <v>10833.55</v>
      </c>
      <c r="D1382">
        <f>6104.59</f>
        <v>6104.59</v>
      </c>
      <c r="E1382">
        <f>2659.811</f>
        <v>2659.8110000000001</v>
      </c>
      <c r="F1382">
        <f>2023.16</f>
        <v>2023.16</v>
      </c>
      <c r="G1382">
        <f>8570.61</f>
        <v>8570.61</v>
      </c>
      <c r="H1382">
        <f>3561.21</f>
        <v>3561.21</v>
      </c>
      <c r="I1382">
        <f>10546.833</f>
        <v>10546.833000000001</v>
      </c>
      <c r="J1382">
        <f>3907.02</f>
        <v>3907.02</v>
      </c>
      <c r="K1382">
        <f>11190.15</f>
        <v>11190.15</v>
      </c>
      <c r="L1382">
        <f>2001.46</f>
        <v>2001.46</v>
      </c>
      <c r="M1382">
        <f>8626.1</f>
        <v>8626.1</v>
      </c>
      <c r="N1382">
        <f>299.841</f>
        <v>299.84100000000001</v>
      </c>
      <c r="O1382">
        <f>2810.64</f>
        <v>2810.64</v>
      </c>
      <c r="P1382">
        <f>264.02</f>
        <v>264.02</v>
      </c>
      <c r="Q1382">
        <f>2470.94</f>
        <v>2470.94</v>
      </c>
      <c r="R1382">
        <f>5383.27</f>
        <v>5383.27</v>
      </c>
      <c r="S1382">
        <f>2538.63</f>
        <v>2538.63</v>
      </c>
      <c r="T1382">
        <f>4375.878</f>
        <v>4375.8779999999997</v>
      </c>
      <c r="U1382">
        <f>58423.17</f>
        <v>58423.17</v>
      </c>
      <c r="V1382">
        <f>435.86</f>
        <v>435.86</v>
      </c>
    </row>
    <row r="1383" spans="1:22" x14ac:dyDescent="0.2">
      <c r="A1383" s="1">
        <v>43172</v>
      </c>
      <c r="B1383">
        <f>2688.54</f>
        <v>2688.54</v>
      </c>
      <c r="C1383">
        <f>10927.11</f>
        <v>10927.11</v>
      </c>
      <c r="D1383">
        <f>6109.79</f>
        <v>6109.79</v>
      </c>
      <c r="E1383">
        <f>2670.703</f>
        <v>2670.703</v>
      </c>
      <c r="F1383">
        <f>2027.27</f>
        <v>2027.27</v>
      </c>
      <c r="G1383">
        <f>8604.742</f>
        <v>8604.7420000000002</v>
      </c>
      <c r="H1383">
        <f>3555.47</f>
        <v>3555.47</v>
      </c>
      <c r="I1383">
        <f>10595.378</f>
        <v>10595.378000000001</v>
      </c>
      <c r="J1383">
        <f>3937.26</f>
        <v>3937.26</v>
      </c>
      <c r="K1383">
        <f>11249.24</f>
        <v>11249.24</v>
      </c>
      <c r="L1383">
        <f>2010.79</f>
        <v>2010.79</v>
      </c>
      <c r="M1383">
        <f>8665.21</f>
        <v>8665.2099999999991</v>
      </c>
      <c r="N1383">
        <f>299.592</f>
        <v>299.59199999999998</v>
      </c>
      <c r="O1383">
        <f>2813.56</f>
        <v>2813.56</v>
      </c>
      <c r="P1383">
        <f>264.85</f>
        <v>264.85000000000002</v>
      </c>
      <c r="Q1383">
        <f>2489.555</f>
        <v>2489.5549999999998</v>
      </c>
      <c r="R1383">
        <f>5412.75</f>
        <v>5412.75</v>
      </c>
      <c r="S1383">
        <f>2550.02</f>
        <v>2550.02</v>
      </c>
      <c r="T1383">
        <f>4471.512</f>
        <v>4471.5119999999997</v>
      </c>
      <c r="U1383">
        <f>59084.51</f>
        <v>59084.51</v>
      </c>
      <c r="V1383">
        <f>438.13</f>
        <v>438.13</v>
      </c>
    </row>
    <row r="1384" spans="1:22" x14ac:dyDescent="0.2">
      <c r="A1384" s="1">
        <v>43171</v>
      </c>
      <c r="B1384">
        <f>2717.32</f>
        <v>2717.32</v>
      </c>
      <c r="C1384">
        <f>10879.63</f>
        <v>10879.63</v>
      </c>
      <c r="D1384">
        <f>6174.82</f>
        <v>6174.82</v>
      </c>
      <c r="E1384">
        <f>2666.992</f>
        <v>2666.9920000000002</v>
      </c>
      <c r="F1384">
        <f>2042.36</f>
        <v>2042.36</v>
      </c>
      <c r="G1384">
        <f>8643.436</f>
        <v>8643.4359999999997</v>
      </c>
      <c r="H1384">
        <f>3552.9</f>
        <v>3552.9</v>
      </c>
      <c r="I1384">
        <f>10630.945</f>
        <v>10630.945</v>
      </c>
      <c r="J1384">
        <f>3950.04</f>
        <v>3950.04</v>
      </c>
      <c r="K1384">
        <f>11320.57</f>
        <v>11320.57</v>
      </c>
      <c r="L1384">
        <f>2016.04</f>
        <v>2016.04</v>
      </c>
      <c r="M1384">
        <f>8703.86</f>
        <v>8703.86</v>
      </c>
      <c r="N1384">
        <f>303.43</f>
        <v>303.43</v>
      </c>
      <c r="O1384">
        <f>2841.78</f>
        <v>2841.78</v>
      </c>
      <c r="P1384">
        <f>263.18</f>
        <v>263.18</v>
      </c>
      <c r="Q1384">
        <f>2493.162</f>
        <v>2493.1619999999998</v>
      </c>
      <c r="R1384">
        <f>5447.1</f>
        <v>5447.1</v>
      </c>
      <c r="S1384">
        <f>2535.84</f>
        <v>2535.84</v>
      </c>
      <c r="T1384">
        <f>4480.789</f>
        <v>4480.7889999999998</v>
      </c>
      <c r="U1384">
        <f>59194.45</f>
        <v>59194.45</v>
      </c>
      <c r="V1384">
        <f>441.58</f>
        <v>441.58</v>
      </c>
    </row>
    <row r="1385" spans="1:22" x14ac:dyDescent="0.2">
      <c r="A1385" s="1">
        <v>43168</v>
      </c>
      <c r="B1385">
        <f>2709.34</f>
        <v>2709.34</v>
      </c>
      <c r="C1385">
        <f>10738.93</f>
        <v>10738.93</v>
      </c>
      <c r="D1385">
        <f>6183.17</f>
        <v>6183.17</v>
      </c>
      <c r="E1385">
        <f>2634.215</f>
        <v>2634.2150000000001</v>
      </c>
      <c r="F1385">
        <f>2035.53</f>
        <v>2035.53</v>
      </c>
      <c r="G1385">
        <f>8637.649</f>
        <v>8637.6489999999994</v>
      </c>
      <c r="H1385">
        <f>3475.48</f>
        <v>3475.48</v>
      </c>
      <c r="I1385">
        <f>10597.652</f>
        <v>10597.652</v>
      </c>
      <c r="J1385">
        <f>3963.27</f>
        <v>3963.27</v>
      </c>
      <c r="K1385">
        <f>11332.01</f>
        <v>11332.01</v>
      </c>
      <c r="L1385">
        <f>2012.88</f>
        <v>2012.88</v>
      </c>
      <c r="M1385">
        <f>8683.81</f>
        <v>8683.81</v>
      </c>
      <c r="N1385">
        <f>303.034</f>
        <v>303.03399999999999</v>
      </c>
      <c r="O1385">
        <f>2834.56</f>
        <v>2834.56</v>
      </c>
      <c r="P1385">
        <f>260.28</f>
        <v>260.27999999999997</v>
      </c>
      <c r="Q1385">
        <f>2499.984</f>
        <v>2499.9839999999999</v>
      </c>
      <c r="R1385">
        <f>5454.03</f>
        <v>5454.03</v>
      </c>
      <c r="S1385">
        <f>2498.24</f>
        <v>2498.2399999999998</v>
      </c>
      <c r="T1385">
        <f>4488.928</f>
        <v>4488.9279999999999</v>
      </c>
      <c r="U1385">
        <f>59169.23</f>
        <v>59169.23</v>
      </c>
      <c r="V1385">
        <f>443.8</f>
        <v>443.8</v>
      </c>
    </row>
    <row r="1386" spans="1:22" x14ac:dyDescent="0.2">
      <c r="A1386" s="1">
        <v>43167</v>
      </c>
      <c r="B1386">
        <f>2697.76</f>
        <v>2697.76</v>
      </c>
      <c r="C1386">
        <f>10666.77</f>
        <v>10666.77</v>
      </c>
      <c r="D1386">
        <f>6164.96</f>
        <v>6164.96</v>
      </c>
      <c r="E1386">
        <f>2608.022</f>
        <v>2608.0219999999999</v>
      </c>
      <c r="F1386">
        <f>2026.08</f>
        <v>2026.08</v>
      </c>
      <c r="G1386">
        <f>8587.055</f>
        <v>8587.0550000000003</v>
      </c>
      <c r="H1386">
        <f>3500.15</f>
        <v>3500.15</v>
      </c>
      <c r="I1386">
        <f>10571.524</f>
        <v>10571.523999999999</v>
      </c>
      <c r="J1386">
        <f>3910.04</f>
        <v>3910.04</v>
      </c>
      <c r="K1386">
        <f>11142.16</f>
        <v>11142.16</v>
      </c>
      <c r="L1386">
        <f>1999.01</f>
        <v>1999.01</v>
      </c>
      <c r="M1386">
        <f>8586.38</f>
        <v>8586.3799999999992</v>
      </c>
      <c r="N1386">
        <f>301.646</f>
        <v>301.64600000000002</v>
      </c>
      <c r="O1386">
        <f>2824.42</f>
        <v>2824.42</v>
      </c>
      <c r="P1386">
        <f>260.73</f>
        <v>260.73</v>
      </c>
      <c r="Q1386">
        <f>2462.398</f>
        <v>2462.3980000000001</v>
      </c>
      <c r="R1386">
        <f>5360.73</f>
        <v>5360.73</v>
      </c>
      <c r="S1386">
        <f>2490.18</f>
        <v>2490.1799999999998</v>
      </c>
      <c r="T1386">
        <f>4498.396</f>
        <v>4498.3959999999997</v>
      </c>
      <c r="U1386">
        <f>58926.01</f>
        <v>58926.01</v>
      </c>
      <c r="V1386">
        <f>447.41</f>
        <v>447.41</v>
      </c>
    </row>
    <row r="1387" spans="1:22" x14ac:dyDescent="0.2">
      <c r="A1387" s="1">
        <v>43166</v>
      </c>
      <c r="B1387">
        <f>2691.45</f>
        <v>2691.45</v>
      </c>
      <c r="C1387">
        <f>10653.89</f>
        <v>10653.89</v>
      </c>
      <c r="D1387">
        <f>6118.97</f>
        <v>6118.97</v>
      </c>
      <c r="E1387">
        <f>2594.754</f>
        <v>2594.7539999999999</v>
      </c>
      <c r="F1387">
        <f>2026.13</f>
        <v>2026.13</v>
      </c>
      <c r="G1387">
        <f>8563.357</f>
        <v>8563.357</v>
      </c>
      <c r="H1387">
        <f>3495.82</f>
        <v>3495.82</v>
      </c>
      <c r="I1387">
        <f>10517.121</f>
        <v>10517.120999999999</v>
      </c>
      <c r="J1387">
        <f>3885.07</f>
        <v>3885.07</v>
      </c>
      <c r="K1387">
        <f>11091.66</f>
        <v>11091.66</v>
      </c>
      <c r="L1387">
        <f>1987.39</f>
        <v>1987.39</v>
      </c>
      <c r="M1387">
        <f>8546.3</f>
        <v>8546.2999999999993</v>
      </c>
      <c r="N1387">
        <f>298.088</f>
        <v>298.08800000000002</v>
      </c>
      <c r="O1387">
        <f>2793.55</f>
        <v>2793.55</v>
      </c>
      <c r="P1387">
        <f>260.22</f>
        <v>260.22000000000003</v>
      </c>
      <c r="Q1387">
        <f>2444.9</f>
        <v>2444.9</v>
      </c>
      <c r="R1387">
        <f>5335.47</f>
        <v>5335.47</v>
      </c>
      <c r="S1387">
        <f>2481.46</f>
        <v>2481.46</v>
      </c>
      <c r="T1387">
        <f>4533.167</f>
        <v>4533.1670000000004</v>
      </c>
      <c r="U1387">
        <f>58962.65</f>
        <v>58962.65</v>
      </c>
      <c r="V1387">
        <f>450.41</f>
        <v>450.41</v>
      </c>
    </row>
    <row r="1388" spans="1:22" x14ac:dyDescent="0.2">
      <c r="A1388" s="1">
        <v>43165</v>
      </c>
      <c r="B1388">
        <f>2673.78</f>
        <v>2673.78</v>
      </c>
      <c r="C1388">
        <f>10712.05</f>
        <v>10712.05</v>
      </c>
      <c r="D1388">
        <f>6109.49</f>
        <v>6109.49</v>
      </c>
      <c r="E1388">
        <f>2604.611</f>
        <v>2604.6109999999999</v>
      </c>
      <c r="F1388">
        <f>2017.4</f>
        <v>2017.4</v>
      </c>
      <c r="G1388">
        <f>8545.201</f>
        <v>8545.2009999999991</v>
      </c>
      <c r="H1388">
        <f>3517.32</f>
        <v>3517.32</v>
      </c>
      <c r="I1388">
        <f>10476.3</f>
        <v>10476.299999999999</v>
      </c>
      <c r="J1388">
        <f>3893.86</f>
        <v>3893.86</v>
      </c>
      <c r="K1388">
        <f>11093.13</f>
        <v>11093.13</v>
      </c>
      <c r="L1388">
        <f>1991.43</f>
        <v>1991.43</v>
      </c>
      <c r="M1388">
        <f>8553.02</f>
        <v>8553.02</v>
      </c>
      <c r="N1388">
        <f>297.983</f>
        <v>297.983</v>
      </c>
      <c r="O1388">
        <f>2783.83</f>
        <v>2783.83</v>
      </c>
      <c r="P1388">
        <f>260.69</f>
        <v>260.69</v>
      </c>
      <c r="Q1388">
        <f>2446.354</f>
        <v>2446.3539999999998</v>
      </c>
      <c r="R1388">
        <f>5337.69</f>
        <v>5337.69</v>
      </c>
      <c r="S1388">
        <f>2499.24</f>
        <v>2499.2399999999998</v>
      </c>
      <c r="T1388">
        <f>4545.35</f>
        <v>4545.3500000000004</v>
      </c>
      <c r="U1388">
        <f>59242.86</f>
        <v>59242.86</v>
      </c>
      <c r="V1388">
        <f>453.79</f>
        <v>453.79</v>
      </c>
    </row>
    <row r="1389" spans="1:22" x14ac:dyDescent="0.2">
      <c r="A1389" s="1">
        <v>43164</v>
      </c>
      <c r="B1389">
        <f>2660.59</f>
        <v>2660.59</v>
      </c>
      <c r="C1389">
        <f>10565.31</f>
        <v>10565.31</v>
      </c>
      <c r="D1389">
        <f>6083.19</f>
        <v>6083.19</v>
      </c>
      <c r="E1389">
        <f>2565.367</f>
        <v>2565.3670000000002</v>
      </c>
      <c r="F1389">
        <f>2004.82</f>
        <v>2004.82</v>
      </c>
      <c r="G1389">
        <f>8484.853</f>
        <v>8484.8529999999992</v>
      </c>
      <c r="H1389">
        <f>3502.78</f>
        <v>3502.78</v>
      </c>
      <c r="I1389">
        <f>10392.133</f>
        <v>10392.133</v>
      </c>
      <c r="J1389">
        <f>3896.14</f>
        <v>3896.14</v>
      </c>
      <c r="K1389">
        <f>11059.96</f>
        <v>11059.96</v>
      </c>
      <c r="L1389">
        <f>1986.74</f>
        <v>1986.74</v>
      </c>
      <c r="M1389">
        <f>8506.1</f>
        <v>8506.1</v>
      </c>
      <c r="N1389">
        <f>298.546</f>
        <v>298.54599999999999</v>
      </c>
      <c r="O1389">
        <f>2779.46</f>
        <v>2779.46</v>
      </c>
      <c r="P1389">
        <f>258.34</f>
        <v>258.33999999999997</v>
      </c>
      <c r="Q1389">
        <f>2437.748</f>
        <v>2437.748</v>
      </c>
      <c r="R1389">
        <f>5323.36</f>
        <v>5323.36</v>
      </c>
      <c r="S1389">
        <f>2467.91</f>
        <v>2467.91</v>
      </c>
      <c r="T1389">
        <f>4464.18</f>
        <v>4464.18</v>
      </c>
      <c r="U1389">
        <f>57912.4</f>
        <v>57912.4</v>
      </c>
      <c r="V1389">
        <f>441.24</f>
        <v>441.24</v>
      </c>
    </row>
    <row r="1390" spans="1:22" x14ac:dyDescent="0.2">
      <c r="A1390" s="1">
        <v>43161</v>
      </c>
      <c r="B1390">
        <f>2640.83</f>
        <v>2640.83</v>
      </c>
      <c r="C1390">
        <f>10583.83</f>
        <v>10583.83</v>
      </c>
      <c r="D1390">
        <f>6043.79</f>
        <v>6043.79</v>
      </c>
      <c r="E1390">
        <f>2578.045</f>
        <v>2578.0450000000001</v>
      </c>
      <c r="F1390">
        <f>1975.24</f>
        <v>1975.24</v>
      </c>
      <c r="G1390">
        <f>8385.722</f>
        <v>8385.7219999999998</v>
      </c>
      <c r="H1390">
        <f>3527.66</f>
        <v>3527.66</v>
      </c>
      <c r="I1390">
        <f>10270.508</f>
        <v>10270.508</v>
      </c>
      <c r="J1390">
        <f>3853.74</f>
        <v>3853.74</v>
      </c>
      <c r="K1390">
        <f>10938.34</f>
        <v>10938.34</v>
      </c>
      <c r="L1390">
        <f>1968.84</f>
        <v>1968.84</v>
      </c>
      <c r="M1390">
        <f>8438.39</f>
        <v>8438.39</v>
      </c>
      <c r="N1390">
        <f>296.28</f>
        <v>296.27999999999997</v>
      </c>
      <c r="O1390">
        <f>2750.76</f>
        <v>2750.76</v>
      </c>
      <c r="P1390">
        <f>258.69</f>
        <v>258.69</v>
      </c>
      <c r="Q1390">
        <f>2410.82</f>
        <v>2410.8200000000002</v>
      </c>
      <c r="R1390">
        <f>5265.24</f>
        <v>5265.24</v>
      </c>
      <c r="S1390">
        <f>2487.65</f>
        <v>2487.65</v>
      </c>
      <c r="T1390">
        <f>4445.285</f>
        <v>4445.2849999999999</v>
      </c>
      <c r="U1390">
        <f>57744.7</f>
        <v>57744.7</v>
      </c>
      <c r="V1390">
        <f>440.77</f>
        <v>440.77</v>
      </c>
    </row>
    <row r="1391" spans="1:22" x14ac:dyDescent="0.2">
      <c r="A1391" s="1">
        <v>43160</v>
      </c>
      <c r="B1391">
        <f>2671.75</f>
        <v>2671.75</v>
      </c>
      <c r="C1391">
        <f>10670.2</f>
        <v>10670.2</v>
      </c>
      <c r="D1391">
        <f>6134.18</f>
        <v>6134.18</v>
      </c>
      <c r="E1391">
        <f>2600.172</f>
        <v>2600.172</v>
      </c>
      <c r="F1391">
        <f>1993.99</f>
        <v>1993.99</v>
      </c>
      <c r="G1391">
        <f>8485.595</f>
        <v>8485.5949999999993</v>
      </c>
      <c r="H1391">
        <f>3537.85</f>
        <v>3537.85</v>
      </c>
      <c r="I1391">
        <f>10375.322</f>
        <v>10375.322</v>
      </c>
      <c r="J1391">
        <f>3836.39</f>
        <v>3836.39</v>
      </c>
      <c r="K1391">
        <f>10877.73</f>
        <v>10877.73</v>
      </c>
      <c r="L1391">
        <f>1970.38</f>
        <v>1970.38</v>
      </c>
      <c r="M1391">
        <f>8438.33</f>
        <v>8438.33</v>
      </c>
      <c r="N1391">
        <f>300.576</f>
        <v>300.57600000000002</v>
      </c>
      <c r="O1391">
        <f>2809.82</f>
        <v>2809.82</v>
      </c>
      <c r="P1391">
        <f>262.58</f>
        <v>262.58</v>
      </c>
      <c r="Q1391">
        <f>2405.484</f>
        <v>2405.4839999999999</v>
      </c>
      <c r="R1391">
        <f>5238.18</f>
        <v>5238.18</v>
      </c>
      <c r="S1391">
        <f>2534.05</f>
        <v>2534.0500000000002</v>
      </c>
      <c r="T1391">
        <f>4461.313</f>
        <v>4461.3130000000001</v>
      </c>
      <c r="U1391">
        <f>57923.16</f>
        <v>57923.16</v>
      </c>
      <c r="V1391">
        <f>442.56</f>
        <v>442.56</v>
      </c>
    </row>
    <row r="1392" spans="1:22" x14ac:dyDescent="0.2">
      <c r="A1392" s="1">
        <v>43159</v>
      </c>
      <c r="B1392">
        <f>2697.85</f>
        <v>2697.85</v>
      </c>
      <c r="C1392">
        <f>10710.82</f>
        <v>10710.82</v>
      </c>
      <c r="D1392">
        <f>6175.04</f>
        <v>6175.04</v>
      </c>
      <c r="E1392">
        <f>2606.495</f>
        <v>2606.4949999999999</v>
      </c>
      <c r="F1392">
        <f>2020.04</f>
        <v>2020.04</v>
      </c>
      <c r="G1392">
        <f>8575.636</f>
        <v>8575.6360000000004</v>
      </c>
      <c r="H1392">
        <f>3600.88</f>
        <v>3600.88</v>
      </c>
      <c r="I1392">
        <f>10529.872</f>
        <v>10529.871999999999</v>
      </c>
      <c r="J1392">
        <f>3877.39</f>
        <v>3877.39</v>
      </c>
      <c r="K1392">
        <f>11018.81</f>
        <v>11018.81</v>
      </c>
      <c r="L1392">
        <f>1992.02</f>
        <v>1992.02</v>
      </c>
      <c r="M1392">
        <f>8549.7</f>
        <v>8549.7000000000007</v>
      </c>
      <c r="N1392">
        <f>304.229</f>
        <v>304.22899999999998</v>
      </c>
      <c r="O1392">
        <f>2845.23</f>
        <v>2845.23</v>
      </c>
      <c r="P1392">
        <f>265.42</f>
        <v>265.42</v>
      </c>
      <c r="Q1392">
        <f>2431.238</f>
        <v>2431.2379999999998</v>
      </c>
      <c r="R1392">
        <f>5308.09</f>
        <v>5308.09</v>
      </c>
      <c r="S1392">
        <f>2574.87</f>
        <v>2574.87</v>
      </c>
      <c r="T1392">
        <f>4482.868</f>
        <v>4482.8680000000004</v>
      </c>
      <c r="U1392">
        <f>58325.09</f>
        <v>58325.09</v>
      </c>
      <c r="V1392">
        <f>445.83</f>
        <v>445.83</v>
      </c>
    </row>
    <row r="1393" spans="1:22" x14ac:dyDescent="0.2">
      <c r="A1393" s="1">
        <v>43158</v>
      </c>
      <c r="B1393">
        <f>2727.23</f>
        <v>2727.23</v>
      </c>
      <c r="C1393">
        <f>10837.51</f>
        <v>10837.51</v>
      </c>
      <c r="D1393">
        <f>6218.19</f>
        <v>6218.19</v>
      </c>
      <c r="E1393">
        <f>2643.639</f>
        <v>2643.6390000000001</v>
      </c>
      <c r="F1393">
        <f>2064.36</f>
        <v>2064.36</v>
      </c>
      <c r="G1393">
        <f>8703.186</f>
        <v>8703.1859999999997</v>
      </c>
      <c r="H1393">
        <f>3615.87</f>
        <v>3615.87</v>
      </c>
      <c r="I1393">
        <f>10624.169</f>
        <v>10624.169</v>
      </c>
      <c r="J1393">
        <f>3925.18</f>
        <v>3925.18</v>
      </c>
      <c r="K1393">
        <f>11139.51</f>
        <v>11139.51</v>
      </c>
      <c r="L1393">
        <f>2016.76</f>
        <v>2016.76</v>
      </c>
      <c r="M1393">
        <f>8640.09</f>
        <v>8640.09</v>
      </c>
      <c r="N1393">
        <f>306.312</f>
        <v>306.31200000000001</v>
      </c>
      <c r="O1393">
        <f>2866.61</f>
        <v>2866.61</v>
      </c>
      <c r="P1393">
        <f>268.31</f>
        <v>268.31</v>
      </c>
      <c r="Q1393">
        <f>2463.137</f>
        <v>2463.1370000000002</v>
      </c>
      <c r="R1393">
        <f>5367.09</f>
        <v>5367.09</v>
      </c>
      <c r="S1393">
        <f>2607.05</f>
        <v>2607.0500000000002</v>
      </c>
      <c r="T1393">
        <f>4537.108</f>
        <v>4537.1080000000002</v>
      </c>
      <c r="U1393">
        <f>59027.22</f>
        <v>59027.22</v>
      </c>
      <c r="V1393">
        <f>454.58</f>
        <v>454.58</v>
      </c>
    </row>
    <row r="1394" spans="1:22" x14ac:dyDescent="0.2">
      <c r="A1394" s="1">
        <v>43157</v>
      </c>
      <c r="B1394">
        <f>2716.64</f>
        <v>2716.64</v>
      </c>
      <c r="C1394">
        <f>10882.51</f>
        <v>10882.51</v>
      </c>
      <c r="D1394">
        <f>6224.28</f>
        <v>6224.28</v>
      </c>
      <c r="E1394">
        <f>2662.608</f>
        <v>2662.6080000000002</v>
      </c>
      <c r="F1394">
        <f>2066.64</f>
        <v>2066.64</v>
      </c>
      <c r="G1394">
        <f>8747.595</f>
        <v>8747.5949999999993</v>
      </c>
      <c r="H1394">
        <f>3611.15</f>
        <v>3611.15</v>
      </c>
      <c r="I1394">
        <f>10688.67</f>
        <v>10688.67</v>
      </c>
      <c r="J1394">
        <f>3969.02</f>
        <v>3969.02</v>
      </c>
      <c r="K1394">
        <f>11280.87</f>
        <v>11280.87</v>
      </c>
      <c r="L1394">
        <f>2036.16</f>
        <v>2036.16</v>
      </c>
      <c r="M1394">
        <f>8716.09</f>
        <v>8716.09</v>
      </c>
      <c r="N1394">
        <f>307.11</f>
        <v>307.11</v>
      </c>
      <c r="O1394">
        <f>2869.71</f>
        <v>2869.71</v>
      </c>
      <c r="P1394">
        <f>267.62</f>
        <v>267.62</v>
      </c>
      <c r="Q1394">
        <f>2493.708</f>
        <v>2493.7080000000001</v>
      </c>
      <c r="R1394">
        <f>5435.38</f>
        <v>5435.38</v>
      </c>
      <c r="S1394">
        <f>2584.44</f>
        <v>2584.44</v>
      </c>
      <c r="T1394">
        <f>4511.251</f>
        <v>4511.2510000000002</v>
      </c>
      <c r="U1394">
        <f>58868.93</f>
        <v>58868.93</v>
      </c>
      <c r="V1394">
        <f>453.29</f>
        <v>453.29</v>
      </c>
    </row>
    <row r="1395" spans="1:22" x14ac:dyDescent="0.2">
      <c r="A1395" s="1">
        <v>43154</v>
      </c>
      <c r="B1395">
        <f>2717.68</f>
        <v>2717.68</v>
      </c>
      <c r="C1395">
        <f>10855.67</f>
        <v>10855.67</v>
      </c>
      <c r="D1395">
        <f>6185.71</f>
        <v>6185.71</v>
      </c>
      <c r="E1395">
        <f>2652.309</f>
        <v>2652.3090000000002</v>
      </c>
      <c r="F1395">
        <f>2059.6</f>
        <v>2059.6</v>
      </c>
      <c r="G1395">
        <f>8717.43</f>
        <v>8717.43</v>
      </c>
      <c r="H1395">
        <f>3598.88</f>
        <v>3598.88</v>
      </c>
      <c r="I1395">
        <f>10638.619</f>
        <v>10638.619000000001</v>
      </c>
      <c r="J1395">
        <f>3919.03</f>
        <v>3919.03</v>
      </c>
      <c r="K1395">
        <f>11154.26</f>
        <v>11154.26</v>
      </c>
      <c r="L1395">
        <f>2016.94</f>
        <v>2016.94</v>
      </c>
      <c r="M1395">
        <f>8639.26</f>
        <v>8639.26</v>
      </c>
      <c r="N1395">
        <f>304.832</f>
        <v>304.83199999999999</v>
      </c>
      <c r="O1395">
        <f>2854.96</f>
        <v>2854.96</v>
      </c>
      <c r="P1395">
        <f>265.79</f>
        <v>265.79000000000002</v>
      </c>
      <c r="Q1395">
        <f>2469.059</f>
        <v>2469.0590000000002</v>
      </c>
      <c r="R1395">
        <f>5371.56</f>
        <v>5371.56</v>
      </c>
      <c r="S1395">
        <f>2562.97</f>
        <v>2562.9699999999998</v>
      </c>
      <c r="T1395">
        <f>4500.472</f>
        <v>4500.4719999999998</v>
      </c>
      <c r="U1395">
        <f>58715.46</f>
        <v>58715.46</v>
      </c>
      <c r="V1395">
        <f>448.7</f>
        <v>448.7</v>
      </c>
    </row>
    <row r="1396" spans="1:22" x14ac:dyDescent="0.2">
      <c r="A1396" s="1">
        <v>43153</v>
      </c>
      <c r="B1396">
        <f>2707.3</f>
        <v>2707.3</v>
      </c>
      <c r="C1396">
        <f>10749.99</f>
        <v>10749.99</v>
      </c>
      <c r="D1396">
        <f>6192.53</f>
        <v>6192.53</v>
      </c>
      <c r="E1396">
        <f>2617.988</f>
        <v>2617.9879999999998</v>
      </c>
      <c r="F1396">
        <f>2058.69</f>
        <v>2058.69</v>
      </c>
      <c r="G1396">
        <f>8700.765</f>
        <v>8700.7649999999994</v>
      </c>
      <c r="H1396">
        <f>3550.56</f>
        <v>3550.56</v>
      </c>
      <c r="I1396">
        <f>10641.931</f>
        <v>10641.931</v>
      </c>
      <c r="J1396">
        <f>3853.99</f>
        <v>3853.99</v>
      </c>
      <c r="K1396">
        <f>10978.78</f>
        <v>10978.78</v>
      </c>
      <c r="L1396">
        <f>1996.49</f>
        <v>1996.49</v>
      </c>
      <c r="M1396">
        <f>8543.05</f>
        <v>8543.0499999999993</v>
      </c>
      <c r="N1396">
        <f>303.744</f>
        <v>303.74400000000003</v>
      </c>
      <c r="O1396">
        <f>2847.87</f>
        <v>2847.87</v>
      </c>
      <c r="P1396">
        <f>262.9</f>
        <v>262.89999999999998</v>
      </c>
      <c r="Q1396">
        <f>2442.868</f>
        <v>2442.8679999999999</v>
      </c>
      <c r="R1396">
        <f>5286.5</f>
        <v>5286.5</v>
      </c>
      <c r="S1396">
        <f>2542.06</f>
        <v>2542.06</v>
      </c>
      <c r="T1396">
        <f>4397.161</f>
        <v>4397.1610000000001</v>
      </c>
      <c r="U1396">
        <f>58155.09</f>
        <v>58155.09</v>
      </c>
      <c r="V1396">
        <f>442.39</f>
        <v>442.39</v>
      </c>
    </row>
    <row r="1397" spans="1:22" x14ac:dyDescent="0.2">
      <c r="A1397" s="1">
        <v>43152</v>
      </c>
      <c r="B1397">
        <f>2705.98</f>
        <v>2705.98</v>
      </c>
      <c r="C1397">
        <f>10813.24</f>
        <v>10813.24</v>
      </c>
      <c r="D1397">
        <f>6199.63</f>
        <v>6199.63</v>
      </c>
      <c r="E1397">
        <f>2636.977</f>
        <v>2636.9769999999999</v>
      </c>
      <c r="F1397">
        <f>2067.93</f>
        <v>2067.9299999999998</v>
      </c>
      <c r="G1397">
        <f>8734.255</f>
        <v>8734.2549999999992</v>
      </c>
      <c r="H1397">
        <f>3561.34</f>
        <v>3561.34</v>
      </c>
      <c r="I1397">
        <f>10641.815</f>
        <v>10641.815000000001</v>
      </c>
      <c r="J1397">
        <f>3847.74</f>
        <v>3847.74</v>
      </c>
      <c r="K1397">
        <f>10971.06</f>
        <v>10971.06</v>
      </c>
      <c r="L1397">
        <f>1997.22</f>
        <v>1997.22</v>
      </c>
      <c r="M1397">
        <f>8545.71</f>
        <v>8545.7099999999991</v>
      </c>
      <c r="N1397">
        <f>304.46</f>
        <v>304.45999999999998</v>
      </c>
      <c r="O1397">
        <f>2849.74</f>
        <v>2849.74</v>
      </c>
      <c r="P1397">
        <f>264.74</f>
        <v>264.74</v>
      </c>
      <c r="Q1397">
        <f>2432.736</f>
        <v>2432.7359999999999</v>
      </c>
      <c r="R1397">
        <f>5280.91</f>
        <v>5280.91</v>
      </c>
      <c r="S1397">
        <f>2564.55</f>
        <v>2564.5500000000002</v>
      </c>
      <c r="T1397">
        <f>4399.097</f>
        <v>4399.0969999999998</v>
      </c>
      <c r="U1397">
        <f>58605.97</f>
        <v>58605.97</v>
      </c>
      <c r="V1397">
        <f>445.18</f>
        <v>445.18</v>
      </c>
    </row>
    <row r="1398" spans="1:22" x14ac:dyDescent="0.2">
      <c r="A1398" s="1">
        <v>43151</v>
      </c>
      <c r="B1398">
        <f>2714.91</f>
        <v>2714.91</v>
      </c>
      <c r="C1398">
        <f>10612.5</f>
        <v>10612.5</v>
      </c>
      <c r="D1398">
        <f>6170</f>
        <v>6170</v>
      </c>
      <c r="E1398">
        <f>2603.933</f>
        <v>2603.933</v>
      </c>
      <c r="F1398">
        <f>2062.95</f>
        <v>2062.9499999999998</v>
      </c>
      <c r="G1398">
        <f>8709.378</f>
        <v>8709.3780000000006</v>
      </c>
      <c r="H1398">
        <f>3588.93</f>
        <v>3588.93</v>
      </c>
      <c r="I1398">
        <f>10653.966</f>
        <v>10653.966</v>
      </c>
      <c r="J1398">
        <f>3880.68</f>
        <v>3880.68</v>
      </c>
      <c r="K1398">
        <f>11029.98</f>
        <v>11029.98</v>
      </c>
      <c r="L1398">
        <f>2004.79</f>
        <v>2004.79</v>
      </c>
      <c r="M1398">
        <f>8577.11</f>
        <v>8577.11</v>
      </c>
      <c r="N1398">
        <f>304.168</f>
        <v>304.16800000000001</v>
      </c>
      <c r="O1398">
        <f>2846.39</f>
        <v>2846.39</v>
      </c>
      <c r="P1398">
        <f>265.5</f>
        <v>265.5</v>
      </c>
      <c r="Q1398">
        <f>2447.682</f>
        <v>2447.6819999999998</v>
      </c>
      <c r="R1398">
        <f>5309.99</f>
        <v>5309.99</v>
      </c>
      <c r="S1398">
        <f>2565.77</f>
        <v>2565.77</v>
      </c>
      <c r="T1398">
        <f>4391.87</f>
        <v>4391.87</v>
      </c>
      <c r="U1398">
        <f>57928.78</f>
        <v>57928.78</v>
      </c>
      <c r="V1398">
        <f>441.24</f>
        <v>441.24</v>
      </c>
    </row>
    <row r="1399" spans="1:22" x14ac:dyDescent="0.2">
      <c r="A1399" s="1">
        <v>43150</v>
      </c>
      <c r="B1399">
        <f>2691.23</f>
        <v>2691.23</v>
      </c>
      <c r="C1399">
        <f>10656.29</f>
        <v>10656.29</v>
      </c>
      <c r="D1399">
        <f>6170.76</f>
        <v>6170.76</v>
      </c>
      <c r="E1399">
        <f>2618.116</f>
        <v>2618.116</v>
      </c>
      <c r="F1399">
        <f>2050.91</f>
        <v>2050.91</v>
      </c>
      <c r="G1399">
        <f>8706.82</f>
        <v>8706.82</v>
      </c>
      <c r="H1399">
        <f>3637.45</f>
        <v>3637.45</v>
      </c>
      <c r="I1399">
        <f>10631.524</f>
        <v>10631.523999999999</v>
      </c>
      <c r="J1399">
        <f>3922.91</f>
        <v>3922.91</v>
      </c>
      <c r="K1399">
        <f>11093.24</f>
        <v>11093.24</v>
      </c>
      <c r="L1399">
        <f>2014.63</f>
        <v>2014.63</v>
      </c>
      <c r="M1399">
        <f>8615.83</f>
        <v>8615.83</v>
      </c>
      <c r="N1399">
        <f>302.614</f>
        <v>302.61399999999998</v>
      </c>
      <c r="O1399">
        <f>2829.48</f>
        <v>2829.48</v>
      </c>
      <c r="P1399">
        <f>265.95</f>
        <v>265.95</v>
      </c>
      <c r="Q1399" t="e">
        <f>NA()</f>
        <v>#N/A</v>
      </c>
      <c r="R1399" t="e">
        <f>NA()</f>
        <v>#N/A</v>
      </c>
      <c r="S1399">
        <f>2584.26</f>
        <v>2584.2600000000002</v>
      </c>
      <c r="T1399">
        <f>4439.545</f>
        <v>4439.5450000000001</v>
      </c>
      <c r="U1399">
        <f>58701.37</f>
        <v>58701.37</v>
      </c>
      <c r="V1399">
        <f>447.92</f>
        <v>447.92</v>
      </c>
    </row>
    <row r="1400" spans="1:22" x14ac:dyDescent="0.2">
      <c r="A1400" s="1">
        <v>43147</v>
      </c>
      <c r="B1400">
        <f>2696.22</f>
        <v>2696.22</v>
      </c>
      <c r="C1400">
        <f>10664.77</f>
        <v>10664.77</v>
      </c>
      <c r="D1400">
        <f>6210.82</f>
        <v>6210.82</v>
      </c>
      <c r="E1400">
        <f>2615.242</f>
        <v>2615.2420000000002</v>
      </c>
      <c r="F1400">
        <f>2062.38</f>
        <v>2062.38</v>
      </c>
      <c r="G1400">
        <f>8795.024</f>
        <v>8795.0239999999994</v>
      </c>
      <c r="H1400">
        <f>3590.84</f>
        <v>3590.84</v>
      </c>
      <c r="I1400">
        <f>10744.798</f>
        <v>10744.798000000001</v>
      </c>
      <c r="J1400">
        <f>3922.91</f>
        <v>3922.91</v>
      </c>
      <c r="K1400">
        <f>11093.24</f>
        <v>11093.24</v>
      </c>
      <c r="L1400">
        <f>2021.65</f>
        <v>2021.65</v>
      </c>
      <c r="M1400">
        <f>8623.7</f>
        <v>8623.7000000000007</v>
      </c>
      <c r="N1400">
        <f>305.817</f>
        <v>305.81700000000001</v>
      </c>
      <c r="O1400">
        <f>2849.33</f>
        <v>2849.33</v>
      </c>
      <c r="P1400">
        <f>259.62</f>
        <v>259.62</v>
      </c>
      <c r="Q1400">
        <f>2480.602</f>
        <v>2480.6019999999999</v>
      </c>
      <c r="R1400">
        <f>5340.82</f>
        <v>5340.82</v>
      </c>
      <c r="S1400">
        <f>2529.26</f>
        <v>2529.2600000000002</v>
      </c>
      <c r="T1400">
        <f>4451.722</f>
        <v>4451.7219999999998</v>
      </c>
      <c r="U1400">
        <f>59122.34</f>
        <v>59122.34</v>
      </c>
      <c r="V1400">
        <f>450.75</f>
        <v>450.75</v>
      </c>
    </row>
    <row r="1401" spans="1:22" x14ac:dyDescent="0.2">
      <c r="A1401" s="1">
        <v>43146</v>
      </c>
      <c r="B1401">
        <f>2668.91</f>
        <v>2668.91</v>
      </c>
      <c r="C1401">
        <f>10672.1</f>
        <v>10672.1</v>
      </c>
      <c r="D1401">
        <f>6159.82</f>
        <v>6159.82</v>
      </c>
      <c r="E1401">
        <f>2620.485</f>
        <v>2620.4850000000001</v>
      </c>
      <c r="F1401">
        <f>2043.69</f>
        <v>2043.69</v>
      </c>
      <c r="G1401">
        <f>8733.578</f>
        <v>8733.5779999999995</v>
      </c>
      <c r="H1401">
        <f>3547.12</f>
        <v>3547.12</v>
      </c>
      <c r="I1401">
        <f>10650.732</f>
        <v>10650.732</v>
      </c>
      <c r="J1401">
        <f>3914.48</f>
        <v>3914.48</v>
      </c>
      <c r="K1401">
        <f>11089.11</f>
        <v>11089.11</v>
      </c>
      <c r="L1401">
        <f>2012.31</f>
        <v>2012.31</v>
      </c>
      <c r="M1401">
        <f>8595.11</f>
        <v>8595.11</v>
      </c>
      <c r="N1401">
        <f>301.559</f>
        <v>301.55900000000003</v>
      </c>
      <c r="O1401">
        <f>2817.74</f>
        <v>2817.74</v>
      </c>
      <c r="P1401">
        <f>255.58</f>
        <v>255.58</v>
      </c>
      <c r="Q1401">
        <f>2474.045</f>
        <v>2474.0450000000001</v>
      </c>
      <c r="R1401">
        <f>5338.35</f>
        <v>5338.35</v>
      </c>
      <c r="S1401">
        <f>2502.86</f>
        <v>2502.86</v>
      </c>
      <c r="T1401">
        <f>4473.777</f>
        <v>4473.777</v>
      </c>
      <c r="U1401">
        <f>59533.1</f>
        <v>59533.1</v>
      </c>
      <c r="V1401">
        <f>454.43</f>
        <v>454.43</v>
      </c>
    </row>
    <row r="1402" spans="1:22" x14ac:dyDescent="0.2">
      <c r="A1402" s="1">
        <v>43145</v>
      </c>
      <c r="B1402">
        <f>2664.53</f>
        <v>2664.53</v>
      </c>
      <c r="C1402">
        <f>10498.95</f>
        <v>10498.95</v>
      </c>
      <c r="D1402">
        <f>6122.14</f>
        <v>6122.14</v>
      </c>
      <c r="E1402">
        <f>2582.751</f>
        <v>2582.7510000000002</v>
      </c>
      <c r="F1402">
        <f>2028.32</f>
        <v>2028.32</v>
      </c>
      <c r="G1402">
        <f>8621.544</f>
        <v>8621.5439999999999</v>
      </c>
      <c r="H1402">
        <f>3502.8</f>
        <v>3502.8</v>
      </c>
      <c r="I1402">
        <f>10531.12</f>
        <v>10531.12</v>
      </c>
      <c r="J1402">
        <f>3862.47</f>
        <v>3862.47</v>
      </c>
      <c r="K1402">
        <f>10955.29</f>
        <v>10955.29</v>
      </c>
      <c r="L1402">
        <f>1990.34</f>
        <v>1990.34</v>
      </c>
      <c r="M1402">
        <f>8490.76</f>
        <v>8490.76</v>
      </c>
      <c r="N1402">
        <f>299.495</f>
        <v>299.495</v>
      </c>
      <c r="O1402">
        <f>2801.64</f>
        <v>2801.64</v>
      </c>
      <c r="P1402">
        <f>254.19</f>
        <v>254.19</v>
      </c>
      <c r="Q1402">
        <f>2444.149</f>
        <v>2444.1489999999999</v>
      </c>
      <c r="R1402">
        <f>5273.43</f>
        <v>5273.43</v>
      </c>
      <c r="S1402">
        <f>2478.77</f>
        <v>2478.77</v>
      </c>
      <c r="T1402">
        <f>4318.269</f>
        <v>4318.2690000000002</v>
      </c>
      <c r="U1402">
        <f>57399.55</f>
        <v>57399.55</v>
      </c>
      <c r="V1402">
        <f>438.54</f>
        <v>438.54</v>
      </c>
    </row>
    <row r="1403" spans="1:22" x14ac:dyDescent="0.2">
      <c r="A1403" s="1">
        <v>43144</v>
      </c>
      <c r="B1403">
        <f>2660.7</f>
        <v>2660.7</v>
      </c>
      <c r="C1403">
        <f>10355.45</f>
        <v>10355.450000000001</v>
      </c>
      <c r="D1403">
        <f>6082.3</f>
        <v>6082.3</v>
      </c>
      <c r="E1403">
        <f>2537.331</f>
        <v>2537.3310000000001</v>
      </c>
      <c r="F1403">
        <f>2009.15</f>
        <v>2009.15</v>
      </c>
      <c r="G1403">
        <f>8510.431</f>
        <v>8510.4310000000005</v>
      </c>
      <c r="H1403">
        <f>3511.72</f>
        <v>3511.72</v>
      </c>
      <c r="I1403">
        <f>10373.799</f>
        <v>10373.799000000001</v>
      </c>
      <c r="J1403">
        <f>3834.94</f>
        <v>3834.94</v>
      </c>
      <c r="K1403">
        <f>10804.16</f>
        <v>10804.16</v>
      </c>
      <c r="L1403">
        <f>1972.58</f>
        <v>1972.58</v>
      </c>
      <c r="M1403">
        <f>8387.05</f>
        <v>8387.0499999999993</v>
      </c>
      <c r="N1403">
        <f>296.233</f>
        <v>296.233</v>
      </c>
      <c r="O1403">
        <f>2772.55</f>
        <v>2772.55</v>
      </c>
      <c r="P1403">
        <f>256.99</f>
        <v>256.99</v>
      </c>
      <c r="Q1403">
        <f>2421.306</f>
        <v>2421.306</v>
      </c>
      <c r="R1403">
        <f>5202.22</f>
        <v>5202.22</v>
      </c>
      <c r="S1403">
        <f>2499.24</f>
        <v>2499.2399999999998</v>
      </c>
      <c r="T1403">
        <f>4294.067</f>
        <v>4294.067</v>
      </c>
      <c r="U1403">
        <f>57208.97</f>
        <v>57208.97</v>
      </c>
      <c r="V1403">
        <f>436.97</f>
        <v>436.97</v>
      </c>
    </row>
    <row r="1404" spans="1:22" x14ac:dyDescent="0.2">
      <c r="A1404" s="1">
        <v>43143</v>
      </c>
      <c r="B1404">
        <f>2666.34</f>
        <v>2666.34</v>
      </c>
      <c r="C1404">
        <f>10284.18</f>
        <v>10284.18</v>
      </c>
      <c r="D1404">
        <f>6089.98</f>
        <v>6089.98</v>
      </c>
      <c r="E1404">
        <f>2513.101</f>
        <v>2513.1010000000001</v>
      </c>
      <c r="F1404">
        <f>2000.33</f>
        <v>2000.33</v>
      </c>
      <c r="G1404">
        <f>8480.581</f>
        <v>8480.5810000000001</v>
      </c>
      <c r="H1404">
        <f>3538.12</f>
        <v>3538.12</v>
      </c>
      <c r="I1404">
        <f>10384.988</f>
        <v>10384.987999999999</v>
      </c>
      <c r="J1404">
        <f>3826.48</f>
        <v>3826.48</v>
      </c>
      <c r="K1404">
        <f>10772.67</f>
        <v>10772.67</v>
      </c>
      <c r="L1404">
        <f>1969.67</f>
        <v>1969.67</v>
      </c>
      <c r="M1404">
        <f>8367.41</f>
        <v>8367.41</v>
      </c>
      <c r="N1404">
        <f>298.237</f>
        <v>298.23700000000002</v>
      </c>
      <c r="O1404">
        <f>2791.71</f>
        <v>2791.71</v>
      </c>
      <c r="P1404" t="e">
        <f>NA()</f>
        <v>#N/A</v>
      </c>
      <c r="Q1404">
        <f>2417.458</f>
        <v>2417.4580000000001</v>
      </c>
      <c r="R1404">
        <f>5188.37</f>
        <v>5188.37</v>
      </c>
      <c r="S1404" t="e">
        <f>NA()</f>
        <v>#N/A</v>
      </c>
      <c r="T1404">
        <f>4236.892</f>
        <v>4236.8919999999998</v>
      </c>
      <c r="U1404">
        <f>56206.76</f>
        <v>56206.76</v>
      </c>
      <c r="V1404">
        <f>429.61</f>
        <v>429.61</v>
      </c>
    </row>
    <row r="1405" spans="1:22" x14ac:dyDescent="0.2">
      <c r="A1405" s="1">
        <v>43140</v>
      </c>
      <c r="B1405">
        <f>2643.58</f>
        <v>2643.58</v>
      </c>
      <c r="C1405">
        <f>10211.93</f>
        <v>10211.93</v>
      </c>
      <c r="D1405">
        <f>6018.18</f>
        <v>6018.18</v>
      </c>
      <c r="E1405">
        <f>2489.777</f>
        <v>2489.777</v>
      </c>
      <c r="F1405">
        <f>1976.27</f>
        <v>1976.27</v>
      </c>
      <c r="G1405">
        <f>8382.264</f>
        <v>8382.2639999999992</v>
      </c>
      <c r="H1405">
        <f>3533.56</f>
        <v>3533.56</v>
      </c>
      <c r="I1405">
        <f>10228.959</f>
        <v>10228.959000000001</v>
      </c>
      <c r="J1405">
        <f>3777.76</f>
        <v>3777.76</v>
      </c>
      <c r="K1405">
        <f>10625.69</f>
        <v>10625.69</v>
      </c>
      <c r="L1405">
        <f>1944.3</f>
        <v>1944.3</v>
      </c>
      <c r="M1405">
        <f>8266.4</f>
        <v>8266.4</v>
      </c>
      <c r="N1405">
        <f>295.936</f>
        <v>295.93599999999998</v>
      </c>
      <c r="O1405">
        <f>2758.06</f>
        <v>2758.06</v>
      </c>
      <c r="P1405">
        <f>260.49</f>
        <v>260.49</v>
      </c>
      <c r="Q1405">
        <f>2391.709</f>
        <v>2391.7089999999998</v>
      </c>
      <c r="R1405">
        <f>5116.99</f>
        <v>5116.99</v>
      </c>
      <c r="S1405">
        <f>2521.35</f>
        <v>2521.35</v>
      </c>
      <c r="T1405">
        <f>4214.541</f>
        <v>4214.5410000000002</v>
      </c>
      <c r="U1405">
        <f>55902.62</f>
        <v>55902.62</v>
      </c>
      <c r="V1405">
        <f>423.86</f>
        <v>423.86</v>
      </c>
    </row>
    <row r="1406" spans="1:22" x14ac:dyDescent="0.2">
      <c r="A1406" s="1">
        <v>43139</v>
      </c>
      <c r="B1406">
        <f>2670.02</f>
        <v>2670.02</v>
      </c>
      <c r="C1406">
        <f>10391.25</f>
        <v>10391.25</v>
      </c>
      <c r="D1406">
        <f>6084.58</f>
        <v>6084.58</v>
      </c>
      <c r="E1406">
        <f>2533.824</f>
        <v>2533.8240000000001</v>
      </c>
      <c r="F1406">
        <f>2019.61</f>
        <v>2019.61</v>
      </c>
      <c r="G1406">
        <f>8592.358</f>
        <v>8592.3580000000002</v>
      </c>
      <c r="H1406">
        <f>3586.9</f>
        <v>3586.9</v>
      </c>
      <c r="I1406">
        <f>10353.589</f>
        <v>10353.589</v>
      </c>
      <c r="J1406">
        <f>3725.05</f>
        <v>3725.05</v>
      </c>
      <c r="K1406">
        <f>10468.96</f>
        <v>10468.959999999999</v>
      </c>
      <c r="L1406">
        <f>1945.03</f>
        <v>1945.03</v>
      </c>
      <c r="M1406">
        <f>8241.13</f>
        <v>8241.1299999999992</v>
      </c>
      <c r="N1406">
        <f>299.657</f>
        <v>299.65699999999998</v>
      </c>
      <c r="O1406">
        <f>2796.7</f>
        <v>2796.7</v>
      </c>
      <c r="P1406">
        <f>264.73</f>
        <v>264.73</v>
      </c>
      <c r="Q1406">
        <f>2354.222</f>
        <v>2354.2220000000002</v>
      </c>
      <c r="R1406">
        <f>5040.06</f>
        <v>5040.0600000000004</v>
      </c>
      <c r="S1406">
        <f>2570.45</f>
        <v>2570.4499999999998</v>
      </c>
      <c r="T1406">
        <f>4249.351</f>
        <v>4249.3509999999997</v>
      </c>
      <c r="U1406">
        <f>56635.69</f>
        <v>56635.69</v>
      </c>
      <c r="V1406">
        <f>427.84</f>
        <v>427.84</v>
      </c>
    </row>
    <row r="1407" spans="1:22" x14ac:dyDescent="0.2">
      <c r="A1407" s="1">
        <v>43138</v>
      </c>
      <c r="B1407">
        <f>2724.76</f>
        <v>2724.76</v>
      </c>
      <c r="C1407">
        <f>10490.06</f>
        <v>10490.06</v>
      </c>
      <c r="D1407">
        <f>6176.48</f>
        <v>6176.48</v>
      </c>
      <c r="E1407">
        <f>2556.121</f>
        <v>2556.1210000000001</v>
      </c>
      <c r="F1407">
        <f>2046.04</f>
        <v>2046.04</v>
      </c>
      <c r="G1407">
        <f>8647.352</f>
        <v>8647.3520000000008</v>
      </c>
      <c r="H1407">
        <f>3552.84</f>
        <v>3552.84</v>
      </c>
      <c r="I1407">
        <f>10600.444</f>
        <v>10600.444</v>
      </c>
      <c r="J1407">
        <f>3848</f>
        <v>3848</v>
      </c>
      <c r="K1407">
        <f>10874.59</f>
        <v>10874.59</v>
      </c>
      <c r="L1407">
        <f>1987.78</f>
        <v>1987.78</v>
      </c>
      <c r="M1407">
        <f>8466.23</f>
        <v>8466.23</v>
      </c>
      <c r="N1407">
        <f>302.793</f>
        <v>302.79300000000001</v>
      </c>
      <c r="O1407">
        <f>2845.23</f>
        <v>2845.23</v>
      </c>
      <c r="P1407">
        <f>262.89</f>
        <v>262.89</v>
      </c>
      <c r="Q1407">
        <f>2429.784</f>
        <v>2429.7840000000001</v>
      </c>
      <c r="R1407">
        <f>5235.84</f>
        <v>5235.84</v>
      </c>
      <c r="S1407">
        <f>2547.46</f>
        <v>2547.46</v>
      </c>
      <c r="T1407">
        <f>4272.636</f>
        <v>4272.6360000000004</v>
      </c>
      <c r="U1407">
        <f>56886.45</f>
        <v>56886.45</v>
      </c>
      <c r="V1407">
        <f>431.82</f>
        <v>431.82</v>
      </c>
    </row>
    <row r="1408" spans="1:22" x14ac:dyDescent="0.2">
      <c r="A1408" s="1">
        <v>43137</v>
      </c>
      <c r="B1408">
        <f>2665.78</f>
        <v>2665.78</v>
      </c>
      <c r="C1408">
        <f>10399.62</f>
        <v>10399.620000000001</v>
      </c>
      <c r="D1408">
        <f>6059.37</f>
        <v>6059.37</v>
      </c>
      <c r="E1408">
        <f>2562.11</f>
        <v>2562.11</v>
      </c>
      <c r="F1408">
        <f>2012.52</f>
        <v>2012.52</v>
      </c>
      <c r="G1408">
        <f>8496.197</f>
        <v>8496.1970000000001</v>
      </c>
      <c r="H1408">
        <f>3545.11</f>
        <v>3545.11</v>
      </c>
      <c r="I1408">
        <f>10450.896</f>
        <v>10450.896000000001</v>
      </c>
      <c r="J1408">
        <f>3858.15</f>
        <v>3858.15</v>
      </c>
      <c r="K1408">
        <f>10924.87</f>
        <v>10924.87</v>
      </c>
      <c r="L1408">
        <f>1981.58</f>
        <v>1981.58</v>
      </c>
      <c r="M1408">
        <f>8457.11</f>
        <v>8457.11</v>
      </c>
      <c r="N1408">
        <f>297.768</f>
        <v>297.76799999999997</v>
      </c>
      <c r="O1408">
        <f>2789.56</f>
        <v>2789.56</v>
      </c>
      <c r="P1408">
        <f>262.66</f>
        <v>262.66000000000003</v>
      </c>
      <c r="Q1408">
        <f>2435.792</f>
        <v>2435.7919999999999</v>
      </c>
      <c r="R1408">
        <f>5262.02</f>
        <v>5262.02</v>
      </c>
      <c r="S1408">
        <f>2538.01</f>
        <v>2538.0100000000002</v>
      </c>
      <c r="T1408">
        <f>4158.299</f>
        <v>4158.299</v>
      </c>
      <c r="U1408">
        <f>56377.21</f>
        <v>56377.21</v>
      </c>
      <c r="V1408">
        <f>420.61</f>
        <v>420.61</v>
      </c>
    </row>
    <row r="1409" spans="1:22" x14ac:dyDescent="0.2">
      <c r="A1409" s="1">
        <v>43136</v>
      </c>
      <c r="B1409">
        <f>2736.8</f>
        <v>2736.8</v>
      </c>
      <c r="C1409">
        <f>10797.04</f>
        <v>10797.04</v>
      </c>
      <c r="D1409">
        <f>6223.62</f>
        <v>6223.62</v>
      </c>
      <c r="E1409">
        <f>2634.263</f>
        <v>2634.2629999999999</v>
      </c>
      <c r="F1409">
        <f>2077.35</f>
        <v>2077.35</v>
      </c>
      <c r="G1409">
        <f>8794.436</f>
        <v>8794.4359999999997</v>
      </c>
      <c r="H1409">
        <f>3644.82</f>
        <v>3644.82</v>
      </c>
      <c r="I1409">
        <f>10763.645</f>
        <v>10763.645</v>
      </c>
      <c r="J1409">
        <f>3806.77</f>
        <v>3806.77</v>
      </c>
      <c r="K1409">
        <f>10742.13</f>
        <v>10742.13</v>
      </c>
      <c r="L1409">
        <f>1998.95</f>
        <v>1998.95</v>
      </c>
      <c r="M1409">
        <f>8475.88</f>
        <v>8475.8799999999992</v>
      </c>
      <c r="N1409">
        <f>305.389</f>
        <v>305.38900000000001</v>
      </c>
      <c r="O1409">
        <f>2860.96</f>
        <v>2860.96</v>
      </c>
      <c r="P1409">
        <f>274.17</f>
        <v>274.17</v>
      </c>
      <c r="Q1409">
        <f>2404.073</f>
        <v>2404.0729999999999</v>
      </c>
      <c r="R1409">
        <f>5171.26</f>
        <v>5171.26</v>
      </c>
      <c r="S1409">
        <f>2654.95</f>
        <v>2654.95</v>
      </c>
      <c r="T1409">
        <f>4212.33</f>
        <v>4212.33</v>
      </c>
      <c r="U1409">
        <f>57113.74</f>
        <v>57113.74</v>
      </c>
      <c r="V1409">
        <f>426.16</f>
        <v>426.16</v>
      </c>
    </row>
    <row r="1410" spans="1:22" x14ac:dyDescent="0.2">
      <c r="A1410" s="1">
        <v>43133</v>
      </c>
      <c r="B1410">
        <f>2780.5</f>
        <v>2780.5</v>
      </c>
      <c r="C1410">
        <f>10933.61</f>
        <v>10933.61</v>
      </c>
      <c r="D1410">
        <f>6315.63</f>
        <v>6315.63</v>
      </c>
      <c r="E1410">
        <f>2681.076</f>
        <v>2681.076</v>
      </c>
      <c r="F1410">
        <f>2126.59</f>
        <v>2126.59</v>
      </c>
      <c r="G1410">
        <f>8987.795</f>
        <v>8987.7950000000001</v>
      </c>
      <c r="H1410">
        <f>3690.88</f>
        <v>3690.88</v>
      </c>
      <c r="I1410">
        <f>10928.298</f>
        <v>10928.298000000001</v>
      </c>
      <c r="J1410">
        <f>3971</f>
        <v>3971</v>
      </c>
      <c r="K1410">
        <f>11195.77</f>
        <v>11195.77</v>
      </c>
      <c r="L1410">
        <f>2058.15</f>
        <v>2058.15</v>
      </c>
      <c r="M1410">
        <f>8749.46</f>
        <v>8749.4599999999991</v>
      </c>
      <c r="N1410">
        <f>310.388</f>
        <v>310.38799999999998</v>
      </c>
      <c r="O1410">
        <f>2904.52</f>
        <v>2904.52</v>
      </c>
      <c r="P1410">
        <f>280.62</f>
        <v>280.62</v>
      </c>
      <c r="Q1410">
        <f>2500.319</f>
        <v>2500.319</v>
      </c>
      <c r="R1410">
        <f>5392.21</f>
        <v>5392.21</v>
      </c>
      <c r="S1410">
        <f>2713.85</f>
        <v>2713.85</v>
      </c>
      <c r="T1410">
        <f>4327.965</f>
        <v>4327.9650000000001</v>
      </c>
      <c r="U1410">
        <f>58656.82</f>
        <v>58656.82</v>
      </c>
      <c r="V1410">
        <f>435.8</f>
        <v>435.8</v>
      </c>
    </row>
    <row r="1411" spans="1:22" x14ac:dyDescent="0.2">
      <c r="A1411" s="1">
        <v>43132</v>
      </c>
      <c r="B1411">
        <f>2808.13</f>
        <v>2808.13</v>
      </c>
      <c r="C1411">
        <f>11012.61</f>
        <v>11012.61</v>
      </c>
      <c r="D1411">
        <f>6355.48</f>
        <v>6355.48</v>
      </c>
      <c r="E1411">
        <f>2719.774</f>
        <v>2719.7739999999999</v>
      </c>
      <c r="F1411">
        <f>2142.25</f>
        <v>2142.25</v>
      </c>
      <c r="G1411">
        <f>9117.815</f>
        <v>9117.8150000000005</v>
      </c>
      <c r="H1411">
        <f>3736.36</f>
        <v>3736.36</v>
      </c>
      <c r="I1411">
        <f>11117.79</f>
        <v>11117.79</v>
      </c>
      <c r="J1411">
        <f>4055.84</f>
        <v>4055.84</v>
      </c>
      <c r="K1411">
        <f>11434.5</f>
        <v>11434.5</v>
      </c>
      <c r="L1411">
        <f>2093.07</f>
        <v>2093.0700000000002</v>
      </c>
      <c r="M1411">
        <f>8914.28</f>
        <v>8914.2800000000007</v>
      </c>
      <c r="N1411">
        <f>314.402</f>
        <v>314.40199999999999</v>
      </c>
      <c r="O1411">
        <f>2944.86</f>
        <v>2944.86</v>
      </c>
      <c r="P1411">
        <f>280.93</f>
        <v>280.93</v>
      </c>
      <c r="Q1411">
        <f>2551.444</f>
        <v>2551.444</v>
      </c>
      <c r="R1411">
        <f>5508.7</f>
        <v>5508.7</v>
      </c>
      <c r="S1411">
        <f>2722.93</f>
        <v>2722.93</v>
      </c>
      <c r="T1411">
        <f>4354.437</f>
        <v>4354.4369999999999</v>
      </c>
      <c r="U1411">
        <f>59258.37</f>
        <v>59258.37</v>
      </c>
      <c r="V1411">
        <f>438.99</f>
        <v>438.99</v>
      </c>
    </row>
    <row r="1412" spans="1:22" x14ac:dyDescent="0.2">
      <c r="A1412" s="1">
        <v>43131</v>
      </c>
      <c r="B1412">
        <f>2806.75</f>
        <v>2806.75</v>
      </c>
      <c r="C1412">
        <f>10988.79</f>
        <v>10988.79</v>
      </c>
      <c r="D1412">
        <f>6392.1</f>
        <v>6392.1</v>
      </c>
      <c r="E1412">
        <f>2732.109</f>
        <v>2732.1089999999999</v>
      </c>
      <c r="F1412">
        <f>2145.02</f>
        <v>2145.02</v>
      </c>
      <c r="G1412">
        <f>9160.252</f>
        <v>9160.2520000000004</v>
      </c>
      <c r="H1412">
        <f>3681.5</f>
        <v>3681.5</v>
      </c>
      <c r="I1412">
        <f>11161.999</f>
        <v>11161.999</v>
      </c>
      <c r="J1412">
        <f>4057.63</f>
        <v>4057.63</v>
      </c>
      <c r="K1412">
        <f>11438.55</f>
        <v>11438.55</v>
      </c>
      <c r="L1412">
        <f>2094.58</f>
        <v>2094.58</v>
      </c>
      <c r="M1412">
        <f>8915.28</f>
        <v>8915.2800000000007</v>
      </c>
      <c r="N1412">
        <f>316.497</f>
        <v>316.49700000000001</v>
      </c>
      <c r="O1412">
        <f>2961.56</f>
        <v>2961.56</v>
      </c>
      <c r="P1412">
        <f>275.5</f>
        <v>275.5</v>
      </c>
      <c r="Q1412">
        <f>2559.364</f>
        <v>2559.364</v>
      </c>
      <c r="R1412">
        <f>5511.21</f>
        <v>5511.21</v>
      </c>
      <c r="S1412">
        <f>2673.82</f>
        <v>2673.82</v>
      </c>
      <c r="T1412">
        <f>4362.284</f>
        <v>4362.2839999999997</v>
      </c>
      <c r="U1412">
        <f>59506.12</f>
        <v>59506.12</v>
      </c>
      <c r="V1412">
        <f>441.88</f>
        <v>441.88</v>
      </c>
    </row>
    <row r="1413" spans="1:22" x14ac:dyDescent="0.2">
      <c r="A1413" s="1">
        <v>43130</v>
      </c>
      <c r="B1413">
        <f>2843.08</f>
        <v>2843.08</v>
      </c>
      <c r="C1413">
        <f>10909.21</f>
        <v>10909.21</v>
      </c>
      <c r="D1413">
        <f>6438.29</f>
        <v>6438.29</v>
      </c>
      <c r="E1413">
        <f>2716.909</f>
        <v>2716.9090000000001</v>
      </c>
      <c r="F1413">
        <f>2166.69</f>
        <v>2166.69</v>
      </c>
      <c r="G1413">
        <f>9163.386</f>
        <v>9163.3860000000004</v>
      </c>
      <c r="H1413">
        <f>3719.19</f>
        <v>3719.19</v>
      </c>
      <c r="I1413">
        <f>11134.652</f>
        <v>11134.652</v>
      </c>
      <c r="J1413">
        <f>4068.46</f>
        <v>4068.46</v>
      </c>
      <c r="K1413">
        <f>11432.69</f>
        <v>11432.69</v>
      </c>
      <c r="L1413">
        <f>2098.65</f>
        <v>2098.65</v>
      </c>
      <c r="M1413">
        <f>8918.46</f>
        <v>8918.4599999999991</v>
      </c>
      <c r="N1413">
        <f>318.344</f>
        <v>318.34399999999999</v>
      </c>
      <c r="O1413">
        <f>2970.46</f>
        <v>2970.46</v>
      </c>
      <c r="P1413">
        <f>278.62</f>
        <v>278.62</v>
      </c>
      <c r="Q1413">
        <f>2568.877</f>
        <v>2568.877</v>
      </c>
      <c r="R1413">
        <f>5508.36</f>
        <v>5508.36</v>
      </c>
      <c r="S1413">
        <f>2705.01</f>
        <v>2705.01</v>
      </c>
      <c r="T1413">
        <f>4343.211</f>
        <v>4343.2110000000002</v>
      </c>
      <c r="U1413">
        <f>59546.23</f>
        <v>59546.23</v>
      </c>
      <c r="V1413">
        <f>437.35</f>
        <v>437.35</v>
      </c>
    </row>
    <row r="1414" spans="1:22" x14ac:dyDescent="0.2">
      <c r="A1414" s="1">
        <v>43129</v>
      </c>
      <c r="B1414">
        <f>2880.42</f>
        <v>2880.42</v>
      </c>
      <c r="C1414">
        <f>11063.6</f>
        <v>11063.6</v>
      </c>
      <c r="D1414">
        <f>6509.18</f>
        <v>6509.18</v>
      </c>
      <c r="E1414">
        <f>2761.212</f>
        <v>2761.212</v>
      </c>
      <c r="F1414">
        <f>2184.69</f>
        <v>2184.69</v>
      </c>
      <c r="G1414">
        <f>9229.794</f>
        <v>9229.7939999999999</v>
      </c>
      <c r="H1414">
        <f>3742.13</f>
        <v>3742.13</v>
      </c>
      <c r="I1414">
        <f>11174.873</f>
        <v>11174.873</v>
      </c>
      <c r="J1414">
        <f>4118.54</f>
        <v>4118.54</v>
      </c>
      <c r="K1414">
        <f>11557.14</f>
        <v>11557.14</v>
      </c>
      <c r="L1414">
        <f>2116.91</f>
        <v>2116.91</v>
      </c>
      <c r="M1414">
        <f>8998.77</f>
        <v>8998.77</v>
      </c>
      <c r="N1414">
        <f>319.628</f>
        <v>319.62799999999999</v>
      </c>
      <c r="O1414">
        <f>2993.85</f>
        <v>2993.85</v>
      </c>
      <c r="P1414">
        <f>281.16</f>
        <v>281.16000000000003</v>
      </c>
      <c r="Q1414">
        <f>2596.821</f>
        <v>2596.8209999999999</v>
      </c>
      <c r="R1414">
        <f>5568.67</f>
        <v>5568.67</v>
      </c>
      <c r="S1414">
        <f>2737.5</f>
        <v>2737.5</v>
      </c>
      <c r="T1414">
        <f>4409.619</f>
        <v>4409.6189999999997</v>
      </c>
      <c r="U1414">
        <f>60806.9</f>
        <v>60806.9</v>
      </c>
      <c r="V1414">
        <f>444.81</f>
        <v>444.81</v>
      </c>
    </row>
    <row r="1415" spans="1:22" x14ac:dyDescent="0.2">
      <c r="A1415" s="1">
        <v>43126</v>
      </c>
      <c r="B1415">
        <f>2884.2</f>
        <v>2884.2</v>
      </c>
      <c r="C1415">
        <f>11121.22</f>
        <v>11121.22</v>
      </c>
      <c r="D1415">
        <f>6504.1</f>
        <v>6504.1</v>
      </c>
      <c r="E1415">
        <f>2772.297</f>
        <v>2772.297</v>
      </c>
      <c r="F1415">
        <f>2201.8</f>
        <v>2201.8000000000002</v>
      </c>
      <c r="G1415">
        <f>9302</f>
        <v>9302</v>
      </c>
      <c r="H1415">
        <f>3757.45</f>
        <v>3757.45</v>
      </c>
      <c r="I1415">
        <f>11264.408</f>
        <v>11264.407999999999</v>
      </c>
      <c r="J1415">
        <f>4142.58</f>
        <v>4142.58</v>
      </c>
      <c r="K1415">
        <f>11634.8</f>
        <v>11634.8</v>
      </c>
      <c r="L1415">
        <f>2131.38</f>
        <v>2131.38</v>
      </c>
      <c r="M1415">
        <f>9057.62</f>
        <v>9057.6200000000008</v>
      </c>
      <c r="N1415">
        <f>321.121</f>
        <v>321.12099999999998</v>
      </c>
      <c r="O1415">
        <f>3001.66</f>
        <v>3001.66</v>
      </c>
      <c r="P1415">
        <f>280.89</f>
        <v>280.89</v>
      </c>
      <c r="Q1415">
        <f>2620.283</f>
        <v>2620.2829999999999</v>
      </c>
      <c r="R1415">
        <f>5606.08</f>
        <v>5606.08</v>
      </c>
      <c r="S1415">
        <f>2735.78</f>
        <v>2735.78</v>
      </c>
      <c r="T1415">
        <f>4507.208</f>
        <v>4507.2079999999996</v>
      </c>
      <c r="U1415">
        <f>61595.86</f>
        <v>61595.86</v>
      </c>
      <c r="V1415">
        <f>451.21</f>
        <v>451.21</v>
      </c>
    </row>
    <row r="1416" spans="1:22" x14ac:dyDescent="0.2">
      <c r="A1416" s="1">
        <v>43125</v>
      </c>
      <c r="B1416">
        <f>2870.57</f>
        <v>2870.57</v>
      </c>
      <c r="C1416">
        <f>11078.56</f>
        <v>11078.56</v>
      </c>
      <c r="D1416">
        <f>6461.92</f>
        <v>6461.92</v>
      </c>
      <c r="E1416">
        <f>2751.241</f>
        <v>2751.241</v>
      </c>
      <c r="F1416">
        <f>2198.73</f>
        <v>2198.73</v>
      </c>
      <c r="G1416">
        <f>9321.82</f>
        <v>9321.82</v>
      </c>
      <c r="H1416">
        <f>3763.59</f>
        <v>3763.59</v>
      </c>
      <c r="I1416">
        <f>11266.336</f>
        <v>11266.335999999999</v>
      </c>
      <c r="J1416">
        <f>4079.44</f>
        <v>4079.44</v>
      </c>
      <c r="K1416">
        <f>11500.04</f>
        <v>11500.04</v>
      </c>
      <c r="L1416">
        <f>2109.62</f>
        <v>2109.62</v>
      </c>
      <c r="M1416">
        <f>8998.92</f>
        <v>8998.92</v>
      </c>
      <c r="N1416">
        <f>318.556</f>
        <v>318.55599999999998</v>
      </c>
      <c r="O1416">
        <f>2983.58</f>
        <v>2983.58</v>
      </c>
      <c r="P1416">
        <f>280.42</f>
        <v>280.42</v>
      </c>
      <c r="Q1416">
        <f>2596.899</f>
        <v>2596.8989999999999</v>
      </c>
      <c r="R1416">
        <f>5540.38</f>
        <v>5540.38</v>
      </c>
      <c r="S1416">
        <f>2743.29</f>
        <v>2743.29</v>
      </c>
      <c r="T1416">
        <f>4523.468</f>
        <v>4523.4679999999998</v>
      </c>
      <c r="U1416">
        <f>61684.77</f>
        <v>61684.77</v>
      </c>
      <c r="V1416">
        <f>453.76</f>
        <v>453.76</v>
      </c>
    </row>
    <row r="1417" spans="1:22" x14ac:dyDescent="0.2">
      <c r="A1417" s="1">
        <v>43124</v>
      </c>
      <c r="B1417">
        <f>2872.51</f>
        <v>2872.51</v>
      </c>
      <c r="C1417">
        <f>11042.72</f>
        <v>11042.72</v>
      </c>
      <c r="D1417">
        <f>6485.33</f>
        <v>6485.33</v>
      </c>
      <c r="E1417">
        <f>2740.985</f>
        <v>2740.9850000000001</v>
      </c>
      <c r="F1417">
        <f>2185.88</f>
        <v>2185.88</v>
      </c>
      <c r="G1417">
        <f>9299.281</f>
        <v>9299.2810000000009</v>
      </c>
      <c r="H1417">
        <f>3771.71</f>
        <v>3771.71</v>
      </c>
      <c r="I1417">
        <f>11212.025</f>
        <v>11212.025</v>
      </c>
      <c r="J1417">
        <f>4074.89</f>
        <v>4074.89</v>
      </c>
      <c r="K1417">
        <f>11492.65</f>
        <v>11492.65</v>
      </c>
      <c r="L1417">
        <f>2105.78</f>
        <v>2105.7800000000002</v>
      </c>
      <c r="M1417">
        <f>8990.54</f>
        <v>8990.5400000000009</v>
      </c>
      <c r="N1417">
        <f>320.464</f>
        <v>320.464</v>
      </c>
      <c r="O1417">
        <f>2999.88</f>
        <v>2999.88</v>
      </c>
      <c r="P1417">
        <f>281.4</f>
        <v>281.39999999999998</v>
      </c>
      <c r="Q1417">
        <f>2578.486</f>
        <v>2578.4859999999999</v>
      </c>
      <c r="R1417">
        <f>5537.03</f>
        <v>5537.03</v>
      </c>
      <c r="S1417">
        <f>2767.57</f>
        <v>2767.57</v>
      </c>
      <c r="T1417">
        <f>4491.464</f>
        <v>4491.4639999999999</v>
      </c>
      <c r="U1417">
        <f>61623.13</f>
        <v>61623.13</v>
      </c>
      <c r="V1417">
        <f>446.8</f>
        <v>446.8</v>
      </c>
    </row>
    <row r="1418" spans="1:22" x14ac:dyDescent="0.2">
      <c r="A1418" s="1">
        <v>43123</v>
      </c>
      <c r="B1418">
        <f>2891.96</f>
        <v>2891.96</v>
      </c>
      <c r="C1418">
        <f>11008.34</f>
        <v>11008.34</v>
      </c>
      <c r="D1418">
        <f>6560.34</f>
        <v>6560.34</v>
      </c>
      <c r="E1418">
        <f>2727.109</f>
        <v>2727.1089999999999</v>
      </c>
      <c r="F1418">
        <f>2168.3</f>
        <v>2168.3000000000002</v>
      </c>
      <c r="G1418">
        <f>9265.004</f>
        <v>9265.0040000000008</v>
      </c>
      <c r="H1418">
        <f>3745.49</f>
        <v>3745.49</v>
      </c>
      <c r="I1418">
        <f>11196.06</f>
        <v>11196.06</v>
      </c>
      <c r="J1418">
        <f>4083.74</f>
        <v>4083.74</v>
      </c>
      <c r="K1418">
        <f>11498.51</f>
        <v>11498.51</v>
      </c>
      <c r="L1418">
        <f>2101.71</f>
        <v>2101.71</v>
      </c>
      <c r="M1418">
        <f>8981.23</f>
        <v>8981.23</v>
      </c>
      <c r="N1418">
        <f>322.81</f>
        <v>322.81</v>
      </c>
      <c r="O1418">
        <f>3015.22</f>
        <v>3015.22</v>
      </c>
      <c r="P1418">
        <f>281.23</f>
        <v>281.23</v>
      </c>
      <c r="Q1418">
        <f>2561.719</f>
        <v>2561.7190000000001</v>
      </c>
      <c r="R1418">
        <f>5540.13</f>
        <v>5540.13</v>
      </c>
      <c r="S1418">
        <f>2781.89</f>
        <v>2781.89</v>
      </c>
      <c r="T1418">
        <f>4442.017</f>
        <v>4442.0169999999998</v>
      </c>
      <c r="U1418">
        <f>61475.44</f>
        <v>61475.44</v>
      </c>
      <c r="V1418">
        <f>444.84</f>
        <v>444.84</v>
      </c>
    </row>
    <row r="1419" spans="1:22" x14ac:dyDescent="0.2">
      <c r="A1419" s="1">
        <v>43122</v>
      </c>
      <c r="B1419">
        <f>2889.57</f>
        <v>2889.57</v>
      </c>
      <c r="C1419">
        <f>10891.64</f>
        <v>10891.64</v>
      </c>
      <c r="D1419">
        <f>6546.43</f>
        <v>6546.43</v>
      </c>
      <c r="E1419">
        <f>2696.87</f>
        <v>2696.87</v>
      </c>
      <c r="F1419">
        <f>2159.32</f>
        <v>2159.3200000000002</v>
      </c>
      <c r="G1419">
        <f>9216.384</f>
        <v>9216.384</v>
      </c>
      <c r="H1419">
        <f>3706.31</f>
        <v>3706.31</v>
      </c>
      <c r="I1419">
        <f>11142.964</f>
        <v>11142.964</v>
      </c>
      <c r="J1419">
        <f>4091.77</f>
        <v>4091.77</v>
      </c>
      <c r="K1419">
        <f>11472.2</f>
        <v>11472.2</v>
      </c>
      <c r="L1419">
        <f>2097.68</f>
        <v>2097.6799999999998</v>
      </c>
      <c r="M1419">
        <f>8944.61</f>
        <v>8944.61</v>
      </c>
      <c r="N1419">
        <f>321.88</f>
        <v>321.88</v>
      </c>
      <c r="O1419">
        <f>3012.15</f>
        <v>3012.15</v>
      </c>
      <c r="P1419">
        <f>278.99</f>
        <v>278.99</v>
      </c>
      <c r="Q1419">
        <f>2567.826</f>
        <v>2567.826</v>
      </c>
      <c r="R1419">
        <f>5527.89</f>
        <v>5527.89</v>
      </c>
      <c r="S1419">
        <f>2754.01</f>
        <v>2754.01</v>
      </c>
      <c r="T1419">
        <f>4361.751</f>
        <v>4361.7510000000002</v>
      </c>
      <c r="U1419">
        <f>61060.28</f>
        <v>61060.28</v>
      </c>
      <c r="V1419">
        <f>441.26</f>
        <v>441.26</v>
      </c>
    </row>
    <row r="1420" spans="1:22" x14ac:dyDescent="0.2">
      <c r="A1420" s="1">
        <v>43119</v>
      </c>
      <c r="B1420">
        <f>2891.66</f>
        <v>2891.66</v>
      </c>
      <c r="C1420">
        <f>10810.58</f>
        <v>10810.58</v>
      </c>
      <c r="D1420">
        <f>6559.46</f>
        <v>6559.46</v>
      </c>
      <c r="E1420">
        <f>2683.943</f>
        <v>2683.9430000000002</v>
      </c>
      <c r="F1420">
        <f>2146.74</f>
        <v>2146.7399999999998</v>
      </c>
      <c r="G1420">
        <f>9154.138</f>
        <v>9154.1380000000008</v>
      </c>
      <c r="H1420">
        <f>3690.78</f>
        <v>3690.78</v>
      </c>
      <c r="I1420">
        <f>11086.566</f>
        <v>11086.566000000001</v>
      </c>
      <c r="J1420">
        <f>4061.43</f>
        <v>4061.43</v>
      </c>
      <c r="K1420">
        <f>11380.42</f>
        <v>11380.42</v>
      </c>
      <c r="L1420">
        <f>2087.01</f>
        <v>2087.0100000000002</v>
      </c>
      <c r="M1420">
        <f>8889.45</f>
        <v>8889.4500000000007</v>
      </c>
      <c r="N1420">
        <f>321.616</f>
        <v>321.61599999999999</v>
      </c>
      <c r="O1420">
        <f>3001.97</f>
        <v>3001.97</v>
      </c>
      <c r="P1420">
        <f>278.73</f>
        <v>278.73</v>
      </c>
      <c r="Q1420">
        <f>2552.403</f>
        <v>2552.4029999999998</v>
      </c>
      <c r="R1420">
        <f>5483.57</f>
        <v>5483.57</v>
      </c>
      <c r="S1420">
        <f>2750.84</f>
        <v>2750.84</v>
      </c>
      <c r="T1420">
        <f>4324.815</f>
        <v>4324.8149999999996</v>
      </c>
      <c r="U1420">
        <f>60912.88</f>
        <v>60912.88</v>
      </c>
      <c r="V1420">
        <f>436.93</f>
        <v>436.93</v>
      </c>
    </row>
    <row r="1421" spans="1:22" x14ac:dyDescent="0.2">
      <c r="A1421" s="1">
        <v>43118</v>
      </c>
      <c r="B1421">
        <f>2894.05</f>
        <v>2894.05</v>
      </c>
      <c r="C1421">
        <f>10775.47</f>
        <v>10775.47</v>
      </c>
      <c r="D1421">
        <f>6534.15</f>
        <v>6534.15</v>
      </c>
      <c r="E1421">
        <f>2672.865</f>
        <v>2672.8649999999998</v>
      </c>
      <c r="F1421">
        <f>2152.29</f>
        <v>2152.29</v>
      </c>
      <c r="G1421">
        <f>9149.626</f>
        <v>9149.6260000000002</v>
      </c>
      <c r="H1421">
        <f>3664.1</f>
        <v>3664.1</v>
      </c>
      <c r="I1421">
        <f>11026.693</f>
        <v>11026.692999999999</v>
      </c>
      <c r="J1421">
        <f>4046.86</f>
        <v>4046.86</v>
      </c>
      <c r="K1421">
        <f>11326.21</f>
        <v>11326.21</v>
      </c>
      <c r="L1421">
        <f>2080.04</f>
        <v>2080.04</v>
      </c>
      <c r="M1421">
        <f>8846.33</f>
        <v>8846.33</v>
      </c>
      <c r="N1421">
        <f>320.783</f>
        <v>320.78300000000002</v>
      </c>
      <c r="O1421">
        <f>2988.05</f>
        <v>2988.05</v>
      </c>
      <c r="P1421">
        <f>276.45</f>
        <v>276.45</v>
      </c>
      <c r="Q1421">
        <f>2537.915</f>
        <v>2537.915</v>
      </c>
      <c r="R1421">
        <f>5459.5</f>
        <v>5459.5</v>
      </c>
      <c r="S1421">
        <f>2732.1</f>
        <v>2732.1</v>
      </c>
      <c r="T1421">
        <f>4359.004</f>
        <v>4359.0039999999999</v>
      </c>
      <c r="U1421">
        <f>60922.55</f>
        <v>60922.55</v>
      </c>
      <c r="V1421">
        <f>442.09</f>
        <v>442.09</v>
      </c>
    </row>
    <row r="1422" spans="1:22" x14ac:dyDescent="0.2">
      <c r="A1422" s="1">
        <v>43117</v>
      </c>
      <c r="B1422">
        <f>2909.1</f>
        <v>2909.1</v>
      </c>
      <c r="C1422">
        <f>10680.76</f>
        <v>10680.76</v>
      </c>
      <c r="D1422">
        <f>6552.34</f>
        <v>6552.34</v>
      </c>
      <c r="E1422">
        <f>2662.164</f>
        <v>2662.1640000000002</v>
      </c>
      <c r="F1422">
        <f>2149.28</f>
        <v>2149.2800000000002</v>
      </c>
      <c r="G1422">
        <f>9143.019</f>
        <v>9143.0190000000002</v>
      </c>
      <c r="H1422">
        <f>3696.13</f>
        <v>3696.13</v>
      </c>
      <c r="I1422">
        <f>11002.878</f>
        <v>11002.878000000001</v>
      </c>
      <c r="J1422">
        <f>4057.98</f>
        <v>4057.98</v>
      </c>
      <c r="K1422">
        <f>11342.86</f>
        <v>11342.86</v>
      </c>
      <c r="L1422">
        <f>2082.37</f>
        <v>2082.37</v>
      </c>
      <c r="M1422">
        <f>8858.57</f>
        <v>8858.57</v>
      </c>
      <c r="N1422">
        <f>321.525</f>
        <v>321.52499999999998</v>
      </c>
      <c r="O1422">
        <f>2981.69</f>
        <v>2981.69</v>
      </c>
      <c r="P1422">
        <f>279.91</f>
        <v>279.91000000000003</v>
      </c>
      <c r="Q1422">
        <f>2540.641</f>
        <v>2540.6410000000001</v>
      </c>
      <c r="R1422">
        <f>5467.85</f>
        <v>5467.85</v>
      </c>
      <c r="S1422">
        <f>2752.41</f>
        <v>2752.41</v>
      </c>
      <c r="T1422">
        <f>4287.552</f>
        <v>4287.5519999999997</v>
      </c>
      <c r="U1422">
        <f>60924.46</f>
        <v>60924.46</v>
      </c>
      <c r="V1422">
        <f>437.58</f>
        <v>437.58</v>
      </c>
    </row>
    <row r="1423" spans="1:22" x14ac:dyDescent="0.2">
      <c r="A1423" s="1">
        <v>43116</v>
      </c>
      <c r="B1423">
        <f>2927.12</f>
        <v>2927.12</v>
      </c>
      <c r="C1423">
        <f>10614.32</f>
        <v>10614.32</v>
      </c>
      <c r="D1423">
        <f>6578.21</f>
        <v>6578.21</v>
      </c>
      <c r="E1423">
        <f>2651.811</f>
        <v>2651.8110000000001</v>
      </c>
      <c r="F1423">
        <f>2161.8</f>
        <v>2161.8000000000002</v>
      </c>
      <c r="G1423">
        <f>9136.632</f>
        <v>9136.6319999999996</v>
      </c>
      <c r="H1423">
        <f>3696.51</f>
        <v>3696.51</v>
      </c>
      <c r="I1423">
        <f>11006.823</f>
        <v>11006.823</v>
      </c>
      <c r="J1423">
        <f>4005.16</f>
        <v>4005.16</v>
      </c>
      <c r="K1423">
        <f>11237.29</f>
        <v>11237.29</v>
      </c>
      <c r="L1423">
        <f>2071.89</f>
        <v>2071.89</v>
      </c>
      <c r="M1423">
        <f>8812.05</f>
        <v>8812.0499999999993</v>
      </c>
      <c r="N1423">
        <f>321.441</f>
        <v>321.44099999999997</v>
      </c>
      <c r="O1423">
        <f>2983.34</f>
        <v>2983.34</v>
      </c>
      <c r="P1423">
        <f>280.61</f>
        <v>280.61</v>
      </c>
      <c r="Q1423">
        <f>2518</f>
        <v>2518</v>
      </c>
      <c r="R1423">
        <f>5416.86</f>
        <v>5416.86</v>
      </c>
      <c r="S1423">
        <f>2757.4</f>
        <v>2757.4</v>
      </c>
      <c r="T1423">
        <f>4249.988</f>
        <v>4249.9880000000003</v>
      </c>
      <c r="U1423">
        <f>60649.6</f>
        <v>60649.599999999999</v>
      </c>
      <c r="V1423">
        <f>433.19</f>
        <v>433.19</v>
      </c>
    </row>
    <row r="1424" spans="1:22" x14ac:dyDescent="0.2">
      <c r="A1424" s="1">
        <v>43115</v>
      </c>
      <c r="B1424">
        <f>2934.53</f>
        <v>2934.53</v>
      </c>
      <c r="C1424">
        <f>10497.13</f>
        <v>10497.13</v>
      </c>
      <c r="D1424">
        <f>6589.41</f>
        <v>6589.41</v>
      </c>
      <c r="E1424">
        <f>2636.075</f>
        <v>2636.0749999999998</v>
      </c>
      <c r="F1424">
        <f>2176.87</f>
        <v>2176.87</v>
      </c>
      <c r="G1424">
        <f>9173.129</f>
        <v>9173.1290000000008</v>
      </c>
      <c r="H1424">
        <f>3691.27</f>
        <v>3691.27</v>
      </c>
      <c r="I1424">
        <f>11026.616</f>
        <v>11026.616</v>
      </c>
      <c r="J1424">
        <f>4010.21</f>
        <v>4010.21</v>
      </c>
      <c r="K1424">
        <f>11278.6</f>
        <v>11278.6</v>
      </c>
      <c r="L1424">
        <f>2072.79</f>
        <v>2072.79</v>
      </c>
      <c r="M1424">
        <f>8834.29</f>
        <v>8834.2900000000009</v>
      </c>
      <c r="N1424">
        <f>321.456</f>
        <v>321.45600000000002</v>
      </c>
      <c r="O1424">
        <f>2983.22</f>
        <v>2983.22</v>
      </c>
      <c r="P1424">
        <f>280.18</f>
        <v>280.18</v>
      </c>
      <c r="Q1424" t="e">
        <f>NA()</f>
        <v>#N/A</v>
      </c>
      <c r="R1424" t="e">
        <f>NA()</f>
        <v>#N/A</v>
      </c>
      <c r="S1424">
        <f>2742.34</f>
        <v>2742.34</v>
      </c>
      <c r="T1424">
        <f>4194.792</f>
        <v>4194.7920000000004</v>
      </c>
      <c r="U1424">
        <f>60240.96</f>
        <v>60240.959999999999</v>
      </c>
      <c r="V1424">
        <f>431.97</f>
        <v>431.97</v>
      </c>
    </row>
    <row r="1425" spans="1:22" x14ac:dyDescent="0.2">
      <c r="A1425" s="1">
        <v>43112</v>
      </c>
      <c r="B1425">
        <f>2932.43</f>
        <v>2932.43</v>
      </c>
      <c r="C1425">
        <f>10447.17</f>
        <v>10447.17</v>
      </c>
      <c r="D1425">
        <f>6597.47</f>
        <v>6597.47</v>
      </c>
      <c r="E1425">
        <f>2630.695</f>
        <v>2630.6950000000002</v>
      </c>
      <c r="F1425">
        <f>2163.84</f>
        <v>2163.84</v>
      </c>
      <c r="G1425">
        <f>9107.501</f>
        <v>9107.5010000000002</v>
      </c>
      <c r="H1425">
        <f>3658.8</f>
        <v>3658.8</v>
      </c>
      <c r="I1425">
        <f>10922.588</f>
        <v>10922.588</v>
      </c>
      <c r="J1425">
        <f>4010.21</f>
        <v>4010.21</v>
      </c>
      <c r="K1425">
        <f>11278.6</f>
        <v>11278.6</v>
      </c>
      <c r="L1425">
        <f>2063.3</f>
        <v>2063.3000000000002</v>
      </c>
      <c r="M1425">
        <f>8799.49</f>
        <v>8799.49</v>
      </c>
      <c r="N1425">
        <f>321.616</f>
        <v>321.61599999999999</v>
      </c>
      <c r="O1425">
        <f>2988.79</f>
        <v>2988.79</v>
      </c>
      <c r="P1425">
        <f>279.24</f>
        <v>279.24</v>
      </c>
      <c r="Q1425">
        <f>2524.058</f>
        <v>2524.058</v>
      </c>
      <c r="R1425">
        <f>5435.92</f>
        <v>5435.92</v>
      </c>
      <c r="S1425">
        <f>2731.19</f>
        <v>2731.19</v>
      </c>
      <c r="T1425">
        <f>4190.983</f>
        <v>4190.9830000000002</v>
      </c>
      <c r="U1425">
        <f>60083.13</f>
        <v>60083.13</v>
      </c>
      <c r="V1425">
        <f>431.53</f>
        <v>431.53</v>
      </c>
    </row>
    <row r="1426" spans="1:22" x14ac:dyDescent="0.2">
      <c r="A1426" s="1">
        <v>43111</v>
      </c>
      <c r="B1426">
        <f>2913.83</f>
        <v>2913.83</v>
      </c>
      <c r="C1426">
        <f>10373.24</f>
        <v>10373.24</v>
      </c>
      <c r="D1426">
        <f>6584.16</f>
        <v>6584.16</v>
      </c>
      <c r="E1426">
        <f>2606.381</f>
        <v>2606.3809999999999</v>
      </c>
      <c r="F1426">
        <f>2133.36</f>
        <v>2133.36</v>
      </c>
      <c r="G1426">
        <f>8984.228</f>
        <v>8984.2279999999992</v>
      </c>
      <c r="H1426">
        <f>3686.45</f>
        <v>3686.45</v>
      </c>
      <c r="I1426">
        <f>10811.335</f>
        <v>10811.334999999999</v>
      </c>
      <c r="J1426">
        <f>3985.95</f>
        <v>3985.95</v>
      </c>
      <c r="K1426">
        <f>11206.17</f>
        <v>11206.17</v>
      </c>
      <c r="L1426">
        <f>2049.6</f>
        <v>2049.6</v>
      </c>
      <c r="M1426">
        <f>8744.98</f>
        <v>8744.98</v>
      </c>
      <c r="N1426">
        <f>320.12</f>
        <v>320.12</v>
      </c>
      <c r="O1426">
        <f>2979.75</f>
        <v>2979.75</v>
      </c>
      <c r="P1426">
        <f>281.49</f>
        <v>281.49</v>
      </c>
      <c r="Q1426">
        <f>2511.992</f>
        <v>2511.9920000000002</v>
      </c>
      <c r="R1426">
        <f>5399.46</f>
        <v>5399.46</v>
      </c>
      <c r="S1426">
        <f>2748.43</f>
        <v>2748.43</v>
      </c>
      <c r="T1426">
        <f>4176.69</f>
        <v>4176.6899999999996</v>
      </c>
      <c r="U1426">
        <f>59606.02</f>
        <v>59606.02</v>
      </c>
      <c r="V1426">
        <f>430.06</f>
        <v>430.06</v>
      </c>
    </row>
    <row r="1427" spans="1:22" x14ac:dyDescent="0.2">
      <c r="A1427" s="1">
        <v>43110</v>
      </c>
      <c r="B1427">
        <f>2916.98</f>
        <v>2916.98</v>
      </c>
      <c r="C1427">
        <f>10363.4</f>
        <v>10363.4</v>
      </c>
      <c r="D1427">
        <f>6571.92</f>
        <v>6571.92</v>
      </c>
      <c r="E1427">
        <f>2607.508</f>
        <v>2607.5079999999998</v>
      </c>
      <c r="F1427">
        <f>2141.74</f>
        <v>2141.7399999999998</v>
      </c>
      <c r="G1427">
        <f>8963.738</f>
        <v>8963.7379999999994</v>
      </c>
      <c r="H1427">
        <f>3695.76</f>
        <v>3695.76</v>
      </c>
      <c r="I1427">
        <f>10789.53</f>
        <v>10789.53</v>
      </c>
      <c r="J1427">
        <f>3961.56</f>
        <v>3961.56</v>
      </c>
      <c r="K1427">
        <f>11125.52</f>
        <v>11125.52</v>
      </c>
      <c r="L1427">
        <f>2044.9</f>
        <v>2044.9</v>
      </c>
      <c r="M1427">
        <f>8706.33</f>
        <v>8706.33</v>
      </c>
      <c r="N1427">
        <f>322.088</f>
        <v>322.08800000000002</v>
      </c>
      <c r="O1427">
        <f>2988.03</f>
        <v>2988.03</v>
      </c>
      <c r="P1427">
        <f>281.53</f>
        <v>281.52999999999997</v>
      </c>
      <c r="Q1427">
        <f>2495.517</f>
        <v>2495.5169999999998</v>
      </c>
      <c r="R1427">
        <f>5361.33</f>
        <v>5361.33</v>
      </c>
      <c r="S1427">
        <f>2754.29</f>
        <v>2754.29</v>
      </c>
      <c r="T1427">
        <f>4224.852</f>
        <v>4224.8519999999999</v>
      </c>
      <c r="U1427">
        <f>59979.63</f>
        <v>59979.63</v>
      </c>
      <c r="V1427">
        <f>432.82</f>
        <v>432.82</v>
      </c>
    </row>
    <row r="1428" spans="1:22" x14ac:dyDescent="0.2">
      <c r="A1428" s="1">
        <v>43109</v>
      </c>
      <c r="B1428">
        <f>2925.09</f>
        <v>2925.09</v>
      </c>
      <c r="C1428">
        <f>10397.08</f>
        <v>10397.08</v>
      </c>
      <c r="D1428">
        <f>6557.08</f>
        <v>6557.08</v>
      </c>
      <c r="E1428">
        <f>2623.943</f>
        <v>2623.9430000000002</v>
      </c>
      <c r="F1428">
        <f>2154.94</f>
        <v>2154.94</v>
      </c>
      <c r="G1428">
        <f>8935.272</f>
        <v>8935.2720000000008</v>
      </c>
      <c r="H1428">
        <f>3656.99</f>
        <v>3656.99</v>
      </c>
      <c r="I1428">
        <f>10788.268</f>
        <v>10788.268</v>
      </c>
      <c r="J1428">
        <f>3973.6</f>
        <v>3973.6</v>
      </c>
      <c r="K1428">
        <f>11139.92</f>
        <v>11139.92</v>
      </c>
      <c r="L1428">
        <f>2051.89</f>
        <v>2051.89</v>
      </c>
      <c r="M1428">
        <f>8704.27</f>
        <v>8704.27</v>
      </c>
      <c r="N1428">
        <f>325.532</f>
        <v>325.53199999999998</v>
      </c>
      <c r="O1428">
        <f>2997.3</f>
        <v>2997.3</v>
      </c>
      <c r="P1428">
        <f>280.63</f>
        <v>280.63</v>
      </c>
      <c r="Q1428">
        <f>2508.043</f>
        <v>2508.0430000000001</v>
      </c>
      <c r="R1428">
        <f>5367.26</f>
        <v>5367.26</v>
      </c>
      <c r="S1428">
        <f>2750.17</f>
        <v>2750.17</v>
      </c>
      <c r="T1428">
        <f>4257.278</f>
        <v>4257.2780000000002</v>
      </c>
      <c r="U1428">
        <f>60113.65</f>
        <v>60113.65</v>
      </c>
      <c r="V1428">
        <f>437.19</f>
        <v>437.19</v>
      </c>
    </row>
    <row r="1429" spans="1:22" x14ac:dyDescent="0.2">
      <c r="A1429" s="1">
        <v>43108</v>
      </c>
      <c r="B1429">
        <f>2919.09</f>
        <v>2919.09</v>
      </c>
      <c r="C1429">
        <f>10394.15</f>
        <v>10394.15</v>
      </c>
      <c r="D1429">
        <f>6527.81</f>
        <v>6527.81</v>
      </c>
      <c r="E1429">
        <f>2627.702</f>
        <v>2627.7020000000002</v>
      </c>
      <c r="F1429">
        <f>2152.75</f>
        <v>2152.75</v>
      </c>
      <c r="G1429">
        <f>8932.628</f>
        <v>8932.6280000000006</v>
      </c>
      <c r="H1429">
        <f>3617.52</f>
        <v>3617.52</v>
      </c>
      <c r="I1429">
        <f>10782.55</f>
        <v>10782.55</v>
      </c>
      <c r="J1429">
        <f>3972.35</f>
        <v>3972.35</v>
      </c>
      <c r="K1429">
        <f>11121.96</f>
        <v>11121.96</v>
      </c>
      <c r="L1429">
        <f>2052.98</f>
        <v>2052.98</v>
      </c>
      <c r="M1429">
        <f>8687.21</f>
        <v>8687.2099999999991</v>
      </c>
      <c r="N1429">
        <f>324.42</f>
        <v>324.42</v>
      </c>
      <c r="O1429">
        <f>2983.88</f>
        <v>2983.88</v>
      </c>
      <c r="P1429" t="e">
        <f>NA()</f>
        <v>#N/A</v>
      </c>
      <c r="Q1429">
        <f>2507.063</f>
        <v>2507.0630000000001</v>
      </c>
      <c r="R1429">
        <f>5358.68</f>
        <v>5358.68</v>
      </c>
      <c r="S1429" t="e">
        <f>NA()</f>
        <v>#N/A</v>
      </c>
      <c r="T1429">
        <f>4252.298</f>
        <v>4252.2979999999998</v>
      </c>
      <c r="U1429">
        <f>60038.39</f>
        <v>60038.39</v>
      </c>
      <c r="V1429">
        <f>431.96</f>
        <v>431.96</v>
      </c>
    </row>
    <row r="1430" spans="1:22" x14ac:dyDescent="0.2">
      <c r="A1430" s="1">
        <v>43105</v>
      </c>
      <c r="B1430">
        <f>2931.3</f>
        <v>2931.3</v>
      </c>
      <c r="C1430">
        <f>10350.94</f>
        <v>10350.94</v>
      </c>
      <c r="D1430">
        <f>6551.31</f>
        <v>6551.31</v>
      </c>
      <c r="E1430">
        <f>2614.873</f>
        <v>2614.873</v>
      </c>
      <c r="F1430">
        <f>2151.88</f>
        <v>2151.88</v>
      </c>
      <c r="G1430">
        <f>8954.498</f>
        <v>8954.4979999999996</v>
      </c>
      <c r="H1430">
        <f>3609.53</f>
        <v>3609.53</v>
      </c>
      <c r="I1430">
        <f>10805.55</f>
        <v>10805.55</v>
      </c>
      <c r="J1430">
        <f>3962.77</f>
        <v>3962.77</v>
      </c>
      <c r="K1430">
        <f>11100.77</f>
        <v>11100.77</v>
      </c>
      <c r="L1430">
        <f>2053.73</f>
        <v>2053.73</v>
      </c>
      <c r="M1430">
        <f>8681.65</f>
        <v>8681.65</v>
      </c>
      <c r="N1430">
        <f>324.767</f>
        <v>324.767</v>
      </c>
      <c r="O1430">
        <f>2976.04</f>
        <v>2976.04</v>
      </c>
      <c r="P1430">
        <f>280.47</f>
        <v>280.47000000000003</v>
      </c>
      <c r="Q1430">
        <f>2497.552</f>
        <v>2497.5520000000001</v>
      </c>
      <c r="R1430">
        <f>5349.69</f>
        <v>5349.69</v>
      </c>
      <c r="S1430">
        <f>2737.16</f>
        <v>2737.16</v>
      </c>
      <c r="T1430">
        <f>4237.969</f>
        <v>4237.9690000000001</v>
      </c>
      <c r="U1430">
        <f>59717.2</f>
        <v>59717.2</v>
      </c>
      <c r="V1430">
        <f>429.91</f>
        <v>429.91</v>
      </c>
    </row>
    <row r="1431" spans="1:22" x14ac:dyDescent="0.2">
      <c r="A1431" s="1">
        <v>43104</v>
      </c>
      <c r="B1431">
        <f>2908.53</f>
        <v>2908.53</v>
      </c>
      <c r="C1431">
        <f>10298.5</f>
        <v>10298.5</v>
      </c>
      <c r="D1431">
        <f>6527.28</f>
        <v>6527.28</v>
      </c>
      <c r="E1431">
        <f>2596.417</f>
        <v>2596.4169999999999</v>
      </c>
      <c r="F1431">
        <f>2137.85</f>
        <v>2137.85</v>
      </c>
      <c r="G1431">
        <f>8914.891</f>
        <v>8914.8909999999996</v>
      </c>
      <c r="H1431">
        <f>3596.28</f>
        <v>3596.28</v>
      </c>
      <c r="I1431">
        <f>10735.265</f>
        <v>10735.264999999999</v>
      </c>
      <c r="J1431">
        <f>3938.16</f>
        <v>3938.16</v>
      </c>
      <c r="K1431">
        <f>11024.08</f>
        <v>11024.08</v>
      </c>
      <c r="L1431">
        <f>2042.11</f>
        <v>2042.11</v>
      </c>
      <c r="M1431">
        <f>8625.9</f>
        <v>8625.9</v>
      </c>
      <c r="N1431">
        <f>321.133</f>
        <v>321.13299999999998</v>
      </c>
      <c r="O1431">
        <f>2948.96</f>
        <v>2948.96</v>
      </c>
      <c r="P1431">
        <f>278.53</f>
        <v>278.52999999999997</v>
      </c>
      <c r="Q1431">
        <f>2484.517</f>
        <v>2484.5169999999998</v>
      </c>
      <c r="R1431">
        <f>5312.33</f>
        <v>5312.33</v>
      </c>
      <c r="S1431">
        <f>2713.1</f>
        <v>2713.1</v>
      </c>
      <c r="T1431">
        <f>4205.691</f>
        <v>4205.6909999999998</v>
      </c>
      <c r="U1431">
        <f>59476.77</f>
        <v>59476.77</v>
      </c>
      <c r="V1431">
        <f>424.17</f>
        <v>424.17</v>
      </c>
    </row>
    <row r="1432" spans="1:22" x14ac:dyDescent="0.2">
      <c r="A1432" s="1">
        <v>43103</v>
      </c>
      <c r="B1432">
        <f>2906.74</f>
        <v>2906.74</v>
      </c>
      <c r="C1432">
        <f>10217.57</f>
        <v>10217.57</v>
      </c>
      <c r="D1432">
        <f>6505.71</f>
        <v>6505.71</v>
      </c>
      <c r="E1432">
        <f>2578.254</f>
        <v>2578.2539999999999</v>
      </c>
      <c r="F1432">
        <f>2131.51</f>
        <v>2131.5100000000002</v>
      </c>
      <c r="G1432">
        <f>8859.687</f>
        <v>8859.6869999999999</v>
      </c>
      <c r="H1432">
        <f>3543.82</f>
        <v>3543.82</v>
      </c>
      <c r="I1432">
        <f>10564.59</f>
        <v>10564.59</v>
      </c>
      <c r="J1432">
        <f>3925.63</f>
        <v>3925.63</v>
      </c>
      <c r="K1432">
        <f>10977.98</f>
        <v>10977.98</v>
      </c>
      <c r="L1432">
        <f>2028.2</f>
        <v>2028.2</v>
      </c>
      <c r="M1432">
        <f>8555.97</f>
        <v>8555.9699999999993</v>
      </c>
      <c r="N1432">
        <f>320.196</f>
        <v>320.19600000000003</v>
      </c>
      <c r="O1432">
        <f>2921.95</f>
        <v>2921.95</v>
      </c>
      <c r="P1432" t="e">
        <f>NA()</f>
        <v>#N/A</v>
      </c>
      <c r="Q1432">
        <f>2475.64</f>
        <v>2475.64</v>
      </c>
      <c r="R1432">
        <f>5289.92</f>
        <v>5289.92</v>
      </c>
      <c r="S1432" t="e">
        <f>NA()</f>
        <v>#N/A</v>
      </c>
      <c r="T1432">
        <f>4212.481</f>
        <v>4212.4809999999998</v>
      </c>
      <c r="U1432">
        <f>59629.64</f>
        <v>59629.64</v>
      </c>
      <c r="V1432">
        <f>423.48</f>
        <v>423.48</v>
      </c>
    </row>
    <row r="1433" spans="1:22" x14ac:dyDescent="0.2">
      <c r="A1433" s="1">
        <v>43102</v>
      </c>
      <c r="B1433">
        <f>2901.75</f>
        <v>2901.75</v>
      </c>
      <c r="C1433">
        <f>10194.86</f>
        <v>10194.86</v>
      </c>
      <c r="D1433">
        <f>6486.2</f>
        <v>6486.2</v>
      </c>
      <c r="E1433">
        <f>2564.603</f>
        <v>2564.6030000000001</v>
      </c>
      <c r="F1433">
        <f>2134.77</f>
        <v>2134.77</v>
      </c>
      <c r="G1433">
        <f>8878.181</f>
        <v>8878.1810000000005</v>
      </c>
      <c r="H1433">
        <f>3551.72</f>
        <v>3551.72</v>
      </c>
      <c r="I1433">
        <f>10513.278</f>
        <v>10513.278</v>
      </c>
      <c r="J1433">
        <f>3913.52</f>
        <v>3913.52</v>
      </c>
      <c r="K1433">
        <f>10907.57</f>
        <v>10907.57</v>
      </c>
      <c r="L1433">
        <f>2024.88</f>
        <v>2024.88</v>
      </c>
      <c r="M1433">
        <f>8517.26</f>
        <v>8517.26</v>
      </c>
      <c r="N1433">
        <f>319.925</f>
        <v>319.92500000000001</v>
      </c>
      <c r="O1433">
        <f>2909.25</f>
        <v>2909.25</v>
      </c>
      <c r="P1433" t="e">
        <f>NA()</f>
        <v>#N/A</v>
      </c>
      <c r="Q1433">
        <f>2469.728</f>
        <v>2469.7280000000001</v>
      </c>
      <c r="R1433">
        <f>5256.28</f>
        <v>5256.28</v>
      </c>
      <c r="S1433" t="e">
        <f>NA()</f>
        <v>#N/A</v>
      </c>
      <c r="T1433">
        <f>4283.076</f>
        <v>4283.076</v>
      </c>
      <c r="U1433">
        <f>59731.16</f>
        <v>59731.16</v>
      </c>
      <c r="V1433">
        <f>432.23</f>
        <v>432.23</v>
      </c>
    </row>
    <row r="1434" spans="1:22" x14ac:dyDescent="0.2">
      <c r="A1434" s="1">
        <v>43101</v>
      </c>
      <c r="B1434">
        <f>2895.05</f>
        <v>2895.05</v>
      </c>
      <c r="C1434">
        <f>10105.03</f>
        <v>10105.030000000001</v>
      </c>
      <c r="D1434">
        <f>6519.85</f>
        <v>6519.85</v>
      </c>
      <c r="E1434">
        <f>2519.764</f>
        <v>2519.7640000000001</v>
      </c>
      <c r="F1434">
        <f>2132.2</f>
        <v>2132.1999999999998</v>
      </c>
      <c r="G1434">
        <f>8889.679</f>
        <v>8889.6790000000001</v>
      </c>
      <c r="H1434">
        <f>3535.79</f>
        <v>3535.79</v>
      </c>
      <c r="I1434">
        <f>10497.268</f>
        <v>10497.268</v>
      </c>
      <c r="J1434">
        <f>3901.82</f>
        <v>3901.82</v>
      </c>
      <c r="K1434">
        <f>10817.69</f>
        <v>10817.69</v>
      </c>
      <c r="L1434">
        <f>2018.83</f>
        <v>2018.83</v>
      </c>
      <c r="M1434">
        <f>8466.44</f>
        <v>8466.44</v>
      </c>
      <c r="N1434" t="e">
        <f>NA()</f>
        <v>#N/A</v>
      </c>
      <c r="O1434" t="e">
        <f>NA()</f>
        <v>#N/A</v>
      </c>
      <c r="P1434" t="e">
        <f>NA()</f>
        <v>#N/A</v>
      </c>
      <c r="Q1434" t="e">
        <f>NA()</f>
        <v>#N/A</v>
      </c>
      <c r="R1434" t="e">
        <f>NA()</f>
        <v>#N/A</v>
      </c>
      <c r="S1434" t="e">
        <f>NA()</f>
        <v>#N/A</v>
      </c>
      <c r="T1434" t="e">
        <f>NA()</f>
        <v>#N/A</v>
      </c>
      <c r="U1434" t="e">
        <f>NA()</f>
        <v>#N/A</v>
      </c>
      <c r="V1434" t="e">
        <f>NA()</f>
        <v>#N/A</v>
      </c>
    </row>
    <row r="1435" spans="1:22" x14ac:dyDescent="0.2">
      <c r="A1435" s="1">
        <v>43098</v>
      </c>
      <c r="B1435">
        <f>2895.05</f>
        <v>2895.05</v>
      </c>
      <c r="C1435">
        <f>10107.68</f>
        <v>10107.68</v>
      </c>
      <c r="D1435">
        <f>6519.85</f>
        <v>6519.85</v>
      </c>
      <c r="E1435">
        <f>2521.743</f>
        <v>2521.7429999999999</v>
      </c>
      <c r="F1435">
        <f>2132.2</f>
        <v>2132.1999999999998</v>
      </c>
      <c r="G1435">
        <f>8889.679</f>
        <v>8889.6790000000001</v>
      </c>
      <c r="H1435">
        <f>3535.79</f>
        <v>3535.79</v>
      </c>
      <c r="I1435">
        <f>10497.268</f>
        <v>10497.268</v>
      </c>
      <c r="J1435">
        <f>3901.82</f>
        <v>3901.82</v>
      </c>
      <c r="K1435">
        <f>10817.69</f>
        <v>10817.69</v>
      </c>
      <c r="L1435">
        <f>2018.83</f>
        <v>2018.83</v>
      </c>
      <c r="M1435">
        <f>8466.34</f>
        <v>8466.34</v>
      </c>
      <c r="N1435">
        <f>321.171</f>
        <v>321.17099999999999</v>
      </c>
      <c r="O1435">
        <f>2914.49</f>
        <v>2914.49</v>
      </c>
      <c r="P1435">
        <f>274.24</f>
        <v>274.24</v>
      </c>
      <c r="Q1435">
        <f>2464.253</f>
        <v>2464.2530000000002</v>
      </c>
      <c r="R1435">
        <f>5212.76</f>
        <v>5212.76</v>
      </c>
      <c r="S1435">
        <f>2645.77</f>
        <v>2645.77</v>
      </c>
      <c r="T1435">
        <f>4302.107</f>
        <v>4302.107</v>
      </c>
      <c r="U1435">
        <f>59504.67</f>
        <v>59504.67</v>
      </c>
      <c r="V1435">
        <f>435.48</f>
        <v>435.48</v>
      </c>
    </row>
    <row r="1436" spans="1:22" x14ac:dyDescent="0.2">
      <c r="A1436" s="1">
        <v>43097</v>
      </c>
      <c r="B1436">
        <f>2878.08</f>
        <v>2878.08</v>
      </c>
      <c r="C1436">
        <f>10035.32</f>
        <v>10035.32</v>
      </c>
      <c r="D1436">
        <f>6464.81</f>
        <v>6464.81</v>
      </c>
      <c r="E1436">
        <f>2511.113</f>
        <v>2511.1129999999998</v>
      </c>
      <c r="F1436">
        <f>2099.91</f>
        <v>2099.91</v>
      </c>
      <c r="G1436">
        <f>8757.661</f>
        <v>8757.6610000000001</v>
      </c>
      <c r="H1436">
        <f>3533.75</f>
        <v>3533.75</v>
      </c>
      <c r="I1436">
        <f>10484.48</f>
        <v>10484.48</v>
      </c>
      <c r="J1436">
        <f>3915.7</f>
        <v>3915.7</v>
      </c>
      <c r="K1436">
        <f>10874.12</f>
        <v>10874.12</v>
      </c>
      <c r="L1436">
        <f>2018.37</f>
        <v>2018.37</v>
      </c>
      <c r="M1436">
        <f>8479.72</f>
        <v>8479.7199999999993</v>
      </c>
      <c r="N1436">
        <f>320.756</f>
        <v>320.75599999999997</v>
      </c>
      <c r="O1436">
        <f>2918.03</f>
        <v>2918.03</v>
      </c>
      <c r="P1436">
        <f>274.21</f>
        <v>274.20999999999998</v>
      </c>
      <c r="Q1436">
        <f>2470.806</f>
        <v>2470.806</v>
      </c>
      <c r="R1436">
        <f>5239.59</f>
        <v>5239.59</v>
      </c>
      <c r="S1436">
        <f>2647.9</f>
        <v>2647.9</v>
      </c>
      <c r="T1436">
        <f>4241.257</f>
        <v>4241.2569999999996</v>
      </c>
      <c r="U1436">
        <f>58952.89</f>
        <v>58952.89</v>
      </c>
      <c r="V1436">
        <f>430.62</f>
        <v>430.62</v>
      </c>
    </row>
    <row r="1437" spans="1:22" x14ac:dyDescent="0.2">
      <c r="A1437" s="1">
        <v>43096</v>
      </c>
      <c r="B1437">
        <f>2871.84</f>
        <v>2871.84</v>
      </c>
      <c r="C1437">
        <f>9965.84</f>
        <v>9965.84</v>
      </c>
      <c r="D1437">
        <f>6458.27</f>
        <v>6458.27</v>
      </c>
      <c r="E1437">
        <f>2491.082</f>
        <v>2491.0819999999999</v>
      </c>
      <c r="F1437">
        <f>2086.86</f>
        <v>2086.86</v>
      </c>
      <c r="G1437">
        <f>8722.571</f>
        <v>8722.5709999999999</v>
      </c>
      <c r="H1437">
        <f>3543.92</f>
        <v>3543.92</v>
      </c>
      <c r="I1437">
        <f>10481.606</f>
        <v>10481.606</v>
      </c>
      <c r="J1437">
        <f>3911.74</f>
        <v>3911.74</v>
      </c>
      <c r="K1437">
        <f>10850.8</f>
        <v>10850.8</v>
      </c>
      <c r="L1437">
        <f>2014.26</f>
        <v>2014.26</v>
      </c>
      <c r="M1437">
        <f>8462.65</f>
        <v>8462.65</v>
      </c>
      <c r="N1437">
        <f>321.129</f>
        <v>321.12900000000002</v>
      </c>
      <c r="O1437">
        <f>2925.16</f>
        <v>2925.16</v>
      </c>
      <c r="P1437">
        <f>276.7</f>
        <v>276.7</v>
      </c>
      <c r="Q1437">
        <f>2467.61</f>
        <v>2467.61</v>
      </c>
      <c r="R1437">
        <f>5229.01</f>
        <v>5229.01</v>
      </c>
      <c r="S1437">
        <f>2663.57</f>
        <v>2663.57</v>
      </c>
      <c r="T1437">
        <f>4227.786</f>
        <v>4227.7860000000001</v>
      </c>
      <c r="U1437">
        <f>58844.01</f>
        <v>58844.01</v>
      </c>
      <c r="V1437">
        <f>426.51</f>
        <v>426.51</v>
      </c>
    </row>
    <row r="1438" spans="1:22" x14ac:dyDescent="0.2">
      <c r="A1438" s="1">
        <v>43095</v>
      </c>
      <c r="B1438">
        <f>2853.92</f>
        <v>2853.92</v>
      </c>
      <c r="C1438">
        <f>9878.15</f>
        <v>9878.15</v>
      </c>
      <c r="D1438">
        <f>6434.52</f>
        <v>6434.52</v>
      </c>
      <c r="E1438">
        <f>2474.552</f>
        <v>2474.5520000000001</v>
      </c>
      <c r="F1438">
        <f>2076.04</f>
        <v>2076.04</v>
      </c>
      <c r="G1438">
        <f>8667.764</f>
        <v>8667.7639999999992</v>
      </c>
      <c r="H1438">
        <f>3540.13</f>
        <v>3540.13</v>
      </c>
      <c r="I1438">
        <f>10449.057</f>
        <v>10449.057000000001</v>
      </c>
      <c r="J1438">
        <f>3906.47</f>
        <v>3906.47</v>
      </c>
      <c r="K1438">
        <f>10841.72</f>
        <v>10841.72</v>
      </c>
      <c r="L1438">
        <f>2009.68</f>
        <v>2009.68</v>
      </c>
      <c r="M1438">
        <f>8445.57</f>
        <v>8445.57</v>
      </c>
      <c r="N1438" t="e">
        <f>NA()</f>
        <v>#N/A</v>
      </c>
      <c r="O1438" t="e">
        <f>NA()</f>
        <v>#N/A</v>
      </c>
      <c r="P1438">
        <f>275.65</f>
        <v>275.64999999999998</v>
      </c>
      <c r="Q1438">
        <f>2465.069</f>
        <v>2465.069</v>
      </c>
      <c r="R1438">
        <f>5224.51</f>
        <v>5224.51</v>
      </c>
      <c r="S1438">
        <f>2656.32</f>
        <v>2656.32</v>
      </c>
      <c r="T1438" t="e">
        <f>NA()</f>
        <v>#N/A</v>
      </c>
      <c r="U1438" t="e">
        <f>NA()</f>
        <v>#N/A</v>
      </c>
      <c r="V1438" t="e">
        <f>NA()</f>
        <v>#N/A</v>
      </c>
    </row>
    <row r="1439" spans="1:22" x14ac:dyDescent="0.2">
      <c r="A1439" s="1">
        <v>43094</v>
      </c>
      <c r="B1439">
        <f>2853.92</f>
        <v>2853.92</v>
      </c>
      <c r="C1439">
        <f>9895.22</f>
        <v>9895.2199999999993</v>
      </c>
      <c r="D1439">
        <f>6434.52</f>
        <v>6434.52</v>
      </c>
      <c r="E1439">
        <f>2479.376</f>
        <v>2479.3760000000002</v>
      </c>
      <c r="F1439">
        <f>2076.12</f>
        <v>2076.12</v>
      </c>
      <c r="G1439">
        <f>8668.088</f>
        <v>8668.0879999999997</v>
      </c>
      <c r="H1439">
        <f>3535.97</f>
        <v>3535.97</v>
      </c>
      <c r="I1439">
        <f>10428.062</f>
        <v>10428.062</v>
      </c>
      <c r="J1439">
        <f>3905.9</f>
        <v>3905.9</v>
      </c>
      <c r="K1439">
        <f>10852.6</f>
        <v>10852.6</v>
      </c>
      <c r="L1439">
        <f>2009.2</f>
        <v>2009.2</v>
      </c>
      <c r="M1439">
        <f>8447.87</f>
        <v>8447.8700000000008</v>
      </c>
      <c r="N1439" t="e">
        <f>NA()</f>
        <v>#N/A</v>
      </c>
      <c r="O1439" t="e">
        <f>NA()</f>
        <v>#N/A</v>
      </c>
      <c r="P1439">
        <f>275.7</f>
        <v>275.7</v>
      </c>
      <c r="Q1439" t="e">
        <f>NA()</f>
        <v>#N/A</v>
      </c>
      <c r="R1439" t="e">
        <f>NA()</f>
        <v>#N/A</v>
      </c>
      <c r="S1439">
        <f>2663.46</f>
        <v>2663.46</v>
      </c>
      <c r="T1439" t="e">
        <f>NA()</f>
        <v>#N/A</v>
      </c>
      <c r="U1439" t="e">
        <f>NA()</f>
        <v>#N/A</v>
      </c>
      <c r="V1439" t="e">
        <f>NA()</f>
        <v>#N/A</v>
      </c>
    </row>
    <row r="1440" spans="1:22" x14ac:dyDescent="0.2">
      <c r="A1440" s="1">
        <v>43091</v>
      </c>
      <c r="B1440">
        <f>2853.92</f>
        <v>2853.92</v>
      </c>
      <c r="C1440">
        <f>9899.97</f>
        <v>9899.9699999999993</v>
      </c>
      <c r="D1440">
        <f>6434.52</f>
        <v>6434.52</v>
      </c>
      <c r="E1440">
        <f>2479.338</f>
        <v>2479.3380000000002</v>
      </c>
      <c r="F1440">
        <f>2076.12</f>
        <v>2076.12</v>
      </c>
      <c r="G1440">
        <f>8668.088</f>
        <v>8668.0879999999997</v>
      </c>
      <c r="H1440">
        <f>3523.82</f>
        <v>3523.82</v>
      </c>
      <c r="I1440">
        <f>10428.062</f>
        <v>10428.062</v>
      </c>
      <c r="J1440">
        <f>3905.9</f>
        <v>3905.9</v>
      </c>
      <c r="K1440">
        <f>10852.6</f>
        <v>10852.6</v>
      </c>
      <c r="L1440">
        <f>2008.9</f>
        <v>2008.9</v>
      </c>
      <c r="M1440">
        <f>8446.46</f>
        <v>8446.4599999999991</v>
      </c>
      <c r="N1440">
        <f>321.366</f>
        <v>321.36599999999999</v>
      </c>
      <c r="O1440">
        <f>2924.27</f>
        <v>2924.27</v>
      </c>
      <c r="P1440">
        <f>275.74</f>
        <v>275.74</v>
      </c>
      <c r="Q1440">
        <f>2459.76</f>
        <v>2459.7600000000002</v>
      </c>
      <c r="R1440">
        <f>5229.79</f>
        <v>5229.79</v>
      </c>
      <c r="S1440">
        <f>2659.32</f>
        <v>2659.32</v>
      </c>
      <c r="T1440">
        <f>4182.217</f>
        <v>4182.2169999999996</v>
      </c>
      <c r="U1440">
        <f>58800.23</f>
        <v>58800.23</v>
      </c>
      <c r="V1440">
        <f>421.95</f>
        <v>421.95</v>
      </c>
    </row>
    <row r="1441" spans="1:22" x14ac:dyDescent="0.2">
      <c r="A1441" s="1">
        <v>43090</v>
      </c>
      <c r="B1441">
        <f>2849.19</f>
        <v>2849.19</v>
      </c>
      <c r="C1441">
        <f>9840.46</f>
        <v>9840.4599999999991</v>
      </c>
      <c r="D1441">
        <f>6444.12</f>
        <v>6444.12</v>
      </c>
      <c r="E1441">
        <f>2464.437</f>
        <v>2464.4369999999999</v>
      </c>
      <c r="F1441">
        <f>2069.47</f>
        <v>2069.4699999999998</v>
      </c>
      <c r="G1441">
        <f>8672.313</f>
        <v>8672.3130000000001</v>
      </c>
      <c r="H1441">
        <f>3506.83</f>
        <v>3506.83</v>
      </c>
      <c r="I1441">
        <f>10473.96</f>
        <v>10473.959999999999</v>
      </c>
      <c r="J1441">
        <f>3904.59</f>
        <v>3904.59</v>
      </c>
      <c r="K1441">
        <f>10857.12</f>
        <v>10857.12</v>
      </c>
      <c r="L1441">
        <f>2009.59</f>
        <v>2009.59</v>
      </c>
      <c r="M1441">
        <f>8451.16</f>
        <v>8451.16</v>
      </c>
      <c r="N1441">
        <f>320.145</f>
        <v>320.14499999999998</v>
      </c>
      <c r="O1441">
        <f>2928.05</f>
        <v>2928.05</v>
      </c>
      <c r="P1441">
        <f>274.87</f>
        <v>274.87</v>
      </c>
      <c r="Q1441">
        <f>2458.423</f>
        <v>2458.4229999999998</v>
      </c>
      <c r="R1441">
        <f>5232.16</f>
        <v>5232.16</v>
      </c>
      <c r="S1441">
        <f>2649.92</f>
        <v>2649.92</v>
      </c>
      <c r="T1441">
        <f>4186.156</f>
        <v>4186.1559999999999</v>
      </c>
      <c r="U1441">
        <f>58771.79</f>
        <v>58771.79</v>
      </c>
      <c r="V1441">
        <f>420.62</f>
        <v>420.62</v>
      </c>
    </row>
    <row r="1442" spans="1:22" x14ac:dyDescent="0.2">
      <c r="A1442" s="1">
        <v>43089</v>
      </c>
      <c r="B1442">
        <f>2830.74</f>
        <v>2830.74</v>
      </c>
      <c r="C1442">
        <f>9838.86</f>
        <v>9838.86</v>
      </c>
      <c r="D1442">
        <f>6376.92</f>
        <v>6376.92</v>
      </c>
      <c r="E1442">
        <f>2460.486</f>
        <v>2460.4859999999999</v>
      </c>
      <c r="F1442">
        <f>2060.99</f>
        <v>2060.9899999999998</v>
      </c>
      <c r="G1442">
        <f>8616.818</f>
        <v>8616.8179999999993</v>
      </c>
      <c r="H1442">
        <f>3512.21</f>
        <v>3512.21</v>
      </c>
      <c r="I1442">
        <f>10437.501</f>
        <v>10437.501</v>
      </c>
      <c r="J1442">
        <f>3907.29</f>
        <v>3907.29</v>
      </c>
      <c r="K1442">
        <f>10834.72</f>
        <v>10834.72</v>
      </c>
      <c r="L1442">
        <f>2007.29</f>
        <v>2007.29</v>
      </c>
      <c r="M1442">
        <f>8429.67</f>
        <v>8429.67</v>
      </c>
      <c r="N1442">
        <f>319.167</f>
        <v>319.16699999999997</v>
      </c>
      <c r="O1442">
        <f>2909.13</f>
        <v>2909.13</v>
      </c>
      <c r="P1442">
        <f>274.71</f>
        <v>274.70999999999998</v>
      </c>
      <c r="Q1442">
        <f>2454.162</f>
        <v>2454.1619999999998</v>
      </c>
      <c r="R1442">
        <f>5221.79</f>
        <v>5221.79</v>
      </c>
      <c r="S1442">
        <f>2647.81</f>
        <v>2647.81</v>
      </c>
      <c r="T1442">
        <f>4191.644</f>
        <v>4191.6440000000002</v>
      </c>
      <c r="U1442">
        <f>58032.09</f>
        <v>58032.09</v>
      </c>
      <c r="V1442">
        <f>423.2</f>
        <v>423.2</v>
      </c>
    </row>
    <row r="1443" spans="1:22" x14ac:dyDescent="0.2">
      <c r="A1443" s="1">
        <v>43088</v>
      </c>
      <c r="B1443">
        <f>2826.42</f>
        <v>2826.42</v>
      </c>
      <c r="C1443">
        <f>9845.7</f>
        <v>9845.7000000000007</v>
      </c>
      <c r="D1443">
        <f>6392.91</f>
        <v>6392.91</v>
      </c>
      <c r="E1443">
        <f>2459.007</f>
        <v>2459.0070000000001</v>
      </c>
      <c r="F1443">
        <f>2053.15</f>
        <v>2053.15</v>
      </c>
      <c r="G1443">
        <f>8601.365</f>
        <v>8601.3649999999998</v>
      </c>
      <c r="H1443">
        <f>3514.14</f>
        <v>3514.14</v>
      </c>
      <c r="I1443">
        <f>10457.492</f>
        <v>10457.492</v>
      </c>
      <c r="J1443">
        <f>3908.19</f>
        <v>3908.19</v>
      </c>
      <c r="K1443">
        <f>10842.57</f>
        <v>10842.57</v>
      </c>
      <c r="L1443">
        <f>2009.13</f>
        <v>2009.13</v>
      </c>
      <c r="M1443">
        <f>8432.56</f>
        <v>8432.56</v>
      </c>
      <c r="N1443">
        <f>320.671</f>
        <v>320.67099999999999</v>
      </c>
      <c r="O1443">
        <f>2930.1</f>
        <v>2930.1</v>
      </c>
      <c r="P1443">
        <f>273.24</f>
        <v>273.24</v>
      </c>
      <c r="Q1443">
        <f>2452.459</f>
        <v>2452.4589999999998</v>
      </c>
      <c r="R1443">
        <f>5225.43</f>
        <v>5225.43</v>
      </c>
      <c r="S1443">
        <f>2639.11</f>
        <v>2639.11</v>
      </c>
      <c r="T1443">
        <f>4265.663</f>
        <v>4265.6629999999996</v>
      </c>
      <c r="U1443">
        <f>58170.44</f>
        <v>58170.44</v>
      </c>
      <c r="V1443">
        <f>429.27</f>
        <v>429.27</v>
      </c>
    </row>
    <row r="1444" spans="1:22" x14ac:dyDescent="0.2">
      <c r="A1444" s="1">
        <v>43087</v>
      </c>
      <c r="B1444">
        <f>2815.52</f>
        <v>2815.52</v>
      </c>
      <c r="C1444">
        <f>9831.28</f>
        <v>9831.2800000000007</v>
      </c>
      <c r="D1444">
        <f>6386.91</f>
        <v>6386.91</v>
      </c>
      <c r="E1444">
        <f>2454.683</f>
        <v>2454.683</v>
      </c>
      <c r="F1444">
        <f>2054.74</f>
        <v>2054.7399999999998</v>
      </c>
      <c r="G1444">
        <f>8626.826</f>
        <v>8626.8259999999991</v>
      </c>
      <c r="H1444">
        <f>3528.07</f>
        <v>3528.07</v>
      </c>
      <c r="I1444">
        <f>10508.97</f>
        <v>10508.97</v>
      </c>
      <c r="J1444">
        <f>3914.28</f>
        <v>3914.28</v>
      </c>
      <c r="K1444">
        <f>10877.76</f>
        <v>10877.76</v>
      </c>
      <c r="L1444">
        <f>2017.37</f>
        <v>2017.37</v>
      </c>
      <c r="M1444">
        <f>8463</f>
        <v>8463</v>
      </c>
      <c r="N1444">
        <f>321.61</f>
        <v>321.61</v>
      </c>
      <c r="O1444">
        <f>2943.82</f>
        <v>2943.82</v>
      </c>
      <c r="P1444">
        <f>273.4</f>
        <v>273.39999999999998</v>
      </c>
      <c r="Q1444">
        <f>2453.251</f>
        <v>2453.2510000000002</v>
      </c>
      <c r="R1444">
        <f>5242.28</f>
        <v>5242.28</v>
      </c>
      <c r="S1444">
        <f>2643.07</f>
        <v>2643.07</v>
      </c>
      <c r="T1444">
        <f>4101.001</f>
        <v>4101.0010000000002</v>
      </c>
      <c r="U1444">
        <f>57707.42</f>
        <v>57707.42</v>
      </c>
      <c r="V1444">
        <f>417.08</f>
        <v>417.08</v>
      </c>
    </row>
    <row r="1445" spans="1:22" x14ac:dyDescent="0.2">
      <c r="A1445" s="1">
        <v>43084</v>
      </c>
      <c r="B1445">
        <f>2791.53</f>
        <v>2791.53</v>
      </c>
      <c r="C1445">
        <f>9704.89</f>
        <v>9704.89</v>
      </c>
      <c r="D1445">
        <f>6347.56</f>
        <v>6347.56</v>
      </c>
      <c r="E1445">
        <f>2428.82</f>
        <v>2428.8200000000002</v>
      </c>
      <c r="F1445">
        <f>2024.2</f>
        <v>2024.2</v>
      </c>
      <c r="G1445">
        <f>8517.903</f>
        <v>8517.9030000000002</v>
      </c>
      <c r="H1445">
        <f>3472.98</f>
        <v>3472.98</v>
      </c>
      <c r="I1445">
        <f>10338.054</f>
        <v>10338.054</v>
      </c>
      <c r="J1445">
        <f>3902.75</f>
        <v>3902.75</v>
      </c>
      <c r="K1445">
        <f>10817.99</f>
        <v>10817.99</v>
      </c>
      <c r="L1445">
        <f>2001.78</f>
        <v>2001.78</v>
      </c>
      <c r="M1445">
        <f>8388.33</f>
        <v>8388.33</v>
      </c>
      <c r="N1445">
        <f>318.796</f>
        <v>318.79599999999999</v>
      </c>
      <c r="O1445">
        <f>2907.88</f>
        <v>2907.88</v>
      </c>
      <c r="P1445">
        <f>271.55</f>
        <v>271.55</v>
      </c>
      <c r="Q1445">
        <f>2440.426</f>
        <v>2440.4259999999999</v>
      </c>
      <c r="R1445">
        <f>5214.1</f>
        <v>5214.1000000000004</v>
      </c>
      <c r="S1445">
        <f>2607.54</f>
        <v>2607.54</v>
      </c>
      <c r="T1445">
        <f>3981.226</f>
        <v>3981.2260000000001</v>
      </c>
      <c r="U1445">
        <f>57412.76</f>
        <v>57412.76</v>
      </c>
      <c r="V1445">
        <f>406.41</f>
        <v>406.41</v>
      </c>
    </row>
    <row r="1446" spans="1:22" x14ac:dyDescent="0.2">
      <c r="A1446" s="1">
        <v>43083</v>
      </c>
      <c r="B1446">
        <f>2778.6</f>
        <v>2778.6</v>
      </c>
      <c r="C1446">
        <f>9730.99</f>
        <v>9730.99</v>
      </c>
      <c r="D1446">
        <f>6311.58</f>
        <v>6311.58</v>
      </c>
      <c r="E1446">
        <f>2434.572</f>
        <v>2434.5720000000001</v>
      </c>
      <c r="F1446">
        <f>2037.82</f>
        <v>2037.82</v>
      </c>
      <c r="G1446">
        <f>8537.329</f>
        <v>8537.3289999999997</v>
      </c>
      <c r="H1446">
        <f>3523.73</f>
        <v>3523.73</v>
      </c>
      <c r="I1446">
        <f>10364.62</f>
        <v>10364.620000000001</v>
      </c>
      <c r="J1446">
        <f>3867.54</f>
        <v>3867.54</v>
      </c>
      <c r="K1446">
        <f>10721.81</f>
        <v>10721.81</v>
      </c>
      <c r="L1446">
        <f>1996.2</f>
        <v>1996.2</v>
      </c>
      <c r="M1446">
        <f>8355.92</f>
        <v>8355.92</v>
      </c>
      <c r="N1446">
        <f>319.854</f>
        <v>319.85399999999998</v>
      </c>
      <c r="O1446">
        <f>2915.34</f>
        <v>2915.34</v>
      </c>
      <c r="P1446">
        <f>273.18</f>
        <v>273.18</v>
      </c>
      <c r="Q1446">
        <f>2414.692</f>
        <v>2414.692</v>
      </c>
      <c r="R1446">
        <f>5167.45</f>
        <v>5167.45</v>
      </c>
      <c r="S1446">
        <f>2628.87</f>
        <v>2628.87</v>
      </c>
      <c r="T1446">
        <f>4009.311</f>
        <v>4009.3110000000001</v>
      </c>
      <c r="U1446">
        <f>57845.57</f>
        <v>57845.57</v>
      </c>
      <c r="V1446">
        <f>407.58</f>
        <v>407.58</v>
      </c>
    </row>
    <row r="1447" spans="1:22" x14ac:dyDescent="0.2">
      <c r="A1447" s="1">
        <v>43082</v>
      </c>
      <c r="B1447">
        <f>2779.56</f>
        <v>2779.56</v>
      </c>
      <c r="C1447">
        <f>9640.73</f>
        <v>9640.73</v>
      </c>
      <c r="D1447">
        <f>6352</f>
        <v>6352</v>
      </c>
      <c r="E1447">
        <f>2429.296</f>
        <v>2429.2959999999998</v>
      </c>
      <c r="F1447">
        <f>2043.67</f>
        <v>2043.67</v>
      </c>
      <c r="G1447">
        <f>8553.397</f>
        <v>8553.3970000000008</v>
      </c>
      <c r="H1447">
        <f>3526.11</f>
        <v>3526.11</v>
      </c>
      <c r="I1447">
        <f>10402.933</f>
        <v>10402.933000000001</v>
      </c>
      <c r="J1447">
        <f>3887.36</f>
        <v>3887.36</v>
      </c>
      <c r="K1447">
        <f>10763.87</f>
        <v>10763.87</v>
      </c>
      <c r="L1447">
        <f>2003.72</f>
        <v>2003.72</v>
      </c>
      <c r="M1447">
        <f>8382.29</f>
        <v>8382.2900000000009</v>
      </c>
      <c r="N1447">
        <f>322.281</f>
        <v>322.28100000000001</v>
      </c>
      <c r="O1447">
        <f>2928.43</f>
        <v>2928.43</v>
      </c>
      <c r="P1447">
        <f>272.98</f>
        <v>272.98</v>
      </c>
      <c r="Q1447">
        <f>2430.397</f>
        <v>2430.3969999999999</v>
      </c>
      <c r="R1447">
        <f>5187.68</f>
        <v>5187.68</v>
      </c>
      <c r="S1447">
        <f>2632.79</f>
        <v>2632.79</v>
      </c>
      <c r="T1447">
        <f>3886.484</f>
        <v>3886.4839999999999</v>
      </c>
      <c r="U1447">
        <f>57344.41</f>
        <v>57344.41</v>
      </c>
      <c r="V1447">
        <f>394.49</f>
        <v>394.49</v>
      </c>
    </row>
    <row r="1448" spans="1:22" x14ac:dyDescent="0.2">
      <c r="A1448" s="1">
        <v>43081</v>
      </c>
      <c r="B1448">
        <f>2779.42</f>
        <v>2779.42</v>
      </c>
      <c r="C1448">
        <f>9570.01</f>
        <v>9570.01</v>
      </c>
      <c r="D1448">
        <f>6355.31</f>
        <v>6355.31</v>
      </c>
      <c r="E1448">
        <f>2415.288</f>
        <v>2415.288</v>
      </c>
      <c r="F1448">
        <f>2039.26</f>
        <v>2039.26</v>
      </c>
      <c r="G1448">
        <f>8533.586</f>
        <v>8533.5859999999993</v>
      </c>
      <c r="H1448">
        <f>3509.66</f>
        <v>3509.66</v>
      </c>
      <c r="I1448">
        <f>10413.197</f>
        <v>10413.197</v>
      </c>
      <c r="J1448">
        <f>3879.09</f>
        <v>3879.09</v>
      </c>
      <c r="K1448">
        <f>10768.7</f>
        <v>10768.7</v>
      </c>
      <c r="L1448">
        <f>1998.69</f>
        <v>1998.69</v>
      </c>
      <c r="M1448">
        <f>8378.37</f>
        <v>8378.3700000000008</v>
      </c>
      <c r="N1448">
        <f>323.243</f>
        <v>323.24299999999999</v>
      </c>
      <c r="O1448">
        <f>2936.84</f>
        <v>2936.84</v>
      </c>
      <c r="P1448">
        <f>273.18</f>
        <v>273.18</v>
      </c>
      <c r="Q1448">
        <f>2427.454</f>
        <v>2427.4540000000002</v>
      </c>
      <c r="R1448">
        <f>5189.96</f>
        <v>5189.96</v>
      </c>
      <c r="S1448">
        <f>2638.97</f>
        <v>2638.97</v>
      </c>
      <c r="T1448">
        <f>3874.414</f>
        <v>3874.4140000000002</v>
      </c>
      <c r="U1448">
        <f>57523.62</f>
        <v>57523.62</v>
      </c>
      <c r="V1448">
        <f>393.53</f>
        <v>393.53</v>
      </c>
    </row>
    <row r="1449" spans="1:22" x14ac:dyDescent="0.2">
      <c r="A1449" s="1">
        <v>43080</v>
      </c>
      <c r="B1449">
        <f>2769.56</f>
        <v>2769.56</v>
      </c>
      <c r="C1449">
        <f>9589.09</f>
        <v>9589.09</v>
      </c>
      <c r="D1449">
        <f>6315.54</f>
        <v>6315.54</v>
      </c>
      <c r="E1449">
        <f>2431.728</f>
        <v>2431.7280000000001</v>
      </c>
      <c r="F1449">
        <f>2036.29</f>
        <v>2036.29</v>
      </c>
      <c r="G1449">
        <f>8502.97</f>
        <v>8502.9699999999993</v>
      </c>
      <c r="H1449">
        <f>3519</f>
        <v>3519</v>
      </c>
      <c r="I1449">
        <f>10407.531</f>
        <v>10407.531000000001</v>
      </c>
      <c r="J1449">
        <f>3875.99</f>
        <v>3875.99</v>
      </c>
      <c r="K1449">
        <f>10752.71</f>
        <v>10752.71</v>
      </c>
      <c r="L1449">
        <f>1998.2</f>
        <v>1998.2</v>
      </c>
      <c r="M1449">
        <f>8369.14</f>
        <v>8369.14</v>
      </c>
      <c r="N1449">
        <f>321.246</f>
        <v>321.24599999999998</v>
      </c>
      <c r="O1449">
        <f>2914.8</f>
        <v>2914.8</v>
      </c>
      <c r="P1449">
        <f>272.88</f>
        <v>272.88</v>
      </c>
      <c r="Q1449">
        <f>2429.751</f>
        <v>2429.7510000000002</v>
      </c>
      <c r="R1449">
        <f>5181.75</f>
        <v>5181.75</v>
      </c>
      <c r="S1449">
        <f>2636.43</f>
        <v>2636.43</v>
      </c>
      <c r="T1449">
        <f>3890.808</f>
        <v>3890.808</v>
      </c>
      <c r="U1449">
        <f>57997.33</f>
        <v>57997.33</v>
      </c>
      <c r="V1449">
        <f>396.48</f>
        <v>396.48</v>
      </c>
    </row>
    <row r="1450" spans="1:22" x14ac:dyDescent="0.2">
      <c r="A1450" s="1">
        <v>43077</v>
      </c>
      <c r="B1450">
        <f>2753.95</f>
        <v>2753.95</v>
      </c>
      <c r="C1450">
        <f>9527.96</f>
        <v>9527.9599999999991</v>
      </c>
      <c r="D1450">
        <f>6265.11</f>
        <v>6265.11</v>
      </c>
      <c r="E1450">
        <f>2411.738</f>
        <v>2411.7379999999998</v>
      </c>
      <c r="F1450">
        <f>2032.24</f>
        <v>2032.24</v>
      </c>
      <c r="G1450">
        <f>8442.907</f>
        <v>8442.9069999999992</v>
      </c>
      <c r="H1450">
        <f>3484.63</f>
        <v>3484.63</v>
      </c>
      <c r="I1450">
        <f>10385.621</f>
        <v>10385.620999999999</v>
      </c>
      <c r="J1450">
        <f>3860.78</f>
        <v>3860.78</v>
      </c>
      <c r="K1450">
        <f>10717.77</f>
        <v>10717.77</v>
      </c>
      <c r="L1450">
        <f>1990.88</f>
        <v>1990.88</v>
      </c>
      <c r="M1450">
        <f>8337.76</f>
        <v>8337.76</v>
      </c>
      <c r="N1450">
        <f>322.213</f>
        <v>322.21300000000002</v>
      </c>
      <c r="O1450">
        <f>2915.2</f>
        <v>2915.2</v>
      </c>
      <c r="P1450">
        <f>271.8</f>
        <v>271.8</v>
      </c>
      <c r="Q1450">
        <f>2431.031</f>
        <v>2431.0309999999999</v>
      </c>
      <c r="R1450">
        <f>5165.19</f>
        <v>5165.1899999999996</v>
      </c>
      <c r="S1450">
        <f>2622.46</f>
        <v>2622.46</v>
      </c>
      <c r="T1450">
        <f>3912.192</f>
        <v>3912.192</v>
      </c>
      <c r="U1450">
        <f>58012.31</f>
        <v>58012.31</v>
      </c>
      <c r="V1450">
        <f>398.69</f>
        <v>398.69</v>
      </c>
    </row>
    <row r="1451" spans="1:22" x14ac:dyDescent="0.2">
      <c r="A1451" s="1">
        <v>43076</v>
      </c>
      <c r="B1451">
        <f>2722.42</f>
        <v>2722.42</v>
      </c>
      <c r="C1451">
        <f>9521.69</f>
        <v>9521.69</v>
      </c>
      <c r="D1451">
        <f>6203.07</f>
        <v>6203.07</v>
      </c>
      <c r="E1451">
        <f>2389.512</f>
        <v>2389.5120000000002</v>
      </c>
      <c r="F1451">
        <f>2011.43</f>
        <v>2011.43</v>
      </c>
      <c r="G1451">
        <f>8387.259</f>
        <v>8387.259</v>
      </c>
      <c r="H1451">
        <f>3475.71</f>
        <v>3475.71</v>
      </c>
      <c r="I1451">
        <f>10355.82</f>
        <v>10355.82</v>
      </c>
      <c r="J1451">
        <f>3840.03</f>
        <v>3840.03</v>
      </c>
      <c r="K1451">
        <f>10657.7</f>
        <v>10657.7</v>
      </c>
      <c r="L1451">
        <f>1985.58</f>
        <v>1985.58</v>
      </c>
      <c r="M1451">
        <f>8297.45</f>
        <v>8297.4500000000007</v>
      </c>
      <c r="N1451">
        <f>320.882</f>
        <v>320.88200000000001</v>
      </c>
      <c r="O1451">
        <f>2895.78</f>
        <v>2895.78</v>
      </c>
      <c r="P1451">
        <f>268.94</f>
        <v>268.94</v>
      </c>
      <c r="Q1451">
        <f>2416.914</f>
        <v>2416.9140000000002</v>
      </c>
      <c r="R1451">
        <f>5136.37</f>
        <v>5136.37</v>
      </c>
      <c r="S1451">
        <f>2597.05</f>
        <v>2597.0500000000002</v>
      </c>
      <c r="T1451">
        <f>3964.417</f>
        <v>3964.4169999999999</v>
      </c>
      <c r="U1451">
        <f>58013.18</f>
        <v>58013.18</v>
      </c>
      <c r="V1451">
        <f>399.26</f>
        <v>399.26</v>
      </c>
    </row>
    <row r="1452" spans="1:22" x14ac:dyDescent="0.2">
      <c r="A1452" s="1">
        <v>43075</v>
      </c>
      <c r="B1452">
        <f>2725.41</f>
        <v>2725.41</v>
      </c>
      <c r="C1452">
        <f>9588.83</f>
        <v>9588.83</v>
      </c>
      <c r="D1452">
        <f>6225.79</f>
        <v>6225.79</v>
      </c>
      <c r="E1452">
        <f>2390.894</f>
        <v>2390.8939999999998</v>
      </c>
      <c r="F1452">
        <f>2011.65</f>
        <v>2011.65</v>
      </c>
      <c r="G1452">
        <f>8397.459</f>
        <v>8397.4590000000007</v>
      </c>
      <c r="H1452">
        <f>3465.83</f>
        <v>3465.83</v>
      </c>
      <c r="I1452">
        <f>10346.603</f>
        <v>10346.602999999999</v>
      </c>
      <c r="J1452">
        <f>3842.53</f>
        <v>3842.53</v>
      </c>
      <c r="K1452">
        <f>10622.7</f>
        <v>10622.7</v>
      </c>
      <c r="L1452">
        <f>1987.85</f>
        <v>1987.85</v>
      </c>
      <c r="M1452">
        <f>8274.89</f>
        <v>8274.89</v>
      </c>
      <c r="N1452">
        <f>320.605</f>
        <v>320.60500000000002</v>
      </c>
      <c r="O1452">
        <f>2893.43</f>
        <v>2893.43</v>
      </c>
      <c r="P1452">
        <f>265.71</f>
        <v>265.70999999999998</v>
      </c>
      <c r="Q1452">
        <f>2416.656</f>
        <v>2416.6559999999999</v>
      </c>
      <c r="R1452">
        <f>5120.46</f>
        <v>5120.46</v>
      </c>
      <c r="S1452">
        <f>2566.11</f>
        <v>2566.11</v>
      </c>
      <c r="T1452">
        <f>4044.058</f>
        <v>4044.058</v>
      </c>
      <c r="U1452">
        <f>58010.18</f>
        <v>58010.18</v>
      </c>
      <c r="V1452">
        <f>399.24</f>
        <v>399.24</v>
      </c>
    </row>
    <row r="1453" spans="1:22" x14ac:dyDescent="0.2">
      <c r="A1453" s="1">
        <v>43074</v>
      </c>
      <c r="B1453">
        <f>2719.64</f>
        <v>2719.64</v>
      </c>
      <c r="C1453">
        <f>9743</f>
        <v>9743</v>
      </c>
      <c r="D1453">
        <f>6208.4</f>
        <v>6208.4</v>
      </c>
      <c r="E1453">
        <f>2426.591</f>
        <v>2426.5909999999999</v>
      </c>
      <c r="F1453">
        <f>2018.87</f>
        <v>2018.87</v>
      </c>
      <c r="G1453">
        <f>8419.313</f>
        <v>8419.3130000000001</v>
      </c>
      <c r="H1453">
        <f>3493.13</f>
        <v>3493.13</v>
      </c>
      <c r="I1453">
        <f>10390.412</f>
        <v>10390.412</v>
      </c>
      <c r="J1453">
        <f>3841.23</f>
        <v>3841.23</v>
      </c>
      <c r="K1453">
        <f>10625.13</f>
        <v>10625.13</v>
      </c>
      <c r="L1453">
        <f>1992.76</f>
        <v>1992.76</v>
      </c>
      <c r="M1453">
        <f>8296.5</f>
        <v>8296.5</v>
      </c>
      <c r="N1453">
        <f>318.73</f>
        <v>318.73</v>
      </c>
      <c r="O1453">
        <f>2897.04</f>
        <v>2897.04</v>
      </c>
      <c r="P1453">
        <f>269.09</f>
        <v>269.08999999999997</v>
      </c>
      <c r="Q1453">
        <f>2418.602</f>
        <v>2418.6019999999999</v>
      </c>
      <c r="R1453">
        <f>5120.92</f>
        <v>5120.92</v>
      </c>
      <c r="S1453">
        <f>2603.26</f>
        <v>2603.2600000000002</v>
      </c>
      <c r="T1453">
        <f>4148.412</f>
        <v>4148.4120000000003</v>
      </c>
      <c r="U1453">
        <f>58977.23</f>
        <v>58977.23</v>
      </c>
      <c r="V1453">
        <f>401.99</f>
        <v>401.99</v>
      </c>
    </row>
    <row r="1454" spans="1:22" x14ac:dyDescent="0.2">
      <c r="A1454" s="1">
        <v>43073</v>
      </c>
      <c r="B1454">
        <f>2729.66</f>
        <v>2729.66</v>
      </c>
      <c r="C1454">
        <f>9748.25</f>
        <v>9748.25</v>
      </c>
      <c r="D1454">
        <f>6218.11</f>
        <v>6218.11</v>
      </c>
      <c r="E1454">
        <f>2435.814</f>
        <v>2435.8139999999999</v>
      </c>
      <c r="F1454">
        <f>2026.65</f>
        <v>2026.65</v>
      </c>
      <c r="G1454">
        <f>8444.728</f>
        <v>8444.7279999999992</v>
      </c>
      <c r="H1454">
        <f>3479.46</f>
        <v>3479.46</v>
      </c>
      <c r="I1454">
        <f>10424.139</f>
        <v>10424.138999999999</v>
      </c>
      <c r="J1454">
        <f>3856.61</f>
        <v>3856.61</v>
      </c>
      <c r="K1454">
        <f>10664.46</f>
        <v>10664.46</v>
      </c>
      <c r="L1454">
        <f>2001.61</f>
        <v>2001.61</v>
      </c>
      <c r="M1454">
        <f>8321.55</f>
        <v>8321.5499999999993</v>
      </c>
      <c r="N1454">
        <f>318.291</f>
        <v>318.291</v>
      </c>
      <c r="O1454">
        <f>2899.01</f>
        <v>2899.01</v>
      </c>
      <c r="P1454">
        <f>266.67</f>
        <v>266.67</v>
      </c>
      <c r="Q1454">
        <f>2430.981</f>
        <v>2430.9810000000002</v>
      </c>
      <c r="R1454">
        <f>5139.91</f>
        <v>5139.91</v>
      </c>
      <c r="S1454">
        <f>2597.29</f>
        <v>2597.29</v>
      </c>
      <c r="T1454">
        <f>4121.453</f>
        <v>4121.4530000000004</v>
      </c>
      <c r="U1454">
        <f>59607.34</f>
        <v>59607.34</v>
      </c>
      <c r="V1454">
        <f>400.11</f>
        <v>400.11</v>
      </c>
    </row>
    <row r="1455" spans="1:22" x14ac:dyDescent="0.2">
      <c r="A1455" s="1">
        <v>43070</v>
      </c>
      <c r="B1455">
        <f>2713.53</f>
        <v>2713.53</v>
      </c>
      <c r="C1455">
        <f>9690.85</f>
        <v>9690.85</v>
      </c>
      <c r="D1455">
        <f>6185.51</f>
        <v>6185.51</v>
      </c>
      <c r="E1455">
        <f>2422.61</f>
        <v>2422.61</v>
      </c>
      <c r="F1455">
        <f>2019.81</f>
        <v>2019.81</v>
      </c>
      <c r="G1455">
        <f>8409.547</f>
        <v>8409.5470000000005</v>
      </c>
      <c r="H1455">
        <f>3489.76</f>
        <v>3489.76</v>
      </c>
      <c r="I1455">
        <f>10330.408</f>
        <v>10330.407999999999</v>
      </c>
      <c r="J1455">
        <f>3848.39</f>
        <v>3848.39</v>
      </c>
      <c r="K1455">
        <f>10680.45</f>
        <v>10680.45</v>
      </c>
      <c r="L1455">
        <f>1993.62</f>
        <v>1993.62</v>
      </c>
      <c r="M1455">
        <f>8318.9</f>
        <v>8318.9</v>
      </c>
      <c r="N1455">
        <f>315.077</f>
        <v>315.077</v>
      </c>
      <c r="O1455">
        <f>2872.98</f>
        <v>2872.98</v>
      </c>
      <c r="P1455">
        <f>267.53</f>
        <v>267.52999999999997</v>
      </c>
      <c r="Q1455">
        <f>2409.211</f>
        <v>2409.2109999999998</v>
      </c>
      <c r="R1455">
        <f>5145.21</f>
        <v>5145.21</v>
      </c>
      <c r="S1455">
        <f>2611.33</f>
        <v>2611.33</v>
      </c>
      <c r="T1455">
        <f>4132.936</f>
        <v>4132.9359999999997</v>
      </c>
      <c r="U1455">
        <f>59449.38</f>
        <v>59449.38</v>
      </c>
      <c r="V1455">
        <f>400.8</f>
        <v>400.8</v>
      </c>
    </row>
    <row r="1456" spans="1:22" x14ac:dyDescent="0.2">
      <c r="A1456" s="1">
        <v>43069</v>
      </c>
      <c r="B1456">
        <f>2719.35</f>
        <v>2719.35</v>
      </c>
      <c r="C1456">
        <f>9658.66</f>
        <v>9658.66</v>
      </c>
      <c r="D1456">
        <f>6207.69</f>
        <v>6207.69</v>
      </c>
      <c r="E1456">
        <f>2433.136</f>
        <v>2433.136</v>
      </c>
      <c r="F1456">
        <f>2039.51</f>
        <v>2039.51</v>
      </c>
      <c r="G1456">
        <f>8469.356</f>
        <v>8469.3559999999998</v>
      </c>
      <c r="H1456">
        <f>3507.01</f>
        <v>3507.01</v>
      </c>
      <c r="I1456">
        <f>10471.56</f>
        <v>10471.56</v>
      </c>
      <c r="J1456">
        <f>3846.02</f>
        <v>3846.02</v>
      </c>
      <c r="K1456">
        <f>10701.69</f>
        <v>10701.69</v>
      </c>
      <c r="L1456">
        <f>2000.1</f>
        <v>2000.1</v>
      </c>
      <c r="M1456">
        <f>8350.8</f>
        <v>8350.7999999999993</v>
      </c>
      <c r="N1456">
        <f>316.814</f>
        <v>316.81400000000002</v>
      </c>
      <c r="O1456">
        <f>2893.17</f>
        <v>2893.17</v>
      </c>
      <c r="P1456">
        <f>267.3</f>
        <v>267.3</v>
      </c>
      <c r="Q1456">
        <f>2414.585</f>
        <v>2414.585</v>
      </c>
      <c r="R1456">
        <f>5155.44</f>
        <v>5155.4399999999996</v>
      </c>
      <c r="S1456">
        <f>2604.86</f>
        <v>2604.86</v>
      </c>
      <c r="T1456">
        <f>4108.885</f>
        <v>4108.8850000000002</v>
      </c>
      <c r="U1456">
        <f>59772.83</f>
        <v>59772.83</v>
      </c>
      <c r="V1456">
        <f>397.3</f>
        <v>397.3</v>
      </c>
    </row>
    <row r="1457" spans="1:22" x14ac:dyDescent="0.2">
      <c r="A1457" s="1">
        <v>43068</v>
      </c>
      <c r="B1457">
        <f>2737.84</f>
        <v>2737.84</v>
      </c>
      <c r="C1457">
        <f>9778.63</f>
        <v>9778.6299999999992</v>
      </c>
      <c r="D1457">
        <f>6263.13</f>
        <v>6263.13</v>
      </c>
      <c r="E1457">
        <f>2477.752</f>
        <v>2477.752</v>
      </c>
      <c r="F1457">
        <f>2030.51</f>
        <v>2030.51</v>
      </c>
      <c r="G1457">
        <f>8464.812</f>
        <v>8464.8119999999999</v>
      </c>
      <c r="H1457">
        <f>3479.09</f>
        <v>3479.09</v>
      </c>
      <c r="I1457">
        <f>10435.526</f>
        <v>10435.526</v>
      </c>
      <c r="J1457">
        <f>3820.86</f>
        <v>3820.86</v>
      </c>
      <c r="K1457">
        <f>10614.28</f>
        <v>10614.28</v>
      </c>
      <c r="L1457">
        <f>1991.89</f>
        <v>1991.89</v>
      </c>
      <c r="M1457">
        <f>8303.96</f>
        <v>8303.9599999999991</v>
      </c>
      <c r="N1457">
        <f>317.37</f>
        <v>317.37</v>
      </c>
      <c r="O1457">
        <f>2906.36</f>
        <v>2906.36</v>
      </c>
      <c r="P1457">
        <f>263.68</f>
        <v>263.68</v>
      </c>
      <c r="Q1457">
        <f>2397.129</f>
        <v>2397.1289999999999</v>
      </c>
      <c r="R1457">
        <f>5111.68</f>
        <v>5111.68</v>
      </c>
      <c r="S1457">
        <f>2596.24</f>
        <v>2596.2399999999998</v>
      </c>
      <c r="T1457">
        <f>4129.972</f>
        <v>4129.9719999999998</v>
      </c>
      <c r="U1457">
        <f>60418.39</f>
        <v>60418.39</v>
      </c>
      <c r="V1457">
        <f>397.75</f>
        <v>397.75</v>
      </c>
    </row>
    <row r="1458" spans="1:22" x14ac:dyDescent="0.2">
      <c r="A1458" s="1">
        <v>43067</v>
      </c>
      <c r="B1458">
        <f>2717.12</f>
        <v>2717.12</v>
      </c>
      <c r="C1458">
        <f>9795.47</f>
        <v>9795.4699999999993</v>
      </c>
      <c r="D1458">
        <f>6319.96</f>
        <v>6319.96</v>
      </c>
      <c r="E1458">
        <f>2488.628</f>
        <v>2488.6280000000002</v>
      </c>
      <c r="F1458">
        <f>1987.74</f>
        <v>1987.74</v>
      </c>
      <c r="G1458">
        <f>8422.604</f>
        <v>8422.6039999999994</v>
      </c>
      <c r="H1458">
        <f>3464.82</f>
        <v>3464.82</v>
      </c>
      <c r="I1458">
        <f>10444.223</f>
        <v>10444.223</v>
      </c>
      <c r="J1458">
        <f>3809.25</f>
        <v>3809.25</v>
      </c>
      <c r="K1458">
        <f>10618.85</f>
        <v>10618.85</v>
      </c>
      <c r="L1458">
        <f>1988.58</f>
        <v>1988.58</v>
      </c>
      <c r="M1458">
        <f>8304.52</f>
        <v>8304.52</v>
      </c>
      <c r="N1458">
        <f>316.227</f>
        <v>316.22699999999998</v>
      </c>
      <c r="O1458">
        <f>2898.12</f>
        <v>2898.12</v>
      </c>
      <c r="P1458">
        <f>260.4</f>
        <v>260.39999999999998</v>
      </c>
      <c r="Q1458">
        <f>2376.96</f>
        <v>2376.96</v>
      </c>
      <c r="R1458">
        <f>5112.91</f>
        <v>5112.91</v>
      </c>
      <c r="S1458">
        <f>2575.77</f>
        <v>2575.77</v>
      </c>
      <c r="T1458">
        <f>4118.897</f>
        <v>4118.8969999999999</v>
      </c>
      <c r="U1458">
        <f>60082.79</f>
        <v>60082.79</v>
      </c>
      <c r="V1458">
        <f>396.42</f>
        <v>396.42</v>
      </c>
    </row>
    <row r="1459" spans="1:22" x14ac:dyDescent="0.2">
      <c r="A1459" s="1">
        <v>43066</v>
      </c>
      <c r="B1459">
        <f>2698.27</f>
        <v>2698.27</v>
      </c>
      <c r="C1459">
        <f>9791.44</f>
        <v>9791.44</v>
      </c>
      <c r="D1459">
        <f>6254.95</f>
        <v>6254.95</v>
      </c>
      <c r="E1459">
        <f>2483.895</f>
        <v>2483.895</v>
      </c>
      <c r="F1459">
        <f>1991.05</f>
        <v>1991.05</v>
      </c>
      <c r="G1459">
        <f>8403.757</f>
        <v>8403.7569999999996</v>
      </c>
      <c r="H1459">
        <f>3483.05</f>
        <v>3483.05</v>
      </c>
      <c r="I1459">
        <f>10427.751</f>
        <v>10427.751</v>
      </c>
      <c r="J1459">
        <f>3768.12</f>
        <v>3768.12</v>
      </c>
      <c r="K1459">
        <f>10516.76</f>
        <v>10516.76</v>
      </c>
      <c r="L1459">
        <f>1978.57</f>
        <v>1978.57</v>
      </c>
      <c r="M1459">
        <f>8260.92</f>
        <v>8260.92</v>
      </c>
      <c r="N1459">
        <f>314.47</f>
        <v>314.47000000000003</v>
      </c>
      <c r="O1459">
        <f>2882.48</f>
        <v>2882.48</v>
      </c>
      <c r="P1459">
        <f>261.07</f>
        <v>261.07</v>
      </c>
      <c r="Q1459">
        <f>2346.509</f>
        <v>2346.509</v>
      </c>
      <c r="R1459">
        <f>5062.85</f>
        <v>5062.8500000000004</v>
      </c>
      <c r="S1459">
        <f>2582.48</f>
        <v>2582.48</v>
      </c>
      <c r="T1459">
        <f>4053.033</f>
        <v>4053.0329999999999</v>
      </c>
      <c r="U1459">
        <f>60157.56</f>
        <v>60157.56</v>
      </c>
      <c r="V1459">
        <f>394.82</f>
        <v>394.82</v>
      </c>
    </row>
    <row r="1460" spans="1:22" x14ac:dyDescent="0.2">
      <c r="A1460" s="1">
        <v>43063</v>
      </c>
      <c r="B1460">
        <f>2702.96</f>
        <v>2702.96</v>
      </c>
      <c r="C1460">
        <f>9799.24</f>
        <v>9799.24</v>
      </c>
      <c r="D1460">
        <f>6276.75</f>
        <v>6276.75</v>
      </c>
      <c r="E1460">
        <f>2505.354</f>
        <v>2505.3539999999998</v>
      </c>
      <c r="F1460">
        <f>1992.63</f>
        <v>1992.63</v>
      </c>
      <c r="G1460">
        <f>8444.529</f>
        <v>8444.5290000000005</v>
      </c>
      <c r="H1460">
        <f>3478.26</f>
        <v>3478.26</v>
      </c>
      <c r="I1460">
        <f>10498.133</f>
        <v>10498.133</v>
      </c>
      <c r="J1460">
        <f>3767.6</f>
        <v>3767.6</v>
      </c>
      <c r="K1460">
        <f>10521.06</f>
        <v>10521.06</v>
      </c>
      <c r="L1460">
        <f>1983.79</f>
        <v>1983.79</v>
      </c>
      <c r="M1460">
        <f>8275.54</f>
        <v>8275.5400000000009</v>
      </c>
      <c r="N1460">
        <f>314.549</f>
        <v>314.54899999999998</v>
      </c>
      <c r="O1460">
        <f>2894.79</f>
        <v>2894.79</v>
      </c>
      <c r="P1460">
        <f>260.68</f>
        <v>260.68</v>
      </c>
      <c r="Q1460">
        <f>2345.304</f>
        <v>2345.3040000000001</v>
      </c>
      <c r="R1460">
        <f>5064.23</f>
        <v>5064.2299999999996</v>
      </c>
      <c r="S1460">
        <f>2588.05</f>
        <v>2588.0500000000002</v>
      </c>
      <c r="T1460">
        <f>4036.454</f>
        <v>4036.4540000000002</v>
      </c>
      <c r="U1460">
        <f>60323.95</f>
        <v>60323.95</v>
      </c>
      <c r="V1460">
        <f>391.9</f>
        <v>391.9</v>
      </c>
    </row>
    <row r="1461" spans="1:22" x14ac:dyDescent="0.2">
      <c r="A1461" s="1">
        <v>43062</v>
      </c>
      <c r="B1461">
        <f>2717.81</f>
        <v>2717.81</v>
      </c>
      <c r="C1461">
        <f>9787.17</f>
        <v>9787.17</v>
      </c>
      <c r="D1461">
        <f>6283.19</f>
        <v>6283.19</v>
      </c>
      <c r="E1461">
        <f>2501.323</f>
        <v>2501.3229999999999</v>
      </c>
      <c r="F1461">
        <f>1999.1</f>
        <v>1999.1</v>
      </c>
      <c r="G1461">
        <f>8419.47</f>
        <v>8419.4699999999993</v>
      </c>
      <c r="H1461">
        <f>3489.25</f>
        <v>3489.25</v>
      </c>
      <c r="I1461">
        <f>10413.789</f>
        <v>10413.789000000001</v>
      </c>
      <c r="J1461">
        <f>3761.41</f>
        <v>3761.41</v>
      </c>
      <c r="K1461">
        <f>10498.2</f>
        <v>10498.2</v>
      </c>
      <c r="L1461">
        <f>1977.5</f>
        <v>1977.5</v>
      </c>
      <c r="M1461">
        <f>8250.15</f>
        <v>8250.15</v>
      </c>
      <c r="N1461">
        <f>316.657</f>
        <v>316.65699999999998</v>
      </c>
      <c r="O1461">
        <f>2898.76</f>
        <v>2898.76</v>
      </c>
      <c r="P1461" t="e">
        <f>NA()</f>
        <v>#N/A</v>
      </c>
      <c r="Q1461" t="e">
        <f>NA()</f>
        <v>#N/A</v>
      </c>
      <c r="R1461" t="e">
        <f>NA()</f>
        <v>#N/A</v>
      </c>
      <c r="S1461" t="e">
        <f>NA()</f>
        <v>#N/A</v>
      </c>
      <c r="T1461">
        <f>4042.031</f>
        <v>4042.0309999999999</v>
      </c>
      <c r="U1461">
        <f>60298.16</f>
        <v>60298.16</v>
      </c>
      <c r="V1461">
        <f>393.38</f>
        <v>393.38</v>
      </c>
    </row>
    <row r="1462" spans="1:22" x14ac:dyDescent="0.2">
      <c r="A1462" s="1">
        <v>43061</v>
      </c>
      <c r="B1462">
        <f>2724.82</f>
        <v>2724.82</v>
      </c>
      <c r="C1462">
        <f>9810.37</f>
        <v>9810.3700000000008</v>
      </c>
      <c r="D1462">
        <f>6278.86</f>
        <v>6278.86</v>
      </c>
      <c r="E1462">
        <f>2510.557</f>
        <v>2510.5569999999998</v>
      </c>
      <c r="F1462">
        <f>1987.24</f>
        <v>1987.24</v>
      </c>
      <c r="G1462">
        <f>8405.435</f>
        <v>8405.4349999999995</v>
      </c>
      <c r="H1462">
        <f>3477.52</f>
        <v>3477.52</v>
      </c>
      <c r="I1462">
        <f>10348.772</f>
        <v>10348.772000000001</v>
      </c>
      <c r="J1462">
        <f>3761.41</f>
        <v>3761.41</v>
      </c>
      <c r="K1462">
        <f>10498.2</f>
        <v>10498.2</v>
      </c>
      <c r="L1462">
        <f>1973.04</f>
        <v>1973.04</v>
      </c>
      <c r="M1462">
        <f>8236.62</f>
        <v>8236.6200000000008</v>
      </c>
      <c r="N1462">
        <f>316.526</f>
        <v>316.52600000000001</v>
      </c>
      <c r="O1462">
        <f>2898.39</f>
        <v>2898.39</v>
      </c>
      <c r="P1462">
        <f>259.61</f>
        <v>259.61</v>
      </c>
      <c r="Q1462">
        <f>2343.938</f>
        <v>2343.9380000000001</v>
      </c>
      <c r="R1462">
        <f>5053.6</f>
        <v>5053.6000000000004</v>
      </c>
      <c r="S1462">
        <f>2582.99</f>
        <v>2582.9899999999998</v>
      </c>
      <c r="T1462">
        <f>4051.97</f>
        <v>4051.97</v>
      </c>
      <c r="U1462">
        <f>60751.18</f>
        <v>60751.18</v>
      </c>
      <c r="V1462">
        <f>393.24</f>
        <v>393.24</v>
      </c>
    </row>
    <row r="1463" spans="1:22" x14ac:dyDescent="0.2">
      <c r="A1463" s="1">
        <v>43060</v>
      </c>
      <c r="B1463">
        <f>2708.05</f>
        <v>2708.05</v>
      </c>
      <c r="C1463">
        <f>9718.4</f>
        <v>9718.4</v>
      </c>
      <c r="D1463">
        <f>6272.36</f>
        <v>6272.36</v>
      </c>
      <c r="E1463">
        <f>2498.145</f>
        <v>2498.145</v>
      </c>
      <c r="F1463">
        <f>1991.45</f>
        <v>1991.45</v>
      </c>
      <c r="G1463">
        <f>8356.371</f>
        <v>8356.3709999999992</v>
      </c>
      <c r="H1463">
        <f>3440.22</f>
        <v>3440.22</v>
      </c>
      <c r="I1463">
        <f>10336.47</f>
        <v>10336.469999999999</v>
      </c>
      <c r="J1463">
        <f>3768.41</f>
        <v>3768.41</v>
      </c>
      <c r="K1463">
        <f>10504.87</f>
        <v>10504.87</v>
      </c>
      <c r="L1463">
        <f>1970.52</f>
        <v>1970.52</v>
      </c>
      <c r="M1463">
        <f>8224.48</f>
        <v>8224.48</v>
      </c>
      <c r="N1463">
        <f>316.944</f>
        <v>316.94400000000002</v>
      </c>
      <c r="O1463">
        <f>2905.04</f>
        <v>2905.04</v>
      </c>
      <c r="P1463">
        <f>259.3</f>
        <v>259.3</v>
      </c>
      <c r="Q1463">
        <f>2344.441</f>
        <v>2344.4409999999998</v>
      </c>
      <c r="R1463">
        <f>5056.95</f>
        <v>5056.95</v>
      </c>
      <c r="S1463">
        <f>2574.33</f>
        <v>2574.33</v>
      </c>
      <c r="T1463">
        <f>4039.651</f>
        <v>4039.6509999999998</v>
      </c>
      <c r="U1463">
        <f>61211.52</f>
        <v>61211.519999999997</v>
      </c>
      <c r="V1463">
        <f>389.38</f>
        <v>389.38</v>
      </c>
    </row>
    <row r="1464" spans="1:22" x14ac:dyDescent="0.2">
      <c r="A1464" s="1">
        <v>43059</v>
      </c>
      <c r="B1464">
        <f>2705.57</f>
        <v>2705.57</v>
      </c>
      <c r="C1464">
        <f>9588.78</f>
        <v>9588.7800000000007</v>
      </c>
      <c r="D1464">
        <f>6253.85</f>
        <v>6253.85</v>
      </c>
      <c r="E1464">
        <f>2465.763</f>
        <v>2465.7629999999999</v>
      </c>
      <c r="F1464">
        <f>1991.26</f>
        <v>1991.26</v>
      </c>
      <c r="G1464">
        <f>8351.615</f>
        <v>8351.6149999999998</v>
      </c>
      <c r="H1464">
        <f>3418.95</f>
        <v>3418.95</v>
      </c>
      <c r="I1464">
        <f>10305.648</f>
        <v>10305.647999999999</v>
      </c>
      <c r="J1464">
        <f>3750.95</f>
        <v>3750.95</v>
      </c>
      <c r="K1464">
        <f>10436.9</f>
        <v>10436.9</v>
      </c>
      <c r="L1464">
        <f>1962.16</f>
        <v>1962.16</v>
      </c>
      <c r="M1464">
        <f>8178.31</f>
        <v>8178.31</v>
      </c>
      <c r="N1464">
        <f>316.776</f>
        <v>316.77600000000001</v>
      </c>
      <c r="O1464">
        <f>2892.48</f>
        <v>2892.48</v>
      </c>
      <c r="P1464">
        <f>258.52</f>
        <v>258.52</v>
      </c>
      <c r="Q1464">
        <f>2330.55</f>
        <v>2330.5500000000002</v>
      </c>
      <c r="R1464">
        <f>5024.01</f>
        <v>5024.01</v>
      </c>
      <c r="S1464">
        <f>2557.65</f>
        <v>2557.65</v>
      </c>
      <c r="T1464">
        <f>4036.435</f>
        <v>4036.4349999999999</v>
      </c>
      <c r="U1464">
        <f>60500.61</f>
        <v>60500.61</v>
      </c>
      <c r="V1464">
        <f>383.94</f>
        <v>383.94</v>
      </c>
    </row>
    <row r="1465" spans="1:22" x14ac:dyDescent="0.2">
      <c r="A1465" s="1">
        <v>43056</v>
      </c>
      <c r="B1465">
        <f>2708.45</f>
        <v>2708.45</v>
      </c>
      <c r="C1465">
        <f>9624.96</f>
        <v>9624.9599999999991</v>
      </c>
      <c r="D1465">
        <f>6246.42</f>
        <v>6246.42</v>
      </c>
      <c r="E1465">
        <f>2466.522</f>
        <v>2466.5219999999999</v>
      </c>
      <c r="F1465">
        <f>1984.65</f>
        <v>1984.65</v>
      </c>
      <c r="G1465">
        <f>8303.533</f>
        <v>8303.5329999999994</v>
      </c>
      <c r="H1465">
        <f>3446.5</f>
        <v>3446.5</v>
      </c>
      <c r="I1465">
        <f>10271.994</f>
        <v>10271.994000000001</v>
      </c>
      <c r="J1465">
        <f>3746.96</f>
        <v>3746.96</v>
      </c>
      <c r="K1465">
        <f>10422.16</f>
        <v>10422.16</v>
      </c>
      <c r="L1465">
        <f>1956.92</f>
        <v>1956.92</v>
      </c>
      <c r="M1465">
        <f>8167.6</f>
        <v>8167.6</v>
      </c>
      <c r="N1465">
        <f>314.443</f>
        <v>314.44299999999998</v>
      </c>
      <c r="O1465">
        <f>2874.56</f>
        <v>2874.56</v>
      </c>
      <c r="P1465">
        <f>257.97</f>
        <v>257.97000000000003</v>
      </c>
      <c r="Q1465">
        <f>2325.495</f>
        <v>2325.4949999999999</v>
      </c>
      <c r="R1465">
        <f>5017.45</f>
        <v>5017.45</v>
      </c>
      <c r="S1465">
        <f>2563.62</f>
        <v>2563.62</v>
      </c>
      <c r="T1465">
        <f>4023.772</f>
        <v>4023.7719999999999</v>
      </c>
      <c r="U1465">
        <f>60128.41</f>
        <v>60128.41</v>
      </c>
      <c r="V1465">
        <f>382.86</f>
        <v>382.86</v>
      </c>
    </row>
    <row r="1466" spans="1:22" x14ac:dyDescent="0.2">
      <c r="A1466" s="1">
        <v>43055</v>
      </c>
      <c r="B1466">
        <f>2715.38</f>
        <v>2715.38</v>
      </c>
      <c r="C1466">
        <f>9528.74</f>
        <v>9528.74</v>
      </c>
      <c r="D1466">
        <f>6251.72</f>
        <v>6251.72</v>
      </c>
      <c r="E1466">
        <f>2442.405</f>
        <v>2442.4050000000002</v>
      </c>
      <c r="F1466">
        <f>1979.87</f>
        <v>1979.87</v>
      </c>
      <c r="G1466">
        <f>8307.086</f>
        <v>8307.0859999999993</v>
      </c>
      <c r="H1466">
        <f>3429.71</f>
        <v>3429.71</v>
      </c>
      <c r="I1466">
        <f>10300.417</f>
        <v>10300.416999999999</v>
      </c>
      <c r="J1466">
        <f>3761.99</f>
        <v>3761.99</v>
      </c>
      <c r="K1466">
        <f>10444.81</f>
        <v>10444.81</v>
      </c>
      <c r="L1466">
        <f>1960.27</f>
        <v>1960.27</v>
      </c>
      <c r="M1466">
        <f>8177.95</f>
        <v>8177.95</v>
      </c>
      <c r="N1466">
        <f>315.554</f>
        <v>315.55399999999997</v>
      </c>
      <c r="O1466">
        <f>2882.57</f>
        <v>2882.57</v>
      </c>
      <c r="P1466">
        <f>258.29</f>
        <v>258.29000000000002</v>
      </c>
      <c r="Q1466">
        <f>2326.754</f>
        <v>2326.7539999999999</v>
      </c>
      <c r="R1466">
        <f>5030.48</f>
        <v>5030.4799999999996</v>
      </c>
      <c r="S1466">
        <f>2560.65</f>
        <v>2560.65</v>
      </c>
      <c r="T1466">
        <f>3964.078</f>
        <v>3964.078</v>
      </c>
      <c r="U1466">
        <f>59549.22</f>
        <v>59549.22</v>
      </c>
      <c r="V1466">
        <f>375.86</f>
        <v>375.86</v>
      </c>
    </row>
    <row r="1467" spans="1:22" x14ac:dyDescent="0.2">
      <c r="A1467" s="1">
        <v>43054</v>
      </c>
      <c r="B1467">
        <f>2696.4</f>
        <v>2696.4</v>
      </c>
      <c r="C1467">
        <f>9472.98</f>
        <v>9472.98</v>
      </c>
      <c r="D1467">
        <f>6228.12</f>
        <v>6228.12</v>
      </c>
      <c r="E1467">
        <f>2411.497</f>
        <v>2411.4969999999998</v>
      </c>
      <c r="F1467">
        <f>1963.91</f>
        <v>1963.91</v>
      </c>
      <c r="G1467">
        <f>8257.849</f>
        <v>8257.8490000000002</v>
      </c>
      <c r="H1467">
        <f>3397.71</f>
        <v>3397.71</v>
      </c>
      <c r="I1467">
        <f>10251.873</f>
        <v>10251.873</v>
      </c>
      <c r="J1467">
        <f>3728.73</f>
        <v>3728.73</v>
      </c>
      <c r="K1467">
        <f>10356.45</f>
        <v>10356.450000000001</v>
      </c>
      <c r="L1467">
        <f>1949.12</f>
        <v>1949.12</v>
      </c>
      <c r="M1467">
        <f>8116.04</f>
        <v>8116.04</v>
      </c>
      <c r="N1467">
        <f>311.529</f>
        <v>311.529</v>
      </c>
      <c r="O1467">
        <f>2862.01</f>
        <v>2862.01</v>
      </c>
      <c r="P1467">
        <f>255.85</f>
        <v>255.85</v>
      </c>
      <c r="Q1467">
        <f>2306.62</f>
        <v>2306.62</v>
      </c>
      <c r="R1467">
        <f>4987.96</f>
        <v>4987.96</v>
      </c>
      <c r="S1467">
        <f>2534.92</f>
        <v>2534.92</v>
      </c>
      <c r="T1467">
        <f>3946.839</f>
        <v>3946.8389999999999</v>
      </c>
      <c r="U1467">
        <f>59185.21</f>
        <v>59185.21</v>
      </c>
      <c r="V1467">
        <f>373.98</f>
        <v>373.98</v>
      </c>
    </row>
    <row r="1468" spans="1:22" x14ac:dyDescent="0.2">
      <c r="A1468" s="1">
        <v>43053</v>
      </c>
      <c r="B1468">
        <f>2713.27</f>
        <v>2713.27</v>
      </c>
      <c r="C1468">
        <f>9553.81</f>
        <v>9553.81</v>
      </c>
      <c r="D1468">
        <f>6263.44</f>
        <v>6263.44</v>
      </c>
      <c r="E1468">
        <f>2427.063</f>
        <v>2427.0630000000001</v>
      </c>
      <c r="F1468">
        <f>1963.15</f>
        <v>1963.15</v>
      </c>
      <c r="G1468">
        <f>8275.239</f>
        <v>8275.2389999999996</v>
      </c>
      <c r="H1468">
        <f>3445.7</f>
        <v>3445.7</v>
      </c>
      <c r="I1468">
        <f>10257.391</f>
        <v>10257.391</v>
      </c>
      <c r="J1468">
        <f>3752.27</f>
        <v>3752.27</v>
      </c>
      <c r="K1468">
        <f>10410.79</f>
        <v>10410.790000000001</v>
      </c>
      <c r="L1468">
        <f>1958.1</f>
        <v>1958.1</v>
      </c>
      <c r="M1468">
        <f>8158.49</f>
        <v>8158.49</v>
      </c>
      <c r="N1468">
        <f>313.366</f>
        <v>313.36599999999999</v>
      </c>
      <c r="O1468">
        <f>2875.53</f>
        <v>2875.53</v>
      </c>
      <c r="P1468">
        <f>261.08</f>
        <v>261.08</v>
      </c>
      <c r="Q1468">
        <f>2328.549</f>
        <v>2328.549</v>
      </c>
      <c r="R1468">
        <f>5014.53</f>
        <v>5014.53</v>
      </c>
      <c r="S1468">
        <f>2585.59</f>
        <v>2585.59</v>
      </c>
      <c r="T1468">
        <f>3986.868</f>
        <v>3986.8679999999999</v>
      </c>
      <c r="U1468">
        <f>59518.9</f>
        <v>59518.9</v>
      </c>
      <c r="V1468">
        <f>379.06</f>
        <v>379.06</v>
      </c>
    </row>
    <row r="1469" spans="1:22" x14ac:dyDescent="0.2">
      <c r="A1469" s="1">
        <v>43052</v>
      </c>
      <c r="B1469">
        <f>2710.65</f>
        <v>2710.65</v>
      </c>
      <c r="C1469">
        <f>9581.75</f>
        <v>9581.75</v>
      </c>
      <c r="D1469">
        <f>6264.08</f>
        <v>6264.08</v>
      </c>
      <c r="E1469">
        <f>2437.775</f>
        <v>2437.7750000000001</v>
      </c>
      <c r="F1469">
        <f>1943.83</f>
        <v>1943.83</v>
      </c>
      <c r="G1469">
        <f>8274.202</f>
        <v>8274.2019999999993</v>
      </c>
      <c r="H1469">
        <f>3445.49</f>
        <v>3445.49</v>
      </c>
      <c r="I1469">
        <f>10237.872</f>
        <v>10237.871999999999</v>
      </c>
      <c r="J1469">
        <f>3750.37</f>
        <v>3750.37</v>
      </c>
      <c r="K1469">
        <f>10433.32</f>
        <v>10433.32</v>
      </c>
      <c r="L1469">
        <f>1958.77</f>
        <v>1958.77</v>
      </c>
      <c r="M1469">
        <f>8172.64</f>
        <v>8172.64</v>
      </c>
      <c r="N1469">
        <f>315</f>
        <v>315</v>
      </c>
      <c r="O1469">
        <f>2893.39</f>
        <v>2893.39</v>
      </c>
      <c r="P1469">
        <f>262.77</f>
        <v>262.77</v>
      </c>
      <c r="Q1469">
        <f>2322.809</f>
        <v>2322.8090000000002</v>
      </c>
      <c r="R1469">
        <f>5025.36</f>
        <v>5025.3599999999997</v>
      </c>
      <c r="S1469">
        <f>2592.31</f>
        <v>2592.31</v>
      </c>
      <c r="T1469">
        <f>3994.392</f>
        <v>3994.3919999999998</v>
      </c>
      <c r="U1469">
        <f>59821.49</f>
        <v>59821.49</v>
      </c>
      <c r="V1469">
        <f>378.99</f>
        <v>378.99</v>
      </c>
    </row>
    <row r="1470" spans="1:22" x14ac:dyDescent="0.2">
      <c r="A1470" s="1">
        <v>43049</v>
      </c>
      <c r="B1470">
        <f>2738.71</f>
        <v>2738.71</v>
      </c>
      <c r="C1470">
        <f>9647.34</f>
        <v>9647.34</v>
      </c>
      <c r="D1470">
        <f>6279.12</f>
        <v>6279.12</v>
      </c>
      <c r="E1470">
        <f>2448.969</f>
        <v>2448.9690000000001</v>
      </c>
      <c r="F1470">
        <f>1969.9</f>
        <v>1969.9</v>
      </c>
      <c r="G1470">
        <f>8363.821</f>
        <v>8363.8209999999999</v>
      </c>
      <c r="H1470">
        <f>3485.94</f>
        <v>3485.94</v>
      </c>
      <c r="I1470">
        <f>10280.613</f>
        <v>10280.612999999999</v>
      </c>
      <c r="J1470">
        <f>3738.35</f>
        <v>3738.35</v>
      </c>
      <c r="K1470">
        <f>10422.88</f>
        <v>10422.879999999999</v>
      </c>
      <c r="L1470">
        <f>1959.5</f>
        <v>1959.5</v>
      </c>
      <c r="M1470">
        <f>8189.63</f>
        <v>8189.63</v>
      </c>
      <c r="N1470">
        <f>317.827</f>
        <v>317.827</v>
      </c>
      <c r="O1470">
        <f>2910.48</f>
        <v>2910.48</v>
      </c>
      <c r="P1470">
        <f>264.53</f>
        <v>264.52999999999997</v>
      </c>
      <c r="Q1470">
        <f>2318.497</f>
        <v>2318.4969999999998</v>
      </c>
      <c r="R1470">
        <f>5020.31</f>
        <v>5020.3100000000004</v>
      </c>
      <c r="S1470">
        <f>2616.92</f>
        <v>2616.92</v>
      </c>
      <c r="T1470">
        <f>4005.046</f>
        <v>4005.0459999999998</v>
      </c>
      <c r="U1470">
        <f>59776.12</f>
        <v>59776.12</v>
      </c>
      <c r="V1470">
        <f>382.08</f>
        <v>382.08</v>
      </c>
    </row>
    <row r="1471" spans="1:22" x14ac:dyDescent="0.2">
      <c r="A1471" s="1">
        <v>43048</v>
      </c>
      <c r="B1471">
        <f>2756.35</f>
        <v>2756.35</v>
      </c>
      <c r="C1471">
        <f>9709.37</f>
        <v>9709.3700000000008</v>
      </c>
      <c r="D1471">
        <f>6322.3</f>
        <v>6322.3</v>
      </c>
      <c r="E1471">
        <f>2460.395</f>
        <v>2460.395</v>
      </c>
      <c r="F1471">
        <f>1965.57</f>
        <v>1965.57</v>
      </c>
      <c r="G1471">
        <f>8356.206</f>
        <v>8356.2060000000001</v>
      </c>
      <c r="H1471">
        <f>3515.41</f>
        <v>3515.41</v>
      </c>
      <c r="I1471">
        <f>10291.19</f>
        <v>10291.19</v>
      </c>
      <c r="J1471">
        <f>3741.79</f>
        <v>3741.79</v>
      </c>
      <c r="K1471">
        <f>10427.18</f>
        <v>10427.18</v>
      </c>
      <c r="L1471">
        <f>1962.24</f>
        <v>1962.24</v>
      </c>
      <c r="M1471">
        <f>8196.36</f>
        <v>8196.36</v>
      </c>
      <c r="N1471">
        <f>318.563</f>
        <v>318.56299999999999</v>
      </c>
      <c r="O1471">
        <f>2921.58</f>
        <v>2921.58</v>
      </c>
      <c r="P1471">
        <f>267.06</f>
        <v>267.06</v>
      </c>
      <c r="Q1471">
        <f>2317.968</f>
        <v>2317.9679999999998</v>
      </c>
      <c r="R1471">
        <f>5023.01</f>
        <v>5023.01</v>
      </c>
      <c r="S1471">
        <f>2635.33</f>
        <v>2635.33</v>
      </c>
      <c r="T1471">
        <f>4009.233</f>
        <v>4009.2330000000002</v>
      </c>
      <c r="U1471">
        <f>59862.11</f>
        <v>59862.11</v>
      </c>
      <c r="V1471">
        <f>383.26</f>
        <v>383.26</v>
      </c>
    </row>
    <row r="1472" spans="1:22" x14ac:dyDescent="0.2">
      <c r="A1472" s="1">
        <v>43047</v>
      </c>
      <c r="B1472">
        <f>2787.3</f>
        <v>2787.3</v>
      </c>
      <c r="C1472">
        <f>9719.08</f>
        <v>9719.08</v>
      </c>
      <c r="D1472">
        <f>6352.82</f>
        <v>6352.82</v>
      </c>
      <c r="E1472">
        <f>2462.205</f>
        <v>2462.2049999999999</v>
      </c>
      <c r="F1472">
        <f>1986.58</f>
        <v>1986.58</v>
      </c>
      <c r="G1472">
        <f>8387.383</f>
        <v>8387.3829999999998</v>
      </c>
      <c r="H1472">
        <f>3532.8</f>
        <v>3532.8</v>
      </c>
      <c r="I1472">
        <f>10378.368</f>
        <v>10378.368</v>
      </c>
      <c r="J1472">
        <f>3753.25</f>
        <v>3753.25</v>
      </c>
      <c r="K1472">
        <f>10464.07</f>
        <v>10464.07</v>
      </c>
      <c r="L1472">
        <f>1968.44</f>
        <v>1968.44</v>
      </c>
      <c r="M1472">
        <f>8227.56</f>
        <v>8227.56</v>
      </c>
      <c r="N1472">
        <f>321.439</f>
        <v>321.43900000000002</v>
      </c>
      <c r="O1472">
        <f>2953.29</f>
        <v>2953.29</v>
      </c>
      <c r="P1472">
        <f>267.59</f>
        <v>267.58999999999997</v>
      </c>
      <c r="Q1472">
        <f>2323.847</f>
        <v>2323.8470000000002</v>
      </c>
      <c r="R1472">
        <f>5040.74</f>
        <v>5040.74</v>
      </c>
      <c r="S1472">
        <f>2641.87</f>
        <v>2641.87</v>
      </c>
      <c r="T1472">
        <f>4028.134</f>
        <v>4028.134</v>
      </c>
      <c r="U1472">
        <f>60078.03</f>
        <v>60078.03</v>
      </c>
      <c r="V1472">
        <f>383.42</f>
        <v>383.42</v>
      </c>
    </row>
    <row r="1473" spans="1:22" x14ac:dyDescent="0.2">
      <c r="A1473" s="1">
        <v>43046</v>
      </c>
      <c r="B1473">
        <f>2789.94</f>
        <v>2789.94</v>
      </c>
      <c r="C1473">
        <f>9687.49</f>
        <v>9687.49</v>
      </c>
      <c r="D1473">
        <f>6338.81</f>
        <v>6338.81</v>
      </c>
      <c r="E1473">
        <f>2461.884</f>
        <v>2461.884</v>
      </c>
      <c r="F1473">
        <f>1995.71</f>
        <v>1995.71</v>
      </c>
      <c r="G1473">
        <f>8395.213</f>
        <v>8395.2129999999997</v>
      </c>
      <c r="H1473">
        <f>3515.5</f>
        <v>3515.5</v>
      </c>
      <c r="I1473">
        <f>10364.817</f>
        <v>10364.816999999999</v>
      </c>
      <c r="J1473">
        <f>3737.94</f>
        <v>3737.94</v>
      </c>
      <c r="K1473">
        <f>10448.5</f>
        <v>10448.5</v>
      </c>
      <c r="L1473">
        <f>1963.66</f>
        <v>1963.66</v>
      </c>
      <c r="M1473">
        <f>8211.67</f>
        <v>8211.67</v>
      </c>
      <c r="N1473">
        <f>321.766</f>
        <v>321.76600000000002</v>
      </c>
      <c r="O1473">
        <f>2954.56</f>
        <v>2954.56</v>
      </c>
      <c r="P1473">
        <f>267.38</f>
        <v>267.38</v>
      </c>
      <c r="Q1473">
        <f>2311.133</f>
        <v>2311.1329999999998</v>
      </c>
      <c r="R1473">
        <f>5033.38</f>
        <v>5033.38</v>
      </c>
      <c r="S1473">
        <f>2635.6</f>
        <v>2635.6</v>
      </c>
      <c r="T1473">
        <f>4014.405</f>
        <v>4014.4050000000002</v>
      </c>
      <c r="U1473">
        <f>60182.6</f>
        <v>60182.6</v>
      </c>
      <c r="V1473">
        <f>383.45</f>
        <v>383.45</v>
      </c>
    </row>
    <row r="1474" spans="1:22" x14ac:dyDescent="0.2">
      <c r="A1474" s="1">
        <v>43045</v>
      </c>
      <c r="B1474">
        <f>2809.89</f>
        <v>2809.89</v>
      </c>
      <c r="C1474">
        <f>9642.78</f>
        <v>9642.7800000000007</v>
      </c>
      <c r="D1474">
        <f>6380.29</f>
        <v>6380.29</v>
      </c>
      <c r="E1474">
        <f>2454.208</f>
        <v>2454.2080000000001</v>
      </c>
      <c r="F1474">
        <f>2011.56</f>
        <v>2011.56</v>
      </c>
      <c r="G1474">
        <f>8437.951</f>
        <v>8437.9509999999991</v>
      </c>
      <c r="H1474">
        <f>3474.17</f>
        <v>3474.17</v>
      </c>
      <c r="I1474">
        <f>10427.5</f>
        <v>10427.5</v>
      </c>
      <c r="J1474">
        <f>3723.13</f>
        <v>3723.13</v>
      </c>
      <c r="K1474">
        <f>10451.86</f>
        <v>10451.86</v>
      </c>
      <c r="L1474">
        <f>1961.54</f>
        <v>1961.54</v>
      </c>
      <c r="M1474">
        <f>8211.51</f>
        <v>8211.51</v>
      </c>
      <c r="N1474">
        <f>323.248</f>
        <v>323.24799999999999</v>
      </c>
      <c r="O1474">
        <f>2969.41</f>
        <v>2969.41</v>
      </c>
      <c r="P1474">
        <f>264.63</f>
        <v>264.63</v>
      </c>
      <c r="Q1474">
        <f>2306.084</f>
        <v>2306.0839999999998</v>
      </c>
      <c r="R1474">
        <f>5034.3</f>
        <v>5034.3</v>
      </c>
      <c r="S1474">
        <f>2605.61</f>
        <v>2605.61</v>
      </c>
      <c r="T1474">
        <f>4014.723</f>
        <v>4014.723</v>
      </c>
      <c r="U1474">
        <f>59975.67</f>
        <v>59975.67</v>
      </c>
      <c r="V1474">
        <f>383</f>
        <v>383</v>
      </c>
    </row>
    <row r="1475" spans="1:22" x14ac:dyDescent="0.2">
      <c r="A1475" s="1">
        <v>43042</v>
      </c>
      <c r="B1475">
        <f>2805.79</f>
        <v>2805.79</v>
      </c>
      <c r="C1475">
        <f>9661.44</f>
        <v>9661.44</v>
      </c>
      <c r="D1475">
        <f>6378.66</f>
        <v>6378.66</v>
      </c>
      <c r="E1475">
        <f>2443.676</f>
        <v>2443.6759999999999</v>
      </c>
      <c r="F1475">
        <f>2006.97</f>
        <v>2006.97</v>
      </c>
      <c r="G1475">
        <f>8401.055</f>
        <v>8401.0550000000003</v>
      </c>
      <c r="H1475">
        <f>3474.84</f>
        <v>3474.84</v>
      </c>
      <c r="I1475">
        <f>10460.245</f>
        <v>10460.245000000001</v>
      </c>
      <c r="J1475">
        <f>3733.5</f>
        <v>3733.5</v>
      </c>
      <c r="K1475">
        <f>10437.07</f>
        <v>10437.07</v>
      </c>
      <c r="L1475">
        <f>1964.74</f>
        <v>1964.74</v>
      </c>
      <c r="M1475">
        <f>8205.75</f>
        <v>8205.75</v>
      </c>
      <c r="N1475">
        <f>322.35</f>
        <v>322.35000000000002</v>
      </c>
      <c r="O1475">
        <f>2965.11</f>
        <v>2965.11</v>
      </c>
      <c r="P1475" t="e">
        <f>NA()</f>
        <v>#N/A</v>
      </c>
      <c r="Q1475">
        <f>2315.649</f>
        <v>2315.6489999999999</v>
      </c>
      <c r="R1475">
        <f>5027.49</f>
        <v>5027.49</v>
      </c>
      <c r="S1475" t="e">
        <f>NA()</f>
        <v>#N/A</v>
      </c>
      <c r="T1475">
        <f>4015.091</f>
        <v>4015.0909999999999</v>
      </c>
      <c r="U1475">
        <f>59638.21</f>
        <v>59638.21</v>
      </c>
      <c r="V1475">
        <f>381.78</f>
        <v>381.78</v>
      </c>
    </row>
    <row r="1476" spans="1:22" x14ac:dyDescent="0.2">
      <c r="A1476" s="1">
        <v>43041</v>
      </c>
      <c r="B1476">
        <f>2816.18</f>
        <v>2816.18</v>
      </c>
      <c r="C1476">
        <f>9704.09</f>
        <v>9704.09</v>
      </c>
      <c r="D1476">
        <f>6374.42</f>
        <v>6374.42</v>
      </c>
      <c r="E1476">
        <f>2446.066</f>
        <v>2446.0659999999998</v>
      </c>
      <c r="F1476">
        <f>2012.67</f>
        <v>2012.67</v>
      </c>
      <c r="G1476">
        <f>8395.772</f>
        <v>8395.7720000000008</v>
      </c>
      <c r="H1476">
        <f>3487.35</f>
        <v>3487.35</v>
      </c>
      <c r="I1476">
        <f>10497.146</f>
        <v>10497.146000000001</v>
      </c>
      <c r="J1476">
        <f>3728.31</f>
        <v>3728.31</v>
      </c>
      <c r="K1476">
        <f>10401.74</f>
        <v>10401.74</v>
      </c>
      <c r="L1476">
        <f>1963.22</f>
        <v>1963.22</v>
      </c>
      <c r="M1476">
        <f>8196.34</f>
        <v>8196.34</v>
      </c>
      <c r="N1476">
        <f>320.005</f>
        <v>320.005</v>
      </c>
      <c r="O1476">
        <f>2956.31</f>
        <v>2956.31</v>
      </c>
      <c r="P1476">
        <f>265.74</f>
        <v>265.74</v>
      </c>
      <c r="Q1476">
        <f>2314.436</f>
        <v>2314.4360000000001</v>
      </c>
      <c r="R1476">
        <f>5011.48</f>
        <v>5011.4799999999996</v>
      </c>
      <c r="S1476">
        <f>2607.67</f>
        <v>2607.67</v>
      </c>
      <c r="T1476">
        <f>4025.21</f>
        <v>4025.21</v>
      </c>
      <c r="U1476">
        <f>59331.2</f>
        <v>59331.199999999997</v>
      </c>
      <c r="V1476">
        <f>382.61</f>
        <v>382.61</v>
      </c>
    </row>
    <row r="1477" spans="1:22" x14ac:dyDescent="0.2">
      <c r="A1477" s="1">
        <v>43040</v>
      </c>
      <c r="B1477">
        <f>2800.87</f>
        <v>2800.87</v>
      </c>
      <c r="C1477">
        <f>9721.9</f>
        <v>9721.9</v>
      </c>
      <c r="D1477">
        <f>6316.35</f>
        <v>6316.35</v>
      </c>
      <c r="E1477">
        <f>2449.602</f>
        <v>2449.6019999999999</v>
      </c>
      <c r="F1477">
        <f>2037.16</f>
        <v>2037.16</v>
      </c>
      <c r="G1477">
        <f>8437.423</f>
        <v>8437.4230000000007</v>
      </c>
      <c r="H1477">
        <f>3466.92</f>
        <v>3466.92</v>
      </c>
      <c r="I1477">
        <f>10465.126</f>
        <v>10465.126</v>
      </c>
      <c r="J1477">
        <f>3725.3</f>
        <v>3725.3</v>
      </c>
      <c r="K1477">
        <f>10400.58</f>
        <v>10400.58</v>
      </c>
      <c r="L1477">
        <f>1962.68</f>
        <v>1962.68</v>
      </c>
      <c r="M1477">
        <f>8187.2</f>
        <v>8187.2</v>
      </c>
      <c r="N1477">
        <f>323.665</f>
        <v>323.66500000000002</v>
      </c>
      <c r="O1477">
        <f>2968.43</f>
        <v>2968.43</v>
      </c>
      <c r="P1477">
        <f>264.73</f>
        <v>264.73</v>
      </c>
      <c r="Q1477">
        <f>2306.355</f>
        <v>2306.355</v>
      </c>
      <c r="R1477">
        <f>5009.99</f>
        <v>5009.99</v>
      </c>
      <c r="S1477">
        <f>2596.96</f>
        <v>2596.96</v>
      </c>
      <c r="T1477">
        <f>4013.943</f>
        <v>4013.9430000000002</v>
      </c>
      <c r="U1477">
        <f>59514.11</f>
        <v>59514.11</v>
      </c>
      <c r="V1477">
        <f>380.06</f>
        <v>380.06</v>
      </c>
    </row>
    <row r="1478" spans="1:22" x14ac:dyDescent="0.2">
      <c r="A1478" s="1">
        <v>43039</v>
      </c>
      <c r="B1478">
        <f>2797.11</f>
        <v>2797.11</v>
      </c>
      <c r="C1478">
        <f>9687.51</f>
        <v>9687.51</v>
      </c>
      <c r="D1478">
        <f>6320.67</f>
        <v>6320.67</v>
      </c>
      <c r="E1478">
        <f>2428.129</f>
        <v>2428.1289999999999</v>
      </c>
      <c r="F1478">
        <f>2037.81</f>
        <v>2037.81</v>
      </c>
      <c r="G1478">
        <f>8458.651</f>
        <v>8458.6509999999998</v>
      </c>
      <c r="H1478">
        <f>3427.28</f>
        <v>3427.28</v>
      </c>
      <c r="I1478">
        <f>10442.124</f>
        <v>10442.124</v>
      </c>
      <c r="J1478">
        <f>3713.59</f>
        <v>3713.59</v>
      </c>
      <c r="K1478">
        <f>10385.54</f>
        <v>10385.540000000001</v>
      </c>
      <c r="L1478">
        <f>1954.82</f>
        <v>1954.82</v>
      </c>
      <c r="M1478">
        <f>8169.6</f>
        <v>8169.6</v>
      </c>
      <c r="N1478">
        <f>325.538</f>
        <v>325.53800000000001</v>
      </c>
      <c r="O1478">
        <f>2955.46</f>
        <v>2955.46</v>
      </c>
      <c r="P1478">
        <f>262.15</f>
        <v>262.14999999999998</v>
      </c>
      <c r="Q1478">
        <f>2308.103</f>
        <v>2308.1030000000001</v>
      </c>
      <c r="R1478">
        <f>5002.03</f>
        <v>5002.03</v>
      </c>
      <c r="S1478">
        <f>2566.81</f>
        <v>2566.81</v>
      </c>
      <c r="T1478">
        <f>3993.84</f>
        <v>3993.84</v>
      </c>
      <c r="U1478">
        <f>58980.11</f>
        <v>58980.11</v>
      </c>
      <c r="V1478">
        <f>374.45</f>
        <v>374.45</v>
      </c>
    </row>
    <row r="1479" spans="1:22" x14ac:dyDescent="0.2">
      <c r="A1479" s="1">
        <v>43038</v>
      </c>
      <c r="B1479">
        <f>2798.22</f>
        <v>2798.22</v>
      </c>
      <c r="C1479">
        <f>9704.6</f>
        <v>9704.6</v>
      </c>
      <c r="D1479">
        <f>6316.23</f>
        <v>6316.23</v>
      </c>
      <c r="E1479">
        <f>2420.171</f>
        <v>2420.1709999999998</v>
      </c>
      <c r="F1479">
        <f>2032.75</f>
        <v>2032.75</v>
      </c>
      <c r="G1479">
        <f>8401.305</f>
        <v>8401.3050000000003</v>
      </c>
      <c r="H1479">
        <f>3455.92</f>
        <v>3455.92</v>
      </c>
      <c r="I1479">
        <f>10394.18</f>
        <v>10394.18</v>
      </c>
      <c r="J1479">
        <f>3713.23</f>
        <v>3713.23</v>
      </c>
      <c r="K1479">
        <f>10372.57</f>
        <v>10372.57</v>
      </c>
      <c r="L1479">
        <f>1952.04</f>
        <v>1952.04</v>
      </c>
      <c r="M1479">
        <f>8160.15</f>
        <v>8160.15</v>
      </c>
      <c r="N1479">
        <f>324.089</f>
        <v>324.089</v>
      </c>
      <c r="O1479">
        <f>2946.59</f>
        <v>2946.59</v>
      </c>
      <c r="P1479">
        <f>262.65</f>
        <v>262.64999999999998</v>
      </c>
      <c r="Q1479">
        <f>2308.524</f>
        <v>2308.5239999999999</v>
      </c>
      <c r="R1479">
        <f>4997.15</f>
        <v>4997.1499999999996</v>
      </c>
      <c r="S1479">
        <f>2573.9</f>
        <v>2573.9</v>
      </c>
      <c r="T1479">
        <f>3999.618</f>
        <v>3999.6179999999999</v>
      </c>
      <c r="U1479">
        <f>58879.14</f>
        <v>58879.14</v>
      </c>
      <c r="V1479">
        <f>373.41</f>
        <v>373.41</v>
      </c>
    </row>
    <row r="1480" spans="1:22" x14ac:dyDescent="0.2">
      <c r="A1480" s="1">
        <v>43035</v>
      </c>
      <c r="B1480">
        <f>2790.47</f>
        <v>2790.47</v>
      </c>
      <c r="C1480">
        <f>9694.63</f>
        <v>9694.6299999999992</v>
      </c>
      <c r="D1480">
        <f>6330.75</f>
        <v>6330.75</v>
      </c>
      <c r="E1480">
        <f>2408.625</f>
        <v>2408.625</v>
      </c>
      <c r="F1480">
        <f>2026.42</f>
        <v>2026.42</v>
      </c>
      <c r="G1480">
        <f>8367.938</f>
        <v>8367.9380000000001</v>
      </c>
      <c r="H1480">
        <f>3431.44</f>
        <v>3431.44</v>
      </c>
      <c r="I1480">
        <f>10337.763</f>
        <v>10337.763000000001</v>
      </c>
      <c r="J1480">
        <f>3737.64</f>
        <v>3737.64</v>
      </c>
      <c r="K1480">
        <f>10406.65</f>
        <v>10406.65</v>
      </c>
      <c r="L1480">
        <f>1955.69</f>
        <v>1955.69</v>
      </c>
      <c r="M1480">
        <f>8159.71</f>
        <v>8159.71</v>
      </c>
      <c r="N1480">
        <f>323.22</f>
        <v>323.22000000000003</v>
      </c>
      <c r="O1480">
        <f>2942.86</f>
        <v>2942.86</v>
      </c>
      <c r="P1480">
        <f>262.97</f>
        <v>262.97000000000003</v>
      </c>
      <c r="Q1480">
        <f>2328.845</f>
        <v>2328.8449999999998</v>
      </c>
      <c r="R1480">
        <f>5012.75</f>
        <v>5012.75</v>
      </c>
      <c r="S1480">
        <f>2574.2</f>
        <v>2574.1999999999998</v>
      </c>
      <c r="T1480">
        <f>3984.303</f>
        <v>3984.3029999999999</v>
      </c>
      <c r="U1480">
        <f>58714.04</f>
        <v>58714.04</v>
      </c>
      <c r="V1480">
        <f>371.59</f>
        <v>371.59</v>
      </c>
    </row>
    <row r="1481" spans="1:22" x14ac:dyDescent="0.2">
      <c r="A1481" s="1">
        <v>43034</v>
      </c>
      <c r="B1481">
        <f>2798.92</f>
        <v>2798.92</v>
      </c>
      <c r="C1481">
        <f>9646.93</f>
        <v>9646.93</v>
      </c>
      <c r="D1481">
        <f>6315.12</f>
        <v>6315.12</v>
      </c>
      <c r="E1481">
        <f>2404.145</f>
        <v>2404.145</v>
      </c>
      <c r="F1481">
        <f>2053.79</f>
        <v>2053.79</v>
      </c>
      <c r="G1481">
        <f>8380.091</f>
        <v>8380.0910000000003</v>
      </c>
      <c r="H1481">
        <f>3401.13</f>
        <v>3401.13</v>
      </c>
      <c r="I1481">
        <f>10398.434</f>
        <v>10398.433999999999</v>
      </c>
      <c r="J1481">
        <f>3728.53</f>
        <v>3728.53</v>
      </c>
      <c r="K1481">
        <f>10324.53</f>
        <v>10324.530000000001</v>
      </c>
      <c r="L1481">
        <f>1957.44</f>
        <v>1957.44</v>
      </c>
      <c r="M1481">
        <f>8123.73</f>
        <v>8123.73</v>
      </c>
      <c r="N1481">
        <f>321.349</f>
        <v>321.34899999999999</v>
      </c>
      <c r="O1481">
        <f>2927.81</f>
        <v>2927.81</v>
      </c>
      <c r="P1481">
        <f>261.35</f>
        <v>261.35000000000002</v>
      </c>
      <c r="Q1481">
        <f>2339.711</f>
        <v>2339.7109999999998</v>
      </c>
      <c r="R1481">
        <f>4972.6</f>
        <v>4972.6000000000004</v>
      </c>
      <c r="S1481">
        <f>2549.21</f>
        <v>2549.21</v>
      </c>
      <c r="T1481">
        <f>3948.02</f>
        <v>3948.02</v>
      </c>
      <c r="U1481">
        <f>58576.29</f>
        <v>58576.29</v>
      </c>
      <c r="V1481">
        <f>372.29</f>
        <v>372.29</v>
      </c>
    </row>
    <row r="1482" spans="1:22" x14ac:dyDescent="0.2">
      <c r="A1482" s="1">
        <v>43033</v>
      </c>
      <c r="B1482">
        <f>2792.49</f>
        <v>2792.49</v>
      </c>
      <c r="C1482">
        <f>9699.08</f>
        <v>9699.08</v>
      </c>
      <c r="D1482">
        <f>6280.51</f>
        <v>6280.51</v>
      </c>
      <c r="E1482">
        <f>2417</f>
        <v>2417</v>
      </c>
      <c r="F1482">
        <f>2055.69</f>
        <v>2055.69</v>
      </c>
      <c r="G1482">
        <f>8389.533</f>
        <v>8389.5329999999994</v>
      </c>
      <c r="H1482">
        <f>3402.74</f>
        <v>3402.74</v>
      </c>
      <c r="I1482">
        <f>10373.503</f>
        <v>10373.503000000001</v>
      </c>
      <c r="J1482">
        <f>3722.68</f>
        <v>3722.68</v>
      </c>
      <c r="K1482">
        <f>10307.85</f>
        <v>10307.85</v>
      </c>
      <c r="L1482">
        <f>1951.59</f>
        <v>1951.59</v>
      </c>
      <c r="M1482">
        <f>8114.67</f>
        <v>8114.67</v>
      </c>
      <c r="N1482">
        <f>317.897</f>
        <v>317.89699999999999</v>
      </c>
      <c r="O1482">
        <f>2896.64</f>
        <v>2896.64</v>
      </c>
      <c r="P1482">
        <f>261.5</f>
        <v>261.5</v>
      </c>
      <c r="Q1482">
        <f>2334.535</f>
        <v>2334.5349999999999</v>
      </c>
      <c r="R1482">
        <f>4966.29</f>
        <v>4966.29</v>
      </c>
      <c r="S1482">
        <f>2545.61</f>
        <v>2545.61</v>
      </c>
      <c r="T1482">
        <f>3969.027</f>
        <v>3969.027</v>
      </c>
      <c r="U1482">
        <f>58123.13</f>
        <v>58123.13</v>
      </c>
      <c r="V1482">
        <f>370.93</f>
        <v>370.93</v>
      </c>
    </row>
    <row r="1483" spans="1:22" x14ac:dyDescent="0.2">
      <c r="A1483" s="1">
        <v>43032</v>
      </c>
      <c r="B1483">
        <f>2825.35</f>
        <v>2825.35</v>
      </c>
      <c r="C1483">
        <f>9694.61</f>
        <v>9694.61</v>
      </c>
      <c r="D1483">
        <f>6347.41</f>
        <v>6347.41</v>
      </c>
      <c r="E1483">
        <f>2415.292</f>
        <v>2415.2919999999999</v>
      </c>
      <c r="F1483">
        <f>2054.34</f>
        <v>2054.34</v>
      </c>
      <c r="G1483">
        <f>8395.181</f>
        <v>8395.1810000000005</v>
      </c>
      <c r="H1483">
        <f>3395.67</f>
        <v>3395.67</v>
      </c>
      <c r="I1483">
        <f>10396.192</f>
        <v>10396.191999999999</v>
      </c>
      <c r="J1483">
        <f>3747.96</f>
        <v>3747.96</v>
      </c>
      <c r="K1483">
        <f>10356.43</f>
        <v>10356.43</v>
      </c>
      <c r="L1483">
        <f>1964.72</f>
        <v>1964.72</v>
      </c>
      <c r="M1483">
        <f>8146.14</f>
        <v>8146.14</v>
      </c>
      <c r="N1483">
        <f>318.576</f>
        <v>318.57600000000002</v>
      </c>
      <c r="O1483">
        <f>2913.39</f>
        <v>2913.39</v>
      </c>
      <c r="P1483">
        <f>263.27</f>
        <v>263.27</v>
      </c>
      <c r="Q1483">
        <f>2342.501</f>
        <v>2342.5010000000002</v>
      </c>
      <c r="R1483">
        <f>4989.56</f>
        <v>4989.5600000000004</v>
      </c>
      <c r="S1483">
        <f>2553.6</f>
        <v>2553.6</v>
      </c>
      <c r="T1483">
        <f>3976.451</f>
        <v>3976.451</v>
      </c>
      <c r="U1483">
        <f>57904.72</f>
        <v>57904.72</v>
      </c>
      <c r="V1483">
        <f>373.11</f>
        <v>373.11</v>
      </c>
    </row>
    <row r="1484" spans="1:22" x14ac:dyDescent="0.2">
      <c r="A1484" s="1">
        <v>43031</v>
      </c>
      <c r="B1484">
        <f>2830.97</f>
        <v>2830.97</v>
      </c>
      <c r="C1484">
        <f>9716.39</f>
        <v>9716.39</v>
      </c>
      <c r="D1484">
        <f>6345.64</f>
        <v>6345.64</v>
      </c>
      <c r="E1484">
        <f>2420.848</f>
        <v>2420.848</v>
      </c>
      <c r="F1484">
        <f>2068.71</f>
        <v>2068.71</v>
      </c>
      <c r="G1484">
        <f>8437.002</f>
        <v>8437.0020000000004</v>
      </c>
      <c r="H1484">
        <f>3386.86</f>
        <v>3386.86</v>
      </c>
      <c r="I1484">
        <f>10405.965</f>
        <v>10405.965</v>
      </c>
      <c r="J1484">
        <f>3754.2</f>
        <v>3754.2</v>
      </c>
      <c r="K1484">
        <f>10339.68</f>
        <v>10339.68</v>
      </c>
      <c r="L1484">
        <f>1970.22</f>
        <v>1970.22</v>
      </c>
      <c r="M1484">
        <f>8140.7</f>
        <v>8140.7</v>
      </c>
      <c r="N1484">
        <f>321.294</f>
        <v>321.29399999999998</v>
      </c>
      <c r="O1484">
        <f>2922.98</f>
        <v>2922.98</v>
      </c>
      <c r="P1484">
        <f>261.33</f>
        <v>261.33</v>
      </c>
      <c r="Q1484">
        <f>2342.815</f>
        <v>2342.8150000000001</v>
      </c>
      <c r="R1484">
        <f>4981.37</f>
        <v>4981.37</v>
      </c>
      <c r="S1484">
        <f>2536.63</f>
        <v>2536.63</v>
      </c>
      <c r="T1484">
        <f>3995.725</f>
        <v>3995.7249999999999</v>
      </c>
      <c r="U1484">
        <f>57999.6</f>
        <v>57999.6</v>
      </c>
      <c r="V1484">
        <f>373.21</f>
        <v>373.21</v>
      </c>
    </row>
    <row r="1485" spans="1:22" x14ac:dyDescent="0.2">
      <c r="A1485" s="1">
        <v>43028</v>
      </c>
      <c r="B1485">
        <f>2836.61</f>
        <v>2836.61</v>
      </c>
      <c r="C1485">
        <f>9774.22</f>
        <v>9774.2199999999993</v>
      </c>
      <c r="D1485">
        <f>6344.61</f>
        <v>6344.61</v>
      </c>
      <c r="E1485">
        <f>2429.072</f>
        <v>2429.0720000000001</v>
      </c>
      <c r="F1485">
        <f>2073.92</f>
        <v>2073.92</v>
      </c>
      <c r="G1485">
        <f>8437.992</f>
        <v>8437.9920000000002</v>
      </c>
      <c r="H1485">
        <f>3370.03</f>
        <v>3370.03</v>
      </c>
      <c r="I1485">
        <f>10434.876</f>
        <v>10434.876</v>
      </c>
      <c r="J1485">
        <f>3757.19</f>
        <v>3757.19</v>
      </c>
      <c r="K1485">
        <f>10381.76</f>
        <v>10381.76</v>
      </c>
      <c r="L1485">
        <f>1974.33</f>
        <v>1974.33</v>
      </c>
      <c r="M1485">
        <f>8162.65</f>
        <v>8162.65</v>
      </c>
      <c r="N1485">
        <f>320.373</f>
        <v>320.37299999999999</v>
      </c>
      <c r="O1485">
        <f>2919.88</f>
        <v>2919.88</v>
      </c>
      <c r="P1485">
        <f>260.23</f>
        <v>260.23</v>
      </c>
      <c r="Q1485">
        <f>2342.349</f>
        <v>2342.3490000000002</v>
      </c>
      <c r="R1485">
        <f>5001.11</f>
        <v>5001.1099999999997</v>
      </c>
      <c r="S1485">
        <f>2515.4</f>
        <v>2515.4</v>
      </c>
      <c r="T1485">
        <f>4004.361</f>
        <v>4004.3609999999999</v>
      </c>
      <c r="U1485">
        <f>57948.66</f>
        <v>57948.66</v>
      </c>
      <c r="V1485">
        <f>372.23</f>
        <v>372.23</v>
      </c>
    </row>
    <row r="1486" spans="1:22" x14ac:dyDescent="0.2">
      <c r="A1486" s="1">
        <v>43027</v>
      </c>
      <c r="B1486">
        <f>2834.8</f>
        <v>2834.8</v>
      </c>
      <c r="C1486">
        <f>9776.56</f>
        <v>9776.56</v>
      </c>
      <c r="D1486">
        <f>6344.45</f>
        <v>6344.45</v>
      </c>
      <c r="E1486">
        <f>2422.975</f>
        <v>2422.9749999999999</v>
      </c>
      <c r="F1486">
        <f>2072.52</f>
        <v>2072.52</v>
      </c>
      <c r="G1486">
        <f>8451.02</f>
        <v>8451.02</v>
      </c>
      <c r="H1486">
        <f>3398.22</f>
        <v>3398.22</v>
      </c>
      <c r="I1486">
        <f>10471.863</f>
        <v>10471.862999999999</v>
      </c>
      <c r="J1486">
        <f>3743.51</f>
        <v>3743.51</v>
      </c>
      <c r="K1486">
        <f>10328.6</f>
        <v>10328.6</v>
      </c>
      <c r="L1486">
        <f>1978.07</f>
        <v>1978.07</v>
      </c>
      <c r="M1486">
        <f>8153.09</f>
        <v>8153.09</v>
      </c>
      <c r="N1486">
        <f>319.954</f>
        <v>319.95400000000001</v>
      </c>
      <c r="O1486">
        <f>2911.31</f>
        <v>2911.31</v>
      </c>
      <c r="P1486">
        <f>260.32</f>
        <v>260.32</v>
      </c>
      <c r="Q1486">
        <f>2330.098</f>
        <v>2330.098</v>
      </c>
      <c r="R1486">
        <f>4975.32</f>
        <v>4975.32</v>
      </c>
      <c r="S1486">
        <f>2514.53</f>
        <v>2514.5300000000002</v>
      </c>
      <c r="T1486">
        <f>4044.44</f>
        <v>4044.44</v>
      </c>
      <c r="U1486">
        <f>57896.83</f>
        <v>57896.83</v>
      </c>
      <c r="V1486">
        <f>373.62</f>
        <v>373.62</v>
      </c>
    </row>
    <row r="1487" spans="1:22" x14ac:dyDescent="0.2">
      <c r="A1487" s="1">
        <v>43026</v>
      </c>
      <c r="B1487">
        <f>2849.02</f>
        <v>2849.02</v>
      </c>
      <c r="C1487">
        <f>9849.3</f>
        <v>9849.2999999999993</v>
      </c>
      <c r="D1487">
        <f>6359.87</f>
        <v>6359.87</v>
      </c>
      <c r="E1487">
        <f>2444.691</f>
        <v>2444.6909999999998</v>
      </c>
      <c r="F1487">
        <f>2069.04</f>
        <v>2069.04</v>
      </c>
      <c r="G1487">
        <f>8453.509</f>
        <v>8453.509</v>
      </c>
      <c r="H1487">
        <f>3374.96</f>
        <v>3374.96</v>
      </c>
      <c r="I1487">
        <f>10459.254</f>
        <v>10459.254000000001</v>
      </c>
      <c r="J1487">
        <f>3737.21</f>
        <v>3737.21</v>
      </c>
      <c r="K1487">
        <f>10322.58</f>
        <v>10322.58</v>
      </c>
      <c r="L1487">
        <f>1977.04</f>
        <v>1977.04</v>
      </c>
      <c r="M1487">
        <f>8141.15</f>
        <v>8141.15</v>
      </c>
      <c r="N1487">
        <f>322.286</f>
        <v>322.286</v>
      </c>
      <c r="O1487">
        <f>2929.08</f>
        <v>2929.08</v>
      </c>
      <c r="P1487">
        <f>260.43</f>
        <v>260.43</v>
      </c>
      <c r="Q1487">
        <f>2334.16</f>
        <v>2334.16</v>
      </c>
      <c r="R1487">
        <f>4973.28</f>
        <v>4973.28</v>
      </c>
      <c r="S1487">
        <f>2506.68</f>
        <v>2506.6799999999998</v>
      </c>
      <c r="T1487">
        <f>4068.137</f>
        <v>4068.1370000000002</v>
      </c>
      <c r="U1487">
        <f>58152.41</f>
        <v>58152.41</v>
      </c>
      <c r="V1487">
        <f>375.29</f>
        <v>375.29</v>
      </c>
    </row>
    <row r="1488" spans="1:22" x14ac:dyDescent="0.2">
      <c r="A1488" s="1">
        <v>43025</v>
      </c>
      <c r="B1488">
        <f>2828.44</f>
        <v>2828.44</v>
      </c>
      <c r="C1488">
        <f>9844.48</f>
        <v>9844.48</v>
      </c>
      <c r="D1488">
        <f>6337.37</f>
        <v>6337.37</v>
      </c>
      <c r="E1488">
        <f>2441.893</f>
        <v>2441.893</v>
      </c>
      <c r="F1488">
        <f>2044.71</f>
        <v>2044.71</v>
      </c>
      <c r="G1488">
        <f>8423.939</f>
        <v>8423.9390000000003</v>
      </c>
      <c r="H1488">
        <f>3378.18</f>
        <v>3378.18</v>
      </c>
      <c r="I1488">
        <f>10401.698</f>
        <v>10401.698</v>
      </c>
      <c r="J1488">
        <f>3732.52</f>
        <v>3732.52</v>
      </c>
      <c r="K1488">
        <f>10314.88</f>
        <v>10314.879999999999</v>
      </c>
      <c r="L1488">
        <f>1970.57</f>
        <v>1970.57</v>
      </c>
      <c r="M1488">
        <f>8128.64</f>
        <v>8128.64</v>
      </c>
      <c r="N1488">
        <f>320.071</f>
        <v>320.07100000000003</v>
      </c>
      <c r="O1488">
        <f>2920</f>
        <v>2920</v>
      </c>
      <c r="P1488">
        <f>260.12</f>
        <v>260.12</v>
      </c>
      <c r="Q1488">
        <f>2330.689</f>
        <v>2330.6889999999999</v>
      </c>
      <c r="R1488">
        <f>4969.38</f>
        <v>4969.38</v>
      </c>
      <c r="S1488">
        <f>2504.83</f>
        <v>2504.83</v>
      </c>
      <c r="T1488">
        <f>4031.281</f>
        <v>4031.2809999999999</v>
      </c>
      <c r="U1488">
        <f>57882.67</f>
        <v>57882.67</v>
      </c>
      <c r="V1488">
        <f>373.25</f>
        <v>373.25</v>
      </c>
    </row>
    <row r="1489" spans="1:22" x14ac:dyDescent="0.2">
      <c r="A1489" s="1">
        <v>43024</v>
      </c>
      <c r="B1489">
        <f>2837.96</f>
        <v>2837.96</v>
      </c>
      <c r="C1489">
        <f>9911.71</f>
        <v>9911.7099999999991</v>
      </c>
      <c r="D1489">
        <f>6346.47</f>
        <v>6346.47</v>
      </c>
      <c r="E1489">
        <f>2455.197</f>
        <v>2455.1970000000001</v>
      </c>
      <c r="F1489">
        <f>2069.25</f>
        <v>2069.25</v>
      </c>
      <c r="G1489">
        <f>8509.354</f>
        <v>8509.3539999999994</v>
      </c>
      <c r="H1489">
        <f>3378.94</f>
        <v>3378.94</v>
      </c>
      <c r="I1489">
        <f>10449.36</f>
        <v>10449.36</v>
      </c>
      <c r="J1489">
        <f>3723.95</f>
        <v>3723.95</v>
      </c>
      <c r="K1489">
        <f>10307.71</f>
        <v>10307.709999999999</v>
      </c>
      <c r="L1489">
        <f>1974.43</f>
        <v>1974.43</v>
      </c>
      <c r="M1489">
        <f>8138.75</f>
        <v>8138.75</v>
      </c>
      <c r="N1489">
        <f>321.727</f>
        <v>321.72699999999998</v>
      </c>
      <c r="O1489">
        <f>2925.8</f>
        <v>2925.8</v>
      </c>
      <c r="P1489">
        <f>259.72</f>
        <v>259.72000000000003</v>
      </c>
      <c r="Q1489">
        <f>2323.59</f>
        <v>2323.59</v>
      </c>
      <c r="R1489">
        <f>4966.05</f>
        <v>4966.05</v>
      </c>
      <c r="S1489">
        <f>2498.74</f>
        <v>2498.7399999999998</v>
      </c>
      <c r="T1489">
        <f>4071.025</f>
        <v>4071.0250000000001</v>
      </c>
      <c r="U1489">
        <f>58163.56</f>
        <v>58163.56</v>
      </c>
      <c r="V1489">
        <f>377.32</f>
        <v>377.32</v>
      </c>
    </row>
    <row r="1490" spans="1:22" x14ac:dyDescent="0.2">
      <c r="A1490" s="1">
        <v>43021</v>
      </c>
      <c r="B1490">
        <f>2846.69</f>
        <v>2846.69</v>
      </c>
      <c r="C1490">
        <f>9880.18</f>
        <v>9880.18</v>
      </c>
      <c r="D1490">
        <f>6353.61</f>
        <v>6353.61</v>
      </c>
      <c r="E1490">
        <f>2442.371</f>
        <v>2442.3710000000001</v>
      </c>
      <c r="F1490">
        <f>2066.95</f>
        <v>2066.9499999999998</v>
      </c>
      <c r="G1490">
        <f>8536.382</f>
        <v>8536.3819999999996</v>
      </c>
      <c r="H1490">
        <f>3356.46</f>
        <v>3356.46</v>
      </c>
      <c r="I1490">
        <f>10482.689</f>
        <v>10482.689</v>
      </c>
      <c r="J1490">
        <f>3727.28</f>
        <v>3727.28</v>
      </c>
      <c r="K1490">
        <f>10290.45</f>
        <v>10290.450000000001</v>
      </c>
      <c r="L1490">
        <f>1976.78</f>
        <v>1976.78</v>
      </c>
      <c r="M1490">
        <f>8131.11</f>
        <v>8131.11</v>
      </c>
      <c r="N1490">
        <f>321.505</f>
        <v>321.505</v>
      </c>
      <c r="O1490">
        <f>2924.74</f>
        <v>2924.74</v>
      </c>
      <c r="P1490">
        <f>258.06</f>
        <v>258.06</v>
      </c>
      <c r="Q1490">
        <f>2322.915</f>
        <v>2322.915</v>
      </c>
      <c r="R1490">
        <f>4957.27</f>
        <v>4957.2700000000004</v>
      </c>
      <c r="S1490">
        <f>2483.39</f>
        <v>2483.39</v>
      </c>
      <c r="T1490">
        <f>4071.025</f>
        <v>4071.0250000000001</v>
      </c>
      <c r="U1490">
        <f>57876.6</f>
        <v>57876.6</v>
      </c>
      <c r="V1490">
        <f>376.07</f>
        <v>376.07</v>
      </c>
    </row>
    <row r="1491" spans="1:22" x14ac:dyDescent="0.2">
      <c r="A1491" s="1">
        <v>43020</v>
      </c>
      <c r="B1491">
        <f>2842.21</f>
        <v>2842.21</v>
      </c>
      <c r="C1491">
        <f>9831.38</f>
        <v>9831.3799999999992</v>
      </c>
      <c r="D1491">
        <f>6371.15</f>
        <v>6371.15</v>
      </c>
      <c r="E1491">
        <f>2433.027</f>
        <v>2433.027</v>
      </c>
      <c r="F1491">
        <f>2042.94</f>
        <v>2042.94</v>
      </c>
      <c r="G1491">
        <f>8467.896</f>
        <v>8467.8960000000006</v>
      </c>
      <c r="H1491">
        <f>3339.63</f>
        <v>3339.63</v>
      </c>
      <c r="I1491">
        <f>10486.65</f>
        <v>10486.65</v>
      </c>
      <c r="J1491">
        <f>3724.77</f>
        <v>3724.77</v>
      </c>
      <c r="K1491">
        <f>10282.92</f>
        <v>10282.92</v>
      </c>
      <c r="L1491">
        <f>1972.56</f>
        <v>1972.56</v>
      </c>
      <c r="M1491">
        <f>8113.53</f>
        <v>8113.53</v>
      </c>
      <c r="N1491">
        <f>320.267</f>
        <v>320.267</v>
      </c>
      <c r="O1491">
        <f>2917.34</f>
        <v>2917.34</v>
      </c>
      <c r="P1491">
        <f>257.32</f>
        <v>257.32</v>
      </c>
      <c r="Q1491">
        <f>2317.9</f>
        <v>2317.9</v>
      </c>
      <c r="R1491">
        <f>4952.85</f>
        <v>4952.8500000000004</v>
      </c>
      <c r="S1491">
        <f>2471.06</f>
        <v>2471.06</v>
      </c>
      <c r="T1491">
        <f>4060.21</f>
        <v>4060.21</v>
      </c>
      <c r="U1491">
        <f>57747.34</f>
        <v>57747.34</v>
      </c>
      <c r="V1491">
        <f>372.58</f>
        <v>372.58</v>
      </c>
    </row>
    <row r="1492" spans="1:22" x14ac:dyDescent="0.2">
      <c r="A1492" s="1">
        <v>43019</v>
      </c>
      <c r="B1492">
        <f>2830.31</f>
        <v>2830.31</v>
      </c>
      <c r="C1492">
        <f>9787.88</f>
        <v>9787.8799999999992</v>
      </c>
      <c r="D1492">
        <f>6346.33</f>
        <v>6346.33</v>
      </c>
      <c r="E1492">
        <f>2423.646</f>
        <v>2423.6460000000002</v>
      </c>
      <c r="F1492">
        <f>2035.91</f>
        <v>2035.91</v>
      </c>
      <c r="G1492">
        <f>8449.233</f>
        <v>8449.2330000000002</v>
      </c>
      <c r="H1492">
        <f>3327.95</f>
        <v>3327.95</v>
      </c>
      <c r="I1492">
        <f>10485.076</f>
        <v>10485.075999999999</v>
      </c>
      <c r="J1492">
        <f>3728.63</f>
        <v>3728.63</v>
      </c>
      <c r="K1492">
        <f>10299.84</f>
        <v>10299.84</v>
      </c>
      <c r="L1492">
        <f>1974.41</f>
        <v>1974.41</v>
      </c>
      <c r="M1492">
        <f>8116.22</f>
        <v>8116.22</v>
      </c>
      <c r="N1492">
        <f>319.498</f>
        <v>319.49799999999999</v>
      </c>
      <c r="O1492">
        <f>2915.91</f>
        <v>2915.91</v>
      </c>
      <c r="P1492">
        <f>257.53</f>
        <v>257.52999999999997</v>
      </c>
      <c r="Q1492">
        <f>2310.562</f>
        <v>2310.5619999999999</v>
      </c>
      <c r="R1492">
        <f>4960.79</f>
        <v>4960.79</v>
      </c>
      <c r="S1492">
        <f>2466.22</f>
        <v>2466.2199999999998</v>
      </c>
      <c r="T1492">
        <f>4022.763</f>
        <v>4022.7629999999999</v>
      </c>
      <c r="U1492">
        <f>57770.73</f>
        <v>57770.73</v>
      </c>
      <c r="V1492">
        <f>370.27</f>
        <v>370.27</v>
      </c>
    </row>
    <row r="1493" spans="1:22" x14ac:dyDescent="0.2">
      <c r="A1493" s="1">
        <v>43018</v>
      </c>
      <c r="B1493">
        <f>2833.99</f>
        <v>2833.99</v>
      </c>
      <c r="C1493">
        <f>9725.99</f>
        <v>9725.99</v>
      </c>
      <c r="D1493">
        <f>6350.09</f>
        <v>6350.09</v>
      </c>
      <c r="E1493">
        <f>2413.185</f>
        <v>2413.1849999999999</v>
      </c>
      <c r="F1493">
        <f>2039.59</f>
        <v>2039.59</v>
      </c>
      <c r="G1493">
        <f>8477.249</f>
        <v>8477.2489999999998</v>
      </c>
      <c r="H1493">
        <f>3335.05</f>
        <v>3335.05</v>
      </c>
      <c r="I1493">
        <f>10437.854</f>
        <v>10437.853999999999</v>
      </c>
      <c r="J1493">
        <f>3722.28</f>
        <v>3722.28</v>
      </c>
      <c r="K1493">
        <f>10281.19</f>
        <v>10281.19</v>
      </c>
      <c r="L1493">
        <f>1973.31</f>
        <v>1973.31</v>
      </c>
      <c r="M1493">
        <f>8103.99</f>
        <v>8103.99</v>
      </c>
      <c r="N1493">
        <f>319.858</f>
        <v>319.858</v>
      </c>
      <c r="O1493">
        <f>2916.01</f>
        <v>2916.01</v>
      </c>
      <c r="P1493">
        <f>257.39</f>
        <v>257.39</v>
      </c>
      <c r="Q1493">
        <f>2300.66</f>
        <v>2300.66</v>
      </c>
      <c r="R1493">
        <f>4951.77</f>
        <v>4951.7700000000004</v>
      </c>
      <c r="S1493">
        <f>2463.8</f>
        <v>2463.8000000000002</v>
      </c>
      <c r="T1493">
        <f>3987.874</f>
        <v>3987.8739999999998</v>
      </c>
      <c r="U1493">
        <f>57629.93</f>
        <v>57629.93</v>
      </c>
      <c r="V1493">
        <f>367.54</f>
        <v>367.54</v>
      </c>
    </row>
    <row r="1494" spans="1:22" x14ac:dyDescent="0.2">
      <c r="A1494" s="1">
        <v>43017</v>
      </c>
      <c r="B1494">
        <f>2827.55</f>
        <v>2827.55</v>
      </c>
      <c r="C1494">
        <f>9649.2</f>
        <v>9649.2000000000007</v>
      </c>
      <c r="D1494">
        <f>6324.5</f>
        <v>6324.5</v>
      </c>
      <c r="E1494">
        <f>2386.812</f>
        <v>2386.8119999999999</v>
      </c>
      <c r="F1494">
        <f>2019.06</f>
        <v>2019.06</v>
      </c>
      <c r="G1494">
        <f>8386.873</f>
        <v>8386.8729999999996</v>
      </c>
      <c r="H1494">
        <f>3311.38</f>
        <v>3311.38</v>
      </c>
      <c r="I1494">
        <f>10386.452</f>
        <v>10386.451999999999</v>
      </c>
      <c r="J1494">
        <f>3702.67</f>
        <v>3702.67</v>
      </c>
      <c r="K1494">
        <f>10258.42</f>
        <v>10258.42</v>
      </c>
      <c r="L1494">
        <f>1961.66</f>
        <v>1961.66</v>
      </c>
      <c r="M1494">
        <f>8070.04</f>
        <v>8070.04</v>
      </c>
      <c r="N1494">
        <f>320.345</f>
        <v>320.34500000000003</v>
      </c>
      <c r="O1494">
        <f>2914.94</f>
        <v>2914.94</v>
      </c>
      <c r="P1494" t="e">
        <f>NA()</f>
        <v>#N/A</v>
      </c>
      <c r="Q1494">
        <f>2292.018</f>
        <v>2292.018</v>
      </c>
      <c r="R1494">
        <f>4940.16</f>
        <v>4940.16</v>
      </c>
      <c r="S1494" t="e">
        <f>NA()</f>
        <v>#N/A</v>
      </c>
      <c r="T1494">
        <f>3954.828</f>
        <v>3954.828</v>
      </c>
      <c r="U1494">
        <f>57530.11</f>
        <v>57530.11</v>
      </c>
      <c r="V1494">
        <f>365.82</f>
        <v>365.82</v>
      </c>
    </row>
    <row r="1495" spans="1:22" x14ac:dyDescent="0.2">
      <c r="A1495" s="1">
        <v>43014</v>
      </c>
      <c r="B1495">
        <f>2841.24</f>
        <v>2841.24</v>
      </c>
      <c r="C1495">
        <f>9680.01</f>
        <v>9680.01</v>
      </c>
      <c r="D1495">
        <f>6337.12</f>
        <v>6337.12</v>
      </c>
      <c r="E1495">
        <f>2392.556</f>
        <v>2392.556</v>
      </c>
      <c r="F1495">
        <f>2006.9</f>
        <v>2006.9</v>
      </c>
      <c r="G1495">
        <f>8355.145</f>
        <v>8355.1450000000004</v>
      </c>
      <c r="H1495">
        <f>3307.71</f>
        <v>3307.71</v>
      </c>
      <c r="I1495">
        <f>10367.841</f>
        <v>10367.841</v>
      </c>
      <c r="J1495">
        <f>3700.32</f>
        <v>3700.32</v>
      </c>
      <c r="K1495">
        <f>10278.54</f>
        <v>10278.540000000001</v>
      </c>
      <c r="L1495">
        <f>1958.26</f>
        <v>1958.26</v>
      </c>
      <c r="M1495">
        <f>8073.66</f>
        <v>8073.66</v>
      </c>
      <c r="N1495">
        <f>319.794</f>
        <v>319.79399999999998</v>
      </c>
      <c r="O1495">
        <f>2910.57</f>
        <v>2910.57</v>
      </c>
      <c r="P1495">
        <f>255.56</f>
        <v>255.56</v>
      </c>
      <c r="Q1495">
        <f>2300.022</f>
        <v>2300.0219999999999</v>
      </c>
      <c r="R1495">
        <f>4949.09</f>
        <v>4949.09</v>
      </c>
      <c r="S1495">
        <f>2452.21</f>
        <v>2452.21</v>
      </c>
      <c r="T1495">
        <f>3932.123</f>
        <v>3932.123</v>
      </c>
      <c r="U1495">
        <f>57231.87</f>
        <v>57231.87</v>
      </c>
      <c r="V1495">
        <f>364.37</f>
        <v>364.37</v>
      </c>
    </row>
    <row r="1496" spans="1:22" x14ac:dyDescent="0.2">
      <c r="A1496" s="1">
        <v>43013</v>
      </c>
      <c r="B1496">
        <f>2836.25</f>
        <v>2836.25</v>
      </c>
      <c r="C1496">
        <f>9687.25</f>
        <v>9687.25</v>
      </c>
      <c r="D1496">
        <f>6324.59</f>
        <v>6324.59</v>
      </c>
      <c r="E1496">
        <f>2391.753</f>
        <v>2391.7530000000002</v>
      </c>
      <c r="F1496">
        <f>2009.16</f>
        <v>2009.16</v>
      </c>
      <c r="G1496">
        <f>8389.405</f>
        <v>8389.4050000000007</v>
      </c>
      <c r="H1496">
        <f>3302.65</f>
        <v>3302.65</v>
      </c>
      <c r="I1496">
        <f>10387.288</f>
        <v>10387.288</v>
      </c>
      <c r="J1496">
        <f>3707.66</f>
        <v>3707.66</v>
      </c>
      <c r="K1496">
        <f>10286.56</f>
        <v>10286.56</v>
      </c>
      <c r="L1496">
        <f>1960.41</f>
        <v>1960.41</v>
      </c>
      <c r="M1496">
        <f>8080.59</f>
        <v>8080.59</v>
      </c>
      <c r="N1496">
        <f>320.949</f>
        <v>320.94900000000001</v>
      </c>
      <c r="O1496">
        <f>2921.44</f>
        <v>2921.44</v>
      </c>
      <c r="P1496">
        <f>255.9</f>
        <v>255.9</v>
      </c>
      <c r="Q1496">
        <f>2306.414</f>
        <v>2306.4140000000002</v>
      </c>
      <c r="R1496">
        <f>4952.85</f>
        <v>4952.8500000000004</v>
      </c>
      <c r="S1496">
        <f>2445.42</f>
        <v>2445.42</v>
      </c>
      <c r="T1496">
        <f>3913.552</f>
        <v>3913.5520000000001</v>
      </c>
      <c r="U1496">
        <f>56999.79</f>
        <v>56999.79</v>
      </c>
      <c r="V1496">
        <f>365.05</f>
        <v>365.05</v>
      </c>
    </row>
    <row r="1497" spans="1:22" x14ac:dyDescent="0.2">
      <c r="A1497" s="1">
        <v>43012</v>
      </c>
      <c r="B1497">
        <f>2828.65</f>
        <v>2828.65</v>
      </c>
      <c r="C1497">
        <f>9677.51</f>
        <v>9677.51</v>
      </c>
      <c r="D1497">
        <f>6287.76</f>
        <v>6287.76</v>
      </c>
      <c r="E1497">
        <f>2389.769</f>
        <v>2389.7689999999998</v>
      </c>
      <c r="F1497">
        <f>2020.9</f>
        <v>2020.9</v>
      </c>
      <c r="G1497">
        <f>8428.244</f>
        <v>8428.2440000000006</v>
      </c>
      <c r="H1497">
        <f>3299.71</f>
        <v>3299.71</v>
      </c>
      <c r="I1497">
        <f>10396.578</f>
        <v>10396.578</v>
      </c>
      <c r="J1497">
        <f>3693.73</f>
        <v>3693.73</v>
      </c>
      <c r="K1497">
        <f>10227.71</f>
        <v>10227.709999999999</v>
      </c>
      <c r="L1497">
        <f>1960.66</f>
        <v>1960.66</v>
      </c>
      <c r="M1497">
        <f>8058.46</f>
        <v>8058.46</v>
      </c>
      <c r="N1497">
        <f>321.508</f>
        <v>321.50799999999998</v>
      </c>
      <c r="O1497">
        <f>2914.78</f>
        <v>2914.78</v>
      </c>
      <c r="P1497">
        <f>256.18</f>
        <v>256.18</v>
      </c>
      <c r="Q1497">
        <f>2298.235</f>
        <v>2298.2350000000001</v>
      </c>
      <c r="R1497">
        <f>4924.19</f>
        <v>4924.1899999999996</v>
      </c>
      <c r="S1497">
        <f>2448.42</f>
        <v>2448.42</v>
      </c>
      <c r="T1497">
        <f>3902.311</f>
        <v>3902.3110000000001</v>
      </c>
      <c r="U1497">
        <f>56750.03</f>
        <v>56750.03</v>
      </c>
      <c r="V1497">
        <f>363.19</f>
        <v>363.19</v>
      </c>
    </row>
    <row r="1498" spans="1:22" x14ac:dyDescent="0.2">
      <c r="A1498" s="1">
        <v>43011</v>
      </c>
      <c r="B1498">
        <f>2846.29</f>
        <v>2846.29</v>
      </c>
      <c r="C1498">
        <f>9621.09</f>
        <v>9621.09</v>
      </c>
      <c r="D1498">
        <f>6288.21</f>
        <v>6288.21</v>
      </c>
      <c r="E1498">
        <f>2379.06</f>
        <v>2379.06</v>
      </c>
      <c r="F1498">
        <f>2021.26</f>
        <v>2021.26</v>
      </c>
      <c r="G1498">
        <f>8406.882</f>
        <v>8406.8819999999996</v>
      </c>
      <c r="H1498">
        <f>3300.69</f>
        <v>3300.69</v>
      </c>
      <c r="I1498">
        <f>10410.048</f>
        <v>10410.048000000001</v>
      </c>
      <c r="J1498">
        <f>3683.85</f>
        <v>3683.85</v>
      </c>
      <c r="K1498">
        <f>10214.76</f>
        <v>10214.76</v>
      </c>
      <c r="L1498">
        <f>1957.1</f>
        <v>1957.1</v>
      </c>
      <c r="M1498">
        <f>8052.88</f>
        <v>8052.88</v>
      </c>
      <c r="N1498">
        <f>320.636</f>
        <v>320.63600000000002</v>
      </c>
      <c r="O1498">
        <f>2918.32</f>
        <v>2918.32</v>
      </c>
      <c r="P1498">
        <f>256.01</f>
        <v>256.01</v>
      </c>
      <c r="Q1498">
        <f>2289.889</f>
        <v>2289.8890000000001</v>
      </c>
      <c r="R1498">
        <f>4917.73</f>
        <v>4917.7299999999996</v>
      </c>
      <c r="S1498">
        <f>2448.28</f>
        <v>2448.2800000000002</v>
      </c>
      <c r="T1498">
        <f>3874.821</f>
        <v>3874.8209999999999</v>
      </c>
      <c r="U1498">
        <f>56358.26</f>
        <v>56358.26</v>
      </c>
      <c r="V1498">
        <f>361.14</f>
        <v>361.14</v>
      </c>
    </row>
    <row r="1499" spans="1:22" x14ac:dyDescent="0.2">
      <c r="A1499" s="1">
        <v>43010</v>
      </c>
      <c r="B1499">
        <f>2841.04</f>
        <v>2841.04</v>
      </c>
      <c r="C1499">
        <f>9491.75</f>
        <v>9491.75</v>
      </c>
      <c r="D1499">
        <f>6263.56</f>
        <v>6263.56</v>
      </c>
      <c r="E1499">
        <f>2348.516</f>
        <v>2348.5160000000001</v>
      </c>
      <c r="F1499">
        <f>2030.74</f>
        <v>2030.74</v>
      </c>
      <c r="G1499">
        <f>8393.887</f>
        <v>8393.8870000000006</v>
      </c>
      <c r="H1499">
        <f>3279.19</f>
        <v>3279.19</v>
      </c>
      <c r="I1499">
        <f>10372.794</f>
        <v>10372.794</v>
      </c>
      <c r="J1499">
        <f>3679.41</f>
        <v>3679.41</v>
      </c>
      <c r="K1499">
        <f>10193.51</f>
        <v>10193.51</v>
      </c>
      <c r="L1499">
        <f>1953.76</f>
        <v>1953.76</v>
      </c>
      <c r="M1499">
        <f>8032.82</f>
        <v>8032.82</v>
      </c>
      <c r="N1499">
        <f>320.523</f>
        <v>320.52300000000002</v>
      </c>
      <c r="O1499">
        <f>2912.52</f>
        <v>2912.52</v>
      </c>
      <c r="P1499">
        <f>254.19</f>
        <v>254.19</v>
      </c>
      <c r="Q1499">
        <f>2284.454</f>
        <v>2284.4540000000002</v>
      </c>
      <c r="R1499">
        <f>4906.92</f>
        <v>4906.92</v>
      </c>
      <c r="S1499">
        <f>2432.53</f>
        <v>2432.5300000000002</v>
      </c>
      <c r="T1499">
        <f>3861.616</f>
        <v>3861.616</v>
      </c>
      <c r="U1499">
        <f>55778.27</f>
        <v>55778.27</v>
      </c>
      <c r="V1499">
        <f>358.2</f>
        <v>358.2</v>
      </c>
    </row>
    <row r="1500" spans="1:22" x14ac:dyDescent="0.2">
      <c r="A1500" s="1">
        <v>43007</v>
      </c>
      <c r="B1500">
        <f>2823.04</f>
        <v>2823.04</v>
      </c>
      <c r="C1500">
        <f>9495.13</f>
        <v>9495.1299999999992</v>
      </c>
      <c r="D1500">
        <f>6207.92</f>
        <v>6207.92</v>
      </c>
      <c r="E1500">
        <f>2345.749</f>
        <v>2345.7489999999998</v>
      </c>
      <c r="F1500">
        <f>2028.95</f>
        <v>2028.95</v>
      </c>
      <c r="G1500">
        <f>8407.5</f>
        <v>8407.5</v>
      </c>
      <c r="H1500">
        <f>3290.24</f>
        <v>3290.24</v>
      </c>
      <c r="I1500">
        <f>10397.043</f>
        <v>10397.043</v>
      </c>
      <c r="J1500">
        <f>3664.63</f>
        <v>3664.63</v>
      </c>
      <c r="K1500">
        <f>10153.05</f>
        <v>10153.049999999999</v>
      </c>
      <c r="L1500">
        <f>1947.41</f>
        <v>1947.41</v>
      </c>
      <c r="M1500">
        <f>8016.09</f>
        <v>8016.09</v>
      </c>
      <c r="N1500">
        <f>318.578</f>
        <v>318.57799999999997</v>
      </c>
      <c r="O1500">
        <f>2898.6</f>
        <v>2898.6</v>
      </c>
      <c r="P1500">
        <f>254.95</f>
        <v>254.95</v>
      </c>
      <c r="Q1500">
        <f>2275.215</f>
        <v>2275.2150000000001</v>
      </c>
      <c r="R1500">
        <f>4887.97</f>
        <v>4887.97</v>
      </c>
      <c r="S1500">
        <f>2434.16</f>
        <v>2434.16</v>
      </c>
      <c r="T1500">
        <f>3889.79</f>
        <v>3889.79</v>
      </c>
      <c r="U1500">
        <f>55579.92</f>
        <v>55579.92</v>
      </c>
      <c r="V1500">
        <f>358.25</f>
        <v>358.25</v>
      </c>
    </row>
    <row r="1501" spans="1:22" x14ac:dyDescent="0.2">
      <c r="A1501" s="1">
        <v>43006</v>
      </c>
      <c r="B1501">
        <f>2790.97</f>
        <v>2790.97</v>
      </c>
      <c r="C1501">
        <f>9434.06</f>
        <v>9434.06</v>
      </c>
      <c r="D1501">
        <f>6165.87</f>
        <v>6165.87</v>
      </c>
      <c r="E1501">
        <f>2325.275</f>
        <v>2325.2750000000001</v>
      </c>
      <c r="F1501">
        <f>2009.24</f>
        <v>2009.24</v>
      </c>
      <c r="G1501">
        <f>8368.848</f>
        <v>8368.848</v>
      </c>
      <c r="H1501">
        <f>3292.94</f>
        <v>3292.94</v>
      </c>
      <c r="I1501">
        <f>10305.51</f>
        <v>10305.51</v>
      </c>
      <c r="J1501">
        <f>3661.26</f>
        <v>3661.26</v>
      </c>
      <c r="K1501">
        <f>10115.32</f>
        <v>10115.32</v>
      </c>
      <c r="L1501">
        <f>1941.43</f>
        <v>1941.43</v>
      </c>
      <c r="M1501">
        <f>7983.12</f>
        <v>7983.12</v>
      </c>
      <c r="N1501">
        <f>318.049</f>
        <v>318.04899999999998</v>
      </c>
      <c r="O1501">
        <f>2885.8</f>
        <v>2885.8</v>
      </c>
      <c r="P1501">
        <f>254.6</f>
        <v>254.6</v>
      </c>
      <c r="Q1501">
        <f>2271.927</f>
        <v>2271.9270000000001</v>
      </c>
      <c r="R1501">
        <f>4869.81</f>
        <v>4869.8100000000004</v>
      </c>
      <c r="S1501">
        <f>2436.23</f>
        <v>2436.23</v>
      </c>
      <c r="T1501">
        <f>3851.33</f>
        <v>3851.33</v>
      </c>
      <c r="U1501">
        <f>54994.35</f>
        <v>54994.35</v>
      </c>
      <c r="V1501">
        <f>353.21</f>
        <v>353.21</v>
      </c>
    </row>
    <row r="1502" spans="1:22" x14ac:dyDescent="0.2">
      <c r="A1502" s="1">
        <v>43005</v>
      </c>
      <c r="B1502">
        <f>2793</f>
        <v>2793</v>
      </c>
      <c r="C1502">
        <f>9482.75</f>
        <v>9482.75</v>
      </c>
      <c r="D1502">
        <f>6157.42</f>
        <v>6157.42</v>
      </c>
      <c r="E1502">
        <f>2338.169</f>
        <v>2338.1689999999999</v>
      </c>
      <c r="F1502">
        <f>1996.73</f>
        <v>1996.73</v>
      </c>
      <c r="G1502">
        <f>8322.232</f>
        <v>8322.232</v>
      </c>
      <c r="H1502">
        <f>3276.86</f>
        <v>3276.86</v>
      </c>
      <c r="I1502">
        <f>10237.705</f>
        <v>10237.705</v>
      </c>
      <c r="J1502">
        <f>3655.15</f>
        <v>3655.15</v>
      </c>
      <c r="K1502">
        <f>10102.92</f>
        <v>10102.92</v>
      </c>
      <c r="L1502">
        <f>1936.15</f>
        <v>1936.15</v>
      </c>
      <c r="M1502">
        <f>7964.24</f>
        <v>7964.24</v>
      </c>
      <c r="N1502">
        <f>317.396</f>
        <v>317.39600000000002</v>
      </c>
      <c r="O1502">
        <f>2880.18</f>
        <v>2880.18</v>
      </c>
      <c r="P1502">
        <f>252.28</f>
        <v>252.28</v>
      </c>
      <c r="Q1502">
        <f>2260.325</f>
        <v>2260.3249999999998</v>
      </c>
      <c r="R1502">
        <f>4862.93</f>
        <v>4862.93</v>
      </c>
      <c r="S1502">
        <f>2419.17</f>
        <v>2419.17</v>
      </c>
      <c r="T1502">
        <f>3859.186</f>
        <v>3859.1860000000001</v>
      </c>
      <c r="U1502">
        <f>55214.07</f>
        <v>55214.07</v>
      </c>
      <c r="V1502">
        <f>354.78</f>
        <v>354.78</v>
      </c>
    </row>
    <row r="1503" spans="1:22" x14ac:dyDescent="0.2">
      <c r="A1503" s="1">
        <v>43004</v>
      </c>
      <c r="B1503">
        <f>2777.18</f>
        <v>2777.18</v>
      </c>
      <c r="C1503">
        <f>9486.11</f>
        <v>9486.11</v>
      </c>
      <c r="D1503">
        <f>6134.04</f>
        <v>6134.04</v>
      </c>
      <c r="E1503">
        <f>2341.359</f>
        <v>2341.3589999999999</v>
      </c>
      <c r="F1503">
        <f>1986.34</f>
        <v>1986.34</v>
      </c>
      <c r="G1503">
        <f>8311</f>
        <v>8311</v>
      </c>
      <c r="H1503">
        <f>3276.27</f>
        <v>3276.27</v>
      </c>
      <c r="I1503">
        <f>10229.368</f>
        <v>10229.368</v>
      </c>
      <c r="J1503">
        <f>3658.47</f>
        <v>3658.47</v>
      </c>
      <c r="K1503">
        <f>10061.4</f>
        <v>10061.4</v>
      </c>
      <c r="L1503">
        <f>1938.74</f>
        <v>1938.74</v>
      </c>
      <c r="M1503">
        <f>7939.61</f>
        <v>7939.61</v>
      </c>
      <c r="N1503">
        <f>317.499</f>
        <v>317.49900000000002</v>
      </c>
      <c r="O1503">
        <f>2868.75</f>
        <v>2868.75</v>
      </c>
      <c r="P1503">
        <f>252.19</f>
        <v>252.19</v>
      </c>
      <c r="Q1503">
        <f>2261.497</f>
        <v>2261.4969999999998</v>
      </c>
      <c r="R1503">
        <f>4843.14</f>
        <v>4843.1400000000003</v>
      </c>
      <c r="S1503">
        <f>2412.7</f>
        <v>2412.6999999999998</v>
      </c>
      <c r="T1503">
        <f>3881.741</f>
        <v>3881.741</v>
      </c>
      <c r="U1503">
        <f>55070.38</f>
        <v>55070.38</v>
      </c>
      <c r="V1503">
        <f>353.65</f>
        <v>353.65</v>
      </c>
    </row>
    <row r="1504" spans="1:22" x14ac:dyDescent="0.2">
      <c r="A1504" s="1">
        <v>43003</v>
      </c>
      <c r="B1504">
        <f>2785.33</f>
        <v>2785.33</v>
      </c>
      <c r="C1504">
        <f>9546.23</f>
        <v>9546.23</v>
      </c>
      <c r="D1504">
        <f>6147.13</f>
        <v>6147.13</v>
      </c>
      <c r="E1504">
        <f>2359.001</f>
        <v>2359.0010000000002</v>
      </c>
      <c r="F1504">
        <f>2003.68</f>
        <v>2003.68</v>
      </c>
      <c r="G1504">
        <f>8369.325</f>
        <v>8369.3250000000007</v>
      </c>
      <c r="H1504">
        <f>3285.09</f>
        <v>3285.09</v>
      </c>
      <c r="I1504">
        <f>10313.945</f>
        <v>10313.945</v>
      </c>
      <c r="J1504">
        <f>3662.91</f>
        <v>3662.91</v>
      </c>
      <c r="K1504">
        <f>10060.23</f>
        <v>10060.23</v>
      </c>
      <c r="L1504">
        <f>1947.19</f>
        <v>1947.19</v>
      </c>
      <c r="M1504">
        <f>7962.55</f>
        <v>7962.55</v>
      </c>
      <c r="N1504">
        <f>318.051</f>
        <v>318.05099999999999</v>
      </c>
      <c r="O1504">
        <f>2866.38</f>
        <v>2866.38</v>
      </c>
      <c r="P1504">
        <f>251.01</f>
        <v>251.01</v>
      </c>
      <c r="Q1504">
        <f>2264.051</f>
        <v>2264.0509999999999</v>
      </c>
      <c r="R1504">
        <f>4842.41</f>
        <v>4842.41</v>
      </c>
      <c r="S1504">
        <f>2412.81</f>
        <v>2412.81</v>
      </c>
      <c r="T1504" t="e">
        <f>NA()</f>
        <v>#N/A</v>
      </c>
      <c r="U1504" t="e">
        <f>NA()</f>
        <v>#N/A</v>
      </c>
      <c r="V1504" t="e">
        <f>NA()</f>
        <v>#N/A</v>
      </c>
    </row>
    <row r="1505" spans="1:22" x14ac:dyDescent="0.2">
      <c r="A1505" s="1">
        <v>43000</v>
      </c>
      <c r="B1505">
        <f>2783.12</f>
        <v>2783.12</v>
      </c>
      <c r="C1505">
        <f>9662.51</f>
        <v>9662.51</v>
      </c>
      <c r="D1505">
        <f>6155</f>
        <v>6155</v>
      </c>
      <c r="E1505">
        <f>2389.252</f>
        <v>2389.252</v>
      </c>
      <c r="F1505">
        <f>2008.81</f>
        <v>2008.81</v>
      </c>
      <c r="G1505">
        <f>8405.569</f>
        <v>8405.5689999999995</v>
      </c>
      <c r="H1505">
        <f>3264.75</f>
        <v>3264.75</v>
      </c>
      <c r="I1505">
        <f>10386.337</f>
        <v>10386.337</v>
      </c>
      <c r="J1505">
        <f>3654.46</f>
        <v>3654.46</v>
      </c>
      <c r="K1505">
        <f>10084</f>
        <v>10084</v>
      </c>
      <c r="L1505">
        <f>1945.82</f>
        <v>1945.82</v>
      </c>
      <c r="M1505">
        <f>7984.16</f>
        <v>7984.16</v>
      </c>
      <c r="N1505">
        <f>316.402</f>
        <v>316.40199999999999</v>
      </c>
      <c r="O1505">
        <f>2860.41</f>
        <v>2860.41</v>
      </c>
      <c r="P1505">
        <f>248.96</f>
        <v>248.96</v>
      </c>
      <c r="Q1505">
        <f>2254.763</f>
        <v>2254.7629999999999</v>
      </c>
      <c r="R1505">
        <f>4853.2</f>
        <v>4853.2</v>
      </c>
      <c r="S1505">
        <f>2400.97</f>
        <v>2400.9699999999998</v>
      </c>
      <c r="T1505">
        <f>3932.012</f>
        <v>3932.0120000000002</v>
      </c>
      <c r="U1505">
        <f>55839.73</f>
        <v>55839.73</v>
      </c>
      <c r="V1505">
        <f>358</f>
        <v>358</v>
      </c>
    </row>
    <row r="1506" spans="1:22" x14ac:dyDescent="0.2">
      <c r="A1506" s="1">
        <v>42999</v>
      </c>
      <c r="B1506">
        <f>2771.99</f>
        <v>2771.99</v>
      </c>
      <c r="C1506">
        <f>9718.53</f>
        <v>9718.5300000000007</v>
      </c>
      <c r="D1506">
        <f>6115.65</f>
        <v>6115.65</v>
      </c>
      <c r="E1506">
        <f>2402.041</f>
        <v>2402.0410000000002</v>
      </c>
      <c r="F1506">
        <f>1991.96</f>
        <v>1991.96</v>
      </c>
      <c r="G1506">
        <f>8360.768</f>
        <v>8360.768</v>
      </c>
      <c r="H1506">
        <f>3253.1</f>
        <v>3253.1</v>
      </c>
      <c r="I1506">
        <f>10339.65</f>
        <v>10339.65</v>
      </c>
      <c r="J1506">
        <f>3650.3</f>
        <v>3650.3</v>
      </c>
      <c r="K1506">
        <f>10076.25</f>
        <v>10076.25</v>
      </c>
      <c r="L1506">
        <f>1940.56</f>
        <v>1940.56</v>
      </c>
      <c r="M1506">
        <f>7966.98</f>
        <v>7966.98</v>
      </c>
      <c r="N1506">
        <f>315.702</f>
        <v>315.702</v>
      </c>
      <c r="O1506">
        <f>2858.89</f>
        <v>2858.89</v>
      </c>
      <c r="P1506">
        <f>248.67</f>
        <v>248.67</v>
      </c>
      <c r="Q1506">
        <f>2250.769</f>
        <v>2250.7689999999998</v>
      </c>
      <c r="R1506">
        <f>4849.95</f>
        <v>4849.95</v>
      </c>
      <c r="S1506">
        <f>2406.92</f>
        <v>2406.92</v>
      </c>
      <c r="T1506">
        <f>3931.302</f>
        <v>3931.3020000000001</v>
      </c>
      <c r="U1506">
        <f>55867.34</f>
        <v>55867.34</v>
      </c>
      <c r="V1506">
        <f>357.56</f>
        <v>357.56</v>
      </c>
    </row>
    <row r="1507" spans="1:22" x14ac:dyDescent="0.2">
      <c r="A1507" s="1">
        <v>42998</v>
      </c>
      <c r="B1507">
        <f>2793.96</f>
        <v>2793.96</v>
      </c>
      <c r="C1507">
        <f>9728.4</f>
        <v>9728.4</v>
      </c>
      <c r="D1507">
        <f>6121.64</f>
        <v>6121.64</v>
      </c>
      <c r="E1507">
        <f>2410.431</f>
        <v>2410.431</v>
      </c>
      <c r="F1507">
        <f>1994.72</f>
        <v>1994.72</v>
      </c>
      <c r="G1507">
        <f>8385.176</f>
        <v>8385.1759999999995</v>
      </c>
      <c r="H1507">
        <f>3268.91</f>
        <v>3268.91</v>
      </c>
      <c r="I1507">
        <f>10377.084</f>
        <v>10377.084000000001</v>
      </c>
      <c r="J1507">
        <f>3665.21</f>
        <v>3665.21</v>
      </c>
      <c r="K1507">
        <f>10106.47</f>
        <v>10106.469999999999</v>
      </c>
      <c r="L1507">
        <f>1949.69</f>
        <v>1949.69</v>
      </c>
      <c r="M1507">
        <f>8000.13</f>
        <v>8000.13</v>
      </c>
      <c r="N1507">
        <f>315.764</f>
        <v>315.76400000000001</v>
      </c>
      <c r="O1507">
        <f>2849.64</f>
        <v>2849.64</v>
      </c>
      <c r="P1507">
        <f>248.53</f>
        <v>248.53</v>
      </c>
      <c r="Q1507">
        <f>2262.139</f>
        <v>2262.1390000000001</v>
      </c>
      <c r="R1507">
        <f>4864.61</f>
        <v>4864.6099999999997</v>
      </c>
      <c r="S1507">
        <f>2405.75</f>
        <v>2405.75</v>
      </c>
      <c r="T1507">
        <f>3961.672</f>
        <v>3961.672</v>
      </c>
      <c r="U1507">
        <f>55867.46</f>
        <v>55867.46</v>
      </c>
      <c r="V1507">
        <f>359.29</f>
        <v>359.29</v>
      </c>
    </row>
    <row r="1508" spans="1:22" x14ac:dyDescent="0.2">
      <c r="A1508" s="1">
        <v>42997</v>
      </c>
      <c r="B1508">
        <f>2782.47</f>
        <v>2782.47</v>
      </c>
      <c r="C1508">
        <f>9724.93</f>
        <v>9724.93</v>
      </c>
      <c r="D1508">
        <f>6124.41</f>
        <v>6124.41</v>
      </c>
      <c r="E1508">
        <f>2404.983</f>
        <v>2404.9830000000002</v>
      </c>
      <c r="F1508">
        <f>1977.38</f>
        <v>1977.38</v>
      </c>
      <c r="G1508">
        <f>8361.411</f>
        <v>8361.4110000000001</v>
      </c>
      <c r="H1508">
        <f>3265.75</f>
        <v>3265.75</v>
      </c>
      <c r="I1508">
        <f>10371.372</f>
        <v>10371.371999999999</v>
      </c>
      <c r="J1508">
        <f>3668.33</f>
        <v>3668.33</v>
      </c>
      <c r="K1508">
        <f>10100.44</f>
        <v>10100.44</v>
      </c>
      <c r="L1508">
        <f>1946.24</f>
        <v>1946.24</v>
      </c>
      <c r="M1508">
        <f>7989.46</f>
        <v>7989.46</v>
      </c>
      <c r="N1508">
        <f>315.247</f>
        <v>315.24700000000001</v>
      </c>
      <c r="O1508">
        <f>2850.58</f>
        <v>2850.58</v>
      </c>
      <c r="P1508">
        <f>248.87</f>
        <v>248.87</v>
      </c>
      <c r="Q1508">
        <f>2259.165</f>
        <v>2259.165</v>
      </c>
      <c r="R1508">
        <f>4861.52</f>
        <v>4861.5200000000004</v>
      </c>
      <c r="S1508">
        <f>2405.69</f>
        <v>2405.69</v>
      </c>
      <c r="T1508">
        <f>3949.461</f>
        <v>3949.4609999999998</v>
      </c>
      <c r="U1508">
        <f>56011.16</f>
        <v>56011.16</v>
      </c>
      <c r="V1508">
        <f>357.19</f>
        <v>357.19</v>
      </c>
    </row>
    <row r="1509" spans="1:22" x14ac:dyDescent="0.2">
      <c r="A1509" s="1">
        <v>42996</v>
      </c>
      <c r="B1509">
        <f>2772.86</f>
        <v>2772.86</v>
      </c>
      <c r="C1509">
        <f>9770.25</f>
        <v>9770.25</v>
      </c>
      <c r="D1509">
        <f>6105.92</f>
        <v>6105.92</v>
      </c>
      <c r="E1509">
        <f>2412.099</f>
        <v>2412.0990000000002</v>
      </c>
      <c r="F1509">
        <f>1967.87</f>
        <v>1967.87</v>
      </c>
      <c r="G1509">
        <f>8343.137</f>
        <v>8343.1370000000006</v>
      </c>
      <c r="H1509">
        <f>3206.21</f>
        <v>3206.21</v>
      </c>
      <c r="I1509">
        <f>10345.529</f>
        <v>10345.529</v>
      </c>
      <c r="J1509">
        <f>3664.45</f>
        <v>3664.45</v>
      </c>
      <c r="K1509">
        <f>10090.07</f>
        <v>10090.07</v>
      </c>
      <c r="L1509">
        <f>1942.3</f>
        <v>1942.3</v>
      </c>
      <c r="M1509">
        <f>7967.3</f>
        <v>7967.3</v>
      </c>
      <c r="N1509">
        <f>315.377</f>
        <v>315.37700000000001</v>
      </c>
      <c r="O1509">
        <f>2847.06</f>
        <v>2847.06</v>
      </c>
      <c r="P1509" t="e">
        <f>NA()</f>
        <v>#N/A</v>
      </c>
      <c r="Q1509">
        <f>2256.345</f>
        <v>2256.3449999999998</v>
      </c>
      <c r="R1509">
        <f>4856.08</f>
        <v>4856.08</v>
      </c>
      <c r="S1509" t="e">
        <f>NA()</f>
        <v>#N/A</v>
      </c>
      <c r="T1509">
        <f>3966.255</f>
        <v>3966.2550000000001</v>
      </c>
      <c r="U1509">
        <f>56050.1</f>
        <v>56050.1</v>
      </c>
      <c r="V1509">
        <f>359.34</f>
        <v>359.34</v>
      </c>
    </row>
    <row r="1510" spans="1:22" x14ac:dyDescent="0.2">
      <c r="A1510" s="1">
        <v>42993</v>
      </c>
      <c r="B1510">
        <f>2765.3</f>
        <v>2765.3</v>
      </c>
      <c r="C1510">
        <f>9724.46</f>
        <v>9724.4599999999991</v>
      </c>
      <c r="D1510">
        <f>6074.09</f>
        <v>6074.09</v>
      </c>
      <c r="E1510">
        <f>2388.57</f>
        <v>2388.5700000000002</v>
      </c>
      <c r="F1510">
        <f>1963.5</f>
        <v>1963.5</v>
      </c>
      <c r="G1510">
        <f>8336.257</f>
        <v>8336.2569999999996</v>
      </c>
      <c r="H1510">
        <f>3221.36</f>
        <v>3221.36</v>
      </c>
      <c r="I1510">
        <f>10310.444</f>
        <v>10310.444</v>
      </c>
      <c r="J1510">
        <f>3659.91</f>
        <v>3659.91</v>
      </c>
      <c r="K1510">
        <f>10073.23</f>
        <v>10073.23</v>
      </c>
      <c r="L1510">
        <f>1941.49</f>
        <v>1941.49</v>
      </c>
      <c r="M1510">
        <f>7955.36</f>
        <v>7955.36</v>
      </c>
      <c r="N1510">
        <f>315.266</f>
        <v>315.26600000000002</v>
      </c>
      <c r="O1510">
        <f>2840.04</f>
        <v>2840.04</v>
      </c>
      <c r="P1510">
        <f>245.16</f>
        <v>245.16</v>
      </c>
      <c r="Q1510">
        <f>2251.474</f>
        <v>2251.4740000000002</v>
      </c>
      <c r="R1510">
        <f>4848.84</f>
        <v>4848.84</v>
      </c>
      <c r="S1510">
        <f>2363.94</f>
        <v>2363.94</v>
      </c>
      <c r="T1510">
        <f>3938.928</f>
        <v>3938.9279999999999</v>
      </c>
      <c r="U1510">
        <f>55645.15</f>
        <v>55645.15</v>
      </c>
      <c r="V1510">
        <f>357.54</f>
        <v>357.54</v>
      </c>
    </row>
    <row r="1511" spans="1:22" x14ac:dyDescent="0.2">
      <c r="A1511" s="1">
        <v>42992</v>
      </c>
      <c r="B1511">
        <f>2780.78</f>
        <v>2780.78</v>
      </c>
      <c r="C1511">
        <f>9694.48</f>
        <v>9694.48</v>
      </c>
      <c r="D1511">
        <f>6141.37</f>
        <v>6141.37</v>
      </c>
      <c r="E1511">
        <f>2383.548</f>
        <v>2383.5479999999998</v>
      </c>
      <c r="F1511">
        <f>1947.94</f>
        <v>1947.94</v>
      </c>
      <c r="G1511">
        <f>8279.572</f>
        <v>8279.5720000000001</v>
      </c>
      <c r="H1511">
        <f>3211.53</f>
        <v>3211.53</v>
      </c>
      <c r="I1511">
        <f>10272.187</f>
        <v>10272.187</v>
      </c>
      <c r="J1511">
        <f>3648.63</f>
        <v>3648.63</v>
      </c>
      <c r="K1511">
        <f>10053.37</f>
        <v>10053.370000000001</v>
      </c>
      <c r="L1511">
        <f>1935.19</f>
        <v>1935.19</v>
      </c>
      <c r="M1511">
        <f>7937.53</f>
        <v>7937.53</v>
      </c>
      <c r="N1511">
        <f>315.465</f>
        <v>315.46499999999997</v>
      </c>
      <c r="O1511">
        <f>2850.49</f>
        <v>2850.49</v>
      </c>
      <c r="P1511">
        <f>244.87</f>
        <v>244.87</v>
      </c>
      <c r="Q1511">
        <f>2248.054</f>
        <v>2248.0540000000001</v>
      </c>
      <c r="R1511">
        <f>4839.29</f>
        <v>4839.29</v>
      </c>
      <c r="S1511">
        <f>2354.07</f>
        <v>2354.0700000000002</v>
      </c>
      <c r="T1511">
        <f>3952.439</f>
        <v>3952.4389999999999</v>
      </c>
      <c r="U1511">
        <f>55850.32</f>
        <v>55850.32</v>
      </c>
      <c r="V1511">
        <f>360.21</f>
        <v>360.21</v>
      </c>
    </row>
    <row r="1512" spans="1:22" x14ac:dyDescent="0.2">
      <c r="A1512" s="1">
        <v>42991</v>
      </c>
      <c r="B1512">
        <f>2811.91</f>
        <v>2811.91</v>
      </c>
      <c r="C1512">
        <f>9690.08</f>
        <v>9690.08</v>
      </c>
      <c r="D1512">
        <f>6212.34</f>
        <v>6212.34</v>
      </c>
      <c r="E1512">
        <f>2382.374</f>
        <v>2382.3739999999998</v>
      </c>
      <c r="F1512">
        <f>1954.82</f>
        <v>1954.82</v>
      </c>
      <c r="G1512">
        <f>8298.949</f>
        <v>8298.9490000000005</v>
      </c>
      <c r="H1512">
        <f>3228.02</f>
        <v>3228.02</v>
      </c>
      <c r="I1512">
        <f>10301.47</f>
        <v>10301.469999999999</v>
      </c>
      <c r="J1512">
        <f>3639.52</f>
        <v>3639.52</v>
      </c>
      <c r="K1512">
        <f>10060.65</f>
        <v>10060.65</v>
      </c>
      <c r="L1512">
        <f>1934.31</f>
        <v>1934.31</v>
      </c>
      <c r="M1512">
        <f>7948.99</f>
        <v>7948.99</v>
      </c>
      <c r="N1512">
        <f>313.507</f>
        <v>313.50700000000001</v>
      </c>
      <c r="O1512">
        <f>2846.57</f>
        <v>2846.57</v>
      </c>
      <c r="P1512">
        <f>245.73</f>
        <v>245.73</v>
      </c>
      <c r="Q1512">
        <f>2244.058</f>
        <v>2244.058</v>
      </c>
      <c r="R1512">
        <f>4843.04</f>
        <v>4843.04</v>
      </c>
      <c r="S1512">
        <f>2361.59</f>
        <v>2361.59</v>
      </c>
      <c r="T1512">
        <f>3974.451</f>
        <v>3974.451</v>
      </c>
      <c r="U1512">
        <f>56152.54</f>
        <v>56152.54</v>
      </c>
      <c r="V1512">
        <f>361.91</f>
        <v>361.91</v>
      </c>
    </row>
    <row r="1513" spans="1:22" x14ac:dyDescent="0.2">
      <c r="A1513" s="1">
        <v>42990</v>
      </c>
      <c r="B1513">
        <f>2824.8</f>
        <v>2824.8</v>
      </c>
      <c r="C1513">
        <f>9771.56</f>
        <v>9771.56</v>
      </c>
      <c r="D1513">
        <f>6230.02</f>
        <v>6230.02</v>
      </c>
      <c r="E1513">
        <f>2387.929</f>
        <v>2387.9290000000001</v>
      </c>
      <c r="F1513">
        <f>1969.26</f>
        <v>1969.26</v>
      </c>
      <c r="G1513">
        <f>8347.855</f>
        <v>8347.8549999999996</v>
      </c>
      <c r="H1513">
        <f>3237.01</f>
        <v>3237.01</v>
      </c>
      <c r="I1513">
        <f>10323.8</f>
        <v>10323.799999999999</v>
      </c>
      <c r="J1513">
        <f>3637.42</f>
        <v>3637.42</v>
      </c>
      <c r="K1513">
        <f>10054.2</f>
        <v>10054.200000000001</v>
      </c>
      <c r="L1513">
        <f>1936.05</f>
        <v>1936.05</v>
      </c>
      <c r="M1513">
        <f>7954.99</f>
        <v>7954.99</v>
      </c>
      <c r="N1513">
        <f>314.039</f>
        <v>314.03899999999999</v>
      </c>
      <c r="O1513">
        <f>2845.24</f>
        <v>2845.24</v>
      </c>
      <c r="P1513">
        <f>244.43</f>
        <v>244.43</v>
      </c>
      <c r="Q1513">
        <f>2246.282</f>
        <v>2246.2820000000002</v>
      </c>
      <c r="R1513">
        <f>4839.31</f>
        <v>4839.3100000000004</v>
      </c>
      <c r="S1513">
        <f>2347.34</f>
        <v>2347.34</v>
      </c>
      <c r="T1513">
        <f>3984.184</f>
        <v>3984.1840000000002</v>
      </c>
      <c r="U1513">
        <f>56366.16</f>
        <v>56366.16</v>
      </c>
      <c r="V1513">
        <f>363.7</f>
        <v>363.7</v>
      </c>
    </row>
    <row r="1514" spans="1:22" x14ac:dyDescent="0.2">
      <c r="A1514" s="1">
        <v>42989</v>
      </c>
      <c r="B1514">
        <f>2835.77</f>
        <v>2835.77</v>
      </c>
      <c r="C1514">
        <f>9761.93</f>
        <v>9761.93</v>
      </c>
      <c r="D1514">
        <f>6240.87</f>
        <v>6240.87</v>
      </c>
      <c r="E1514">
        <f>2381.184</f>
        <v>2381.1840000000002</v>
      </c>
      <c r="F1514">
        <f>1960.89</f>
        <v>1960.89</v>
      </c>
      <c r="G1514">
        <f>8310.544</f>
        <v>8310.5439999999999</v>
      </c>
      <c r="H1514">
        <f>3245.7</f>
        <v>3245.7</v>
      </c>
      <c r="I1514">
        <f>10302.03</f>
        <v>10302.030000000001</v>
      </c>
      <c r="J1514">
        <f>3627.3</f>
        <v>3627.3</v>
      </c>
      <c r="K1514">
        <f>10018.63</f>
        <v>10018.629999999999</v>
      </c>
      <c r="L1514">
        <f>1932.85</f>
        <v>1932.85</v>
      </c>
      <c r="M1514">
        <f>7929.39</f>
        <v>7929.39</v>
      </c>
      <c r="N1514">
        <f>313.061</f>
        <v>313.06099999999998</v>
      </c>
      <c r="O1514">
        <f>2831.05</f>
        <v>2831.05</v>
      </c>
      <c r="P1514">
        <f>242.84</f>
        <v>242.84</v>
      </c>
      <c r="Q1514">
        <f>2242.915</f>
        <v>2242.915</v>
      </c>
      <c r="R1514">
        <f>4822.8</f>
        <v>4822.8</v>
      </c>
      <c r="S1514">
        <f>2325.43</f>
        <v>2325.4299999999998</v>
      </c>
      <c r="T1514">
        <f>3972.687</f>
        <v>3972.6869999999999</v>
      </c>
      <c r="U1514">
        <f>56008.77</f>
        <v>56008.77</v>
      </c>
      <c r="V1514">
        <f>360.84</f>
        <v>360.84</v>
      </c>
    </row>
    <row r="1515" spans="1:22" x14ac:dyDescent="0.2">
      <c r="A1515" s="1">
        <v>42986</v>
      </c>
      <c r="B1515">
        <f>2822.92</f>
        <v>2822.92</v>
      </c>
      <c r="C1515">
        <f>9756.46</f>
        <v>9756.4599999999991</v>
      </c>
      <c r="D1515">
        <f>6210.57</f>
        <v>6210.57</v>
      </c>
      <c r="E1515">
        <f>2363.471</f>
        <v>2363.471</v>
      </c>
      <c r="F1515">
        <f>1945.83</f>
        <v>1945.83</v>
      </c>
      <c r="G1515">
        <f>8271.153</f>
        <v>8271.1530000000002</v>
      </c>
      <c r="H1515">
        <f>3239.94</f>
        <v>3239.94</v>
      </c>
      <c r="I1515">
        <f>10216.803</f>
        <v>10216.803</v>
      </c>
      <c r="J1515">
        <f>3588.9</f>
        <v>3588.9</v>
      </c>
      <c r="K1515">
        <f>9910.73</f>
        <v>9910.73</v>
      </c>
      <c r="L1515">
        <f>1917.47</f>
        <v>1917.47</v>
      </c>
      <c r="M1515">
        <f>7859.43</f>
        <v>7859.43</v>
      </c>
      <c r="N1515">
        <f>311.694</f>
        <v>311.69400000000002</v>
      </c>
      <c r="O1515">
        <f>2801.17</f>
        <v>2801.17</v>
      </c>
      <c r="P1515">
        <f>241.15</f>
        <v>241.15</v>
      </c>
      <c r="Q1515">
        <f>2225.732</f>
        <v>2225.732</v>
      </c>
      <c r="R1515">
        <f>4771.02</f>
        <v>4771.0200000000004</v>
      </c>
      <c r="S1515">
        <f>2298.43</f>
        <v>2298.4299999999998</v>
      </c>
      <c r="T1515">
        <f>3982.117</f>
        <v>3982.1170000000002</v>
      </c>
      <c r="U1515">
        <f>55724.67</f>
        <v>55724.67</v>
      </c>
      <c r="V1515">
        <f>361.85</f>
        <v>361.85</v>
      </c>
    </row>
    <row r="1516" spans="1:22" x14ac:dyDescent="0.2">
      <c r="A1516" s="1">
        <v>42985</v>
      </c>
      <c r="B1516">
        <f>2839.86</f>
        <v>2839.86</v>
      </c>
      <c r="C1516">
        <f>9719.11</f>
        <v>9719.11</v>
      </c>
      <c r="D1516">
        <f>6226.89</f>
        <v>6226.89</v>
      </c>
      <c r="E1516">
        <f>2361.085</f>
        <v>2361.085</v>
      </c>
      <c r="F1516">
        <f>1947.61</f>
        <v>1947.61</v>
      </c>
      <c r="G1516">
        <f>8248.02</f>
        <v>8248.02</v>
      </c>
      <c r="H1516">
        <f>3233.8</f>
        <v>3233.8</v>
      </c>
      <c r="I1516">
        <f>10193.257</f>
        <v>10193.257</v>
      </c>
      <c r="J1516">
        <f>3594.74</f>
        <v>3594.74</v>
      </c>
      <c r="K1516">
        <f>9924.78</f>
        <v>9924.7800000000007</v>
      </c>
      <c r="L1516">
        <f>1914.56</f>
        <v>1914.56</v>
      </c>
      <c r="M1516">
        <f>7859.41</f>
        <v>7859.41</v>
      </c>
      <c r="N1516">
        <f>310.353</f>
        <v>310.35300000000001</v>
      </c>
      <c r="O1516">
        <f>2795.22</f>
        <v>2795.22</v>
      </c>
      <c r="P1516">
        <f>241.7</f>
        <v>241.7</v>
      </c>
      <c r="Q1516">
        <f>2217.603</f>
        <v>2217.6030000000001</v>
      </c>
      <c r="R1516">
        <f>4777.93</f>
        <v>4777.93</v>
      </c>
      <c r="S1516">
        <f>2305.19</f>
        <v>2305.19</v>
      </c>
      <c r="T1516">
        <f>3995.801</f>
        <v>3995.8009999999999</v>
      </c>
      <c r="U1516">
        <f>55878.19</f>
        <v>55878.19</v>
      </c>
      <c r="V1516">
        <f>363.55</f>
        <v>363.55</v>
      </c>
    </row>
    <row r="1517" spans="1:22" x14ac:dyDescent="0.2">
      <c r="A1517" s="1">
        <v>42984</v>
      </c>
      <c r="B1517">
        <f>2825.86</f>
        <v>2825.86</v>
      </c>
      <c r="C1517">
        <f>9680.45</f>
        <v>9680.4500000000007</v>
      </c>
      <c r="D1517">
        <f>6185.51</f>
        <v>6185.51</v>
      </c>
      <c r="E1517">
        <f>2345.661</f>
        <v>2345.6610000000001</v>
      </c>
      <c r="F1517">
        <f>1923.22</f>
        <v>1923.22</v>
      </c>
      <c r="G1517">
        <f>8169.903</f>
        <v>8169.9030000000002</v>
      </c>
      <c r="H1517">
        <f>3206.33</f>
        <v>3206.33</v>
      </c>
      <c r="I1517">
        <f>10108.352</f>
        <v>10108.352000000001</v>
      </c>
      <c r="J1517">
        <f>3585.13</f>
        <v>3585.13</v>
      </c>
      <c r="K1517">
        <f>9925.38</f>
        <v>9925.3799999999992</v>
      </c>
      <c r="L1517">
        <f>1904.55</f>
        <v>1904.55</v>
      </c>
      <c r="M1517">
        <f>7835.66</f>
        <v>7835.66</v>
      </c>
      <c r="N1517">
        <f>309.844</f>
        <v>309.84399999999999</v>
      </c>
      <c r="O1517">
        <f>2788.72</f>
        <v>2788.72</v>
      </c>
      <c r="P1517">
        <f>240.58</f>
        <v>240.58</v>
      </c>
      <c r="Q1517">
        <f>2215.26</f>
        <v>2215.2600000000002</v>
      </c>
      <c r="R1517">
        <f>4777.69</f>
        <v>4777.6899999999996</v>
      </c>
      <c r="S1517">
        <f>2296.16</f>
        <v>2296.16</v>
      </c>
      <c r="T1517">
        <f>3964.424</f>
        <v>3964.424</v>
      </c>
      <c r="U1517">
        <f>55480.2</f>
        <v>55480.2</v>
      </c>
      <c r="V1517">
        <f>362.21</f>
        <v>362.21</v>
      </c>
    </row>
    <row r="1518" spans="1:22" x14ac:dyDescent="0.2">
      <c r="A1518" s="1">
        <v>42983</v>
      </c>
      <c r="B1518">
        <f>2843.34</f>
        <v>2843.34</v>
      </c>
      <c r="C1518">
        <f>9715.27</f>
        <v>9715.27</v>
      </c>
      <c r="D1518">
        <f>6201.31</f>
        <v>6201.31</v>
      </c>
      <c r="E1518">
        <f>2348.997</f>
        <v>2348.9969999999998</v>
      </c>
      <c r="F1518">
        <f>1929.97</f>
        <v>1929.97</v>
      </c>
      <c r="G1518">
        <f>8163.289</f>
        <v>8163.2889999999998</v>
      </c>
      <c r="H1518">
        <f>3208.13</f>
        <v>3208.13</v>
      </c>
      <c r="I1518">
        <f>10082.836</f>
        <v>10082.835999999999</v>
      </c>
      <c r="J1518">
        <f>3572.59</f>
        <v>3572.59</v>
      </c>
      <c r="K1518">
        <f>9895.67</f>
        <v>9895.67</v>
      </c>
      <c r="L1518">
        <f>1898.42</f>
        <v>1898.42</v>
      </c>
      <c r="M1518">
        <f>7817.44</f>
        <v>7817.44</v>
      </c>
      <c r="N1518">
        <f>309.992</f>
        <v>309.99200000000002</v>
      </c>
      <c r="O1518">
        <f>2786.28</f>
        <v>2786.28</v>
      </c>
      <c r="P1518">
        <f>240.45</f>
        <v>240.45</v>
      </c>
      <c r="Q1518">
        <f>2206.33</f>
        <v>2206.33</v>
      </c>
      <c r="R1518">
        <f>4762.75</f>
        <v>4762.75</v>
      </c>
      <c r="S1518">
        <f>2294.3</f>
        <v>2294.3000000000002</v>
      </c>
      <c r="T1518">
        <f>4017.337</f>
        <v>4017.337</v>
      </c>
      <c r="U1518">
        <f>56144.8</f>
        <v>56144.800000000003</v>
      </c>
      <c r="V1518">
        <f>367.76</f>
        <v>367.76</v>
      </c>
    </row>
    <row r="1519" spans="1:22" x14ac:dyDescent="0.2">
      <c r="A1519" s="1">
        <v>42982</v>
      </c>
      <c r="B1519">
        <f>2850.56</f>
        <v>2850.56</v>
      </c>
      <c r="C1519">
        <f>9682.09</f>
        <v>9682.09</v>
      </c>
      <c r="D1519">
        <f>6233.74</f>
        <v>6233.74</v>
      </c>
      <c r="E1519">
        <f>2345.48</f>
        <v>2345.48</v>
      </c>
      <c r="F1519">
        <f>1926.66</f>
        <v>1926.66</v>
      </c>
      <c r="G1519">
        <f>8159.848</f>
        <v>8159.848</v>
      </c>
      <c r="H1519">
        <f>3206.2</f>
        <v>3206.2</v>
      </c>
      <c r="I1519">
        <f>10091.555</f>
        <v>10091.555</v>
      </c>
      <c r="J1519">
        <f>3593.72</f>
        <v>3593.72</v>
      </c>
      <c r="K1519">
        <f>9971.38</f>
        <v>9971.3799999999992</v>
      </c>
      <c r="L1519">
        <f>1902.38</f>
        <v>1902.38</v>
      </c>
      <c r="M1519">
        <f>7852.07</f>
        <v>7852.07</v>
      </c>
      <c r="N1519">
        <f>309.113</f>
        <v>309.113</v>
      </c>
      <c r="O1519">
        <f>2788.91</f>
        <v>2788.91</v>
      </c>
      <c r="P1519">
        <f>243.01</f>
        <v>243.01</v>
      </c>
      <c r="Q1519" t="e">
        <f>NA()</f>
        <v>#N/A</v>
      </c>
      <c r="R1519" t="e">
        <f>NA()</f>
        <v>#N/A</v>
      </c>
      <c r="S1519">
        <f>2312.81</f>
        <v>2312.81</v>
      </c>
      <c r="T1519">
        <f>4032.36</f>
        <v>4032.36</v>
      </c>
      <c r="U1519">
        <f>56312.85</f>
        <v>56312.85</v>
      </c>
      <c r="V1519">
        <f>369.64</f>
        <v>369.64</v>
      </c>
    </row>
    <row r="1520" spans="1:22" x14ac:dyDescent="0.2">
      <c r="A1520" s="1">
        <v>42979</v>
      </c>
      <c r="B1520">
        <f>2866.56</f>
        <v>2866.56</v>
      </c>
      <c r="C1520">
        <f>9758.11</f>
        <v>9758.11</v>
      </c>
      <c r="D1520">
        <f>6256.47</f>
        <v>6256.47</v>
      </c>
      <c r="E1520">
        <f>2362.577</f>
        <v>2362.5770000000002</v>
      </c>
      <c r="F1520">
        <f>1943.07</f>
        <v>1943.07</v>
      </c>
      <c r="G1520">
        <f>8200.918</f>
        <v>8200.9179999999997</v>
      </c>
      <c r="H1520">
        <f>3212.11</f>
        <v>3212.11</v>
      </c>
      <c r="I1520">
        <f>10106.157</f>
        <v>10106.156999999999</v>
      </c>
      <c r="J1520">
        <f>3593.72</f>
        <v>3593.72</v>
      </c>
      <c r="K1520">
        <f>9971.38</f>
        <v>9971.3799999999992</v>
      </c>
      <c r="L1520">
        <f>1904.77</f>
        <v>1904.77</v>
      </c>
      <c r="M1520">
        <f>7861.77</f>
        <v>7861.77</v>
      </c>
      <c r="N1520">
        <f>311.391</f>
        <v>311.39100000000002</v>
      </c>
      <c r="O1520">
        <f>2804.66</f>
        <v>2804.66</v>
      </c>
      <c r="P1520">
        <f>246.21</f>
        <v>246.21</v>
      </c>
      <c r="Q1520">
        <f>2214.027</f>
        <v>2214.027</v>
      </c>
      <c r="R1520">
        <f>4798.99</f>
        <v>4798.99</v>
      </c>
      <c r="S1520">
        <f>2335.94</f>
        <v>2335.94</v>
      </c>
      <c r="T1520">
        <f>4059.888</f>
        <v>4059.8879999999999</v>
      </c>
      <c r="U1520">
        <f>56513.46</f>
        <v>56513.46</v>
      </c>
      <c r="V1520">
        <f>370.68</f>
        <v>370.68</v>
      </c>
    </row>
    <row r="1521" spans="1:22" x14ac:dyDescent="0.2">
      <c r="A1521" s="1">
        <v>42978</v>
      </c>
      <c r="B1521">
        <f>2862.1</f>
        <v>2862.1</v>
      </c>
      <c r="C1521">
        <f>9743.99</f>
        <v>9743.99</v>
      </c>
      <c r="D1521">
        <f>6249.85</f>
        <v>6249.85</v>
      </c>
      <c r="E1521">
        <f>2354.577</f>
        <v>2354.5770000000002</v>
      </c>
      <c r="F1521">
        <f>1929.27</f>
        <v>1929.27</v>
      </c>
      <c r="G1521">
        <f>8137.59</f>
        <v>8137.59</v>
      </c>
      <c r="H1521">
        <f>3221.7</f>
        <v>3221.7</v>
      </c>
      <c r="I1521">
        <f>10063.384</f>
        <v>10063.384</v>
      </c>
      <c r="J1521">
        <f>3589.78</f>
        <v>3589.78</v>
      </c>
      <c r="K1521">
        <f>9950.14</f>
        <v>9950.14</v>
      </c>
      <c r="L1521">
        <f>1897.75</f>
        <v>1897.75</v>
      </c>
      <c r="M1521">
        <f>7837.11</f>
        <v>7837.11</v>
      </c>
      <c r="N1521">
        <f>308.758</f>
        <v>308.75799999999998</v>
      </c>
      <c r="O1521">
        <f>2787.51</f>
        <v>2787.51</v>
      </c>
      <c r="P1521">
        <f>245.74</f>
        <v>245.74</v>
      </c>
      <c r="Q1521">
        <f>2206.951</f>
        <v>2206.951</v>
      </c>
      <c r="R1521">
        <f>4789.18</f>
        <v>4789.18</v>
      </c>
      <c r="S1521">
        <f>2332.8</f>
        <v>2332.8000000000002</v>
      </c>
      <c r="T1521">
        <f>4052.614</f>
        <v>4052.614</v>
      </c>
      <c r="U1521">
        <f>56522.11</f>
        <v>56522.11</v>
      </c>
      <c r="V1521">
        <f>370.31</f>
        <v>370.31</v>
      </c>
    </row>
    <row r="1522" spans="1:22" x14ac:dyDescent="0.2">
      <c r="A1522" s="1">
        <v>42977</v>
      </c>
      <c r="B1522">
        <f>2839.6</f>
        <v>2839.6</v>
      </c>
      <c r="C1522">
        <f>9758.66</f>
        <v>9758.66</v>
      </c>
      <c r="D1522">
        <f>6193.84</f>
        <v>6193.84</v>
      </c>
      <c r="E1522">
        <f>2353.273</f>
        <v>2353.2730000000001</v>
      </c>
      <c r="F1522">
        <f>1919.04</f>
        <v>1919.04</v>
      </c>
      <c r="G1522">
        <f>8087.831</f>
        <v>8087.8310000000001</v>
      </c>
      <c r="H1522">
        <f>3189.55</f>
        <v>3189.55</v>
      </c>
      <c r="I1522">
        <f>10013.477</f>
        <v>10013.477000000001</v>
      </c>
      <c r="J1522">
        <f>3570.71</f>
        <v>3570.71</v>
      </c>
      <c r="K1522">
        <f>9890.56</f>
        <v>9890.56</v>
      </c>
      <c r="L1522">
        <f>1886.84</f>
        <v>1886.84</v>
      </c>
      <c r="M1522">
        <f>7787.88</f>
        <v>7787.88</v>
      </c>
      <c r="N1522">
        <f>305.771</f>
        <v>305.77100000000002</v>
      </c>
      <c r="O1522">
        <f>2767.07</f>
        <v>2767.07</v>
      </c>
      <c r="P1522">
        <f>244.03</f>
        <v>244.03</v>
      </c>
      <c r="Q1522">
        <f>2196.691</f>
        <v>2196.6909999999998</v>
      </c>
      <c r="R1522">
        <f>4761.72</f>
        <v>4761.72</v>
      </c>
      <c r="S1522">
        <f>2318.72</f>
        <v>2318.7199999999998</v>
      </c>
      <c r="T1522">
        <f>4038.389</f>
        <v>4038.3890000000001</v>
      </c>
      <c r="U1522">
        <f>56168</f>
        <v>56168</v>
      </c>
      <c r="V1522">
        <f>367.96</f>
        <v>367.96</v>
      </c>
    </row>
    <row r="1523" spans="1:22" x14ac:dyDescent="0.2">
      <c r="A1523" s="1">
        <v>42976</v>
      </c>
      <c r="B1523">
        <f>2837.9</f>
        <v>2837.9</v>
      </c>
      <c r="C1523">
        <f>9715.83</f>
        <v>9715.83</v>
      </c>
      <c r="D1523">
        <f>6170.44</f>
        <v>6170.44</v>
      </c>
      <c r="E1523">
        <f>2338.546</f>
        <v>2338.5459999999998</v>
      </c>
      <c r="F1523">
        <f>1919.54</f>
        <v>1919.54</v>
      </c>
      <c r="G1523">
        <f>8075.097</f>
        <v>8075.0969999999998</v>
      </c>
      <c r="H1523">
        <f>3215.53</f>
        <v>3215.53</v>
      </c>
      <c r="I1523">
        <f>10052.21</f>
        <v>10052.209999999999</v>
      </c>
      <c r="J1523">
        <f>3559.25</f>
        <v>3559.25</v>
      </c>
      <c r="K1523">
        <f>9841.25</f>
        <v>9841.25</v>
      </c>
      <c r="L1523">
        <f>1888.92</f>
        <v>1888.92</v>
      </c>
      <c r="M1523">
        <f>7776.61</f>
        <v>7776.61</v>
      </c>
      <c r="N1523">
        <f>303.365</f>
        <v>303.36500000000001</v>
      </c>
      <c r="O1523">
        <f>2747.4</f>
        <v>2747.4</v>
      </c>
      <c r="P1523">
        <f>242.95</f>
        <v>242.95</v>
      </c>
      <c r="Q1523">
        <f>2189.825</f>
        <v>2189.8249999999998</v>
      </c>
      <c r="R1523">
        <f>4738.62</f>
        <v>4738.62</v>
      </c>
      <c r="S1523">
        <f>2304.47</f>
        <v>2304.4699999999998</v>
      </c>
      <c r="T1523">
        <f>4074.805</f>
        <v>4074.8049999999998</v>
      </c>
      <c r="U1523">
        <f>56409.62</f>
        <v>56409.62</v>
      </c>
      <c r="V1523">
        <f>370.33</f>
        <v>370.33</v>
      </c>
    </row>
    <row r="1524" spans="1:22" x14ac:dyDescent="0.2">
      <c r="A1524" s="1">
        <v>42975</v>
      </c>
      <c r="B1524">
        <f>2862.25</f>
        <v>2862.25</v>
      </c>
      <c r="C1524">
        <f>9738.51</f>
        <v>9738.51</v>
      </c>
      <c r="D1524">
        <f>6224.28</f>
        <v>6224.28</v>
      </c>
      <c r="E1524">
        <f>2346.817</f>
        <v>2346.817</v>
      </c>
      <c r="F1524">
        <f>1940.64</f>
        <v>1940.64</v>
      </c>
      <c r="G1524">
        <f>8130.115</f>
        <v>8130.1149999999998</v>
      </c>
      <c r="H1524">
        <f>3208.1</f>
        <v>3208.1</v>
      </c>
      <c r="I1524">
        <f>10087.651</f>
        <v>10087.651</v>
      </c>
      <c r="J1524">
        <f>3556.26</f>
        <v>3556.26</v>
      </c>
      <c r="K1524">
        <f>9832.36</f>
        <v>9832.36</v>
      </c>
      <c r="L1524">
        <f>1890.89</f>
        <v>1890.89</v>
      </c>
      <c r="M1524">
        <f>7780.53</f>
        <v>7780.53</v>
      </c>
      <c r="N1524">
        <f>305.878</f>
        <v>305.87799999999999</v>
      </c>
      <c r="O1524">
        <f>2774.76</f>
        <v>2774.76</v>
      </c>
      <c r="P1524">
        <f>243.6</f>
        <v>243.6</v>
      </c>
      <c r="Q1524">
        <f>2188.022</f>
        <v>2188.0219999999999</v>
      </c>
      <c r="R1524">
        <f>4733.97</f>
        <v>4733.97</v>
      </c>
      <c r="S1524">
        <f>2307.3</f>
        <v>2307.3000000000002</v>
      </c>
      <c r="T1524">
        <f>4085.51</f>
        <v>4085.51</v>
      </c>
      <c r="U1524">
        <f>56555.62</f>
        <v>56555.62</v>
      </c>
      <c r="V1524">
        <f>369.66</f>
        <v>369.66</v>
      </c>
    </row>
    <row r="1525" spans="1:22" x14ac:dyDescent="0.2">
      <c r="A1525" s="1">
        <v>42972</v>
      </c>
      <c r="B1525">
        <f>2862.25</f>
        <v>2862.25</v>
      </c>
      <c r="C1525">
        <f>9716.74</f>
        <v>9716.74</v>
      </c>
      <c r="D1525">
        <f>6224.28</f>
        <v>6224.28</v>
      </c>
      <c r="E1525">
        <f>2347.391</f>
        <v>2347.3910000000001</v>
      </c>
      <c r="F1525">
        <f>1933.06</f>
        <v>1933.06</v>
      </c>
      <c r="G1525">
        <f>8098.36</f>
        <v>8098.36</v>
      </c>
      <c r="H1525">
        <f>3204.71</f>
        <v>3204.71</v>
      </c>
      <c r="I1525">
        <f>10070.117</f>
        <v>10070.117</v>
      </c>
      <c r="J1525">
        <f>3554.06</f>
        <v>3554.06</v>
      </c>
      <c r="K1525">
        <f>9827.79</f>
        <v>9827.7900000000009</v>
      </c>
      <c r="L1525">
        <f>1888.93</f>
        <v>1888.93</v>
      </c>
      <c r="M1525">
        <f>7773.38</f>
        <v>7773.38</v>
      </c>
      <c r="N1525">
        <f>307.08</f>
        <v>307.08</v>
      </c>
      <c r="O1525">
        <f>2789.57</f>
        <v>2789.57</v>
      </c>
      <c r="P1525">
        <f>242.23</f>
        <v>242.23</v>
      </c>
      <c r="Q1525">
        <f>2191.313</f>
        <v>2191.3130000000001</v>
      </c>
      <c r="R1525">
        <f>4731.46</f>
        <v>4731.46</v>
      </c>
      <c r="S1525">
        <f>2302.79</f>
        <v>2302.79</v>
      </c>
      <c r="T1525">
        <f>4096.818</f>
        <v>4096.8180000000002</v>
      </c>
      <c r="U1525">
        <f>56655.88</f>
        <v>56655.88</v>
      </c>
      <c r="V1525">
        <f>371.29</f>
        <v>371.29</v>
      </c>
    </row>
    <row r="1526" spans="1:22" x14ac:dyDescent="0.2">
      <c r="A1526" s="1">
        <v>42971</v>
      </c>
      <c r="B1526">
        <f>2860.73</f>
        <v>2860.73</v>
      </c>
      <c r="C1526">
        <f>9645.79</f>
        <v>9645.7900000000009</v>
      </c>
      <c r="D1526">
        <f>6229</f>
        <v>6229</v>
      </c>
      <c r="E1526">
        <f>2341.025</f>
        <v>2341.0250000000001</v>
      </c>
      <c r="F1526">
        <f>1923.74</f>
        <v>1923.74</v>
      </c>
      <c r="G1526">
        <f>8050.261</f>
        <v>8050.2610000000004</v>
      </c>
      <c r="H1526">
        <f>3185.1</f>
        <v>3185.1</v>
      </c>
      <c r="I1526">
        <f>10029.713</f>
        <v>10029.713</v>
      </c>
      <c r="J1526">
        <f>3544.79</f>
        <v>3544.79</v>
      </c>
      <c r="K1526">
        <f>9811.66</f>
        <v>9811.66</v>
      </c>
      <c r="L1526">
        <f>1883.03</f>
        <v>1883.03</v>
      </c>
      <c r="M1526">
        <f>7753.18</f>
        <v>7753.18</v>
      </c>
      <c r="N1526">
        <f>307.948</f>
        <v>307.94799999999998</v>
      </c>
      <c r="O1526">
        <f>2793.01</f>
        <v>2793.01</v>
      </c>
      <c r="P1526">
        <f>241.51</f>
        <v>241.51</v>
      </c>
      <c r="Q1526">
        <f>2179.779</f>
        <v>2179.779</v>
      </c>
      <c r="R1526">
        <f>4723.03</f>
        <v>4723.03</v>
      </c>
      <c r="S1526">
        <f>2295.88</f>
        <v>2295.88</v>
      </c>
      <c r="T1526">
        <f>4096.089</f>
        <v>4096.0889999999999</v>
      </c>
      <c r="U1526">
        <f>56588.99</f>
        <v>56588.99</v>
      </c>
      <c r="V1526">
        <f>370.22</f>
        <v>370.22</v>
      </c>
    </row>
    <row r="1527" spans="1:22" x14ac:dyDescent="0.2">
      <c r="A1527" s="1">
        <v>42970</v>
      </c>
      <c r="B1527">
        <f>2856.67</f>
        <v>2856.67</v>
      </c>
      <c r="C1527">
        <f>9558.69</f>
        <v>9558.69</v>
      </c>
      <c r="D1527">
        <f>6206.53</f>
        <v>6206.53</v>
      </c>
      <c r="E1527">
        <f>2326.107</f>
        <v>2326.107</v>
      </c>
      <c r="F1527">
        <f>1913.87</f>
        <v>1913.87</v>
      </c>
      <c r="G1527">
        <f>8024.427</f>
        <v>8024.4269999999997</v>
      </c>
      <c r="H1527">
        <f>3210.81</f>
        <v>3210.81</v>
      </c>
      <c r="I1527">
        <f>10027.601</f>
        <v>10027.601000000001</v>
      </c>
      <c r="J1527">
        <f>3548.73</f>
        <v>3548.73</v>
      </c>
      <c r="K1527">
        <f>9828.56</f>
        <v>9828.56</v>
      </c>
      <c r="L1527">
        <f>1881.61</f>
        <v>1881.61</v>
      </c>
      <c r="M1527">
        <f>7762.72</f>
        <v>7762.72</v>
      </c>
      <c r="N1527">
        <f>307.298</f>
        <v>307.298</v>
      </c>
      <c r="O1527">
        <f>2787.41</f>
        <v>2787.41</v>
      </c>
      <c r="P1527">
        <f>242.6</f>
        <v>242.6</v>
      </c>
      <c r="Q1527">
        <f>2192.225</f>
        <v>2192.2249999999999</v>
      </c>
      <c r="R1527">
        <f>4732.76</f>
        <v>4732.76</v>
      </c>
      <c r="S1527">
        <f>2307.19</f>
        <v>2307.19</v>
      </c>
      <c r="T1527">
        <f>4065.094</f>
        <v>4065.0940000000001</v>
      </c>
      <c r="U1527">
        <f>56162.3</f>
        <v>56162.3</v>
      </c>
      <c r="V1527">
        <f>365.31</f>
        <v>365.31</v>
      </c>
    </row>
    <row r="1528" spans="1:22" x14ac:dyDescent="0.2">
      <c r="A1528" s="1">
        <v>42969</v>
      </c>
      <c r="B1528">
        <f>2859.93</f>
        <v>2859.93</v>
      </c>
      <c r="C1528">
        <f>9552.12</f>
        <v>9552.1200000000008</v>
      </c>
      <c r="D1528">
        <f>6205.76</f>
        <v>6205.76</v>
      </c>
      <c r="E1528">
        <f>2319.209</f>
        <v>2319.2089999999998</v>
      </c>
      <c r="F1528">
        <f>1927.28</f>
        <v>1927.28</v>
      </c>
      <c r="G1528">
        <f>8047.226</f>
        <v>8047.2259999999997</v>
      </c>
      <c r="H1528">
        <f>3194.39</f>
        <v>3194.39</v>
      </c>
      <c r="I1528">
        <f>10023.739</f>
        <v>10023.739</v>
      </c>
      <c r="J1528">
        <f>3559.71</f>
        <v>3559.71</v>
      </c>
      <c r="K1528">
        <f>9859.16</f>
        <v>9859.16</v>
      </c>
      <c r="L1528">
        <f>1883.22</f>
        <v>1883.22</v>
      </c>
      <c r="M1528">
        <f>7774.19</f>
        <v>7774.19</v>
      </c>
      <c r="N1528">
        <f>310.297</f>
        <v>310.29700000000003</v>
      </c>
      <c r="O1528">
        <f>2801.47</f>
        <v>2801.47</v>
      </c>
      <c r="P1528">
        <f>242.19</f>
        <v>242.19</v>
      </c>
      <c r="Q1528">
        <f>2205.303</f>
        <v>2205.3029999999999</v>
      </c>
      <c r="R1528">
        <f>4748.73</f>
        <v>4748.7299999999996</v>
      </c>
      <c r="S1528">
        <f>2301.53</f>
        <v>2301.5300000000002</v>
      </c>
      <c r="T1528">
        <f>4072.728</f>
        <v>4072.7280000000001</v>
      </c>
      <c r="U1528">
        <f>56033.96</f>
        <v>56033.96</v>
      </c>
      <c r="V1528">
        <f>366.82</f>
        <v>366.82</v>
      </c>
    </row>
    <row r="1529" spans="1:22" x14ac:dyDescent="0.2">
      <c r="A1529" s="1">
        <v>42968</v>
      </c>
      <c r="B1529">
        <f>2861.62</f>
        <v>2861.62</v>
      </c>
      <c r="C1529">
        <f>9465.09</f>
        <v>9465.09</v>
      </c>
      <c r="D1529">
        <f>6152.91</f>
        <v>6152.91</v>
      </c>
      <c r="E1529">
        <f>2299.967</f>
        <v>2299.9670000000001</v>
      </c>
      <c r="F1529">
        <f>1926.37</f>
        <v>1926.37</v>
      </c>
      <c r="G1529">
        <f>8024.471</f>
        <v>8024.4709999999995</v>
      </c>
      <c r="H1529">
        <f>3215.86</f>
        <v>3215.86</v>
      </c>
      <c r="I1529">
        <f>9983.378</f>
        <v>9983.3780000000006</v>
      </c>
      <c r="J1529">
        <f>3535.08</f>
        <v>3535.08</v>
      </c>
      <c r="K1529">
        <f>9760.43</f>
        <v>9760.43</v>
      </c>
      <c r="L1529">
        <f>1875.55</f>
        <v>1875.55</v>
      </c>
      <c r="M1529">
        <f>7721.96</f>
        <v>7721.96</v>
      </c>
      <c r="N1529">
        <f>307.408</f>
        <v>307.40800000000002</v>
      </c>
      <c r="O1529">
        <f>2776.96</f>
        <v>2776.96</v>
      </c>
      <c r="P1529">
        <f>242.46</f>
        <v>242.46</v>
      </c>
      <c r="Q1529">
        <f>2187.459</f>
        <v>2187.4589999999998</v>
      </c>
      <c r="R1529">
        <f>4701.82</f>
        <v>4701.82</v>
      </c>
      <c r="S1529">
        <f>2300.19</f>
        <v>2300.19</v>
      </c>
      <c r="T1529">
        <f>4003.959</f>
        <v>4003.9589999999998</v>
      </c>
      <c r="U1529">
        <f>55450.53</f>
        <v>55450.53</v>
      </c>
      <c r="V1529">
        <f>361.75</f>
        <v>361.75</v>
      </c>
    </row>
    <row r="1530" spans="1:22" x14ac:dyDescent="0.2">
      <c r="A1530" s="1">
        <v>42965</v>
      </c>
      <c r="B1530">
        <f>2857.25</f>
        <v>2857.25</v>
      </c>
      <c r="C1530">
        <f>9440.09</f>
        <v>9440.09</v>
      </c>
      <c r="D1530">
        <f>6157.2</f>
        <v>6157.2</v>
      </c>
      <c r="E1530">
        <f>2290.986</f>
        <v>2290.9859999999999</v>
      </c>
      <c r="F1530">
        <f>1916.2</f>
        <v>1916.2</v>
      </c>
      <c r="G1530">
        <f>7998.875</f>
        <v>7998.875</v>
      </c>
      <c r="H1530">
        <f>3227.99</f>
        <v>3227.99</v>
      </c>
      <c r="I1530">
        <f>9973.054</f>
        <v>9973.0540000000001</v>
      </c>
      <c r="J1530">
        <f>3526.34</f>
        <v>3526.34</v>
      </c>
      <c r="K1530">
        <f>9749.1</f>
        <v>9749.1</v>
      </c>
      <c r="L1530">
        <f>1870.32</f>
        <v>1870.32</v>
      </c>
      <c r="M1530">
        <f>7714.51</f>
        <v>7714.51</v>
      </c>
      <c r="N1530">
        <f>307.877</f>
        <v>307.87700000000001</v>
      </c>
      <c r="O1530">
        <f>2788.12</f>
        <v>2788.12</v>
      </c>
      <c r="P1530">
        <f>242.77</f>
        <v>242.77</v>
      </c>
      <c r="Q1530">
        <f>2183.281</f>
        <v>2183.2809999999999</v>
      </c>
      <c r="R1530">
        <f>4696.22</f>
        <v>4696.22</v>
      </c>
      <c r="S1530">
        <f>2303.31</f>
        <v>2303.31</v>
      </c>
      <c r="T1530">
        <f>3989.158</f>
        <v>3989.1579999999999</v>
      </c>
      <c r="U1530">
        <f>55304.23</f>
        <v>55304.23</v>
      </c>
      <c r="V1530">
        <f>358.98</f>
        <v>358.98</v>
      </c>
    </row>
    <row r="1531" spans="1:22" x14ac:dyDescent="0.2">
      <c r="A1531" s="1">
        <v>42964</v>
      </c>
      <c r="B1531">
        <f>2875.79</f>
        <v>2875.79</v>
      </c>
      <c r="C1531">
        <f>9495.27</f>
        <v>9495.27</v>
      </c>
      <c r="D1531">
        <f>6210.91</f>
        <v>6210.91</v>
      </c>
      <c r="E1531">
        <f>2299.125</f>
        <v>2299.125</v>
      </c>
      <c r="F1531">
        <f>1934.56</f>
        <v>1934.56</v>
      </c>
      <c r="G1531">
        <f>8085.443</f>
        <v>8085.4430000000002</v>
      </c>
      <c r="H1531">
        <f>3224.54</f>
        <v>3224.54</v>
      </c>
      <c r="I1531">
        <f>10020.049</f>
        <v>10020.049000000001</v>
      </c>
      <c r="J1531">
        <f>3536.41</f>
        <v>3536.41</v>
      </c>
      <c r="K1531">
        <f>9767.23</f>
        <v>9767.23</v>
      </c>
      <c r="L1531">
        <f>1877.01</f>
        <v>1877.01</v>
      </c>
      <c r="M1531">
        <f>7737.68</f>
        <v>7737.68</v>
      </c>
      <c r="N1531">
        <f>311.505</f>
        <v>311.505</v>
      </c>
      <c r="O1531">
        <f>2809.5</f>
        <v>2809.5</v>
      </c>
      <c r="P1531">
        <f>245.1</f>
        <v>245.1</v>
      </c>
      <c r="Q1531">
        <f>2189.965</f>
        <v>2189.9650000000001</v>
      </c>
      <c r="R1531">
        <f>4704.73</f>
        <v>4704.7299999999996</v>
      </c>
      <c r="S1531">
        <f>2328.5</f>
        <v>2328.5</v>
      </c>
      <c r="T1531">
        <f>4008.655</f>
        <v>4008.6550000000002</v>
      </c>
      <c r="U1531">
        <f>55415.27</f>
        <v>55415.27</v>
      </c>
      <c r="V1531">
        <f>360.28</f>
        <v>360.28</v>
      </c>
    </row>
    <row r="1532" spans="1:22" x14ac:dyDescent="0.2">
      <c r="A1532" s="1">
        <v>42963</v>
      </c>
      <c r="B1532">
        <f>2889.44</f>
        <v>2889.44</v>
      </c>
      <c r="C1532">
        <f>9477.42</f>
        <v>9477.42</v>
      </c>
      <c r="D1532">
        <f>6240.81</f>
        <v>6240.81</v>
      </c>
      <c r="E1532">
        <f>2292.278</f>
        <v>2292.2779999999998</v>
      </c>
      <c r="F1532">
        <f>1941.12</f>
        <v>1941.12</v>
      </c>
      <c r="G1532">
        <f>8113.883</f>
        <v>8113.8829999999998</v>
      </c>
      <c r="H1532">
        <f>3205.1</f>
        <v>3205.1</v>
      </c>
      <c r="I1532">
        <f>10038.318</f>
        <v>10038.317999999999</v>
      </c>
      <c r="J1532">
        <f>3588.22</f>
        <v>3588.22</v>
      </c>
      <c r="K1532">
        <f>9919.7</f>
        <v>9919.7000000000007</v>
      </c>
      <c r="L1532">
        <f>1889.84</f>
        <v>1889.84</v>
      </c>
      <c r="M1532">
        <f>7807.53</f>
        <v>7807.53</v>
      </c>
      <c r="N1532">
        <f>311.837</f>
        <v>311.83699999999999</v>
      </c>
      <c r="O1532">
        <f>2824.53</f>
        <v>2824.53</v>
      </c>
      <c r="P1532">
        <f>245.33</f>
        <v>245.33</v>
      </c>
      <c r="Q1532">
        <f>2217.822</f>
        <v>2217.8220000000001</v>
      </c>
      <c r="R1532">
        <f>4778.28</f>
        <v>4778.28</v>
      </c>
      <c r="S1532">
        <f>2330.19</f>
        <v>2330.19</v>
      </c>
      <c r="T1532">
        <f>4009.65</f>
        <v>4009.65</v>
      </c>
      <c r="U1532">
        <f>55534.6</f>
        <v>55534.6</v>
      </c>
      <c r="V1532">
        <f>360.04</f>
        <v>360.04</v>
      </c>
    </row>
    <row r="1533" spans="1:22" x14ac:dyDescent="0.2">
      <c r="A1533" s="1">
        <v>42962</v>
      </c>
      <c r="B1533">
        <f>2870.31</f>
        <v>2870.31</v>
      </c>
      <c r="C1533">
        <f>9429.33</f>
        <v>9429.33</v>
      </c>
      <c r="D1533">
        <f>6199.51</f>
        <v>6199.51</v>
      </c>
      <c r="E1533">
        <f>2275.272</f>
        <v>2275.2719999999999</v>
      </c>
      <c r="F1533">
        <f>1934.74</f>
        <v>1934.74</v>
      </c>
      <c r="G1533">
        <f>8049.902</f>
        <v>8049.902</v>
      </c>
      <c r="H1533">
        <f>3210.4</f>
        <v>3210.4</v>
      </c>
      <c r="I1533">
        <f>9994.019</f>
        <v>9994.0190000000002</v>
      </c>
      <c r="J1533">
        <f>3581.45</f>
        <v>3581.45</v>
      </c>
      <c r="K1533">
        <f>9901.53</f>
        <v>9901.5300000000007</v>
      </c>
      <c r="L1533">
        <f>1884.58</f>
        <v>1884.58</v>
      </c>
      <c r="M1533">
        <f>7786.28</f>
        <v>7786.28</v>
      </c>
      <c r="N1533">
        <f>310.339</f>
        <v>310.339</v>
      </c>
      <c r="O1533">
        <f>2805.05</f>
        <v>2805.05</v>
      </c>
      <c r="P1533">
        <f>246.03</f>
        <v>246.03</v>
      </c>
      <c r="Q1533">
        <f>2207.844</f>
        <v>2207.8440000000001</v>
      </c>
      <c r="R1533">
        <f>4770.15</f>
        <v>4770.1499999999996</v>
      </c>
      <c r="S1533">
        <f>2330.45</f>
        <v>2330.4499999999998</v>
      </c>
      <c r="T1533">
        <f>3992.473</f>
        <v>3992.473</v>
      </c>
      <c r="U1533">
        <f>54983.32</f>
        <v>54983.32</v>
      </c>
      <c r="V1533">
        <f>357.18</f>
        <v>357.18</v>
      </c>
    </row>
    <row r="1534" spans="1:22" x14ac:dyDescent="0.2">
      <c r="A1534" s="1">
        <v>42961</v>
      </c>
      <c r="B1534">
        <f>2868.46</f>
        <v>2868.46</v>
      </c>
      <c r="C1534">
        <f>9395.36</f>
        <v>9395.36</v>
      </c>
      <c r="D1534">
        <f>6174.36</f>
        <v>6174.36</v>
      </c>
      <c r="E1534">
        <f>2277.511</f>
        <v>2277.511</v>
      </c>
      <c r="F1534">
        <f>1947.78</f>
        <v>1947.78</v>
      </c>
      <c r="G1534">
        <f>8103.314</f>
        <v>8103.3140000000003</v>
      </c>
      <c r="H1534">
        <f>3209.87</f>
        <v>3209.87</v>
      </c>
      <c r="I1534">
        <f>10031.964</f>
        <v>10031.964</v>
      </c>
      <c r="J1534">
        <f>3576.62</f>
        <v>3576.62</v>
      </c>
      <c r="K1534">
        <f>9905.65</f>
        <v>9905.65</v>
      </c>
      <c r="L1534">
        <f>1887.55</f>
        <v>1887.55</v>
      </c>
      <c r="M1534">
        <f>7798.55</f>
        <v>7798.55</v>
      </c>
      <c r="N1534">
        <f>309.481</f>
        <v>309.48099999999999</v>
      </c>
      <c r="O1534">
        <f>2801.65</f>
        <v>2801.65</v>
      </c>
      <c r="P1534">
        <f>244.22</f>
        <v>244.22</v>
      </c>
      <c r="Q1534">
        <f>2213.796</f>
        <v>2213.7959999999998</v>
      </c>
      <c r="R1534">
        <f>4771.43</f>
        <v>4771.43</v>
      </c>
      <c r="S1534">
        <f>2305.73</f>
        <v>2305.73</v>
      </c>
      <c r="T1534">
        <f>4004.606</f>
        <v>4004.6060000000002</v>
      </c>
      <c r="U1534">
        <f>55465.65</f>
        <v>55465.65</v>
      </c>
      <c r="V1534">
        <f>359.94</f>
        <v>359.94</v>
      </c>
    </row>
    <row r="1535" spans="1:22" x14ac:dyDescent="0.2">
      <c r="A1535" s="1">
        <v>42958</v>
      </c>
      <c r="B1535">
        <f>2844.08</f>
        <v>2844.08</v>
      </c>
      <c r="C1535">
        <f>9348.58</f>
        <v>9348.58</v>
      </c>
      <c r="D1535">
        <f>6137.48</f>
        <v>6137.48</v>
      </c>
      <c r="E1535">
        <f>2254.005</f>
        <v>2254.0050000000001</v>
      </c>
      <c r="F1535">
        <f>1930.85</f>
        <v>1930.85</v>
      </c>
      <c r="G1535">
        <f>8050.413</f>
        <v>8050.4129999999996</v>
      </c>
      <c r="H1535">
        <f>3257.59</f>
        <v>3257.59</v>
      </c>
      <c r="I1535">
        <f>9921.456</f>
        <v>9921.4560000000001</v>
      </c>
      <c r="J1535">
        <f>3549.53</f>
        <v>3549.53</v>
      </c>
      <c r="K1535">
        <f>9806.44</f>
        <v>9806.44</v>
      </c>
      <c r="L1535">
        <f>1874.81</f>
        <v>1874.81</v>
      </c>
      <c r="M1535">
        <f>7738.84</f>
        <v>7738.84</v>
      </c>
      <c r="N1535">
        <f>306.783</f>
        <v>306.78300000000002</v>
      </c>
      <c r="O1535">
        <f>2772.78</f>
        <v>2772.78</v>
      </c>
      <c r="P1535" t="e">
        <f>NA()</f>
        <v>#N/A</v>
      </c>
      <c r="Q1535">
        <f>2194.227</f>
        <v>2194.2269999999999</v>
      </c>
      <c r="R1535">
        <f>4723.73</f>
        <v>4723.7299999999996</v>
      </c>
      <c r="S1535" t="e">
        <f>NA()</f>
        <v>#N/A</v>
      </c>
      <c r="T1535">
        <f>3989.493</f>
        <v>3989.4929999999999</v>
      </c>
      <c r="U1535">
        <f>55155.13</f>
        <v>55155.13</v>
      </c>
      <c r="V1535">
        <f>359.33</f>
        <v>359.33</v>
      </c>
    </row>
    <row r="1536" spans="1:22" x14ac:dyDescent="0.2">
      <c r="A1536" s="1">
        <v>42957</v>
      </c>
      <c r="B1536">
        <f>2873.56</f>
        <v>2873.56</v>
      </c>
      <c r="C1536">
        <f>9430.55</f>
        <v>9430.5499999999993</v>
      </c>
      <c r="D1536">
        <f>6204.63</f>
        <v>6204.63</v>
      </c>
      <c r="E1536">
        <f>2282.809</f>
        <v>2282.8090000000002</v>
      </c>
      <c r="F1536">
        <f>1949.4</f>
        <v>1949.4</v>
      </c>
      <c r="G1536">
        <f>8148.586</f>
        <v>8148.5860000000002</v>
      </c>
      <c r="H1536">
        <f>3251.04</f>
        <v>3251.04</v>
      </c>
      <c r="I1536">
        <f>9968.973</f>
        <v>9968.973</v>
      </c>
      <c r="J1536">
        <f>3549.71</f>
        <v>3549.71</v>
      </c>
      <c r="K1536">
        <f>9791.67</f>
        <v>9791.67</v>
      </c>
      <c r="L1536">
        <f>1881.7</f>
        <v>1881.7</v>
      </c>
      <c r="M1536">
        <f>7748.31</f>
        <v>7748.31</v>
      </c>
      <c r="N1536">
        <f>308.769</f>
        <v>308.76900000000001</v>
      </c>
      <c r="O1536">
        <f>2801.62</f>
        <v>2801.62</v>
      </c>
      <c r="P1536">
        <f>247.13</f>
        <v>247.13</v>
      </c>
      <c r="Q1536">
        <f>2194.838</f>
        <v>2194.8380000000002</v>
      </c>
      <c r="R1536">
        <f>4717.4</f>
        <v>4717.3999999999996</v>
      </c>
      <c r="S1536">
        <f>2331.96</f>
        <v>2331.96</v>
      </c>
      <c r="T1536">
        <f>4003.863</f>
        <v>4003.8629999999998</v>
      </c>
      <c r="U1536">
        <f>55700.64</f>
        <v>55700.639999999999</v>
      </c>
      <c r="V1536">
        <f>360.74</f>
        <v>360.74</v>
      </c>
    </row>
    <row r="1537" spans="1:22" x14ac:dyDescent="0.2">
      <c r="A1537" s="1">
        <v>42956</v>
      </c>
      <c r="B1537">
        <f>2903.76</f>
        <v>2903.76</v>
      </c>
      <c r="C1537">
        <f>9534.63</f>
        <v>9534.6299999999992</v>
      </c>
      <c r="D1537">
        <f>6261.47</f>
        <v>6261.47</v>
      </c>
      <c r="E1537">
        <f>2309.821</f>
        <v>2309.8209999999999</v>
      </c>
      <c r="F1537">
        <f>1970.44</f>
        <v>1970.44</v>
      </c>
      <c r="G1537">
        <f>8224.293</f>
        <v>8224.2929999999997</v>
      </c>
      <c r="H1537">
        <f>3238.06</f>
        <v>3238.06</v>
      </c>
      <c r="I1537">
        <f>10047.239</f>
        <v>10047.239</v>
      </c>
      <c r="J1537">
        <f>3578.11</f>
        <v>3578.11</v>
      </c>
      <c r="K1537">
        <f>9933.27</f>
        <v>9933.27</v>
      </c>
      <c r="L1537">
        <f>1894.43</f>
        <v>1894.43</v>
      </c>
      <c r="M1537">
        <f>7829.88</f>
        <v>7829.88</v>
      </c>
      <c r="N1537">
        <f>310.697</f>
        <v>310.697</v>
      </c>
      <c r="O1537">
        <f>2828.26</f>
        <v>2828.26</v>
      </c>
      <c r="P1537">
        <f>247.67</f>
        <v>247.67</v>
      </c>
      <c r="Q1537">
        <f>2216.252</f>
        <v>2216.252</v>
      </c>
      <c r="R1537">
        <f>4784.94</f>
        <v>4784.9399999999996</v>
      </c>
      <c r="S1537">
        <f>2332.89</f>
        <v>2332.89</v>
      </c>
      <c r="T1537" t="e">
        <f>NA()</f>
        <v>#N/A</v>
      </c>
      <c r="U1537" t="e">
        <f>NA()</f>
        <v>#N/A</v>
      </c>
      <c r="V1537" t="e">
        <f>NA()</f>
        <v>#N/A</v>
      </c>
    </row>
    <row r="1538" spans="1:22" x14ac:dyDescent="0.2">
      <c r="A1538" s="1">
        <v>42955</v>
      </c>
      <c r="B1538">
        <f>2916.14</f>
        <v>2916.14</v>
      </c>
      <c r="C1538">
        <f>9623.42</f>
        <v>9623.42</v>
      </c>
      <c r="D1538">
        <f>6298.77</f>
        <v>6298.77</v>
      </c>
      <c r="E1538">
        <f>2330.327</f>
        <v>2330.3270000000002</v>
      </c>
      <c r="F1538">
        <f>1981.06</f>
        <v>1981.06</v>
      </c>
      <c r="G1538">
        <f>8251.844</f>
        <v>8251.8439999999991</v>
      </c>
      <c r="H1538">
        <f>3247.85</f>
        <v>3247.85</v>
      </c>
      <c r="I1538">
        <f>10131.726</f>
        <v>10131.726000000001</v>
      </c>
      <c r="J1538">
        <f>3576.05</f>
        <v>3576.05</v>
      </c>
      <c r="K1538">
        <f>9938.16</f>
        <v>9938.16</v>
      </c>
      <c r="L1538">
        <f>1898.64</f>
        <v>1898.64</v>
      </c>
      <c r="M1538">
        <f>7849</f>
        <v>7849</v>
      </c>
      <c r="N1538">
        <f>311.712</f>
        <v>311.71199999999999</v>
      </c>
      <c r="O1538">
        <f>2851.21</f>
        <v>2851.21</v>
      </c>
      <c r="P1538">
        <f>249.89</f>
        <v>249.89</v>
      </c>
      <c r="Q1538">
        <f>2212.708</f>
        <v>2212.7080000000001</v>
      </c>
      <c r="R1538">
        <f>4786.12</f>
        <v>4786.12</v>
      </c>
      <c r="S1538">
        <f>2358.02</f>
        <v>2358.02</v>
      </c>
      <c r="T1538">
        <f>4028.665</f>
        <v>4028.665</v>
      </c>
      <c r="U1538">
        <f>55980.05</f>
        <v>55980.05</v>
      </c>
      <c r="V1538">
        <f>361.94</f>
        <v>361.94</v>
      </c>
    </row>
    <row r="1539" spans="1:22" x14ac:dyDescent="0.2">
      <c r="A1539" s="1">
        <v>42954</v>
      </c>
      <c r="B1539">
        <f>2916.13</f>
        <v>2916.13</v>
      </c>
      <c r="C1539">
        <f>9620.71</f>
        <v>9620.7099999999991</v>
      </c>
      <c r="D1539">
        <f>6289.76</f>
        <v>6289.76</v>
      </c>
      <c r="E1539">
        <f>2323.265</f>
        <v>2323.2649999999999</v>
      </c>
      <c r="F1539">
        <f>1985.47</f>
        <v>1985.47</v>
      </c>
      <c r="G1539">
        <f>8279.622</f>
        <v>8279.6219999999994</v>
      </c>
      <c r="H1539">
        <f>3250.48</f>
        <v>3250.48</v>
      </c>
      <c r="I1539">
        <f>10160.957</f>
        <v>10160.957</v>
      </c>
      <c r="J1539">
        <f>3582.73</f>
        <v>3582.73</v>
      </c>
      <c r="K1539">
        <f>9961.39</f>
        <v>9961.39</v>
      </c>
      <c r="L1539">
        <f>1902.74</f>
        <v>1902.74</v>
      </c>
      <c r="M1539">
        <f>7868.18</f>
        <v>7868.18</v>
      </c>
      <c r="N1539">
        <f>311.463</f>
        <v>311.46300000000002</v>
      </c>
      <c r="O1539">
        <f>2844.62</f>
        <v>2844.62</v>
      </c>
      <c r="P1539">
        <f>250.36</f>
        <v>250.36</v>
      </c>
      <c r="Q1539">
        <f>2224.354</f>
        <v>2224.3539999999998</v>
      </c>
      <c r="R1539">
        <f>4797.13</f>
        <v>4797.13</v>
      </c>
      <c r="S1539">
        <f>2363.7</f>
        <v>2363.6999999999998</v>
      </c>
      <c r="T1539">
        <f>4016.613</f>
        <v>4016.6129999999998</v>
      </c>
      <c r="U1539">
        <f>56163.6</f>
        <v>56163.6</v>
      </c>
      <c r="V1539">
        <f>361.61</f>
        <v>361.61</v>
      </c>
    </row>
    <row r="1540" spans="1:22" x14ac:dyDescent="0.2">
      <c r="A1540" s="1">
        <v>42951</v>
      </c>
      <c r="B1540">
        <f>2913.78</f>
        <v>2913.78</v>
      </c>
      <c r="C1540">
        <f>9559.19</f>
        <v>9559.19</v>
      </c>
      <c r="D1540">
        <f>6272.87</f>
        <v>6272.87</v>
      </c>
      <c r="E1540">
        <f>2305.557</f>
        <v>2305.5569999999998</v>
      </c>
      <c r="F1540">
        <f>1988.06</f>
        <v>1988.06</v>
      </c>
      <c r="G1540">
        <f>8265.611</f>
        <v>8265.6110000000008</v>
      </c>
      <c r="H1540">
        <f>3232.42</f>
        <v>3232.42</v>
      </c>
      <c r="I1540">
        <f>10133.849</f>
        <v>10133.849</v>
      </c>
      <c r="J1540">
        <f>3576.12</f>
        <v>3576.12</v>
      </c>
      <c r="K1540">
        <f>9945.09</f>
        <v>9945.09</v>
      </c>
      <c r="L1540">
        <f>1900.53</f>
        <v>1900.53</v>
      </c>
      <c r="M1540">
        <f>7852.12</f>
        <v>7852.12</v>
      </c>
      <c r="N1540">
        <f>313.34</f>
        <v>313.33999999999997</v>
      </c>
      <c r="O1540">
        <f>2848.12</f>
        <v>2848.12</v>
      </c>
      <c r="P1540">
        <f>248.37</f>
        <v>248.37</v>
      </c>
      <c r="Q1540">
        <f>2220.831</f>
        <v>2220.8310000000001</v>
      </c>
      <c r="R1540">
        <f>4789.11</f>
        <v>4789.1099999999997</v>
      </c>
      <c r="S1540">
        <f>2352.42</f>
        <v>2352.42</v>
      </c>
      <c r="T1540">
        <f>4005.881</f>
        <v>4005.8809999999999</v>
      </c>
      <c r="U1540">
        <f>55944.83</f>
        <v>55944.83</v>
      </c>
      <c r="V1540">
        <f>359.08</f>
        <v>359.08</v>
      </c>
    </row>
    <row r="1541" spans="1:22" x14ac:dyDescent="0.2">
      <c r="A1541" s="1">
        <v>42950</v>
      </c>
      <c r="B1541">
        <f>2922.26</f>
        <v>2922.26</v>
      </c>
      <c r="C1541">
        <f>9539.57</f>
        <v>9539.57</v>
      </c>
      <c r="D1541">
        <f>6242.01</f>
        <v>6242.01</v>
      </c>
      <c r="E1541">
        <f>2298.472</f>
        <v>2298.4720000000002</v>
      </c>
      <c r="F1541">
        <f>2012.35</f>
        <v>2012.35</v>
      </c>
      <c r="G1541">
        <f>8292.46</f>
        <v>8292.4599999999991</v>
      </c>
      <c r="H1541">
        <f>3268.69</f>
        <v>3268.69</v>
      </c>
      <c r="I1541">
        <f>10135.594</f>
        <v>10135.593999999999</v>
      </c>
      <c r="J1541">
        <f>3575.68</f>
        <v>3575.68</v>
      </c>
      <c r="K1541">
        <f>9926.23</f>
        <v>9926.23</v>
      </c>
      <c r="L1541">
        <f>1904.12</f>
        <v>1904.12</v>
      </c>
      <c r="M1541">
        <f>7855.57</f>
        <v>7855.57</v>
      </c>
      <c r="N1541">
        <f>310.728</f>
        <v>310.72800000000001</v>
      </c>
      <c r="O1541">
        <f>2819.93</f>
        <v>2819.93</v>
      </c>
      <c r="P1541">
        <f>248.12</f>
        <v>248.12</v>
      </c>
      <c r="Q1541">
        <f>2219.242</f>
        <v>2219.2420000000002</v>
      </c>
      <c r="R1541">
        <f>4779.99</f>
        <v>4779.99</v>
      </c>
      <c r="S1541">
        <f>2355.84</f>
        <v>2355.84</v>
      </c>
      <c r="T1541">
        <f>3989.369</f>
        <v>3989.3690000000001</v>
      </c>
      <c r="U1541">
        <f>55685.01</f>
        <v>55685.01</v>
      </c>
      <c r="V1541">
        <f>358.41</f>
        <v>358.41</v>
      </c>
    </row>
    <row r="1542" spans="1:22" x14ac:dyDescent="0.2">
      <c r="A1542" s="1">
        <v>42949</v>
      </c>
      <c r="B1542">
        <f>2904.01</f>
        <v>2904.01</v>
      </c>
      <c r="C1542">
        <f>9521.93</f>
        <v>9521.93</v>
      </c>
      <c r="D1542">
        <f>6182.21</f>
        <v>6182.21</v>
      </c>
      <c r="E1542">
        <f>2310.925</f>
        <v>2310.9250000000002</v>
      </c>
      <c r="F1542">
        <f>2001.76</f>
        <v>2001.76</v>
      </c>
      <c r="G1542">
        <f>8264.431</f>
        <v>8264.4310000000005</v>
      </c>
      <c r="H1542">
        <f>3260.38</f>
        <v>3260.38</v>
      </c>
      <c r="I1542">
        <f>10102.771</f>
        <v>10102.771000000001</v>
      </c>
      <c r="J1542">
        <f>3573.38</f>
        <v>3573.38</v>
      </c>
      <c r="K1542">
        <f>9945.52</f>
        <v>9945.52</v>
      </c>
      <c r="L1542">
        <f>1901.63</f>
        <v>1901.63</v>
      </c>
      <c r="M1542">
        <f>7860.15</f>
        <v>7860.15</v>
      </c>
      <c r="N1542">
        <f>309.993</f>
        <v>309.99299999999999</v>
      </c>
      <c r="O1542">
        <f>2815.8</f>
        <v>2815.8</v>
      </c>
      <c r="P1542">
        <f>247.45</f>
        <v>247.45</v>
      </c>
      <c r="Q1542">
        <f>2220.102</f>
        <v>2220.1019999999999</v>
      </c>
      <c r="R1542">
        <f>4789.54</f>
        <v>4789.54</v>
      </c>
      <c r="S1542">
        <f>2356.65</f>
        <v>2356.65</v>
      </c>
      <c r="T1542">
        <f>3953.432</f>
        <v>3953.4319999999998</v>
      </c>
      <c r="U1542">
        <f>55200.49</f>
        <v>55200.49</v>
      </c>
      <c r="V1542">
        <f>354.34</f>
        <v>354.34</v>
      </c>
    </row>
    <row r="1543" spans="1:22" x14ac:dyDescent="0.2">
      <c r="A1543" s="1">
        <v>42948</v>
      </c>
      <c r="B1543">
        <f>2904.28</f>
        <v>2904.28</v>
      </c>
      <c r="C1543">
        <f>9474.33</f>
        <v>9474.33</v>
      </c>
      <c r="D1543">
        <f>6192.42</f>
        <v>6192.42</v>
      </c>
      <c r="E1543">
        <f>2308.602</f>
        <v>2308.6019999999999</v>
      </c>
      <c r="F1543">
        <f>1996.05</f>
        <v>1996.05</v>
      </c>
      <c r="G1543">
        <f>8284.636</f>
        <v>8284.6360000000004</v>
      </c>
      <c r="H1543">
        <f>3260.73</f>
        <v>3260.73</v>
      </c>
      <c r="I1543">
        <f>10095.186</f>
        <v>10095.186</v>
      </c>
      <c r="J1543">
        <f>3580.33</f>
        <v>3580.33</v>
      </c>
      <c r="K1543">
        <f>9941.45</f>
        <v>9941.4500000000007</v>
      </c>
      <c r="L1543">
        <f>1900.48</f>
        <v>1900.48</v>
      </c>
      <c r="M1543">
        <f>7859.38</f>
        <v>7859.38</v>
      </c>
      <c r="N1543">
        <f>311.895</f>
        <v>311.89499999999998</v>
      </c>
      <c r="O1543">
        <f>2827.08</f>
        <v>2827.08</v>
      </c>
      <c r="P1543">
        <f>247.96</f>
        <v>247.96</v>
      </c>
      <c r="Q1543">
        <f>2224.204</f>
        <v>2224.2040000000002</v>
      </c>
      <c r="R1543">
        <f>4786.27</f>
        <v>4786.2700000000004</v>
      </c>
      <c r="S1543">
        <f>2348.17</f>
        <v>2348.17</v>
      </c>
      <c r="T1543">
        <f>3944.798</f>
        <v>3944.7979999999998</v>
      </c>
      <c r="U1543">
        <f>55390.07</f>
        <v>55390.07</v>
      </c>
      <c r="V1543">
        <f>353.87</f>
        <v>353.87</v>
      </c>
    </row>
    <row r="1544" spans="1:22" x14ac:dyDescent="0.2">
      <c r="A1544" s="1">
        <v>42947</v>
      </c>
      <c r="B1544">
        <f>2882.37</f>
        <v>2882.37</v>
      </c>
      <c r="C1544">
        <f>9429.74</f>
        <v>9429.74</v>
      </c>
      <c r="D1544">
        <f>6149.33</f>
        <v>6149.33</v>
      </c>
      <c r="E1544">
        <f>2302.362</f>
        <v>2302.3620000000001</v>
      </c>
      <c r="F1544">
        <f>1978.29</f>
        <v>1978.29</v>
      </c>
      <c r="G1544">
        <f>8199.652</f>
        <v>8199.652</v>
      </c>
      <c r="H1544">
        <f>3222.44</f>
        <v>3222.44</v>
      </c>
      <c r="I1544">
        <f>10024.003</f>
        <v>10024.003000000001</v>
      </c>
      <c r="J1544">
        <f>3577.68</f>
        <v>3577.68</v>
      </c>
      <c r="K1544">
        <f>9917.62</f>
        <v>9917.6200000000008</v>
      </c>
      <c r="L1544">
        <f>1893.3</f>
        <v>1893.3</v>
      </c>
      <c r="M1544">
        <f>7822.15</f>
        <v>7822.15</v>
      </c>
      <c r="N1544">
        <f>309.207</f>
        <v>309.20699999999999</v>
      </c>
      <c r="O1544">
        <f>2806.36</f>
        <v>2806.36</v>
      </c>
      <c r="P1544">
        <f>245.82</f>
        <v>245.82</v>
      </c>
      <c r="Q1544">
        <f>2220.309</f>
        <v>2220.3090000000002</v>
      </c>
      <c r="R1544">
        <f>4774.56</f>
        <v>4774.5600000000004</v>
      </c>
      <c r="S1544">
        <f>2333.91</f>
        <v>2333.91</v>
      </c>
      <c r="T1544">
        <f>3944.737</f>
        <v>3944.7370000000001</v>
      </c>
      <c r="U1544">
        <f>55207.41</f>
        <v>55207.41</v>
      </c>
      <c r="V1544">
        <f>352.69</f>
        <v>352.69</v>
      </c>
    </row>
    <row r="1545" spans="1:22" x14ac:dyDescent="0.2">
      <c r="A1545" s="1">
        <v>42944</v>
      </c>
      <c r="B1545">
        <f>2872.92</f>
        <v>2872.92</v>
      </c>
      <c r="C1545">
        <f>9433.99</f>
        <v>9433.99</v>
      </c>
      <c r="D1545">
        <f>6146.3</f>
        <v>6146.3</v>
      </c>
      <c r="E1545">
        <f>2295.157</f>
        <v>2295.1570000000002</v>
      </c>
      <c r="F1545">
        <f>1957.66</f>
        <v>1957.66</v>
      </c>
      <c r="G1545">
        <f>8153.439</f>
        <v>8153.4390000000003</v>
      </c>
      <c r="H1545">
        <f>3215.68</f>
        <v>3215.68</v>
      </c>
      <c r="I1545">
        <f>10010.687</f>
        <v>10010.687</v>
      </c>
      <c r="J1545">
        <f>3573.98</f>
        <v>3573.98</v>
      </c>
      <c r="K1545">
        <f>9924.66</f>
        <v>9924.66</v>
      </c>
      <c r="L1545">
        <f>1891.96</f>
        <v>1891.96</v>
      </c>
      <c r="M1545">
        <f>7819</f>
        <v>7819</v>
      </c>
      <c r="N1545">
        <f>309.841</f>
        <v>309.84100000000001</v>
      </c>
      <c r="O1545">
        <f>2812.5</f>
        <v>2812.5</v>
      </c>
      <c r="P1545">
        <f>246.91</f>
        <v>246.91</v>
      </c>
      <c r="Q1545">
        <f>2218.83</f>
        <v>2218.83</v>
      </c>
      <c r="R1545">
        <f>4778.02</f>
        <v>4778.0200000000004</v>
      </c>
      <c r="S1545">
        <f>2337.67</f>
        <v>2337.67</v>
      </c>
      <c r="T1545">
        <f>3964.617</f>
        <v>3964.6170000000002</v>
      </c>
      <c r="U1545">
        <f>54883.21</f>
        <v>54883.21</v>
      </c>
      <c r="V1545">
        <f>352.79</f>
        <v>352.79</v>
      </c>
    </row>
    <row r="1546" spans="1:22" x14ac:dyDescent="0.2">
      <c r="A1546" s="1">
        <v>42943</v>
      </c>
      <c r="B1546">
        <f>2891.05</f>
        <v>2891.05</v>
      </c>
      <c r="C1546">
        <f>9486.3</f>
        <v>9486.2999999999993</v>
      </c>
      <c r="D1546">
        <f>6208.56</f>
        <v>6208.56</v>
      </c>
      <c r="E1546">
        <f>2308.092</f>
        <v>2308.0920000000001</v>
      </c>
      <c r="F1546">
        <f>1957.19</f>
        <v>1957.19</v>
      </c>
      <c r="G1546">
        <f>8213.85</f>
        <v>8213.85</v>
      </c>
      <c r="H1546">
        <f>3193.02</f>
        <v>3193.02</v>
      </c>
      <c r="I1546">
        <f>10025.362</f>
        <v>10025.361999999999</v>
      </c>
      <c r="J1546">
        <f>3584.98</f>
        <v>3584.98</v>
      </c>
      <c r="K1546">
        <f>9937.9</f>
        <v>9937.9</v>
      </c>
      <c r="L1546">
        <f>1900.81</f>
        <v>1900.81</v>
      </c>
      <c r="M1546">
        <f>7831.5</f>
        <v>7831.5</v>
      </c>
      <c r="N1546">
        <f>314.284</f>
        <v>314.28399999999999</v>
      </c>
      <c r="O1546">
        <f>2840.4</f>
        <v>2840.4</v>
      </c>
      <c r="P1546">
        <f>246.21</f>
        <v>246.21</v>
      </c>
      <c r="Q1546">
        <f>2224.825</f>
        <v>2224.8249999999998</v>
      </c>
      <c r="R1546">
        <f>4784.26</f>
        <v>4784.26</v>
      </c>
      <c r="S1546">
        <f>2345.77</f>
        <v>2345.77</v>
      </c>
      <c r="T1546">
        <f>3956.78</f>
        <v>3956.78</v>
      </c>
      <c r="U1546">
        <f>54888.89</f>
        <v>54888.89</v>
      </c>
      <c r="V1546">
        <f>352.78</f>
        <v>352.78</v>
      </c>
    </row>
    <row r="1547" spans="1:22" x14ac:dyDescent="0.2">
      <c r="A1547" s="1">
        <v>42942</v>
      </c>
      <c r="B1547">
        <f>2890.68</f>
        <v>2890.68</v>
      </c>
      <c r="C1547">
        <f>9406.14</f>
        <v>9406.14</v>
      </c>
      <c r="D1547">
        <f>6214.23</f>
        <v>6214.23</v>
      </c>
      <c r="E1547">
        <f>2293.533</f>
        <v>2293.5329999999999</v>
      </c>
      <c r="F1547">
        <f>1971.82</f>
        <v>1971.82</v>
      </c>
      <c r="G1547">
        <f>8203.993</f>
        <v>8203.9930000000004</v>
      </c>
      <c r="H1547">
        <f>3176.64</f>
        <v>3176.64</v>
      </c>
      <c r="I1547">
        <f>10005.396</f>
        <v>10005.396000000001</v>
      </c>
      <c r="J1547">
        <f>3567.88</f>
        <v>3567.88</v>
      </c>
      <c r="K1547">
        <f>9947.57</f>
        <v>9947.57</v>
      </c>
      <c r="L1547">
        <f>1892.31</f>
        <v>1892.31</v>
      </c>
      <c r="M1547">
        <f>7824.15</f>
        <v>7824.15</v>
      </c>
      <c r="N1547">
        <f>313.062</f>
        <v>313.06200000000001</v>
      </c>
      <c r="O1547">
        <f>2844.89</f>
        <v>2844.89</v>
      </c>
      <c r="P1547">
        <f>245.85</f>
        <v>245.85</v>
      </c>
      <c r="Q1547">
        <f>2215.985</f>
        <v>2215.9850000000001</v>
      </c>
      <c r="R1547">
        <f>4788.41</f>
        <v>4788.41</v>
      </c>
      <c r="S1547">
        <f>2337.01</f>
        <v>2337.0100000000002</v>
      </c>
      <c r="T1547">
        <f>3951.681</f>
        <v>3951.681</v>
      </c>
      <c r="U1547">
        <f>54836.19</f>
        <v>54836.19</v>
      </c>
      <c r="V1547">
        <f>351.22</f>
        <v>351.22</v>
      </c>
    </row>
    <row r="1548" spans="1:22" x14ac:dyDescent="0.2">
      <c r="A1548" s="1">
        <v>42941</v>
      </c>
      <c r="B1548">
        <f>2880.67</f>
        <v>2880.67</v>
      </c>
      <c r="C1548">
        <f>9389.43</f>
        <v>9389.43</v>
      </c>
      <c r="D1548">
        <f>6199.63</f>
        <v>6199.63</v>
      </c>
      <c r="E1548">
        <f>2292.004</f>
        <v>2292.0039999999999</v>
      </c>
      <c r="F1548">
        <f>1963.98</f>
        <v>1963.98</v>
      </c>
      <c r="G1548">
        <f>8179.506</f>
        <v>8179.5060000000003</v>
      </c>
      <c r="H1548">
        <f>3168.86</f>
        <v>3168.86</v>
      </c>
      <c r="I1548">
        <f>9985.552</f>
        <v>9985.5519999999997</v>
      </c>
      <c r="J1548">
        <f>3561.23</f>
        <v>3561.23</v>
      </c>
      <c r="K1548">
        <f>9945.87</f>
        <v>9945.8700000000008</v>
      </c>
      <c r="L1548">
        <f>1888.46</f>
        <v>1888.46</v>
      </c>
      <c r="M1548">
        <f>7818.89</f>
        <v>7818.89</v>
      </c>
      <c r="N1548">
        <f>311.786</f>
        <v>311.786</v>
      </c>
      <c r="O1548">
        <f>2831.2</f>
        <v>2831.2</v>
      </c>
      <c r="P1548">
        <f>245.75</f>
        <v>245.75</v>
      </c>
      <c r="Q1548">
        <f>2224.552</f>
        <v>2224.5520000000001</v>
      </c>
      <c r="R1548">
        <f>4787.04</f>
        <v>4787.04</v>
      </c>
      <c r="S1548">
        <f>2331.53</f>
        <v>2331.5300000000002</v>
      </c>
      <c r="T1548">
        <f>3923.644</f>
        <v>3923.6439999999998</v>
      </c>
      <c r="U1548">
        <f>54499.11</f>
        <v>54499.11</v>
      </c>
      <c r="V1548">
        <f>348</f>
        <v>348</v>
      </c>
    </row>
    <row r="1549" spans="1:22" x14ac:dyDescent="0.2">
      <c r="A1549" s="1">
        <v>42940</v>
      </c>
      <c r="B1549">
        <f>2871.7</f>
        <v>2871.7</v>
      </c>
      <c r="C1549">
        <f>9415.48</f>
        <v>9415.48</v>
      </c>
      <c r="D1549">
        <f>6152.03</f>
        <v>6152.03</v>
      </c>
      <c r="E1549">
        <f>2297.375</f>
        <v>2297.375</v>
      </c>
      <c r="F1549">
        <f>1957.28</f>
        <v>1957.28</v>
      </c>
      <c r="G1549">
        <f>8116.222</f>
        <v>8116.2219999999998</v>
      </c>
      <c r="H1549">
        <f>3192.63</f>
        <v>3192.63</v>
      </c>
      <c r="I1549">
        <f>9931.432</f>
        <v>9931.4320000000007</v>
      </c>
      <c r="J1549">
        <f>3549.92</f>
        <v>3549.92</v>
      </c>
      <c r="K1549">
        <f>9916.9</f>
        <v>9916.9</v>
      </c>
      <c r="L1549">
        <f>1884.89</f>
        <v>1884.89</v>
      </c>
      <c r="M1549">
        <f>7795.9</f>
        <v>7795.9</v>
      </c>
      <c r="N1549">
        <f>311.155</f>
        <v>311.15499999999997</v>
      </c>
      <c r="O1549">
        <f>2816.82</f>
        <v>2816.82</v>
      </c>
      <c r="P1549">
        <f>246.59</f>
        <v>246.59</v>
      </c>
      <c r="Q1549">
        <f>2211.728</f>
        <v>2211.7280000000001</v>
      </c>
      <c r="R1549">
        <f>4773.1</f>
        <v>4773.1000000000004</v>
      </c>
      <c r="S1549">
        <f>2338.01</f>
        <v>2338.0100000000002</v>
      </c>
      <c r="T1549">
        <f>3960.401</f>
        <v>3960.4009999999998</v>
      </c>
      <c r="U1549">
        <f>54368.62</f>
        <v>54368.62</v>
      </c>
      <c r="V1549">
        <f>348.75</f>
        <v>348.75</v>
      </c>
    </row>
    <row r="1550" spans="1:22" x14ac:dyDescent="0.2">
      <c r="A1550" s="1">
        <v>42937</v>
      </c>
      <c r="B1550">
        <f>2907.59</f>
        <v>2907.59</v>
      </c>
      <c r="C1550">
        <f>9397.97</f>
        <v>9397.9699999999993</v>
      </c>
      <c r="D1550">
        <f>6214.72</f>
        <v>6214.72</v>
      </c>
      <c r="E1550">
        <f>2288.419</f>
        <v>2288.4189999999999</v>
      </c>
      <c r="F1550">
        <f>1972.62</f>
        <v>1972.62</v>
      </c>
      <c r="G1550">
        <f>8163.112</f>
        <v>8163.1120000000001</v>
      </c>
      <c r="H1550">
        <f>3220.95</f>
        <v>3220.95</v>
      </c>
      <c r="I1550">
        <f>9958.895</f>
        <v>9958.8950000000004</v>
      </c>
      <c r="J1550">
        <f>3565.94</f>
        <v>3565.94</v>
      </c>
      <c r="K1550">
        <f>9924.39</f>
        <v>9924.39</v>
      </c>
      <c r="L1550">
        <f>1893.54</f>
        <v>1893.54</v>
      </c>
      <c r="M1550">
        <f>7811.11</f>
        <v>7811.11</v>
      </c>
      <c r="N1550">
        <f>313.123</f>
        <v>313.12299999999999</v>
      </c>
      <c r="O1550">
        <f>2823.2</f>
        <v>2823.2</v>
      </c>
      <c r="P1550">
        <f>247.73</f>
        <v>247.73</v>
      </c>
      <c r="Q1550">
        <f>2216.84</f>
        <v>2216.84</v>
      </c>
      <c r="R1550">
        <f>4778.07</f>
        <v>4778.07</v>
      </c>
      <c r="S1550">
        <f>2350.15</f>
        <v>2350.15</v>
      </c>
      <c r="T1550">
        <f>3962.131</f>
        <v>3962.1309999999999</v>
      </c>
      <c r="U1550">
        <f>54162.71</f>
        <v>54162.71</v>
      </c>
      <c r="V1550">
        <f>348.49</f>
        <v>348.49</v>
      </c>
    </row>
    <row r="1551" spans="1:22" x14ac:dyDescent="0.2">
      <c r="A1551" s="1">
        <v>42936</v>
      </c>
      <c r="B1551">
        <f>2919.17</f>
        <v>2919.17</v>
      </c>
      <c r="C1551">
        <f>9408.8</f>
        <v>9408.7999999999993</v>
      </c>
      <c r="D1551">
        <f>6243.87</f>
        <v>6243.87</v>
      </c>
      <c r="E1551">
        <f>2286.438</f>
        <v>2286.4380000000001</v>
      </c>
      <c r="F1551">
        <f>1975.28</f>
        <v>1975.28</v>
      </c>
      <c r="G1551">
        <f>8195.855</f>
        <v>8195.8549999999996</v>
      </c>
      <c r="H1551">
        <f>3209.89</f>
        <v>3209.89</v>
      </c>
      <c r="I1551">
        <f>10059.689</f>
        <v>10059.689</v>
      </c>
      <c r="J1551">
        <f>3566.05</f>
        <v>3566.05</v>
      </c>
      <c r="K1551">
        <f>9928.11</f>
        <v>9928.11</v>
      </c>
      <c r="L1551">
        <f>1897.37</f>
        <v>1897.37</v>
      </c>
      <c r="M1551">
        <f>7829.18</f>
        <v>7829.18</v>
      </c>
      <c r="N1551">
        <f>314.978</f>
        <v>314.97800000000001</v>
      </c>
      <c r="O1551">
        <f>2854.02</f>
        <v>2854.02</v>
      </c>
      <c r="P1551">
        <f>248.29</f>
        <v>248.29</v>
      </c>
      <c r="Q1551">
        <f>2207.844</f>
        <v>2207.8440000000001</v>
      </c>
      <c r="R1551">
        <f>4779.84</f>
        <v>4779.84</v>
      </c>
      <c r="S1551">
        <f>2354.5</f>
        <v>2354.5</v>
      </c>
      <c r="T1551">
        <f>3971.126</f>
        <v>3971.1260000000002</v>
      </c>
      <c r="U1551">
        <f>54287.32</f>
        <v>54287.32</v>
      </c>
      <c r="V1551">
        <f>350.23</f>
        <v>350.23</v>
      </c>
    </row>
    <row r="1552" spans="1:22" x14ac:dyDescent="0.2">
      <c r="A1552" s="1">
        <v>42935</v>
      </c>
      <c r="B1552">
        <f>2901.91</f>
        <v>2901.91</v>
      </c>
      <c r="C1552">
        <f>9414.01</f>
        <v>9414.01</v>
      </c>
      <c r="D1552">
        <f>6196.37</f>
        <v>6196.37</v>
      </c>
      <c r="E1552">
        <f>2287.897</f>
        <v>2287.8969999999999</v>
      </c>
      <c r="F1552">
        <f>1963.77</f>
        <v>1963.77</v>
      </c>
      <c r="G1552">
        <f>8165.643</f>
        <v>8165.643</v>
      </c>
      <c r="H1552">
        <f>3192.81</f>
        <v>3192.81</v>
      </c>
      <c r="I1552">
        <f>9985.614</f>
        <v>9985.6139999999996</v>
      </c>
      <c r="J1552">
        <f>3560.65</f>
        <v>3560.65</v>
      </c>
      <c r="K1552">
        <f>9927.99</f>
        <v>9927.99</v>
      </c>
      <c r="L1552">
        <f>1891.32</f>
        <v>1891.32</v>
      </c>
      <c r="M1552">
        <f>7809.93</f>
        <v>7809.93</v>
      </c>
      <c r="N1552">
        <f>315.884</f>
        <v>315.88400000000001</v>
      </c>
      <c r="O1552">
        <f>2863.64</f>
        <v>2863.64</v>
      </c>
      <c r="P1552">
        <f>246.61</f>
        <v>246.61</v>
      </c>
      <c r="Q1552">
        <f>2209.057</f>
        <v>2209.0569999999998</v>
      </c>
      <c r="R1552">
        <f>4780.25</f>
        <v>4780.25</v>
      </c>
      <c r="S1552">
        <f>2338.44</f>
        <v>2338.44</v>
      </c>
      <c r="T1552">
        <f>3930.207</f>
        <v>3930.2069999999999</v>
      </c>
      <c r="U1552">
        <f>54091.11</f>
        <v>54091.11</v>
      </c>
      <c r="V1552">
        <f>347.37</f>
        <v>347.37</v>
      </c>
    </row>
    <row r="1553" spans="1:22" x14ac:dyDescent="0.2">
      <c r="A1553" s="1">
        <v>42934</v>
      </c>
      <c r="B1553">
        <f>2886.83</f>
        <v>2886.83</v>
      </c>
      <c r="C1553">
        <f>9355.99</f>
        <v>9355.99</v>
      </c>
      <c r="D1553">
        <f>6162.44</f>
        <v>6162.44</v>
      </c>
      <c r="E1553">
        <f>2272.114</f>
        <v>2272.114</v>
      </c>
      <c r="F1553">
        <f>1943.74</f>
        <v>1943.74</v>
      </c>
      <c r="G1553">
        <f>8108.059</f>
        <v>8108.0590000000002</v>
      </c>
      <c r="H1553">
        <f>3191.82</f>
        <v>3191.82</v>
      </c>
      <c r="I1553">
        <f>9981.414</f>
        <v>9981.4140000000007</v>
      </c>
      <c r="J1553">
        <f>3545.55</f>
        <v>3545.55</v>
      </c>
      <c r="K1553">
        <f>9872.9</f>
        <v>9872.9</v>
      </c>
      <c r="L1553">
        <f>1884.82</f>
        <v>1884.82</v>
      </c>
      <c r="M1553">
        <f>7774</f>
        <v>7774</v>
      </c>
      <c r="N1553">
        <f>313.76</f>
        <v>313.76</v>
      </c>
      <c r="O1553">
        <f>2842.52</f>
        <v>2842.52</v>
      </c>
      <c r="P1553">
        <f>245.98</f>
        <v>245.98</v>
      </c>
      <c r="Q1553">
        <f>2202.74</f>
        <v>2202.7399999999998</v>
      </c>
      <c r="R1553">
        <f>4754.27</f>
        <v>4754.2700000000004</v>
      </c>
      <c r="S1553">
        <f>2336.43</f>
        <v>2336.4299999999998</v>
      </c>
      <c r="T1553">
        <f>3877.648</f>
        <v>3877.6480000000001</v>
      </c>
      <c r="U1553">
        <f>53261.64</f>
        <v>53261.64</v>
      </c>
      <c r="V1553">
        <f>342.3</f>
        <v>342.3</v>
      </c>
    </row>
    <row r="1554" spans="1:22" x14ac:dyDescent="0.2">
      <c r="A1554" s="1">
        <v>42933</v>
      </c>
      <c r="B1554">
        <f>2863.54</f>
        <v>2863.54</v>
      </c>
      <c r="C1554">
        <f>9367.39</f>
        <v>9367.39</v>
      </c>
      <c r="D1554">
        <f>6174.04</f>
        <v>6174.04</v>
      </c>
      <c r="E1554">
        <f>2267.99</f>
        <v>2267.9899999999998</v>
      </c>
      <c r="F1554">
        <f>1948.76</f>
        <v>1948.76</v>
      </c>
      <c r="G1554">
        <f>8151.887</f>
        <v>8151.8869999999997</v>
      </c>
      <c r="H1554">
        <f>3182.43</f>
        <v>3182.43</v>
      </c>
      <c r="I1554">
        <f>9986.829</f>
        <v>9986.8289999999997</v>
      </c>
      <c r="J1554">
        <f>3543.94</f>
        <v>3543.94</v>
      </c>
      <c r="K1554">
        <f>9866.35</f>
        <v>9866.35</v>
      </c>
      <c r="L1554">
        <f>1884.94</f>
        <v>1884.94</v>
      </c>
      <c r="M1554">
        <f>7769.62</f>
        <v>7769.62</v>
      </c>
      <c r="N1554">
        <f>316.755</f>
        <v>316.755</v>
      </c>
      <c r="O1554">
        <f>2874.25</f>
        <v>2874.25</v>
      </c>
      <c r="P1554" t="e">
        <f>NA()</f>
        <v>#N/A</v>
      </c>
      <c r="Q1554">
        <f>2207.089</f>
        <v>2207.0889999999999</v>
      </c>
      <c r="R1554">
        <f>4751.33</f>
        <v>4751.33</v>
      </c>
      <c r="S1554" t="e">
        <f>NA()</f>
        <v>#N/A</v>
      </c>
      <c r="T1554">
        <f>3921.803</f>
        <v>3921.8029999999999</v>
      </c>
      <c r="U1554">
        <f>53827.41</f>
        <v>53827.41</v>
      </c>
      <c r="V1554">
        <f>345.23</f>
        <v>345.23</v>
      </c>
    </row>
    <row r="1555" spans="1:22" x14ac:dyDescent="0.2">
      <c r="A1555" s="1">
        <v>42930</v>
      </c>
      <c r="B1555">
        <f>2850.87</f>
        <v>2850.87</v>
      </c>
      <c r="C1555">
        <f>9325.07</f>
        <v>9325.07</v>
      </c>
      <c r="D1555">
        <f>6152.57</f>
        <v>6152.57</v>
      </c>
      <c r="E1555">
        <f>2258.003</f>
        <v>2258.0030000000002</v>
      </c>
      <c r="F1555">
        <f>1944.69</f>
        <v>1944.69</v>
      </c>
      <c r="G1555">
        <f>8131.267</f>
        <v>8131.2669999999998</v>
      </c>
      <c r="H1555">
        <f>3187.51</f>
        <v>3187.51</v>
      </c>
      <c r="I1555">
        <f>9971.828</f>
        <v>9971.8279999999995</v>
      </c>
      <c r="J1555">
        <f>3545.35</f>
        <v>3545.35</v>
      </c>
      <c r="K1555">
        <f>9866.99</f>
        <v>9866.99</v>
      </c>
      <c r="L1555">
        <f>1884.79</f>
        <v>1884.79</v>
      </c>
      <c r="M1555">
        <f>7767.45</f>
        <v>7767.45</v>
      </c>
      <c r="N1555">
        <f>316.758</f>
        <v>316.75799999999998</v>
      </c>
      <c r="O1555">
        <f>2874.45</f>
        <v>2874.45</v>
      </c>
      <c r="P1555">
        <f>246.67</f>
        <v>246.67</v>
      </c>
      <c r="Q1555">
        <f>2205.948</f>
        <v>2205.9479999999999</v>
      </c>
      <c r="R1555">
        <f>4751.43</f>
        <v>4751.43</v>
      </c>
      <c r="S1555">
        <f>2343.64</f>
        <v>2343.64</v>
      </c>
      <c r="T1555">
        <f>3907.415</f>
        <v>3907.415</v>
      </c>
      <c r="U1555">
        <f>53597.96</f>
        <v>53597.96</v>
      </c>
      <c r="V1555">
        <f>341.9</f>
        <v>341.9</v>
      </c>
    </row>
    <row r="1556" spans="1:22" x14ac:dyDescent="0.2">
      <c r="A1556" s="1">
        <v>42929</v>
      </c>
      <c r="B1556">
        <f>2861.76</f>
        <v>2861.76</v>
      </c>
      <c r="C1556">
        <f>9259.56</f>
        <v>9259.56</v>
      </c>
      <c r="D1556">
        <f>6181.81</f>
        <v>6181.81</v>
      </c>
      <c r="E1556">
        <f>2244.117</f>
        <v>2244.1170000000002</v>
      </c>
      <c r="F1556">
        <f>1931.77</f>
        <v>1931.77</v>
      </c>
      <c r="G1556">
        <f>8073.724</f>
        <v>8073.7240000000002</v>
      </c>
      <c r="H1556">
        <f>3149.26</f>
        <v>3149.26</v>
      </c>
      <c r="I1556">
        <f>9923.631</f>
        <v>9923.6309999999994</v>
      </c>
      <c r="J1556">
        <f>3524.9</f>
        <v>3524.9</v>
      </c>
      <c r="K1556">
        <f>9821.35</f>
        <v>9821.35</v>
      </c>
      <c r="L1556">
        <f>1873.8</f>
        <v>1873.8</v>
      </c>
      <c r="M1556">
        <f>7722.96</f>
        <v>7722.96</v>
      </c>
      <c r="N1556">
        <f>315.874</f>
        <v>315.87400000000002</v>
      </c>
      <c r="O1556">
        <f>2871.46</f>
        <v>2871.46</v>
      </c>
      <c r="P1556">
        <f>245.62</f>
        <v>245.62</v>
      </c>
      <c r="Q1556">
        <f>2196.291</f>
        <v>2196.2910000000002</v>
      </c>
      <c r="R1556">
        <f>4729.25</f>
        <v>4729.25</v>
      </c>
      <c r="S1556">
        <f>2334.45</f>
        <v>2334.4499999999998</v>
      </c>
      <c r="T1556">
        <f>3862.661</f>
        <v>3862.6610000000001</v>
      </c>
      <c r="U1556">
        <f>53300.96</f>
        <v>53300.959999999999</v>
      </c>
      <c r="V1556">
        <f>338.55</f>
        <v>338.55</v>
      </c>
    </row>
    <row r="1557" spans="1:22" x14ac:dyDescent="0.2">
      <c r="A1557" s="1">
        <v>42928</v>
      </c>
      <c r="B1557">
        <f>2844.88</f>
        <v>2844.88</v>
      </c>
      <c r="C1557">
        <f>9161.54</f>
        <v>9161.5400000000009</v>
      </c>
      <c r="D1557">
        <f>6184.71</f>
        <v>6184.71</v>
      </c>
      <c r="E1557">
        <f>2219.296</f>
        <v>2219.2959999999998</v>
      </c>
      <c r="F1557">
        <f>1915.53</f>
        <v>1915.53</v>
      </c>
      <c r="G1557">
        <f>8046.945</f>
        <v>8046.9449999999997</v>
      </c>
      <c r="H1557">
        <f>3169.54</f>
        <v>3169.54</v>
      </c>
      <c r="I1557">
        <f>9913.262</f>
        <v>9913.2620000000006</v>
      </c>
      <c r="J1557">
        <f>3524.47</f>
        <v>3524.47</v>
      </c>
      <c r="K1557">
        <f>9802.87</f>
        <v>9802.8700000000008</v>
      </c>
      <c r="L1557">
        <f>1872.81</f>
        <v>1872.81</v>
      </c>
      <c r="M1557">
        <f>7706.54</f>
        <v>7706.54</v>
      </c>
      <c r="N1557">
        <f>314.967</f>
        <v>314.96699999999998</v>
      </c>
      <c r="O1557">
        <f>2863.06</f>
        <v>2863.06</v>
      </c>
      <c r="P1557">
        <f>246.09</f>
        <v>246.09</v>
      </c>
      <c r="Q1557">
        <f>2192.807</f>
        <v>2192.8069999999998</v>
      </c>
      <c r="R1557">
        <f>4720.28</f>
        <v>4720.28</v>
      </c>
      <c r="S1557">
        <f>2334.78</f>
        <v>2334.7800000000002</v>
      </c>
      <c r="T1557">
        <f>3831.279</f>
        <v>3831.279</v>
      </c>
      <c r="U1557">
        <f>52905.98</f>
        <v>52905.98</v>
      </c>
      <c r="V1557">
        <f>336.61</f>
        <v>336.61</v>
      </c>
    </row>
    <row r="1558" spans="1:22" x14ac:dyDescent="0.2">
      <c r="A1558" s="1">
        <v>42927</v>
      </c>
      <c r="B1558">
        <f>2844.51</f>
        <v>2844.51</v>
      </c>
      <c r="C1558">
        <f>9026.85</f>
        <v>9026.85</v>
      </c>
      <c r="D1558">
        <f>6112.02</f>
        <v>6112.02</v>
      </c>
      <c r="E1558">
        <f>2193.517</f>
        <v>2193.5169999999998</v>
      </c>
      <c r="F1558">
        <f>1902.53</f>
        <v>1902.53</v>
      </c>
      <c r="G1558">
        <f>7922.428</f>
        <v>7922.4279999999999</v>
      </c>
      <c r="H1558">
        <f>3138.77</f>
        <v>3138.77</v>
      </c>
      <c r="I1558">
        <f>9760.574</f>
        <v>9760.5740000000005</v>
      </c>
      <c r="J1558">
        <f>3503.57</f>
        <v>3503.57</v>
      </c>
      <c r="K1558">
        <f>9731.97</f>
        <v>9731.9699999999993</v>
      </c>
      <c r="L1558">
        <f>1854.68</f>
        <v>1854.68</v>
      </c>
      <c r="M1558">
        <f>7637.6</f>
        <v>7637.6</v>
      </c>
      <c r="N1558">
        <f>309.563</f>
        <v>309.56299999999999</v>
      </c>
      <c r="O1558">
        <f>2817.52</f>
        <v>2817.52</v>
      </c>
      <c r="P1558">
        <f>247.89</f>
        <v>247.89</v>
      </c>
      <c r="Q1558">
        <f>2180.454</f>
        <v>2180.4540000000002</v>
      </c>
      <c r="R1558">
        <f>4685.64</f>
        <v>4685.6400000000003</v>
      </c>
      <c r="S1558">
        <f>2346.03</f>
        <v>2346.0300000000002</v>
      </c>
      <c r="T1558">
        <f>3773.25</f>
        <v>3773.25</v>
      </c>
      <c r="U1558">
        <f>52376.38</f>
        <v>52376.38</v>
      </c>
      <c r="V1558">
        <f>332.49</f>
        <v>332.49</v>
      </c>
    </row>
    <row r="1559" spans="1:22" x14ac:dyDescent="0.2">
      <c r="A1559" s="1">
        <v>42926</v>
      </c>
      <c r="B1559">
        <f>2883.11</f>
        <v>2883.11</v>
      </c>
      <c r="C1559">
        <f>8952.58</f>
        <v>8952.58</v>
      </c>
      <c r="D1559">
        <f>6145.61</f>
        <v>6145.61</v>
      </c>
      <c r="E1559">
        <f>2173.742</f>
        <v>2173.7420000000002</v>
      </c>
      <c r="F1559">
        <f>1936.65</f>
        <v>1936.65</v>
      </c>
      <c r="G1559">
        <f>7978.591</f>
        <v>7978.5910000000003</v>
      </c>
      <c r="H1559">
        <f>3127.38</f>
        <v>3127.38</v>
      </c>
      <c r="I1559">
        <f>9784.868</f>
        <v>9784.8680000000004</v>
      </c>
      <c r="J1559">
        <f>3509.91</f>
        <v>3509.91</v>
      </c>
      <c r="K1559">
        <f>9737.25</f>
        <v>9737.25</v>
      </c>
      <c r="L1559">
        <f>1859.39</f>
        <v>1859.39</v>
      </c>
      <c r="M1559">
        <f>7643.26</f>
        <v>7643.26</v>
      </c>
      <c r="N1559">
        <f>313.171</f>
        <v>313.17099999999999</v>
      </c>
      <c r="O1559">
        <f>2837.11</f>
        <v>2837.11</v>
      </c>
      <c r="P1559">
        <f>246.88</f>
        <v>246.88</v>
      </c>
      <c r="Q1559">
        <f>2188.084</f>
        <v>2188.0839999999998</v>
      </c>
      <c r="R1559">
        <f>4689.25</f>
        <v>4689.25</v>
      </c>
      <c r="S1559">
        <f>2329.22</f>
        <v>2329.2199999999998</v>
      </c>
      <c r="T1559">
        <f>3795.29</f>
        <v>3795.29</v>
      </c>
      <c r="U1559">
        <f>52187.92</f>
        <v>52187.92</v>
      </c>
      <c r="V1559">
        <f>332.59</f>
        <v>332.59</v>
      </c>
    </row>
    <row r="1560" spans="1:22" x14ac:dyDescent="0.2">
      <c r="A1560" s="1">
        <v>42923</v>
      </c>
      <c r="B1560">
        <f>2916.92</f>
        <v>2916.92</v>
      </c>
      <c r="C1560">
        <f>8918.27</f>
        <v>8918.27</v>
      </c>
      <c r="D1560">
        <f>6129.67</f>
        <v>6129.67</v>
      </c>
      <c r="E1560">
        <f>2158.675</f>
        <v>2158.6750000000002</v>
      </c>
      <c r="F1560">
        <f>1938.24</f>
        <v>1938.24</v>
      </c>
      <c r="G1560">
        <f>7970.05</f>
        <v>7970.05</v>
      </c>
      <c r="H1560">
        <f>3121.1</f>
        <v>3121.1</v>
      </c>
      <c r="I1560">
        <f>9742.546</f>
        <v>9742.5460000000003</v>
      </c>
      <c r="J1560">
        <f>3515.25</f>
        <v>3515.25</v>
      </c>
      <c r="K1560">
        <f>9727.75</f>
        <v>9727.75</v>
      </c>
      <c r="L1560">
        <f>1856.5</f>
        <v>1856.5</v>
      </c>
      <c r="M1560">
        <f>7627.6</f>
        <v>7627.6</v>
      </c>
      <c r="N1560">
        <f>312.564</f>
        <v>312.56400000000002</v>
      </c>
      <c r="O1560">
        <f>2825.05</f>
        <v>2825.05</v>
      </c>
      <c r="P1560">
        <f>245.87</f>
        <v>245.87</v>
      </c>
      <c r="Q1560">
        <f>2197.046</f>
        <v>2197.0459999999998</v>
      </c>
      <c r="R1560">
        <f>4684.88</f>
        <v>4684.88</v>
      </c>
      <c r="S1560">
        <f>2317.08</f>
        <v>2317.08</v>
      </c>
      <c r="T1560">
        <f>3792.108</f>
        <v>3792.1080000000002</v>
      </c>
      <c r="U1560">
        <f>51900.26</f>
        <v>51900.26</v>
      </c>
      <c r="V1560">
        <f>331.81</f>
        <v>331.81</v>
      </c>
    </row>
    <row r="1561" spans="1:22" x14ac:dyDescent="0.2">
      <c r="A1561" s="1">
        <v>42922</v>
      </c>
      <c r="B1561">
        <f>2912.03</f>
        <v>2912.03</v>
      </c>
      <c r="C1561">
        <f>8974.58</f>
        <v>8974.58</v>
      </c>
      <c r="D1561">
        <f>6118.3</f>
        <v>6118.3</v>
      </c>
      <c r="E1561">
        <f>2166.129</f>
        <v>2166.1289999999999</v>
      </c>
      <c r="F1561">
        <f>1949.55</f>
        <v>1949.55</v>
      </c>
      <c r="G1561">
        <f>7999.046</f>
        <v>7999.0460000000003</v>
      </c>
      <c r="H1561">
        <f>3153</f>
        <v>3153</v>
      </c>
      <c r="I1561">
        <f>9756.121</f>
        <v>9756.1209999999992</v>
      </c>
      <c r="J1561">
        <f>3499.54</f>
        <v>3499.54</v>
      </c>
      <c r="K1561">
        <f>9664.7</f>
        <v>9664.7000000000007</v>
      </c>
      <c r="L1561">
        <f>1854.6</f>
        <v>1854.6</v>
      </c>
      <c r="M1561">
        <f>7610.89</f>
        <v>7610.89</v>
      </c>
      <c r="N1561">
        <f>313.454</f>
        <v>313.45400000000001</v>
      </c>
      <c r="O1561">
        <f>2828.65</f>
        <v>2828.65</v>
      </c>
      <c r="P1561">
        <f>247.82</f>
        <v>247.82</v>
      </c>
      <c r="Q1561">
        <f>2183.971</f>
        <v>2183.971</v>
      </c>
      <c r="R1561">
        <f>4655.02</f>
        <v>4655.0200000000004</v>
      </c>
      <c r="S1561">
        <f>2329.3</f>
        <v>2329.3000000000002</v>
      </c>
      <c r="T1561">
        <f>3821.95</f>
        <v>3821.95</v>
      </c>
      <c r="U1561">
        <f>52285.08</f>
        <v>52285.08</v>
      </c>
      <c r="V1561">
        <f>335.83</f>
        <v>335.83</v>
      </c>
    </row>
    <row r="1562" spans="1:22" x14ac:dyDescent="0.2">
      <c r="A1562" s="1">
        <v>42921</v>
      </c>
      <c r="B1562">
        <f>2917.68</f>
        <v>2917.68</v>
      </c>
      <c r="C1562">
        <f>8997.51</f>
        <v>8997.51</v>
      </c>
      <c r="D1562">
        <f>6142.68</f>
        <v>6142.68</v>
      </c>
      <c r="E1562">
        <f>2171.975</f>
        <v>2171.9749999999999</v>
      </c>
      <c r="F1562">
        <f>1941.46</f>
        <v>1941.46</v>
      </c>
      <c r="G1562">
        <f>8014.545</f>
        <v>8014.5450000000001</v>
      </c>
      <c r="H1562">
        <f>3163.39</f>
        <v>3163.39</v>
      </c>
      <c r="I1562">
        <f>9747.683</f>
        <v>9747.6830000000009</v>
      </c>
      <c r="J1562">
        <f>3529.53</f>
        <v>3529.53</v>
      </c>
      <c r="K1562">
        <f>9755.31</f>
        <v>9755.31</v>
      </c>
      <c r="L1562">
        <f>1863.93</f>
        <v>1863.93</v>
      </c>
      <c r="M1562">
        <f>7654.12</f>
        <v>7654.12</v>
      </c>
      <c r="N1562">
        <f>317.35</f>
        <v>317.35000000000002</v>
      </c>
      <c r="O1562">
        <f>2846.29</f>
        <v>2846.29</v>
      </c>
      <c r="P1562">
        <f>248.05</f>
        <v>248.05</v>
      </c>
      <c r="Q1562">
        <f>2203.246</f>
        <v>2203.2460000000001</v>
      </c>
      <c r="R1562">
        <f>4697.34</f>
        <v>4697.34</v>
      </c>
      <c r="S1562">
        <f>2333.76</f>
        <v>2333.7600000000002</v>
      </c>
      <c r="T1562">
        <f>3807.998</f>
        <v>3807.998</v>
      </c>
      <c r="U1562">
        <f>52483.9</f>
        <v>52483.9</v>
      </c>
      <c r="V1562">
        <f>335.33</f>
        <v>335.33</v>
      </c>
    </row>
    <row r="1563" spans="1:22" x14ac:dyDescent="0.2">
      <c r="A1563" s="1">
        <v>42920</v>
      </c>
      <c r="B1563">
        <f>2904.29</f>
        <v>2904.29</v>
      </c>
      <c r="C1563">
        <f>8995.27</f>
        <v>8995.27</v>
      </c>
      <c r="D1563">
        <f>6134.04</f>
        <v>6134.04</v>
      </c>
      <c r="E1563">
        <f>2164.734</f>
        <v>2164.7339999999999</v>
      </c>
      <c r="F1563">
        <f>1927.51</f>
        <v>1927.51</v>
      </c>
      <c r="G1563">
        <f>8004.324</f>
        <v>8004.3239999999996</v>
      </c>
      <c r="H1563">
        <f>3139.19</f>
        <v>3139.19</v>
      </c>
      <c r="I1563">
        <f>9756.581</f>
        <v>9756.5810000000001</v>
      </c>
      <c r="J1563">
        <f>3526.91</f>
        <v>3526.91</v>
      </c>
      <c r="K1563">
        <f>9741.92</f>
        <v>9741.92</v>
      </c>
      <c r="L1563">
        <f>1864.34</f>
        <v>1864.34</v>
      </c>
      <c r="M1563">
        <f>7647.43</f>
        <v>7647.43</v>
      </c>
      <c r="N1563">
        <f>316.123</f>
        <v>316.12299999999999</v>
      </c>
      <c r="O1563">
        <f>2841.81</f>
        <v>2841.81</v>
      </c>
      <c r="P1563">
        <f>247.18</f>
        <v>247.18</v>
      </c>
      <c r="Q1563" t="e">
        <f>NA()</f>
        <v>#N/A</v>
      </c>
      <c r="R1563" t="e">
        <f>NA()</f>
        <v>#N/A</v>
      </c>
      <c r="S1563">
        <f>2320.89</f>
        <v>2320.89</v>
      </c>
      <c r="T1563">
        <f>3813.875</f>
        <v>3813.875</v>
      </c>
      <c r="U1563">
        <f>52049.25</f>
        <v>52049.25</v>
      </c>
      <c r="V1563">
        <f>334.64</f>
        <v>334.64</v>
      </c>
    </row>
    <row r="1564" spans="1:22" x14ac:dyDescent="0.2">
      <c r="A1564" s="1">
        <v>42919</v>
      </c>
      <c r="B1564">
        <f>2907.43</f>
        <v>2907.43</v>
      </c>
      <c r="C1564">
        <f>9051.01</f>
        <v>9051.01</v>
      </c>
      <c r="D1564">
        <f>6150.6</f>
        <v>6150.6</v>
      </c>
      <c r="E1564">
        <f>2180.635</f>
        <v>2180.6350000000002</v>
      </c>
      <c r="F1564">
        <f>1932.91</f>
        <v>1932.91</v>
      </c>
      <c r="G1564">
        <f>8031.118</f>
        <v>8031.1180000000004</v>
      </c>
      <c r="H1564">
        <f>3123.06</f>
        <v>3123.06</v>
      </c>
      <c r="I1564">
        <f>9804.383</f>
        <v>9804.3829999999998</v>
      </c>
      <c r="J1564">
        <f>3526.91</f>
        <v>3526.91</v>
      </c>
      <c r="K1564">
        <f>9741.92</f>
        <v>9741.92</v>
      </c>
      <c r="L1564">
        <f>1867.58</f>
        <v>1867.58</v>
      </c>
      <c r="M1564">
        <f>7654.04</f>
        <v>7654.04</v>
      </c>
      <c r="N1564">
        <f>317.222</f>
        <v>317.22199999999998</v>
      </c>
      <c r="O1564">
        <f>2852.11</f>
        <v>2852.11</v>
      </c>
      <c r="P1564">
        <f>248.19</f>
        <v>248.19</v>
      </c>
      <c r="Q1564">
        <f>2206.52</f>
        <v>2206.52</v>
      </c>
      <c r="R1564">
        <f>4689.61</f>
        <v>4689.6099999999997</v>
      </c>
      <c r="S1564">
        <f>2327.68</f>
        <v>2327.6799999999998</v>
      </c>
      <c r="T1564">
        <f>3808.79</f>
        <v>3808.79</v>
      </c>
      <c r="U1564">
        <f>52163.8</f>
        <v>52163.8</v>
      </c>
      <c r="V1564">
        <f>332.39</f>
        <v>332.39</v>
      </c>
    </row>
    <row r="1565" spans="1:22" x14ac:dyDescent="0.2">
      <c r="A1565" s="1">
        <v>42916</v>
      </c>
      <c r="B1565">
        <f>2903.15</f>
        <v>2903.15</v>
      </c>
      <c r="C1565">
        <f>9002.45</f>
        <v>9002.4500000000007</v>
      </c>
      <c r="D1565">
        <f>6096.92</f>
        <v>6096.92</v>
      </c>
      <c r="E1565">
        <f>2171.195</f>
        <v>2171.1950000000002</v>
      </c>
      <c r="F1565">
        <f>1931.63</f>
        <v>1931.63</v>
      </c>
      <c r="G1565">
        <f>7993.433</f>
        <v>7993.433</v>
      </c>
      <c r="H1565">
        <f>3143.87</f>
        <v>3143.87</v>
      </c>
      <c r="I1565">
        <f>9717.821</f>
        <v>9717.8209999999999</v>
      </c>
      <c r="J1565">
        <f>3518.06</f>
        <v>3518.06</v>
      </c>
      <c r="K1565">
        <f>9719.6</f>
        <v>9719.6</v>
      </c>
      <c r="L1565">
        <f>1861.85</f>
        <v>1861.85</v>
      </c>
      <c r="M1565">
        <f>7637.02</f>
        <v>7637.02</v>
      </c>
      <c r="N1565">
        <f>316.994</f>
        <v>316.99400000000003</v>
      </c>
      <c r="O1565">
        <f>2818.12</f>
        <v>2818.12</v>
      </c>
      <c r="P1565">
        <f>248.25</f>
        <v>248.25</v>
      </c>
      <c r="Q1565">
        <f>2195.879</f>
        <v>2195.8789999999999</v>
      </c>
      <c r="R1565">
        <f>4678.36</f>
        <v>4678.3599999999997</v>
      </c>
      <c r="S1565">
        <f>2324.06</f>
        <v>2324.06</v>
      </c>
      <c r="T1565">
        <f>3790.811</f>
        <v>3790.8110000000001</v>
      </c>
      <c r="U1565">
        <f>51611.01</f>
        <v>51611.01</v>
      </c>
      <c r="V1565">
        <f>330.05</f>
        <v>330.05</v>
      </c>
    </row>
    <row r="1566" spans="1:22" x14ac:dyDescent="0.2">
      <c r="A1566" s="1">
        <v>42915</v>
      </c>
      <c r="B1566">
        <f>2909.25</f>
        <v>2909.25</v>
      </c>
      <c r="C1566">
        <f>9028.44</f>
        <v>9028.44</v>
      </c>
      <c r="D1566">
        <f>6128.27</f>
        <v>6128.27</v>
      </c>
      <c r="E1566">
        <f>2177.943</f>
        <v>2177.9430000000002</v>
      </c>
      <c r="F1566">
        <f>1936.79</f>
        <v>1936.79</v>
      </c>
      <c r="G1566">
        <f>8039.247</f>
        <v>8039.2470000000003</v>
      </c>
      <c r="H1566">
        <f>3151.64</f>
        <v>3151.64</v>
      </c>
      <c r="I1566">
        <f>9774.278</f>
        <v>9774.2780000000002</v>
      </c>
      <c r="J1566">
        <f>3512.72</f>
        <v>3512.72</v>
      </c>
      <c r="K1566">
        <f>9703.97</f>
        <v>9703.9699999999993</v>
      </c>
      <c r="L1566">
        <f>1865.93</f>
        <v>1865.93</v>
      </c>
      <c r="M1566">
        <f>7649.35</f>
        <v>7649.35</v>
      </c>
      <c r="N1566">
        <f>317.898</f>
        <v>317.89800000000002</v>
      </c>
      <c r="O1566">
        <f>2830.38</f>
        <v>2830.38</v>
      </c>
      <c r="P1566">
        <f>249.79</f>
        <v>249.79</v>
      </c>
      <c r="Q1566">
        <f>2185.861</f>
        <v>2185.8609999999999</v>
      </c>
      <c r="R1566">
        <f>4670.96</f>
        <v>4670.96</v>
      </c>
      <c r="S1566">
        <f>2341.61</f>
        <v>2341.61</v>
      </c>
      <c r="T1566">
        <f>3780.029</f>
        <v>3780.029</v>
      </c>
      <c r="U1566">
        <f>51355.97</f>
        <v>51355.97</v>
      </c>
      <c r="V1566">
        <f>328.72</f>
        <v>328.72</v>
      </c>
    </row>
    <row r="1567" spans="1:22" x14ac:dyDescent="0.2">
      <c r="A1567" s="1">
        <v>42914</v>
      </c>
      <c r="B1567">
        <f>2930.96</f>
        <v>2930.96</v>
      </c>
      <c r="C1567">
        <f>8993.98</f>
        <v>8993.98</v>
      </c>
      <c r="D1567">
        <f>6157.6</f>
        <v>6157.6</v>
      </c>
      <c r="E1567">
        <f>2172.988</f>
        <v>2172.9879999999998</v>
      </c>
      <c r="F1567">
        <f>1940.58</f>
        <v>1940.58</v>
      </c>
      <c r="G1567">
        <f>8039.883</f>
        <v>8039.8829999999998</v>
      </c>
      <c r="H1567">
        <f>3146.56</f>
        <v>3146.56</v>
      </c>
      <c r="I1567">
        <f>9878.913</f>
        <v>9878.9130000000005</v>
      </c>
      <c r="J1567">
        <f>3551.51</f>
        <v>3551.51</v>
      </c>
      <c r="K1567">
        <f>9788.21</f>
        <v>9788.2099999999991</v>
      </c>
      <c r="L1567">
        <f>1881.87</f>
        <v>1881.87</v>
      </c>
      <c r="M1567">
        <f>7696.74</f>
        <v>7696.74</v>
      </c>
      <c r="N1567">
        <f>323.274</f>
        <v>323.274</v>
      </c>
      <c r="O1567">
        <f>2868.03</f>
        <v>2868.03</v>
      </c>
      <c r="P1567">
        <f>248.01</f>
        <v>248.01</v>
      </c>
      <c r="Q1567">
        <f>2206.234</f>
        <v>2206.2339999999999</v>
      </c>
      <c r="R1567">
        <f>4711.33</f>
        <v>4711.33</v>
      </c>
      <c r="S1567">
        <f>2327.62</f>
        <v>2327.62</v>
      </c>
      <c r="T1567">
        <f>3787.478</f>
        <v>3787.4780000000001</v>
      </c>
      <c r="U1567">
        <f>51596.84</f>
        <v>51596.84</v>
      </c>
      <c r="V1567">
        <f>328.73</f>
        <v>328.73</v>
      </c>
    </row>
    <row r="1568" spans="1:22" x14ac:dyDescent="0.2">
      <c r="A1568" s="1">
        <v>42913</v>
      </c>
      <c r="B1568">
        <f>2930.95</f>
        <v>2930.95</v>
      </c>
      <c r="C1568">
        <f>9039.64</f>
        <v>9039.64</v>
      </c>
      <c r="D1568">
        <f>6196.4</f>
        <v>6196.4</v>
      </c>
      <c r="E1568">
        <f>2182.471</f>
        <v>2182.471</v>
      </c>
      <c r="F1568">
        <f>1919.79</f>
        <v>1919.79</v>
      </c>
      <c r="G1568">
        <f>7989.074</f>
        <v>7989.0739999999996</v>
      </c>
      <c r="H1568">
        <f>3139.08</f>
        <v>3139.08</v>
      </c>
      <c r="I1568">
        <f>9816.455</f>
        <v>9816.4549999999999</v>
      </c>
      <c r="J1568">
        <f>3534.53</f>
        <v>3534.53</v>
      </c>
      <c r="K1568">
        <f>9699.89</f>
        <v>9699.89</v>
      </c>
      <c r="L1568">
        <f>1871.94</f>
        <v>1871.94</v>
      </c>
      <c r="M1568">
        <f>7638.19</f>
        <v>7638.19</v>
      </c>
      <c r="N1568">
        <f>324.064</f>
        <v>324.06400000000002</v>
      </c>
      <c r="O1568">
        <f>2867.55</f>
        <v>2867.55</v>
      </c>
      <c r="P1568">
        <f>248.66</f>
        <v>248.66</v>
      </c>
      <c r="Q1568">
        <f>2193.547</f>
        <v>2193.547</v>
      </c>
      <c r="R1568">
        <f>4669.27</f>
        <v>4669.2700000000004</v>
      </c>
      <c r="S1568">
        <f>2331.74</f>
        <v>2331.7399999999998</v>
      </c>
      <c r="T1568">
        <f>3771.971</f>
        <v>3771.971</v>
      </c>
      <c r="U1568">
        <f>51432.24</f>
        <v>51432.24</v>
      </c>
      <c r="V1568">
        <f>328.74</f>
        <v>328.74</v>
      </c>
    </row>
    <row r="1569" spans="1:22" x14ac:dyDescent="0.2">
      <c r="A1569" s="1">
        <v>42912</v>
      </c>
      <c r="B1569">
        <f>2955.71</f>
        <v>2955.71</v>
      </c>
      <c r="C1569">
        <f>9050.13</f>
        <v>9050.1299999999992</v>
      </c>
      <c r="D1569">
        <f>6206.77</f>
        <v>6206.77</v>
      </c>
      <c r="E1569">
        <f>2187.543</f>
        <v>2187.5430000000001</v>
      </c>
      <c r="F1569">
        <f>1931.95</f>
        <v>1931.95</v>
      </c>
      <c r="G1569">
        <f>7977.842</f>
        <v>7977.8419999999996</v>
      </c>
      <c r="H1569">
        <f>3142.57</f>
        <v>3142.57</v>
      </c>
      <c r="I1569">
        <f>9820.302</f>
        <v>9820.3019999999997</v>
      </c>
      <c r="J1569">
        <f>3565.46</f>
        <v>3565.46</v>
      </c>
      <c r="K1569">
        <f>9780.65</f>
        <v>9780.65</v>
      </c>
      <c r="L1569">
        <f>1880.62</f>
        <v>1880.62</v>
      </c>
      <c r="M1569">
        <f>7677.43</f>
        <v>7677.43</v>
      </c>
      <c r="N1569">
        <f>329.043</f>
        <v>329.04300000000001</v>
      </c>
      <c r="O1569">
        <f>2890.69</f>
        <v>2890.69</v>
      </c>
      <c r="P1569">
        <f>247.89</f>
        <v>247.89</v>
      </c>
      <c r="Q1569">
        <f>2208.227</f>
        <v>2208.2269999999999</v>
      </c>
      <c r="R1569">
        <f>4707.27</f>
        <v>4707.2700000000004</v>
      </c>
      <c r="S1569">
        <f>2321.93</f>
        <v>2321.9299999999998</v>
      </c>
      <c r="T1569">
        <f>3798.298</f>
        <v>3798.2979999999998</v>
      </c>
      <c r="U1569">
        <f>51288.71</f>
        <v>51288.71</v>
      </c>
      <c r="V1569">
        <f>327.97</f>
        <v>327.97</v>
      </c>
    </row>
    <row r="1570" spans="1:22" x14ac:dyDescent="0.2">
      <c r="A1570" s="1">
        <v>42909</v>
      </c>
      <c r="B1570">
        <f>2952.97</f>
        <v>2952.97</v>
      </c>
      <c r="C1570">
        <f>8923.98</f>
        <v>8923.98</v>
      </c>
      <c r="D1570">
        <f>6187.88</f>
        <v>6187.88</v>
      </c>
      <c r="E1570">
        <f>2168.228</f>
        <v>2168.2280000000001</v>
      </c>
      <c r="F1570">
        <f>1927.85</f>
        <v>1927.85</v>
      </c>
      <c r="G1570">
        <f>7953.424</f>
        <v>7953.424</v>
      </c>
      <c r="H1570">
        <f>3148.02</f>
        <v>3148.02</v>
      </c>
      <c r="I1570">
        <f>9775.573</f>
        <v>9775.5730000000003</v>
      </c>
      <c r="J1570">
        <f>3560.92</f>
        <v>3560.92</v>
      </c>
      <c r="K1570">
        <f>9777.35</f>
        <v>9777.35</v>
      </c>
      <c r="L1570">
        <f>1874.95</f>
        <v>1874.95</v>
      </c>
      <c r="M1570">
        <f>7667.42</f>
        <v>7667.42</v>
      </c>
      <c r="N1570">
        <f>327.557</f>
        <v>327.55700000000002</v>
      </c>
      <c r="O1570">
        <f>2877.96</f>
        <v>2877.96</v>
      </c>
      <c r="P1570">
        <f>247.31</f>
        <v>247.31</v>
      </c>
      <c r="Q1570">
        <f>2203.645</f>
        <v>2203.645</v>
      </c>
      <c r="R1570">
        <f>4705.73</f>
        <v>4705.7299999999996</v>
      </c>
      <c r="S1570">
        <f>2320.68</f>
        <v>2320.6799999999998</v>
      </c>
      <c r="T1570">
        <f>3795.682</f>
        <v>3795.6819999999998</v>
      </c>
      <c r="U1570">
        <f>51503.52</f>
        <v>51503.519999999997</v>
      </c>
      <c r="V1570">
        <f>327.29</f>
        <v>327.29000000000002</v>
      </c>
    </row>
    <row r="1571" spans="1:22" x14ac:dyDescent="0.2">
      <c r="A1571" s="1">
        <v>42908</v>
      </c>
      <c r="B1571">
        <f>2947.1</f>
        <v>2947.1</v>
      </c>
      <c r="C1571">
        <f>8900.77</f>
        <v>8900.77</v>
      </c>
      <c r="D1571">
        <f>6200.51</f>
        <v>6200.51</v>
      </c>
      <c r="E1571">
        <f>2162.052</f>
        <v>2162.0520000000001</v>
      </c>
      <c r="F1571">
        <f>1911.65</f>
        <v>1911.65</v>
      </c>
      <c r="G1571">
        <f>7920.472</f>
        <v>7920.4719999999998</v>
      </c>
      <c r="H1571">
        <f>3143.41</f>
        <v>3143.41</v>
      </c>
      <c r="I1571">
        <f>9771.708</f>
        <v>9771.7080000000005</v>
      </c>
      <c r="J1571">
        <f>3553.53</f>
        <v>3553.53</v>
      </c>
      <c r="K1571">
        <f>9760.12</f>
        <v>9760.1200000000008</v>
      </c>
      <c r="L1571">
        <f>1871.84</f>
        <v>1871.84</v>
      </c>
      <c r="M1571">
        <f>7653.53</f>
        <v>7653.53</v>
      </c>
      <c r="N1571">
        <f>328.485</f>
        <v>328.48500000000001</v>
      </c>
      <c r="O1571">
        <f>2885.91</f>
        <v>2885.91</v>
      </c>
      <c r="P1571">
        <f>246.81</f>
        <v>246.81</v>
      </c>
      <c r="Q1571">
        <f>2200.306</f>
        <v>2200.306</v>
      </c>
      <c r="R1571">
        <f>4698.4</f>
        <v>4698.3999999999996</v>
      </c>
      <c r="S1571">
        <f>2319.3</f>
        <v>2319.3000000000002</v>
      </c>
      <c r="T1571">
        <f>3770.399</f>
        <v>3770.3989999999999</v>
      </c>
      <c r="U1571">
        <f>51072.86</f>
        <v>51072.86</v>
      </c>
      <c r="V1571">
        <f>324.4</f>
        <v>324.39999999999998</v>
      </c>
    </row>
    <row r="1572" spans="1:22" x14ac:dyDescent="0.2">
      <c r="A1572" s="1">
        <v>42907</v>
      </c>
      <c r="B1572">
        <f>2947.85</f>
        <v>2947.85</v>
      </c>
      <c r="C1572">
        <f>8870.33</f>
        <v>8870.33</v>
      </c>
      <c r="D1572">
        <f>6205.97</f>
        <v>6205.97</v>
      </c>
      <c r="E1572">
        <f>2154.858</f>
        <v>2154.8580000000002</v>
      </c>
      <c r="F1572">
        <f>1911.04</f>
        <v>1911.04</v>
      </c>
      <c r="G1572">
        <f>7928.239</f>
        <v>7928.2389999999996</v>
      </c>
      <c r="H1572">
        <f>3146.78</f>
        <v>3146.78</v>
      </c>
      <c r="I1572">
        <f>9749.531</f>
        <v>9749.5310000000009</v>
      </c>
      <c r="J1572">
        <f>3552.97</f>
        <v>3552.97</v>
      </c>
      <c r="K1572">
        <f>9762.76</f>
        <v>9762.76</v>
      </c>
      <c r="L1572">
        <f>1867.21</f>
        <v>1867.21</v>
      </c>
      <c r="M1572">
        <f>7647.17</f>
        <v>7647.17</v>
      </c>
      <c r="N1572">
        <f>328.503</f>
        <v>328.50299999999999</v>
      </c>
      <c r="O1572">
        <f>2884.87</f>
        <v>2884.87</v>
      </c>
      <c r="P1572">
        <f>246.87</f>
        <v>246.87</v>
      </c>
      <c r="Q1572">
        <f>2200.449</f>
        <v>2200.4490000000001</v>
      </c>
      <c r="R1572">
        <f>4700.5</f>
        <v>4700.5</v>
      </c>
      <c r="S1572">
        <f>2321</f>
        <v>2321</v>
      </c>
      <c r="T1572">
        <f>3810.906</f>
        <v>3810.9059999999999</v>
      </c>
      <c r="U1572">
        <f>51402.69</f>
        <v>51402.69</v>
      </c>
      <c r="V1572">
        <f>327.47</f>
        <v>327.47000000000003</v>
      </c>
    </row>
    <row r="1573" spans="1:22" x14ac:dyDescent="0.2">
      <c r="A1573" s="1">
        <v>42906</v>
      </c>
      <c r="B1573">
        <f>2962.26</f>
        <v>2962.26</v>
      </c>
      <c r="C1573">
        <f>8900.44</f>
        <v>8900.44</v>
      </c>
      <c r="D1573">
        <f>6226.73</f>
        <v>6226.73</v>
      </c>
      <c r="E1573">
        <f>2159.429</f>
        <v>2159.4290000000001</v>
      </c>
      <c r="F1573">
        <f>1910.33</f>
        <v>1910.33</v>
      </c>
      <c r="G1573">
        <f>7926.022</f>
        <v>7926.0219999999999</v>
      </c>
      <c r="H1573">
        <f>3148.04</f>
        <v>3148.04</v>
      </c>
      <c r="I1573">
        <f>9756.736</f>
        <v>9756.7360000000008</v>
      </c>
      <c r="J1573">
        <f>3558.97</f>
        <v>3558.97</v>
      </c>
      <c r="K1573">
        <f>9766.56</f>
        <v>9766.56</v>
      </c>
      <c r="L1573">
        <f>1874.62</f>
        <v>1874.62</v>
      </c>
      <c r="M1573">
        <f>7656.67</f>
        <v>7656.67</v>
      </c>
      <c r="N1573">
        <f>328.667</f>
        <v>328.66699999999997</v>
      </c>
      <c r="O1573">
        <f>2890.71</f>
        <v>2890.71</v>
      </c>
      <c r="P1573">
        <f>248.12</f>
        <v>248.12</v>
      </c>
      <c r="Q1573">
        <f>2215.29</f>
        <v>2215.29</v>
      </c>
      <c r="R1573">
        <f>4702.82</f>
        <v>4702.82</v>
      </c>
      <c r="S1573">
        <f>2329.19</f>
        <v>2329.19</v>
      </c>
      <c r="T1573">
        <f>3794.491</f>
        <v>3794.491</v>
      </c>
      <c r="U1573">
        <f>51160.57</f>
        <v>51160.57</v>
      </c>
      <c r="V1573">
        <f>325.81</f>
        <v>325.81</v>
      </c>
    </row>
    <row r="1574" spans="1:22" x14ac:dyDescent="0.2">
      <c r="A1574" s="1">
        <v>42905</v>
      </c>
      <c r="B1574">
        <f>2982.23</f>
        <v>2982.23</v>
      </c>
      <c r="C1574">
        <f>8938.68</f>
        <v>8938.68</v>
      </c>
      <c r="D1574">
        <f>6269.31</f>
        <v>6269.31</v>
      </c>
      <c r="E1574">
        <f>2168.208</f>
        <v>2168.2080000000001</v>
      </c>
      <c r="F1574">
        <f>1933.9</f>
        <v>1933.9</v>
      </c>
      <c r="G1574">
        <f>8073.296</f>
        <v>8073.2960000000003</v>
      </c>
      <c r="H1574">
        <f>3143.72</f>
        <v>3143.72</v>
      </c>
      <c r="I1574">
        <f>9836.298</f>
        <v>9836.2980000000007</v>
      </c>
      <c r="J1574">
        <f>3573.68</f>
        <v>3573.68</v>
      </c>
      <c r="K1574">
        <f>9832.5</f>
        <v>9832.5</v>
      </c>
      <c r="L1574">
        <f>1884.6</f>
        <v>1884.6</v>
      </c>
      <c r="M1574">
        <f>7712.17</f>
        <v>7712.17</v>
      </c>
      <c r="N1574">
        <f>330.016</f>
        <v>330.01600000000002</v>
      </c>
      <c r="O1574">
        <f>2910.28</f>
        <v>2910.28</v>
      </c>
      <c r="P1574">
        <f>247.24</f>
        <v>247.24</v>
      </c>
      <c r="Q1574">
        <f>2230.174</f>
        <v>2230.174</v>
      </c>
      <c r="R1574">
        <f>4734.48</f>
        <v>4734.4799999999996</v>
      </c>
      <c r="S1574">
        <f>2313.1</f>
        <v>2313.1</v>
      </c>
      <c r="T1574">
        <f>3812.946</f>
        <v>3812.9459999999999</v>
      </c>
      <c r="U1574">
        <f>51615.9</f>
        <v>51615.9</v>
      </c>
      <c r="V1574">
        <f>328.74</f>
        <v>328.74</v>
      </c>
    </row>
    <row r="1575" spans="1:22" x14ac:dyDescent="0.2">
      <c r="A1575" s="1">
        <v>42902</v>
      </c>
      <c r="B1575">
        <f>2962.9</f>
        <v>2962.9</v>
      </c>
      <c r="C1575">
        <f>8868.43</f>
        <v>8868.43</v>
      </c>
      <c r="D1575">
        <f>6219.09</f>
        <v>6219.09</v>
      </c>
      <c r="E1575">
        <f>2147.012</f>
        <v>2147.0120000000002</v>
      </c>
      <c r="F1575">
        <f>1930</f>
        <v>1930</v>
      </c>
      <c r="G1575">
        <f>8037.788</f>
        <v>8037.7879999999996</v>
      </c>
      <c r="H1575">
        <f>3153.6</f>
        <v>3153.6</v>
      </c>
      <c r="I1575">
        <f>9770.682</f>
        <v>9770.6820000000007</v>
      </c>
      <c r="J1575">
        <f>3554.17</f>
        <v>3554.17</v>
      </c>
      <c r="K1575">
        <f>9752.2</f>
        <v>9752.2000000000007</v>
      </c>
      <c r="L1575">
        <f>1874.97</f>
        <v>1874.97</v>
      </c>
      <c r="M1575">
        <f>7659.02</f>
        <v>7659.02</v>
      </c>
      <c r="N1575">
        <f>328.044</f>
        <v>328.04399999999998</v>
      </c>
      <c r="O1575">
        <f>2883.46</f>
        <v>2883.46</v>
      </c>
      <c r="P1575">
        <f>245.22</f>
        <v>245.22</v>
      </c>
      <c r="Q1575">
        <f>2218.523</f>
        <v>2218.5230000000001</v>
      </c>
      <c r="R1575">
        <f>4695.23</f>
        <v>4695.2299999999996</v>
      </c>
      <c r="S1575">
        <f>2298.65</f>
        <v>2298.65</v>
      </c>
      <c r="T1575" t="e">
        <f>NA()</f>
        <v>#N/A</v>
      </c>
      <c r="U1575" t="e">
        <f>NA()</f>
        <v>#N/A</v>
      </c>
      <c r="V1575" t="e">
        <f>NA()</f>
        <v>#N/A</v>
      </c>
    </row>
    <row r="1576" spans="1:22" x14ac:dyDescent="0.2">
      <c r="A1576" s="1">
        <v>42901</v>
      </c>
      <c r="B1576">
        <f>2949.08</f>
        <v>2949.08</v>
      </c>
      <c r="C1576">
        <f>8850.87</f>
        <v>8850.8700000000008</v>
      </c>
      <c r="D1576">
        <f>6182.28</f>
        <v>6182.28</v>
      </c>
      <c r="E1576">
        <f>2148.034</f>
        <v>2148.0340000000001</v>
      </c>
      <c r="F1576">
        <f>1917.29</f>
        <v>1917.29</v>
      </c>
      <c r="G1576">
        <f>7963.773</f>
        <v>7963.7730000000001</v>
      </c>
      <c r="H1576">
        <f>3139</f>
        <v>3139</v>
      </c>
      <c r="I1576">
        <f>9659.495</f>
        <v>9659.4950000000008</v>
      </c>
      <c r="J1576">
        <f>3548.75</f>
        <v>3548.75</v>
      </c>
      <c r="K1576">
        <f>9749.82</f>
        <v>9749.82</v>
      </c>
      <c r="L1576">
        <f>1862.98</f>
        <v>1862.98</v>
      </c>
      <c r="M1576">
        <f>7632.19</f>
        <v>7632.19</v>
      </c>
      <c r="N1576">
        <f>325.843</f>
        <v>325.84300000000002</v>
      </c>
      <c r="O1576">
        <f>2866.86</f>
        <v>2866.86</v>
      </c>
      <c r="P1576">
        <f>244.2</f>
        <v>244.2</v>
      </c>
      <c r="Q1576">
        <f>2222.224</f>
        <v>2222.2240000000002</v>
      </c>
      <c r="R1576">
        <f>4693.86</f>
        <v>4693.8599999999997</v>
      </c>
      <c r="S1576">
        <f>2287.19</f>
        <v>2287.19</v>
      </c>
      <c r="T1576">
        <f>3783.781</f>
        <v>3783.7809999999999</v>
      </c>
      <c r="U1576">
        <f>50831.89</f>
        <v>50831.89</v>
      </c>
      <c r="V1576">
        <f>327.31</f>
        <v>327.31</v>
      </c>
    </row>
    <row r="1577" spans="1:22" x14ac:dyDescent="0.2">
      <c r="A1577" s="1">
        <v>42900</v>
      </c>
      <c r="B1577">
        <f>3006.77</f>
        <v>3006.77</v>
      </c>
      <c r="C1577">
        <f>8946.97</f>
        <v>8946.9699999999993</v>
      </c>
      <c r="D1577">
        <f>6226.07</f>
        <v>6226.07</v>
      </c>
      <c r="E1577">
        <f>2169.367</f>
        <v>2169.3670000000002</v>
      </c>
      <c r="F1577">
        <f>1948.94</f>
        <v>1948.94</v>
      </c>
      <c r="G1577">
        <f>8037.528</f>
        <v>8037.5280000000002</v>
      </c>
      <c r="H1577">
        <f>3199.24</f>
        <v>3199.24</v>
      </c>
      <c r="I1577">
        <f>9821.21</f>
        <v>9821.2099999999991</v>
      </c>
      <c r="J1577">
        <f>3546.37</f>
        <v>3546.37</v>
      </c>
      <c r="K1577">
        <f>9770.77</f>
        <v>9770.77</v>
      </c>
      <c r="L1577">
        <f>1872.57</f>
        <v>1872.57</v>
      </c>
      <c r="M1577">
        <f>7686.97</f>
        <v>7686.97</v>
      </c>
      <c r="N1577">
        <f>326.751</f>
        <v>326.75099999999998</v>
      </c>
      <c r="O1577">
        <f>2877.17</f>
        <v>2877.17</v>
      </c>
      <c r="P1577">
        <f>244.05</f>
        <v>244.05</v>
      </c>
      <c r="Q1577">
        <f>2223.154</f>
        <v>2223.154</v>
      </c>
      <c r="R1577">
        <f>4703.53</f>
        <v>4703.53</v>
      </c>
      <c r="S1577">
        <f>2292.48</f>
        <v>2292.48</v>
      </c>
      <c r="T1577">
        <f>3834.984</f>
        <v>3834.9839999999999</v>
      </c>
      <c r="U1577">
        <f>51489.16</f>
        <v>51489.16</v>
      </c>
      <c r="V1577">
        <f>333.04</f>
        <v>333.04</v>
      </c>
    </row>
    <row r="1578" spans="1:22" x14ac:dyDescent="0.2">
      <c r="A1578" s="1">
        <v>42899</v>
      </c>
      <c r="B1578">
        <f>2999.23</f>
        <v>2999.23</v>
      </c>
      <c r="C1578">
        <f>8914.82</f>
        <v>8914.82</v>
      </c>
      <c r="D1578">
        <f>6247.76</f>
        <v>6247.76</v>
      </c>
      <c r="E1578">
        <f>2160.905</f>
        <v>2160.9050000000002</v>
      </c>
      <c r="F1578">
        <f>1927.36</f>
        <v>1927.36</v>
      </c>
      <c r="G1578">
        <f>8030.889</f>
        <v>8030.8890000000001</v>
      </c>
      <c r="H1578">
        <f>3179.53</f>
        <v>3179.53</v>
      </c>
      <c r="I1578">
        <f>9781.589</f>
        <v>9781.5889999999999</v>
      </c>
      <c r="J1578">
        <f>3544.05</f>
        <v>3544.05</v>
      </c>
      <c r="K1578">
        <f>9780.51</f>
        <v>9780.51</v>
      </c>
      <c r="L1578">
        <f>1868.65</f>
        <v>1868.65</v>
      </c>
      <c r="M1578">
        <f>7679.28</f>
        <v>7679.28</v>
      </c>
      <c r="N1578">
        <f>326.318</f>
        <v>326.31799999999998</v>
      </c>
      <c r="O1578">
        <f>2887.01</f>
        <v>2887.01</v>
      </c>
      <c r="P1578">
        <f>243.73</f>
        <v>243.73</v>
      </c>
      <c r="Q1578">
        <f>2220.194</f>
        <v>2220.194</v>
      </c>
      <c r="R1578">
        <f>4707.88</f>
        <v>4707.88</v>
      </c>
      <c r="S1578">
        <f>2295</f>
        <v>2295</v>
      </c>
      <c r="T1578">
        <f>3826.057</f>
        <v>3826.0569999999998</v>
      </c>
      <c r="U1578">
        <f>51625.07</f>
        <v>51625.07</v>
      </c>
      <c r="V1578">
        <f>332.81</f>
        <v>332.81</v>
      </c>
    </row>
    <row r="1579" spans="1:22" x14ac:dyDescent="0.2">
      <c r="A1579" s="1">
        <v>42898</v>
      </c>
      <c r="B1579">
        <f>2980.01</f>
        <v>2980.01</v>
      </c>
      <c r="C1579">
        <f>8904.67</f>
        <v>8904.67</v>
      </c>
      <c r="D1579">
        <f>6257.28</f>
        <v>6257.28</v>
      </c>
      <c r="E1579">
        <f>2158.101</f>
        <v>2158.1010000000001</v>
      </c>
      <c r="F1579">
        <f>1911.73</f>
        <v>1911.73</v>
      </c>
      <c r="G1579">
        <f>8005.765</f>
        <v>8005.7650000000003</v>
      </c>
      <c r="H1579">
        <f>3182.99</f>
        <v>3182.99</v>
      </c>
      <c r="I1579">
        <f>9719.692</f>
        <v>9719.6919999999991</v>
      </c>
      <c r="J1579">
        <f>3536.63</f>
        <v>3536.63</v>
      </c>
      <c r="K1579">
        <f>9731.55</f>
        <v>9731.5499999999993</v>
      </c>
      <c r="L1579">
        <f>1862.76</f>
        <v>1862.76</v>
      </c>
      <c r="M1579">
        <f>7638.01</f>
        <v>7638.01</v>
      </c>
      <c r="N1579">
        <f>322.967</f>
        <v>322.96699999999998</v>
      </c>
      <c r="O1579">
        <f>2870.28</f>
        <v>2870.28</v>
      </c>
      <c r="P1579">
        <f>243.04</f>
        <v>243.04</v>
      </c>
      <c r="Q1579">
        <f>2212.365</f>
        <v>2212.3649999999998</v>
      </c>
      <c r="R1579">
        <f>4685.54</f>
        <v>4685.54</v>
      </c>
      <c r="S1579">
        <f>2292.18</f>
        <v>2292.1799999999998</v>
      </c>
      <c r="T1579">
        <f>3838.32</f>
        <v>3838.32</v>
      </c>
      <c r="U1579">
        <f>51564</f>
        <v>51564</v>
      </c>
      <c r="V1579">
        <f>334.21</f>
        <v>334.21</v>
      </c>
    </row>
    <row r="1580" spans="1:22" x14ac:dyDescent="0.2">
      <c r="A1580" s="1">
        <v>42895</v>
      </c>
      <c r="B1580">
        <f>2977.96</f>
        <v>2977.96</v>
      </c>
      <c r="C1580">
        <f>8958.48</f>
        <v>8958.48</v>
      </c>
      <c r="D1580">
        <f>6270.16</f>
        <v>6270.16</v>
      </c>
      <c r="E1580">
        <f>2177.73</f>
        <v>2177.73</v>
      </c>
      <c r="F1580">
        <f>1922.87</f>
        <v>1922.87</v>
      </c>
      <c r="G1580">
        <f>8063.545</f>
        <v>8063.5450000000001</v>
      </c>
      <c r="H1580">
        <f>3145.73</f>
        <v>3145.73</v>
      </c>
      <c r="I1580">
        <f>9794.932</f>
        <v>9794.9320000000007</v>
      </c>
      <c r="J1580">
        <f>3533.27</f>
        <v>3533.27</v>
      </c>
      <c r="K1580">
        <f>9739.95</f>
        <v>9739.9500000000007</v>
      </c>
      <c r="L1580">
        <f>1866.14</f>
        <v>1866.14</v>
      </c>
      <c r="M1580">
        <f>7653.62</f>
        <v>7653.62</v>
      </c>
      <c r="N1580">
        <f>325.755</f>
        <v>325.755</v>
      </c>
      <c r="O1580">
        <f>2896.55</f>
        <v>2896.55</v>
      </c>
      <c r="P1580">
        <f>242.39</f>
        <v>242.39</v>
      </c>
      <c r="Q1580">
        <f>2206.384</f>
        <v>2206.384</v>
      </c>
      <c r="R1580">
        <f>4689.79</f>
        <v>4689.79</v>
      </c>
      <c r="S1580">
        <f>2292.33</f>
        <v>2292.33</v>
      </c>
      <c r="T1580">
        <f>3834.884</f>
        <v>3834.884</v>
      </c>
      <c r="U1580">
        <f>52216.93</f>
        <v>52216.93</v>
      </c>
      <c r="V1580">
        <f>333.98</f>
        <v>333.98</v>
      </c>
    </row>
    <row r="1581" spans="1:22" x14ac:dyDescent="0.2">
      <c r="A1581" s="1">
        <v>42894</v>
      </c>
      <c r="B1581">
        <f>2968.64</f>
        <v>2968.64</v>
      </c>
      <c r="C1581">
        <f>8986.3</f>
        <v>8986.2999999999993</v>
      </c>
      <c r="D1581">
        <f>6205.73</f>
        <v>6205.73</v>
      </c>
      <c r="E1581">
        <f>2179.559</f>
        <v>2179.5590000000002</v>
      </c>
      <c r="F1581">
        <f>1948.31</f>
        <v>1948.31</v>
      </c>
      <c r="G1581">
        <f>8113.372</f>
        <v>8113.3720000000003</v>
      </c>
      <c r="H1581">
        <f>3160.16</f>
        <v>3160.16</v>
      </c>
      <c r="I1581">
        <f>9768.169</f>
        <v>9768.1689999999999</v>
      </c>
      <c r="J1581">
        <f>3521.4</f>
        <v>3521.4</v>
      </c>
      <c r="K1581">
        <f>9752.27</f>
        <v>9752.27</v>
      </c>
      <c r="L1581">
        <f>1860.17</f>
        <v>1860.17</v>
      </c>
      <c r="M1581">
        <f>7659.11</f>
        <v>7659.11</v>
      </c>
      <c r="N1581">
        <f>326.488</f>
        <v>326.488</v>
      </c>
      <c r="O1581">
        <f>2886.22</f>
        <v>2886.22</v>
      </c>
      <c r="P1581">
        <f>243.22</f>
        <v>243.22</v>
      </c>
      <c r="Q1581">
        <f>2184.373</f>
        <v>2184.373</v>
      </c>
      <c r="R1581">
        <f>4693.67</f>
        <v>4693.67</v>
      </c>
      <c r="S1581">
        <f>2290.53</f>
        <v>2290.5300000000002</v>
      </c>
      <c r="T1581">
        <f>3804.565</f>
        <v>3804.5650000000001</v>
      </c>
      <c r="U1581">
        <f>51958.52</f>
        <v>51958.52</v>
      </c>
      <c r="V1581">
        <f>330.7</f>
        <v>330.7</v>
      </c>
    </row>
    <row r="1582" spans="1:22" x14ac:dyDescent="0.2">
      <c r="A1582" s="1">
        <v>42893</v>
      </c>
      <c r="B1582">
        <f>2964.25</f>
        <v>2964.25</v>
      </c>
      <c r="C1582">
        <f>9008.05</f>
        <v>9008.0499999999993</v>
      </c>
      <c r="D1582">
        <f>6219.87</f>
        <v>6219.87</v>
      </c>
      <c r="E1582">
        <f>2171.873</f>
        <v>2171.873</v>
      </c>
      <c r="F1582">
        <f>1943.93</f>
        <v>1943.93</v>
      </c>
      <c r="G1582">
        <f>8140.496</f>
        <v>8140.4960000000001</v>
      </c>
      <c r="H1582">
        <f>3188.17</f>
        <v>3188.17</v>
      </c>
      <c r="I1582">
        <f>9800.335</f>
        <v>9800.3349999999991</v>
      </c>
      <c r="J1582">
        <f>3527.08</f>
        <v>3527.08</v>
      </c>
      <c r="K1582">
        <f>9748.27</f>
        <v>9748.27</v>
      </c>
      <c r="L1582">
        <f>1866.78</f>
        <v>1866.78</v>
      </c>
      <c r="M1582">
        <f>7669.54</f>
        <v>7669.54</v>
      </c>
      <c r="N1582">
        <f>327.782</f>
        <v>327.78199999999998</v>
      </c>
      <c r="O1582">
        <f>2886.68</f>
        <v>2886.68</v>
      </c>
      <c r="P1582">
        <f>244.02</f>
        <v>244.02</v>
      </c>
      <c r="Q1582">
        <f>2186.438</f>
        <v>2186.4380000000001</v>
      </c>
      <c r="R1582">
        <f>4692.29</f>
        <v>4692.29</v>
      </c>
      <c r="S1582">
        <f>2300.15</f>
        <v>2300.15</v>
      </c>
      <c r="T1582">
        <f>3847.288</f>
        <v>3847.288</v>
      </c>
      <c r="U1582">
        <f>52117.82</f>
        <v>52117.82</v>
      </c>
      <c r="V1582">
        <f>334.54</f>
        <v>334.54</v>
      </c>
    </row>
    <row r="1583" spans="1:22" x14ac:dyDescent="0.2">
      <c r="A1583" s="1">
        <v>42892</v>
      </c>
      <c r="B1583">
        <f>2967.41</f>
        <v>2967.41</v>
      </c>
      <c r="C1583">
        <f>9033.74</f>
        <v>9033.74</v>
      </c>
      <c r="D1583">
        <f>6258.4</f>
        <v>6258.4</v>
      </c>
      <c r="E1583">
        <f>2171.983</f>
        <v>2171.9830000000002</v>
      </c>
      <c r="F1583">
        <f>1926.97</f>
        <v>1926.97</v>
      </c>
      <c r="G1583">
        <f>8148.407</f>
        <v>8148.4070000000002</v>
      </c>
      <c r="H1583">
        <f>3192.84</f>
        <v>3192.84</v>
      </c>
      <c r="I1583">
        <f>9809.983</f>
        <v>9809.9830000000002</v>
      </c>
      <c r="J1583">
        <f>3525.35</f>
        <v>3525.35</v>
      </c>
      <c r="K1583">
        <f>9731.29</f>
        <v>9731.2900000000009</v>
      </c>
      <c r="L1583">
        <f>1870.12</f>
        <v>1870.12</v>
      </c>
      <c r="M1583">
        <f>7664.47</f>
        <v>7664.47</v>
      </c>
      <c r="N1583">
        <f>328.982</f>
        <v>328.98200000000003</v>
      </c>
      <c r="O1583">
        <f>2888.69</f>
        <v>2888.69</v>
      </c>
      <c r="P1583">
        <f>243.75</f>
        <v>243.75</v>
      </c>
      <c r="Q1583">
        <f>2186.214</f>
        <v>2186.2139999999999</v>
      </c>
      <c r="R1583">
        <f>4683.96</f>
        <v>4683.96</v>
      </c>
      <c r="S1583">
        <f>2297.66</f>
        <v>2297.66</v>
      </c>
      <c r="T1583">
        <f>3857.839</f>
        <v>3857.8389999999999</v>
      </c>
      <c r="U1583">
        <f>52251.87</f>
        <v>52251.87</v>
      </c>
      <c r="V1583">
        <f>336.05</f>
        <v>336.05</v>
      </c>
    </row>
    <row r="1584" spans="1:22" x14ac:dyDescent="0.2">
      <c r="A1584" s="1">
        <v>42891</v>
      </c>
      <c r="B1584">
        <f>2991.46</f>
        <v>2991.46</v>
      </c>
      <c r="C1584">
        <f>9065.75</f>
        <v>9065.75</v>
      </c>
      <c r="D1584">
        <f>6259.08</f>
        <v>6259.08</v>
      </c>
      <c r="E1584">
        <f>2175.424</f>
        <v>2175.424</v>
      </c>
      <c r="F1584">
        <f>1950.41</f>
        <v>1950.41</v>
      </c>
      <c r="G1584">
        <f>8176.139</f>
        <v>8176.1390000000001</v>
      </c>
      <c r="H1584">
        <f>3182.27</f>
        <v>3182.27</v>
      </c>
      <c r="I1584">
        <f>9868.901</f>
        <v>9868.9009999999998</v>
      </c>
      <c r="J1584">
        <f>3536.11</f>
        <v>3536.11</v>
      </c>
      <c r="K1584">
        <f>9759.5</f>
        <v>9759.5</v>
      </c>
      <c r="L1584">
        <f>1876.75</f>
        <v>1876.75</v>
      </c>
      <c r="M1584">
        <f>7686.82</f>
        <v>7686.82</v>
      </c>
      <c r="N1584">
        <f>331.082</f>
        <v>331.08199999999999</v>
      </c>
      <c r="O1584">
        <f>2905.13</f>
        <v>2905.13</v>
      </c>
      <c r="P1584">
        <f>246.05</f>
        <v>246.05</v>
      </c>
      <c r="Q1584">
        <f>2198.442</f>
        <v>2198.442</v>
      </c>
      <c r="R1584">
        <f>4697</f>
        <v>4697</v>
      </c>
      <c r="S1584">
        <f>2317.13</f>
        <v>2317.13</v>
      </c>
      <c r="T1584">
        <f>3950.317</f>
        <v>3950.317</v>
      </c>
      <c r="U1584">
        <f>52870.12</f>
        <v>52870.12</v>
      </c>
      <c r="V1584">
        <f>342.09</f>
        <v>342.09</v>
      </c>
    </row>
    <row r="1585" spans="1:22" x14ac:dyDescent="0.2">
      <c r="A1585" s="1">
        <v>42888</v>
      </c>
      <c r="B1585">
        <f>3007.28</f>
        <v>3007.28</v>
      </c>
      <c r="C1585">
        <f>9062.25</f>
        <v>9062.25</v>
      </c>
      <c r="D1585">
        <f>6277.26</f>
        <v>6277.26</v>
      </c>
      <c r="E1585">
        <f>2169.865</f>
        <v>2169.8649999999998</v>
      </c>
      <c r="F1585">
        <f>1951.77</f>
        <v>1951.77</v>
      </c>
      <c r="G1585">
        <f>8166.976</f>
        <v>8166.9759999999997</v>
      </c>
      <c r="H1585">
        <f>3206.79</f>
        <v>3206.79</v>
      </c>
      <c r="I1585">
        <f>9911.861</f>
        <v>9911.8610000000008</v>
      </c>
      <c r="J1585">
        <f>3540.45</f>
        <v>3540.45</v>
      </c>
      <c r="K1585">
        <f>9772.66</f>
        <v>9772.66</v>
      </c>
      <c r="L1585">
        <f>1879.73</f>
        <v>1879.73</v>
      </c>
      <c r="M1585">
        <f>7700.06</f>
        <v>7700.06</v>
      </c>
      <c r="N1585">
        <f>331.622</f>
        <v>331.62200000000001</v>
      </c>
      <c r="O1585">
        <f>2909.5</f>
        <v>2909.5</v>
      </c>
      <c r="P1585">
        <f>245.25</f>
        <v>245.25</v>
      </c>
      <c r="Q1585">
        <f>2202.269</f>
        <v>2202.2689999999998</v>
      </c>
      <c r="R1585">
        <f>4702.56</f>
        <v>4702.5600000000004</v>
      </c>
      <c r="S1585">
        <f>2320.34</f>
        <v>2320.34</v>
      </c>
      <c r="T1585">
        <f>3922.342</f>
        <v>3922.3420000000001</v>
      </c>
      <c r="U1585">
        <f>52889.7</f>
        <v>52889.7</v>
      </c>
      <c r="V1585">
        <f>338.82</f>
        <v>338.82</v>
      </c>
    </row>
    <row r="1586" spans="1:22" x14ac:dyDescent="0.2">
      <c r="A1586" s="1">
        <v>42887</v>
      </c>
      <c r="B1586">
        <f>3017.11</f>
        <v>3017.11</v>
      </c>
      <c r="C1586">
        <f>8984.9</f>
        <v>8984.9</v>
      </c>
      <c r="D1586">
        <f>6274.06</f>
        <v>6274.06</v>
      </c>
      <c r="E1586">
        <f>2155.154</f>
        <v>2155.154</v>
      </c>
      <c r="F1586">
        <f>1955.59</f>
        <v>1955.59</v>
      </c>
      <c r="G1586">
        <f>8176.228</f>
        <v>8176.2280000000001</v>
      </c>
      <c r="H1586">
        <f>3132.34</f>
        <v>3132.34</v>
      </c>
      <c r="I1586">
        <f>9815.398</f>
        <v>9815.3979999999992</v>
      </c>
      <c r="J1586">
        <f>3530.07</f>
        <v>3530.07</v>
      </c>
      <c r="K1586">
        <f>9736.99</f>
        <v>9736.99</v>
      </c>
      <c r="L1586">
        <f>1871.65</f>
        <v>1871.65</v>
      </c>
      <c r="M1586">
        <f>7651.67</f>
        <v>7651.67</v>
      </c>
      <c r="N1586">
        <f>331.165</f>
        <v>331.16500000000002</v>
      </c>
      <c r="O1586">
        <f>2902.23</f>
        <v>2902.23</v>
      </c>
      <c r="P1586">
        <f>243.74</f>
        <v>243.74</v>
      </c>
      <c r="Q1586">
        <f>2196.929</f>
        <v>2196.9290000000001</v>
      </c>
      <c r="R1586">
        <f>4685.11</f>
        <v>4685.1099999999997</v>
      </c>
      <c r="S1586">
        <f>2282.84</f>
        <v>2282.84</v>
      </c>
      <c r="T1586">
        <f>3868.851</f>
        <v>3868.8510000000001</v>
      </c>
      <c r="U1586">
        <f>52840.68</f>
        <v>52840.68</v>
      </c>
      <c r="V1586">
        <f>335.38</f>
        <v>335.38</v>
      </c>
    </row>
    <row r="1587" spans="1:22" x14ac:dyDescent="0.2">
      <c r="A1587" s="1">
        <v>42886</v>
      </c>
      <c r="B1587">
        <f>3013.54</f>
        <v>3013.54</v>
      </c>
      <c r="C1587">
        <f>8964.85</f>
        <v>8964.85</v>
      </c>
      <c r="D1587">
        <f>6249.32</f>
        <v>6249.32</v>
      </c>
      <c r="E1587">
        <f>2148.112</f>
        <v>2148.1120000000001</v>
      </c>
      <c r="F1587">
        <f>1957.42</f>
        <v>1957.42</v>
      </c>
      <c r="G1587">
        <f>8151.408</f>
        <v>8151.4080000000004</v>
      </c>
      <c r="H1587">
        <f>3115.58</f>
        <v>3115.58</v>
      </c>
      <c r="I1587">
        <f>9788.887</f>
        <v>9788.8870000000006</v>
      </c>
      <c r="J1587">
        <f>3507.97</f>
        <v>3507.97</v>
      </c>
      <c r="K1587">
        <f>9659.08</f>
        <v>9659.08</v>
      </c>
      <c r="L1587">
        <f>1864.38</f>
        <v>1864.38</v>
      </c>
      <c r="M1587">
        <f>7604.86</f>
        <v>7604.86</v>
      </c>
      <c r="N1587">
        <f>328.792</f>
        <v>328.79199999999997</v>
      </c>
      <c r="O1587">
        <f>2889.75</f>
        <v>2889.75</v>
      </c>
      <c r="P1587">
        <f>240.38</f>
        <v>240.38</v>
      </c>
      <c r="Q1587">
        <f>2175.192</f>
        <v>2175.192</v>
      </c>
      <c r="R1587">
        <f>4649.34</f>
        <v>4649.34</v>
      </c>
      <c r="S1587">
        <f>2257.27</f>
        <v>2257.27</v>
      </c>
      <c r="T1587">
        <f>3931.289</f>
        <v>3931.2890000000002</v>
      </c>
      <c r="U1587">
        <f>53562.57</f>
        <v>53562.57</v>
      </c>
      <c r="V1587">
        <f>340.29</f>
        <v>340.29</v>
      </c>
    </row>
    <row r="1588" spans="1:22" x14ac:dyDescent="0.2">
      <c r="A1588" s="1">
        <v>42885</v>
      </c>
      <c r="B1588">
        <f>3015.05</f>
        <v>3015.05</v>
      </c>
      <c r="C1588">
        <f>9037.97</f>
        <v>9037.9699999999993</v>
      </c>
      <c r="D1588">
        <f>6254.77</f>
        <v>6254.77</v>
      </c>
      <c r="E1588">
        <f>2161.507</f>
        <v>2161.5070000000001</v>
      </c>
      <c r="F1588">
        <f>1947.32</f>
        <v>1947.32</v>
      </c>
      <c r="G1588">
        <f>8128.174</f>
        <v>8128.174</v>
      </c>
      <c r="H1588">
        <f>3115.72</f>
        <v>3115.72</v>
      </c>
      <c r="I1588">
        <f>9728.958</f>
        <v>9728.9580000000005</v>
      </c>
      <c r="J1588">
        <f>3498.45</f>
        <v>3498.45</v>
      </c>
      <c r="K1588">
        <f>9660.88</f>
        <v>9660.8799999999992</v>
      </c>
      <c r="L1588">
        <f>1857.2</f>
        <v>1857.2</v>
      </c>
      <c r="M1588">
        <f>7596.31</f>
        <v>7596.31</v>
      </c>
      <c r="N1588">
        <f>327.838</f>
        <v>327.83800000000002</v>
      </c>
      <c r="O1588">
        <f>2892.2</f>
        <v>2892.2</v>
      </c>
      <c r="P1588">
        <f>241.51</f>
        <v>241.51</v>
      </c>
      <c r="Q1588">
        <f>2169.481</f>
        <v>2169.4810000000002</v>
      </c>
      <c r="R1588">
        <f>4650.76</f>
        <v>4650.76</v>
      </c>
      <c r="S1588">
        <f>2263.45</f>
        <v>2263.4499999999998</v>
      </c>
      <c r="T1588">
        <f>3976.118</f>
        <v>3976.1179999999999</v>
      </c>
      <c r="U1588">
        <f>54158.04</f>
        <v>54158.04</v>
      </c>
      <c r="V1588">
        <f>345.57</f>
        <v>345.57</v>
      </c>
    </row>
    <row r="1589" spans="1:22" x14ac:dyDescent="0.2">
      <c r="A1589" s="1">
        <v>42884</v>
      </c>
      <c r="B1589">
        <f>3016.4</f>
        <v>3016.4</v>
      </c>
      <c r="C1589">
        <f>9046.34</f>
        <v>9046.34</v>
      </c>
      <c r="D1589">
        <f>6272.33</f>
        <v>6272.33</v>
      </c>
      <c r="E1589">
        <f>2168.761</f>
        <v>2168.761</v>
      </c>
      <c r="F1589">
        <f>1940.11</f>
        <v>1940.11</v>
      </c>
      <c r="G1589">
        <f>8137.767</f>
        <v>8137.7669999999998</v>
      </c>
      <c r="H1589">
        <f>3107.11</f>
        <v>3107.11</v>
      </c>
      <c r="I1589">
        <f>9746.316</f>
        <v>9746.3160000000007</v>
      </c>
      <c r="J1589">
        <f>3493.38</f>
        <v>3493.38</v>
      </c>
      <c r="K1589">
        <f>9670.55</f>
        <v>9670.5499999999993</v>
      </c>
      <c r="L1589">
        <f>1858.09</f>
        <v>1858.09</v>
      </c>
      <c r="M1589">
        <f>7601.93</f>
        <v>7601.93</v>
      </c>
      <c r="N1589">
        <f>328.418</f>
        <v>328.41800000000001</v>
      </c>
      <c r="O1589">
        <f>2897.36</f>
        <v>2897.36</v>
      </c>
      <c r="P1589">
        <f>241.24</f>
        <v>241.24</v>
      </c>
      <c r="Q1589" t="e">
        <f>NA()</f>
        <v>#N/A</v>
      </c>
      <c r="R1589" t="e">
        <f>NA()</f>
        <v>#N/A</v>
      </c>
      <c r="S1589">
        <f>2259.91</f>
        <v>2259.91</v>
      </c>
      <c r="T1589">
        <f>3951.674</f>
        <v>3951.674</v>
      </c>
      <c r="U1589">
        <f>53944.22</f>
        <v>53944.22</v>
      </c>
      <c r="V1589">
        <f>343.47</f>
        <v>343.47</v>
      </c>
    </row>
    <row r="1590" spans="1:22" x14ac:dyDescent="0.2">
      <c r="A1590" s="1">
        <v>42881</v>
      </c>
      <c r="B1590">
        <f>3016.4</f>
        <v>3016.4</v>
      </c>
      <c r="C1590">
        <f>9047.25</f>
        <v>9047.25</v>
      </c>
      <c r="D1590">
        <f>6272.33</f>
        <v>6272.33</v>
      </c>
      <c r="E1590">
        <f>2172.509</f>
        <v>2172.509</v>
      </c>
      <c r="F1590">
        <f>1932.33</f>
        <v>1932.33</v>
      </c>
      <c r="G1590">
        <f>8105.132</f>
        <v>8105.1319999999996</v>
      </c>
      <c r="H1590">
        <f>3106.13</f>
        <v>3106.13</v>
      </c>
      <c r="I1590">
        <f>9768.465</f>
        <v>9768.4650000000001</v>
      </c>
      <c r="J1590">
        <f>3493.38</f>
        <v>3493.38</v>
      </c>
      <c r="K1590">
        <f>9670.55</f>
        <v>9670.5499999999993</v>
      </c>
      <c r="L1590">
        <f>1857.65</f>
        <v>1857.65</v>
      </c>
      <c r="M1590">
        <f>7603.57</f>
        <v>7603.57</v>
      </c>
      <c r="N1590">
        <f>328.15</f>
        <v>328.15</v>
      </c>
      <c r="O1590">
        <f>2898.39</f>
        <v>2898.39</v>
      </c>
      <c r="P1590">
        <f>240.86</f>
        <v>240.86</v>
      </c>
      <c r="Q1590">
        <f>2170.02</f>
        <v>2170.02</v>
      </c>
      <c r="R1590">
        <f>4655.65</f>
        <v>4655.6499999999996</v>
      </c>
      <c r="S1590">
        <f>2258.7</f>
        <v>2258.6999999999998</v>
      </c>
      <c r="T1590">
        <f>3976.49</f>
        <v>3976.49</v>
      </c>
      <c r="U1590">
        <f>53996.14</f>
        <v>53996.14</v>
      </c>
      <c r="V1590">
        <f>345.44</f>
        <v>345.44</v>
      </c>
    </row>
    <row r="1591" spans="1:22" x14ac:dyDescent="0.2">
      <c r="A1591" s="1">
        <v>42880</v>
      </c>
      <c r="B1591">
        <f>3019.65</f>
        <v>3019.65</v>
      </c>
      <c r="C1591">
        <f>9043.34</f>
        <v>9043.34</v>
      </c>
      <c r="D1591">
        <f>6247.47</f>
        <v>6247.47</v>
      </c>
      <c r="E1591">
        <f>2167.017</f>
        <v>2167.0169999999998</v>
      </c>
      <c r="F1591">
        <f>1955.81</f>
        <v>1955.81</v>
      </c>
      <c r="G1591">
        <f>8172.71</f>
        <v>8172.71</v>
      </c>
      <c r="H1591">
        <f>3113.1</f>
        <v>3113.1</v>
      </c>
      <c r="I1591">
        <f>9800.853</f>
        <v>9800.8529999999992</v>
      </c>
      <c r="J1591">
        <f>3491.79</f>
        <v>3491.79</v>
      </c>
      <c r="K1591">
        <f>9666.4</f>
        <v>9666.4</v>
      </c>
      <c r="L1591">
        <f>1860.69</f>
        <v>1860.69</v>
      </c>
      <c r="M1591">
        <f>7612.2</f>
        <v>7612.2</v>
      </c>
      <c r="N1591">
        <f>328.194</f>
        <v>328.19400000000002</v>
      </c>
      <c r="O1591">
        <f>2903.25</f>
        <v>2903.25</v>
      </c>
      <c r="P1591">
        <f>242.47</f>
        <v>242.47</v>
      </c>
      <c r="Q1591">
        <f>2169.142</f>
        <v>2169.1419999999998</v>
      </c>
      <c r="R1591">
        <f>4653.59</f>
        <v>4653.59</v>
      </c>
      <c r="S1591">
        <f>2271.66</f>
        <v>2271.66</v>
      </c>
      <c r="T1591">
        <f>3965.556</f>
        <v>3965.556</v>
      </c>
      <c r="U1591">
        <f>54028.39</f>
        <v>54028.39</v>
      </c>
      <c r="V1591">
        <f>346.28</f>
        <v>346.28</v>
      </c>
    </row>
    <row r="1592" spans="1:22" x14ac:dyDescent="0.2">
      <c r="A1592" s="1">
        <v>42879</v>
      </c>
      <c r="B1592">
        <f>3030.81</f>
        <v>3030.81</v>
      </c>
      <c r="C1592">
        <f>8977.69</f>
        <v>8977.69</v>
      </c>
      <c r="D1592">
        <f>6243.66</f>
        <v>6243.66</v>
      </c>
      <c r="E1592">
        <f>2146.623</f>
        <v>2146.623</v>
      </c>
      <c r="F1592">
        <f>1956.7</f>
        <v>1956.7</v>
      </c>
      <c r="G1592">
        <f>8174.771</f>
        <v>8174.7709999999997</v>
      </c>
      <c r="H1592">
        <f>3098.8</f>
        <v>3098.8</v>
      </c>
      <c r="I1592">
        <f>9772.577</f>
        <v>9772.5769999999993</v>
      </c>
      <c r="J1592">
        <f>3470.64</f>
        <v>3470.64</v>
      </c>
      <c r="K1592">
        <f>9622.72</f>
        <v>9622.7199999999993</v>
      </c>
      <c r="L1592">
        <f>1855.83</f>
        <v>1855.83</v>
      </c>
      <c r="M1592">
        <f>7584.43</f>
        <v>7584.43</v>
      </c>
      <c r="N1592">
        <f>328.231</f>
        <v>328.23099999999999</v>
      </c>
      <c r="O1592">
        <f>2905.18</f>
        <v>2905.18</v>
      </c>
      <c r="P1592">
        <f>241.03</f>
        <v>241.03</v>
      </c>
      <c r="Q1592">
        <f>2164.576</f>
        <v>2164.576</v>
      </c>
      <c r="R1592">
        <f>4632.37</f>
        <v>4632.37</v>
      </c>
      <c r="S1592">
        <f>2266.89</f>
        <v>2266.89</v>
      </c>
      <c r="T1592">
        <f>3985.271</f>
        <v>3985.2710000000002</v>
      </c>
      <c r="U1592">
        <f>54308.67</f>
        <v>54308.67</v>
      </c>
      <c r="V1592">
        <f>349.2</f>
        <v>349.2</v>
      </c>
    </row>
    <row r="1593" spans="1:22" x14ac:dyDescent="0.2">
      <c r="A1593" s="1">
        <v>42878</v>
      </c>
      <c r="B1593">
        <f>3022.04</f>
        <v>3022.04</v>
      </c>
      <c r="C1593">
        <f>8946.72</f>
        <v>8946.7199999999993</v>
      </c>
      <c r="D1593">
        <f>6219.06</f>
        <v>6219.06</v>
      </c>
      <c r="E1593">
        <f>2145.335</f>
        <v>2145.335</v>
      </c>
      <c r="F1593">
        <f>1951.16</f>
        <v>1951.16</v>
      </c>
      <c r="G1593">
        <f>8160.649</f>
        <v>8160.6490000000003</v>
      </c>
      <c r="H1593">
        <f>3109.08</f>
        <v>3109.08</v>
      </c>
      <c r="I1593">
        <f>9819.347</f>
        <v>9819.3469999999998</v>
      </c>
      <c r="J1593">
        <f>3459.55</f>
        <v>3459.55</v>
      </c>
      <c r="K1593">
        <f>9596.66</f>
        <v>9596.66</v>
      </c>
      <c r="L1593">
        <f>1856.44</f>
        <v>1856.44</v>
      </c>
      <c r="M1593">
        <f>7579.29</f>
        <v>7579.29</v>
      </c>
      <c r="N1593">
        <f>327.98</f>
        <v>327.98</v>
      </c>
      <c r="O1593">
        <f>2905.25</f>
        <v>2905.25</v>
      </c>
      <c r="P1593">
        <f>240.45</f>
        <v>240.45</v>
      </c>
      <c r="Q1593">
        <f>2159.954</f>
        <v>2159.9540000000002</v>
      </c>
      <c r="R1593">
        <f>4620.7</f>
        <v>4620.7</v>
      </c>
      <c r="S1593">
        <f>2252.66</f>
        <v>2252.66</v>
      </c>
      <c r="T1593">
        <f>3988.266</f>
        <v>3988.2660000000001</v>
      </c>
      <c r="U1593">
        <f>54548.91</f>
        <v>54548.91</v>
      </c>
      <c r="V1593">
        <f>348.3</f>
        <v>348.3</v>
      </c>
    </row>
    <row r="1594" spans="1:22" x14ac:dyDescent="0.2">
      <c r="A1594" s="1">
        <v>42877</v>
      </c>
      <c r="B1594">
        <f>3027.95</f>
        <v>3027.95</v>
      </c>
      <c r="C1594">
        <f>8895.24</f>
        <v>8895.24</v>
      </c>
      <c r="D1594">
        <f>6228.23</f>
        <v>6228.23</v>
      </c>
      <c r="E1594">
        <f>2143.442</f>
        <v>2143.442</v>
      </c>
      <c r="F1594">
        <f>1963.21</f>
        <v>1963.21</v>
      </c>
      <c r="G1594">
        <f>8197.121</f>
        <v>8197.1209999999992</v>
      </c>
      <c r="H1594">
        <f>3119.62</f>
        <v>3119.62</v>
      </c>
      <c r="I1594">
        <f>9795.044</f>
        <v>9795.0439999999999</v>
      </c>
      <c r="J1594">
        <f>3455.57</f>
        <v>3455.57</v>
      </c>
      <c r="K1594">
        <f>9579.54</f>
        <v>9579.5400000000009</v>
      </c>
      <c r="L1594">
        <f>1855.91</f>
        <v>1855.91</v>
      </c>
      <c r="M1594">
        <f>7571.92</f>
        <v>7571.92</v>
      </c>
      <c r="N1594">
        <f>327.803</f>
        <v>327.803</v>
      </c>
      <c r="O1594">
        <f>2897.02</f>
        <v>2897.02</v>
      </c>
      <c r="P1594">
        <f>239.52</f>
        <v>239.52</v>
      </c>
      <c r="Q1594">
        <f>2164.151</f>
        <v>2164.1509999999998</v>
      </c>
      <c r="R1594">
        <f>4612.12</f>
        <v>4612.12</v>
      </c>
      <c r="S1594">
        <f>2256.15</f>
        <v>2256.15</v>
      </c>
      <c r="T1594">
        <f>3962.568</f>
        <v>3962.5680000000002</v>
      </c>
      <c r="U1594">
        <f>54517.06</f>
        <v>54517.06</v>
      </c>
      <c r="V1594">
        <f>346.89</f>
        <v>346.89</v>
      </c>
    </row>
    <row r="1595" spans="1:22" x14ac:dyDescent="0.2">
      <c r="A1595" s="1">
        <v>42874</v>
      </c>
      <c r="B1595">
        <f>3007.94</f>
        <v>3007.94</v>
      </c>
      <c r="C1595">
        <f>8864.01</f>
        <v>8864.01</v>
      </c>
      <c r="D1595">
        <f>6206.95</f>
        <v>6206.95</v>
      </c>
      <c r="E1595">
        <f>2126.187</f>
        <v>2126.1869999999999</v>
      </c>
      <c r="F1595">
        <f>1951.85</f>
        <v>1951.85</v>
      </c>
      <c r="G1595">
        <f>8173.278</f>
        <v>8173.2780000000002</v>
      </c>
      <c r="H1595">
        <f>3096.5</f>
        <v>3096.5</v>
      </c>
      <c r="I1595">
        <f>9746.595</f>
        <v>9746.5949999999993</v>
      </c>
      <c r="J1595">
        <f>3439.12</f>
        <v>3439.12</v>
      </c>
      <c r="K1595">
        <f>9529.33</f>
        <v>9529.33</v>
      </c>
      <c r="L1595">
        <f>1845.38</f>
        <v>1845.38</v>
      </c>
      <c r="M1595">
        <f>7530.26</f>
        <v>7530.26</v>
      </c>
      <c r="N1595">
        <f>326.891</f>
        <v>326.89100000000002</v>
      </c>
      <c r="O1595">
        <f>2897.23</f>
        <v>2897.23</v>
      </c>
      <c r="P1595">
        <f>238.39</f>
        <v>238.39</v>
      </c>
      <c r="Q1595">
        <f>2152.534</f>
        <v>2152.5340000000001</v>
      </c>
      <c r="R1595">
        <f>4588.35</f>
        <v>4588.3500000000004</v>
      </c>
      <c r="S1595">
        <f>2244.76</f>
        <v>2244.7600000000002</v>
      </c>
      <c r="T1595">
        <f>3946.915</f>
        <v>3946.915</v>
      </c>
      <c r="U1595">
        <f>54427.3</f>
        <v>54427.3</v>
      </c>
      <c r="V1595">
        <f>343.98</f>
        <v>343.98</v>
      </c>
    </row>
    <row r="1596" spans="1:22" x14ac:dyDescent="0.2">
      <c r="A1596" s="1">
        <v>42873</v>
      </c>
      <c r="B1596">
        <f>2995.78</f>
        <v>2995.78</v>
      </c>
      <c r="C1596">
        <f>8833.17</f>
        <v>8833.17</v>
      </c>
      <c r="D1596">
        <f>6178.45</f>
        <v>6178.45</v>
      </c>
      <c r="E1596">
        <f>2110.285</f>
        <v>2110.2849999999999</v>
      </c>
      <c r="F1596">
        <f>1944</f>
        <v>1944</v>
      </c>
      <c r="G1596">
        <f>8121.126</f>
        <v>8121.1260000000002</v>
      </c>
      <c r="H1596">
        <f>3100.42</f>
        <v>3100.42</v>
      </c>
      <c r="I1596">
        <f>9611.55</f>
        <v>9611.5499999999993</v>
      </c>
      <c r="J1596">
        <f>3420.85</f>
        <v>3420.85</v>
      </c>
      <c r="K1596">
        <f>9465.13</f>
        <v>9465.1299999999992</v>
      </c>
      <c r="L1596">
        <f>1832.14</f>
        <v>1832.14</v>
      </c>
      <c r="M1596">
        <f>7475.03</f>
        <v>7475.03</v>
      </c>
      <c r="N1596">
        <f>325.723</f>
        <v>325.72300000000001</v>
      </c>
      <c r="O1596">
        <f>2882.16</f>
        <v>2882.16</v>
      </c>
      <c r="P1596">
        <f>238.32</f>
        <v>238.32</v>
      </c>
      <c r="Q1596">
        <f>2136.323</f>
        <v>2136.3229999999999</v>
      </c>
      <c r="R1596">
        <f>4557.41</f>
        <v>4557.41</v>
      </c>
      <c r="S1596">
        <f>2237.96</f>
        <v>2237.96</v>
      </c>
      <c r="T1596">
        <f>3933.493</f>
        <v>3933.4929999999999</v>
      </c>
      <c r="U1596">
        <f>54197.12</f>
        <v>54197.120000000003</v>
      </c>
      <c r="V1596">
        <f>342.19</f>
        <v>342.19</v>
      </c>
    </row>
    <row r="1597" spans="1:22" x14ac:dyDescent="0.2">
      <c r="A1597" s="1">
        <v>42872</v>
      </c>
      <c r="B1597">
        <f>3008.93</f>
        <v>3008.93</v>
      </c>
      <c r="C1597">
        <f>9024.45</f>
        <v>9024.4500000000007</v>
      </c>
      <c r="D1597">
        <f>6218.11</f>
        <v>6218.11</v>
      </c>
      <c r="E1597">
        <f>2153.456</f>
        <v>2153.4560000000001</v>
      </c>
      <c r="F1597">
        <f>1945.81</f>
        <v>1945.81</v>
      </c>
      <c r="G1597">
        <f>8156.808</f>
        <v>8156.808</v>
      </c>
      <c r="H1597">
        <f>3138.06</f>
        <v>3138.06</v>
      </c>
      <c r="I1597">
        <f>9683.123</f>
        <v>9683.1229999999996</v>
      </c>
      <c r="J1597">
        <f>3418.63</f>
        <v>3418.63</v>
      </c>
      <c r="K1597">
        <f>9429.82</f>
        <v>9429.82</v>
      </c>
      <c r="L1597">
        <f>1839.89</f>
        <v>1839.89</v>
      </c>
      <c r="M1597">
        <f>7479.49</f>
        <v>7479.49</v>
      </c>
      <c r="N1597">
        <f>325.896</f>
        <v>325.89600000000002</v>
      </c>
      <c r="O1597">
        <f>2893.96</f>
        <v>2893.96</v>
      </c>
      <c r="P1597">
        <f>239.77</f>
        <v>239.77</v>
      </c>
      <c r="Q1597">
        <f>2131.073</f>
        <v>2131.0729999999999</v>
      </c>
      <c r="R1597">
        <f>4540.58</f>
        <v>4540.58</v>
      </c>
      <c r="S1597">
        <f>2267.91</f>
        <v>2267.91</v>
      </c>
      <c r="T1597">
        <f>3954.256</f>
        <v>3954.2559999999999</v>
      </c>
      <c r="U1597">
        <f>54001.94</f>
        <v>54001.94</v>
      </c>
      <c r="V1597">
        <f>344.76</f>
        <v>344.76</v>
      </c>
    </row>
    <row r="1598" spans="1:22" x14ac:dyDescent="0.2">
      <c r="A1598" s="1">
        <v>42871</v>
      </c>
      <c r="B1598">
        <f>3010.18</f>
        <v>3010.18</v>
      </c>
      <c r="C1598">
        <f>9077.58</f>
        <v>9077.58</v>
      </c>
      <c r="D1598">
        <f>6233.5</f>
        <v>6233.5</v>
      </c>
      <c r="E1598">
        <f>2167.06</f>
        <v>2167.06</v>
      </c>
      <c r="F1598">
        <f>1936.71</f>
        <v>1936.71</v>
      </c>
      <c r="G1598">
        <f>8139.743</f>
        <v>8139.7430000000004</v>
      </c>
      <c r="H1598">
        <f>3102.32</f>
        <v>3102.32</v>
      </c>
      <c r="I1598">
        <f>9770.1</f>
        <v>9770.1</v>
      </c>
      <c r="J1598">
        <f>3453.63</f>
        <v>3453.63</v>
      </c>
      <c r="K1598">
        <f>9601.61</f>
        <v>9601.61</v>
      </c>
      <c r="L1598">
        <f>1850.65</f>
        <v>1850.65</v>
      </c>
      <c r="M1598">
        <f>7571.71</f>
        <v>7571.71</v>
      </c>
      <c r="N1598">
        <f>328.811</f>
        <v>328.81099999999998</v>
      </c>
      <c r="O1598">
        <f>2929.43</f>
        <v>2929.43</v>
      </c>
      <c r="P1598">
        <f>240.48</f>
        <v>240.48</v>
      </c>
      <c r="Q1598">
        <f>2149.222</f>
        <v>2149.2220000000002</v>
      </c>
      <c r="R1598">
        <f>4623.26</f>
        <v>4623.26</v>
      </c>
      <c r="S1598">
        <f>2280.02</f>
        <v>2280.02</v>
      </c>
      <c r="T1598">
        <f>3989.567</f>
        <v>3989.567</v>
      </c>
      <c r="U1598">
        <f>54023.12</f>
        <v>54023.12</v>
      </c>
      <c r="V1598">
        <f>348.18</f>
        <v>348.18</v>
      </c>
    </row>
    <row r="1599" spans="1:22" x14ac:dyDescent="0.2">
      <c r="A1599" s="1">
        <v>42870</v>
      </c>
      <c r="B1599">
        <f>3006.47</f>
        <v>3006.47</v>
      </c>
      <c r="C1599">
        <f>9044.29</f>
        <v>9044.2900000000009</v>
      </c>
      <c r="D1599">
        <f>6177.42</f>
        <v>6177.42</v>
      </c>
      <c r="E1599">
        <f>2156.583</f>
        <v>2156.5830000000001</v>
      </c>
      <c r="F1599">
        <f>1927.71</f>
        <v>1927.71</v>
      </c>
      <c r="G1599">
        <f>8062.092</f>
        <v>8062.0919999999996</v>
      </c>
      <c r="H1599">
        <f>3071.41</f>
        <v>3071.41</v>
      </c>
      <c r="I1599">
        <f>9668.449</f>
        <v>9668.4490000000005</v>
      </c>
      <c r="J1599">
        <f>3453.36</f>
        <v>3453.36</v>
      </c>
      <c r="K1599">
        <f>9607.09</f>
        <v>9607.09</v>
      </c>
      <c r="L1599">
        <f>1842.29</f>
        <v>1842.29</v>
      </c>
      <c r="M1599">
        <f>7550.49</f>
        <v>7550.49</v>
      </c>
      <c r="N1599">
        <f>328.059</f>
        <v>328.05900000000003</v>
      </c>
      <c r="O1599">
        <f>2926.54</f>
        <v>2926.54</v>
      </c>
      <c r="P1599">
        <f>240.48</f>
        <v>240.48</v>
      </c>
      <c r="Q1599">
        <f>2155.514</f>
        <v>2155.5140000000001</v>
      </c>
      <c r="R1599">
        <f>4625.51</f>
        <v>4625.51</v>
      </c>
      <c r="S1599">
        <f>2273.92</f>
        <v>2273.92</v>
      </c>
      <c r="T1599">
        <f>3976.835</f>
        <v>3976.835</v>
      </c>
      <c r="U1599">
        <f>54052.18</f>
        <v>54052.18</v>
      </c>
      <c r="V1599">
        <f>346.96</f>
        <v>346.96</v>
      </c>
    </row>
    <row r="1600" spans="1:22" x14ac:dyDescent="0.2">
      <c r="A1600" s="1">
        <v>42867</v>
      </c>
      <c r="B1600">
        <f>3006.86</f>
        <v>3006.86</v>
      </c>
      <c r="C1600">
        <f>8943.92</f>
        <v>8943.92</v>
      </c>
      <c r="D1600">
        <f>6161.7</f>
        <v>6161.7</v>
      </c>
      <c r="E1600">
        <f>2139.643</f>
        <v>2139.643</v>
      </c>
      <c r="F1600">
        <f>1925.32</f>
        <v>1925.32</v>
      </c>
      <c r="G1600">
        <f>8024.183</f>
        <v>8024.183</v>
      </c>
      <c r="H1600">
        <f>3093.53</f>
        <v>3093.53</v>
      </c>
      <c r="I1600">
        <f>9596.02</f>
        <v>9596.02</v>
      </c>
      <c r="J1600">
        <f>3434.18</f>
        <v>3434.18</v>
      </c>
      <c r="K1600">
        <f>9559.43</f>
        <v>9559.43</v>
      </c>
      <c r="L1600">
        <f>1833.22</f>
        <v>1833.22</v>
      </c>
      <c r="M1600">
        <f>7513.91</f>
        <v>7513.91</v>
      </c>
      <c r="N1600">
        <f>329.088</f>
        <v>329.08800000000002</v>
      </c>
      <c r="O1600">
        <f>2921.2</f>
        <v>2921.2</v>
      </c>
      <c r="P1600">
        <f>240.44</f>
        <v>240.44</v>
      </c>
      <c r="Q1600">
        <f>2143.991</f>
        <v>2143.991</v>
      </c>
      <c r="R1600">
        <f>4602.96</f>
        <v>4602.96</v>
      </c>
      <c r="S1600">
        <f>2274.95</f>
        <v>2274.9499999999998</v>
      </c>
      <c r="T1600">
        <f>3991.239</f>
        <v>3991.239</v>
      </c>
      <c r="U1600">
        <f>54063.34</f>
        <v>54063.34</v>
      </c>
      <c r="V1600">
        <f>347.48</f>
        <v>347.48</v>
      </c>
    </row>
    <row r="1601" spans="1:22" x14ac:dyDescent="0.2">
      <c r="A1601" s="1">
        <v>42866</v>
      </c>
      <c r="B1601">
        <f>3005.56</f>
        <v>3005.56</v>
      </c>
      <c r="C1601">
        <f>8924.55</f>
        <v>8924.5499999999993</v>
      </c>
      <c r="D1601">
        <f>6121.29</f>
        <v>6121.29</v>
      </c>
      <c r="E1601">
        <f>2135.216</f>
        <v>2135.2159999999999</v>
      </c>
      <c r="F1601">
        <f>1897.49</f>
        <v>1897.49</v>
      </c>
      <c r="G1601">
        <f>7964.946</f>
        <v>7964.9459999999999</v>
      </c>
      <c r="H1601">
        <f>3093.16</f>
        <v>3093.16</v>
      </c>
      <c r="I1601">
        <f>9508.979</f>
        <v>9508.9789999999994</v>
      </c>
      <c r="J1601">
        <f>3437.18</f>
        <v>3437.18</v>
      </c>
      <c r="K1601">
        <f>9572.74</f>
        <v>9572.74</v>
      </c>
      <c r="L1601">
        <f>1825.44</f>
        <v>1825.44</v>
      </c>
      <c r="M1601">
        <f>7506.01</f>
        <v>7506.01</v>
      </c>
      <c r="N1601">
        <f>328.384</f>
        <v>328.38400000000001</v>
      </c>
      <c r="O1601">
        <f>2912.31</f>
        <v>2912.31</v>
      </c>
      <c r="P1601">
        <f>239.49</f>
        <v>239.49</v>
      </c>
      <c r="Q1601">
        <f>2151.296</f>
        <v>2151.2959999999998</v>
      </c>
      <c r="R1601">
        <f>4609.69</f>
        <v>4609.6899999999996</v>
      </c>
      <c r="S1601">
        <f>2283.79</f>
        <v>2283.79</v>
      </c>
      <c r="T1601">
        <f>3992.807</f>
        <v>3992.8069999999998</v>
      </c>
      <c r="U1601">
        <f>54114</f>
        <v>54114</v>
      </c>
      <c r="V1601">
        <f>346.9</f>
        <v>346.9</v>
      </c>
    </row>
    <row r="1602" spans="1:22" x14ac:dyDescent="0.2">
      <c r="A1602" s="1">
        <v>42865</v>
      </c>
      <c r="B1602">
        <f>3025.07</f>
        <v>3025.07</v>
      </c>
      <c r="C1602">
        <f>8910.13</f>
        <v>8910.1299999999992</v>
      </c>
      <c r="D1602">
        <f>6109</f>
        <v>6109</v>
      </c>
      <c r="E1602">
        <f>2123.984</f>
        <v>2123.9839999999999</v>
      </c>
      <c r="F1602">
        <f>1920.29</f>
        <v>1920.29</v>
      </c>
      <c r="G1602">
        <f>7994.607</f>
        <v>7994.607</v>
      </c>
      <c r="H1602">
        <f>3074.51</f>
        <v>3074.51</v>
      </c>
      <c r="I1602">
        <f>9547.775</f>
        <v>9547.7749999999996</v>
      </c>
      <c r="J1602">
        <f>3444.78</f>
        <v>3444.78</v>
      </c>
      <c r="K1602">
        <f>9591.58</f>
        <v>9591.58</v>
      </c>
      <c r="L1602">
        <f>1828.88</f>
        <v>1828.88</v>
      </c>
      <c r="M1602">
        <f>7521.06</f>
        <v>7521.06</v>
      </c>
      <c r="N1602">
        <f>329.964</f>
        <v>329.964</v>
      </c>
      <c r="O1602">
        <f>2921.14</f>
        <v>2921.14</v>
      </c>
      <c r="P1602">
        <f>239.52</f>
        <v>239.52</v>
      </c>
      <c r="Q1602">
        <f>2158.523</f>
        <v>2158.5230000000001</v>
      </c>
      <c r="R1602">
        <f>4618.19</f>
        <v>4618.1899999999996</v>
      </c>
      <c r="S1602">
        <f>2281.38</f>
        <v>2281.38</v>
      </c>
      <c r="T1602">
        <f>4011.694</f>
        <v>4011.694</v>
      </c>
      <c r="U1602">
        <f>54254.35</f>
        <v>54254.35</v>
      </c>
      <c r="V1602">
        <f>347.51</f>
        <v>347.51</v>
      </c>
    </row>
    <row r="1603" spans="1:22" x14ac:dyDescent="0.2">
      <c r="A1603" s="1">
        <v>42864</v>
      </c>
      <c r="B1603">
        <f>3007.96</f>
        <v>3007.96</v>
      </c>
      <c r="C1603">
        <f>8841.52</f>
        <v>8841.52</v>
      </c>
      <c r="D1603">
        <f>6073.4</f>
        <v>6073.4</v>
      </c>
      <c r="E1603">
        <f>2114.366</f>
        <v>2114.366</v>
      </c>
      <c r="F1603">
        <f>1917.6</f>
        <v>1917.6</v>
      </c>
      <c r="G1603">
        <f>7946.541</f>
        <v>7946.5410000000002</v>
      </c>
      <c r="H1603">
        <f>3062.83</f>
        <v>3062.83</v>
      </c>
      <c r="I1603">
        <f>9570.371</f>
        <v>9570.3709999999992</v>
      </c>
      <c r="J1603">
        <f>3442.71</f>
        <v>3442.71</v>
      </c>
      <c r="K1603">
        <f>9577.48</f>
        <v>9577.48</v>
      </c>
      <c r="L1603">
        <f>1827.54</f>
        <v>1827.54</v>
      </c>
      <c r="M1603">
        <f>7508.95</f>
        <v>7508.95</v>
      </c>
      <c r="N1603">
        <f>329.581</f>
        <v>329.58100000000002</v>
      </c>
      <c r="O1603">
        <f>2916.51</f>
        <v>2916.51</v>
      </c>
      <c r="P1603">
        <f>238.4</f>
        <v>238.4</v>
      </c>
      <c r="Q1603">
        <f>2157.878</f>
        <v>2157.8780000000002</v>
      </c>
      <c r="R1603">
        <f>4611.21</f>
        <v>4611.21</v>
      </c>
      <c r="S1603">
        <f>2276.46</f>
        <v>2276.46</v>
      </c>
      <c r="T1603">
        <f>3993.18</f>
        <v>3993.18</v>
      </c>
      <c r="U1603">
        <f>54172.76</f>
        <v>54172.76</v>
      </c>
      <c r="V1603">
        <f>346.41</f>
        <v>346.41</v>
      </c>
    </row>
    <row r="1604" spans="1:22" x14ac:dyDescent="0.2">
      <c r="A1604" s="1">
        <v>42863</v>
      </c>
      <c r="B1604">
        <f>2993.61</f>
        <v>2993.61</v>
      </c>
      <c r="C1604">
        <f>8810.4</f>
        <v>8810.4</v>
      </c>
      <c r="D1604">
        <f>6039.2</f>
        <v>6039.2</v>
      </c>
      <c r="E1604">
        <f>2102.475</f>
        <v>2102.4749999999999</v>
      </c>
      <c r="F1604">
        <f>1908.61</f>
        <v>1908.61</v>
      </c>
      <c r="G1604">
        <f>7895.824</f>
        <v>7895.8239999999996</v>
      </c>
      <c r="H1604">
        <f>3113.21</f>
        <v>3113.21</v>
      </c>
      <c r="I1604">
        <f>9580.721</f>
        <v>9580.7209999999995</v>
      </c>
      <c r="J1604">
        <f>3451.7</f>
        <v>3451.7</v>
      </c>
      <c r="K1604">
        <f>9586.87</f>
        <v>9586.8700000000008</v>
      </c>
      <c r="L1604">
        <f>1831.23</f>
        <v>1831.23</v>
      </c>
      <c r="M1604">
        <f>7523.83</f>
        <v>7523.83</v>
      </c>
      <c r="N1604">
        <f>327.612</f>
        <v>327.61200000000002</v>
      </c>
      <c r="O1604">
        <f>2902.42</f>
        <v>2902.42</v>
      </c>
      <c r="P1604">
        <f>238.74</f>
        <v>238.74</v>
      </c>
      <c r="Q1604">
        <f>2159.274</f>
        <v>2159.2739999999999</v>
      </c>
      <c r="R1604">
        <f>4615.73</f>
        <v>4615.7299999999996</v>
      </c>
      <c r="S1604">
        <f>2282.33</f>
        <v>2282.33</v>
      </c>
      <c r="T1604">
        <f>3986.192</f>
        <v>3986.192</v>
      </c>
      <c r="U1604">
        <f>53696.37</f>
        <v>53696.37</v>
      </c>
      <c r="V1604">
        <f>344.99</f>
        <v>344.99</v>
      </c>
    </row>
    <row r="1605" spans="1:22" x14ac:dyDescent="0.2">
      <c r="A1605" s="1">
        <v>42860</v>
      </c>
      <c r="B1605">
        <f>2981.98</f>
        <v>2981.98</v>
      </c>
      <c r="C1605">
        <f>8781.22</f>
        <v>8781.2199999999993</v>
      </c>
      <c r="D1605">
        <f>6036.36</f>
        <v>6036.36</v>
      </c>
      <c r="E1605">
        <f>2087.732</f>
        <v>2087.732</v>
      </c>
      <c r="F1605">
        <f>1907.32</f>
        <v>1907.32</v>
      </c>
      <c r="G1605">
        <f>7902.537</f>
        <v>7902.5370000000003</v>
      </c>
      <c r="H1605">
        <f>3068.99</f>
        <v>3068.99</v>
      </c>
      <c r="I1605">
        <f>9652.369</f>
        <v>9652.3690000000006</v>
      </c>
      <c r="J1605">
        <f>3456.02</f>
        <v>3456.02</v>
      </c>
      <c r="K1605">
        <f>9588.03</f>
        <v>9588.0300000000007</v>
      </c>
      <c r="L1605">
        <f>1833.18</f>
        <v>1833.18</v>
      </c>
      <c r="M1605">
        <f>7519.01</f>
        <v>7519.01</v>
      </c>
      <c r="N1605">
        <f>326.555</f>
        <v>326.55500000000001</v>
      </c>
      <c r="O1605">
        <f>2902.31</f>
        <v>2902.31</v>
      </c>
      <c r="P1605" t="e">
        <f>NA()</f>
        <v>#N/A</v>
      </c>
      <c r="Q1605">
        <f>2166.595</f>
        <v>2166.5949999999998</v>
      </c>
      <c r="R1605">
        <f>4615.09</f>
        <v>4615.09</v>
      </c>
      <c r="S1605" t="e">
        <f>NA()</f>
        <v>#N/A</v>
      </c>
      <c r="T1605">
        <f>3970.392</f>
        <v>3970.3919999999998</v>
      </c>
      <c r="U1605">
        <f>53579.01</f>
        <v>53579.01</v>
      </c>
      <c r="V1605">
        <f>342.66</f>
        <v>342.66</v>
      </c>
    </row>
    <row r="1606" spans="1:22" x14ac:dyDescent="0.2">
      <c r="A1606" s="1">
        <v>42859</v>
      </c>
      <c r="B1606">
        <f>2956.02</f>
        <v>2956.02</v>
      </c>
      <c r="C1606">
        <f>8827.06</f>
        <v>8827.06</v>
      </c>
      <c r="D1606">
        <f>5995.56</f>
        <v>5995.56</v>
      </c>
      <c r="E1606">
        <f>2091.45</f>
        <v>2091.4499999999998</v>
      </c>
      <c r="F1606">
        <f>1881.69</f>
        <v>1881.69</v>
      </c>
      <c r="G1606">
        <f>7824.718</f>
        <v>7824.7179999999998</v>
      </c>
      <c r="H1606">
        <f>3066.81</f>
        <v>3066.81</v>
      </c>
      <c r="I1606">
        <f>9541.963</f>
        <v>9541.9629999999997</v>
      </c>
      <c r="J1606">
        <f>3442.79</f>
        <v>3442.79</v>
      </c>
      <c r="K1606">
        <f>9545.8</f>
        <v>9545.7999999999993</v>
      </c>
      <c r="L1606">
        <f>1822.22</f>
        <v>1822.22</v>
      </c>
      <c r="M1606">
        <f>7477.35</f>
        <v>7477.35</v>
      </c>
      <c r="N1606">
        <f>325.482</f>
        <v>325.48200000000003</v>
      </c>
      <c r="O1606">
        <f>2879.93</f>
        <v>2879.93</v>
      </c>
      <c r="P1606" t="e">
        <f>NA()</f>
        <v>#N/A</v>
      </c>
      <c r="Q1606">
        <f>2156.785</f>
        <v>2156.7849999999999</v>
      </c>
      <c r="R1606">
        <f>4596.24</f>
        <v>4596.24</v>
      </c>
      <c r="S1606" t="e">
        <f>NA()</f>
        <v>#N/A</v>
      </c>
      <c r="T1606">
        <f>3993.887</f>
        <v>3993.8870000000002</v>
      </c>
      <c r="U1606">
        <f>53406.31</f>
        <v>53406.31</v>
      </c>
      <c r="V1606">
        <f>343.99</f>
        <v>343.99</v>
      </c>
    </row>
    <row r="1607" spans="1:22" x14ac:dyDescent="0.2">
      <c r="A1607" s="1">
        <v>42858</v>
      </c>
      <c r="B1607">
        <f>2964.83</f>
        <v>2964.83</v>
      </c>
      <c r="C1607">
        <f>8896.4</f>
        <v>8896.4</v>
      </c>
      <c r="D1607">
        <f>5981.8</f>
        <v>5981.8</v>
      </c>
      <c r="E1607">
        <f>2103.311</f>
        <v>2103.3110000000001</v>
      </c>
      <c r="F1607">
        <f>1873.51</f>
        <v>1873.51</v>
      </c>
      <c r="G1607">
        <f>7798.529</f>
        <v>7798.5290000000005</v>
      </c>
      <c r="H1607">
        <f>3077.19</f>
        <v>3077.19</v>
      </c>
      <c r="I1607">
        <f>9410.207</f>
        <v>9410.2070000000003</v>
      </c>
      <c r="J1607">
        <f>3440.64</f>
        <v>3440.64</v>
      </c>
      <c r="K1607">
        <f>9541.16</f>
        <v>9541.16</v>
      </c>
      <c r="L1607">
        <f>1816.75</f>
        <v>1816.75</v>
      </c>
      <c r="M1607">
        <f>7462.39</f>
        <v>7462.39</v>
      </c>
      <c r="N1607">
        <f>325.146</f>
        <v>325.14600000000002</v>
      </c>
      <c r="O1607">
        <f>2860.21</f>
        <v>2860.21</v>
      </c>
      <c r="P1607" t="e">
        <f>NA()</f>
        <v>#N/A</v>
      </c>
      <c r="Q1607">
        <f>2147.95</f>
        <v>2147.9499999999998</v>
      </c>
      <c r="R1607">
        <f>4593.32</f>
        <v>4593.32</v>
      </c>
      <c r="S1607" t="e">
        <f>NA()</f>
        <v>#N/A</v>
      </c>
      <c r="T1607">
        <f>4022.369</f>
        <v>4022.3690000000001</v>
      </c>
      <c r="U1607">
        <f>53586.63</f>
        <v>53586.63</v>
      </c>
      <c r="V1607">
        <f>347.71</f>
        <v>347.71</v>
      </c>
    </row>
    <row r="1608" spans="1:22" x14ac:dyDescent="0.2">
      <c r="A1608" s="1">
        <v>42857</v>
      </c>
      <c r="B1608">
        <f>2989.26</f>
        <v>2989.26</v>
      </c>
      <c r="C1608">
        <f>8918.21</f>
        <v>8918.2099999999991</v>
      </c>
      <c r="D1608">
        <f>5994.63</f>
        <v>5994.63</v>
      </c>
      <c r="E1608">
        <f>2108.3</f>
        <v>2108.3000000000002</v>
      </c>
      <c r="F1608">
        <f>1884.12</f>
        <v>1884.12</v>
      </c>
      <c r="G1608">
        <f>7832.003</f>
        <v>7832.0029999999997</v>
      </c>
      <c r="H1608">
        <f>3082.81</f>
        <v>3082.81</v>
      </c>
      <c r="I1608">
        <f>9385.387</f>
        <v>9385.3870000000006</v>
      </c>
      <c r="J1608">
        <f>3444.42</f>
        <v>3444.42</v>
      </c>
      <c r="K1608">
        <f>9555.53</f>
        <v>9555.5300000000007</v>
      </c>
      <c r="L1608">
        <f>1817.2</f>
        <v>1817.2</v>
      </c>
      <c r="M1608">
        <f>7473.23</f>
        <v>7473.23</v>
      </c>
      <c r="N1608">
        <f>324.926</f>
        <v>324.92599999999999</v>
      </c>
      <c r="O1608">
        <f>2859.4</f>
        <v>2859.4</v>
      </c>
      <c r="P1608">
        <f>233.48</f>
        <v>233.48</v>
      </c>
      <c r="Q1608">
        <f>2150.623</f>
        <v>2150.623</v>
      </c>
      <c r="R1608">
        <f>4598.24</f>
        <v>4598.24</v>
      </c>
      <c r="S1608">
        <f>2231.15</f>
        <v>2231.15</v>
      </c>
      <c r="T1608">
        <f>4071.248</f>
        <v>4071.248</v>
      </c>
      <c r="U1608">
        <f>53915.64</f>
        <v>53915.64</v>
      </c>
      <c r="V1608">
        <f>352.08</f>
        <v>352.08</v>
      </c>
    </row>
    <row r="1609" spans="1:22" x14ac:dyDescent="0.2">
      <c r="A1609" s="1">
        <v>42856</v>
      </c>
      <c r="B1609">
        <f>2952.64</f>
        <v>2952.64</v>
      </c>
      <c r="C1609">
        <f>8861.13</f>
        <v>8861.1299999999992</v>
      </c>
      <c r="D1609">
        <f>5956.51</f>
        <v>5956.51</v>
      </c>
      <c r="E1609">
        <f>2089.85</f>
        <v>2089.85</v>
      </c>
      <c r="F1609">
        <f>1855.32</f>
        <v>1855.32</v>
      </c>
      <c r="G1609">
        <f>7784.888</f>
        <v>7784.8879999999999</v>
      </c>
      <c r="H1609">
        <f>3076.8</f>
        <v>3076.8</v>
      </c>
      <c r="I1609">
        <f>9322.965</f>
        <v>9322.9650000000001</v>
      </c>
      <c r="J1609">
        <f>3441.3</f>
        <v>3441.3</v>
      </c>
      <c r="K1609">
        <f>9547.97</f>
        <v>9547.9699999999993</v>
      </c>
      <c r="L1609">
        <f>1811.57</f>
        <v>1811.57</v>
      </c>
      <c r="M1609">
        <f>7457.04</f>
        <v>7457.04</v>
      </c>
      <c r="N1609">
        <f>321.128</f>
        <v>321.12799999999999</v>
      </c>
      <c r="O1609">
        <f>2836.91</f>
        <v>2836.91</v>
      </c>
      <c r="P1609">
        <f>232.43</f>
        <v>232.43</v>
      </c>
      <c r="Q1609">
        <f>2153.907</f>
        <v>2153.9070000000002</v>
      </c>
      <c r="R1609">
        <f>4592.78</f>
        <v>4592.78</v>
      </c>
      <c r="S1609">
        <f>2215.98</f>
        <v>2215.98</v>
      </c>
      <c r="T1609" t="e">
        <f>NA()</f>
        <v>#N/A</v>
      </c>
      <c r="U1609" t="e">
        <f>NA()</f>
        <v>#N/A</v>
      </c>
      <c r="V1609" t="e">
        <f>NA()</f>
        <v>#N/A</v>
      </c>
    </row>
    <row r="1610" spans="1:22" x14ac:dyDescent="0.2">
      <c r="A1610" s="1">
        <v>42853</v>
      </c>
      <c r="B1610">
        <f>2952.64</f>
        <v>2952.64</v>
      </c>
      <c r="C1610">
        <f>8850.12</f>
        <v>8850.1200000000008</v>
      </c>
      <c r="D1610">
        <f>5956.51</f>
        <v>5956.51</v>
      </c>
      <c r="E1610">
        <f>2086.005</f>
        <v>2086.0050000000001</v>
      </c>
      <c r="F1610">
        <f>1856.62</f>
        <v>1856.62</v>
      </c>
      <c r="G1610">
        <f>7790.307</f>
        <v>7790.3069999999998</v>
      </c>
      <c r="H1610">
        <f>3050.37</f>
        <v>3050.37</v>
      </c>
      <c r="I1610">
        <f>9303.11</f>
        <v>9303.11</v>
      </c>
      <c r="J1610">
        <f>3448.25</f>
        <v>3448.25</v>
      </c>
      <c r="K1610">
        <f>9529.12</f>
        <v>9529.1200000000008</v>
      </c>
      <c r="L1610">
        <f>1812.12</f>
        <v>1812.12</v>
      </c>
      <c r="M1610">
        <f>7440.26</f>
        <v>7440.26</v>
      </c>
      <c r="N1610">
        <f>322.045</f>
        <v>322.04500000000002</v>
      </c>
      <c r="O1610">
        <f>2840.68</f>
        <v>2840.68</v>
      </c>
      <c r="P1610">
        <f>231.46</f>
        <v>231.46</v>
      </c>
      <c r="Q1610">
        <f>2159.31</f>
        <v>2159.31</v>
      </c>
      <c r="R1610">
        <f>4584.82</f>
        <v>4584.82</v>
      </c>
      <c r="S1610">
        <f>2204.51</f>
        <v>2204.5100000000002</v>
      </c>
      <c r="T1610">
        <f>4038.184</f>
        <v>4038.1840000000002</v>
      </c>
      <c r="U1610">
        <f>53817.31</f>
        <v>53817.31</v>
      </c>
      <c r="V1610">
        <f>351.95</f>
        <v>351.95</v>
      </c>
    </row>
    <row r="1611" spans="1:22" x14ac:dyDescent="0.2">
      <c r="A1611" s="1">
        <v>42852</v>
      </c>
      <c r="B1611">
        <f>2967.99</f>
        <v>2967.99</v>
      </c>
      <c r="C1611">
        <f>8853.54</f>
        <v>8853.5400000000009</v>
      </c>
      <c r="D1611">
        <f>5983.98</f>
        <v>5983.98</v>
      </c>
      <c r="E1611">
        <f>2089.564</f>
        <v>2089.5639999999999</v>
      </c>
      <c r="F1611">
        <f>1859.25</f>
        <v>1859.25</v>
      </c>
      <c r="G1611">
        <f>7802.472</f>
        <v>7802.4719999999998</v>
      </c>
      <c r="H1611">
        <f>3057.42</f>
        <v>3057.42</v>
      </c>
      <c r="I1611">
        <f>9290.469</f>
        <v>9290.4689999999991</v>
      </c>
      <c r="J1611">
        <f>3458.68</f>
        <v>3458.68</v>
      </c>
      <c r="K1611">
        <f>9547.81</f>
        <v>9547.81</v>
      </c>
      <c r="L1611">
        <f>1815.58</f>
        <v>1815.58</v>
      </c>
      <c r="M1611">
        <f>7450.74</f>
        <v>7450.74</v>
      </c>
      <c r="N1611">
        <f>323.69</f>
        <v>323.69</v>
      </c>
      <c r="O1611">
        <f>2845.21</f>
        <v>2845.21</v>
      </c>
      <c r="P1611">
        <f>230.7</f>
        <v>230.7</v>
      </c>
      <c r="Q1611">
        <f>2167.944</f>
        <v>2167.944</v>
      </c>
      <c r="R1611">
        <f>4593.57</f>
        <v>4593.57</v>
      </c>
      <c r="S1611">
        <f>2211.52</f>
        <v>2211.52</v>
      </c>
      <c r="T1611" t="e">
        <f>NA()</f>
        <v>#N/A</v>
      </c>
      <c r="U1611" t="e">
        <f>NA()</f>
        <v>#N/A</v>
      </c>
      <c r="V1611" t="e">
        <f>NA()</f>
        <v>#N/A</v>
      </c>
    </row>
    <row r="1612" spans="1:22" x14ac:dyDescent="0.2">
      <c r="A1612" s="1">
        <v>42851</v>
      </c>
      <c r="B1612">
        <f>2984.49</f>
        <v>2984.49</v>
      </c>
      <c r="C1612">
        <f>8902.62</f>
        <v>8902.6200000000008</v>
      </c>
      <c r="D1612">
        <f>6022.54</f>
        <v>6022.54</v>
      </c>
      <c r="E1612">
        <f>2095.495</f>
        <v>2095.4949999999999</v>
      </c>
      <c r="F1612">
        <f>1852.77</f>
        <v>1852.77</v>
      </c>
      <c r="G1612">
        <f>7827.999</f>
        <v>7827.9989999999998</v>
      </c>
      <c r="H1612">
        <f>3047.3</f>
        <v>3047.3</v>
      </c>
      <c r="I1612">
        <f>9315.962</f>
        <v>9315.9619999999995</v>
      </c>
      <c r="J1612">
        <f>3456.35</f>
        <v>3456.35</v>
      </c>
      <c r="K1612">
        <f>9538.4</f>
        <v>9538.4</v>
      </c>
      <c r="L1612">
        <f>1818.26</f>
        <v>1818.26</v>
      </c>
      <c r="M1612">
        <f>7453.78</f>
        <v>7453.78</v>
      </c>
      <c r="N1612">
        <f>322.148</f>
        <v>322.14800000000002</v>
      </c>
      <c r="O1612">
        <f>2850.6</f>
        <v>2850.6</v>
      </c>
      <c r="P1612">
        <f>231.63</f>
        <v>231.63</v>
      </c>
      <c r="Q1612">
        <f>2163.48</f>
        <v>2163.48</v>
      </c>
      <c r="R1612">
        <f>4590.56</f>
        <v>4590.5600000000004</v>
      </c>
      <c r="S1612">
        <f>2212.58</f>
        <v>2212.58</v>
      </c>
      <c r="T1612">
        <f>4008.432</f>
        <v>4008.4319999999998</v>
      </c>
      <c r="U1612">
        <f>53680.69</f>
        <v>53680.69</v>
      </c>
      <c r="V1612">
        <f>351.29</f>
        <v>351.29</v>
      </c>
    </row>
    <row r="1613" spans="1:22" x14ac:dyDescent="0.2">
      <c r="A1613" s="1">
        <v>42850</v>
      </c>
      <c r="B1613">
        <f>2977.4</f>
        <v>2977.4</v>
      </c>
      <c r="C1613">
        <f>8893.38</f>
        <v>8893.3799999999992</v>
      </c>
      <c r="D1613">
        <f>6011.73</f>
        <v>6011.73</v>
      </c>
      <c r="E1613">
        <f>2095.653</f>
        <v>2095.6529999999998</v>
      </c>
      <c r="F1613">
        <f>1849.29</f>
        <v>1849.29</v>
      </c>
      <c r="G1613">
        <f>7795.198</f>
        <v>7795.1980000000003</v>
      </c>
      <c r="H1613">
        <f>3021.95</f>
        <v>3021.95</v>
      </c>
      <c r="I1613">
        <f>9329.766</f>
        <v>9329.7659999999996</v>
      </c>
      <c r="J1613">
        <f>3465.01</f>
        <v>3465.01</v>
      </c>
      <c r="K1613">
        <f>9542.17</f>
        <v>9542.17</v>
      </c>
      <c r="L1613">
        <f>1821.06</f>
        <v>1821.06</v>
      </c>
      <c r="M1613">
        <f>7451.75</f>
        <v>7451.75</v>
      </c>
      <c r="N1613">
        <f>319.752</f>
        <v>319.75200000000001</v>
      </c>
      <c r="O1613">
        <f>2838.06</f>
        <v>2838.06</v>
      </c>
      <c r="P1613">
        <f>229.66</f>
        <v>229.66</v>
      </c>
      <c r="Q1613">
        <f>2166.202</f>
        <v>2166.2020000000002</v>
      </c>
      <c r="R1613">
        <f>4592.74</f>
        <v>4592.74</v>
      </c>
      <c r="S1613">
        <f>2186.36</f>
        <v>2186.36</v>
      </c>
      <c r="T1613">
        <f>3997.537</f>
        <v>3997.5369999999998</v>
      </c>
      <c r="U1613">
        <f>53257.44</f>
        <v>53257.440000000002</v>
      </c>
      <c r="V1613">
        <f>349.06</f>
        <v>349.06</v>
      </c>
    </row>
    <row r="1614" spans="1:22" x14ac:dyDescent="0.2">
      <c r="A1614" s="1">
        <v>42849</v>
      </c>
      <c r="B1614">
        <f>2981.13</f>
        <v>2981.13</v>
      </c>
      <c r="C1614">
        <f>8793.08</f>
        <v>8793.08</v>
      </c>
      <c r="D1614">
        <f>6002.67</f>
        <v>6002.67</v>
      </c>
      <c r="E1614">
        <f>2071.542</f>
        <v>2071.5419999999999</v>
      </c>
      <c r="F1614">
        <f>1843.14</f>
        <v>1843.14</v>
      </c>
      <c r="G1614">
        <f>7753.064</f>
        <v>7753.0640000000003</v>
      </c>
      <c r="H1614">
        <f>3021.35</f>
        <v>3021.35</v>
      </c>
      <c r="I1614">
        <f>9242.484</f>
        <v>9242.4840000000004</v>
      </c>
      <c r="J1614">
        <f>3451.21</f>
        <v>3451.21</v>
      </c>
      <c r="K1614">
        <f>9483.97</f>
        <v>9483.9699999999993</v>
      </c>
      <c r="L1614">
        <f>1812.7</f>
        <v>1812.7</v>
      </c>
      <c r="M1614">
        <f>7410</f>
        <v>7410</v>
      </c>
      <c r="N1614">
        <f>321.82</f>
        <v>321.82</v>
      </c>
      <c r="O1614">
        <f>2833.01</f>
        <v>2833.01</v>
      </c>
      <c r="P1614">
        <f>228.26</f>
        <v>228.26</v>
      </c>
      <c r="Q1614">
        <f>2152.546</f>
        <v>2152.5459999999998</v>
      </c>
      <c r="R1614">
        <f>4564.93</f>
        <v>4564.93</v>
      </c>
      <c r="S1614">
        <f>2163.3</f>
        <v>2163.3000000000002</v>
      </c>
      <c r="T1614">
        <f>3993.119</f>
        <v>3993.1190000000001</v>
      </c>
      <c r="U1614">
        <f>52921.41</f>
        <v>52921.41</v>
      </c>
      <c r="V1614">
        <f>350.44</f>
        <v>350.44</v>
      </c>
    </row>
    <row r="1615" spans="1:22" x14ac:dyDescent="0.2">
      <c r="A1615" s="1">
        <v>42846</v>
      </c>
      <c r="B1615">
        <f>2937.29</f>
        <v>2937.29</v>
      </c>
      <c r="C1615">
        <f>8688.81</f>
        <v>8688.81</v>
      </c>
      <c r="D1615">
        <f>5878.62</f>
        <v>5878.62</v>
      </c>
      <c r="E1615">
        <f>2050.384</f>
        <v>2050.384</v>
      </c>
      <c r="F1615">
        <f>1813.16</f>
        <v>1813.16</v>
      </c>
      <c r="G1615">
        <f>7599.884</f>
        <v>7599.884</v>
      </c>
      <c r="H1615">
        <f>3020</f>
        <v>3020</v>
      </c>
      <c r="I1615">
        <f>8842.69</f>
        <v>8842.69</v>
      </c>
      <c r="J1615">
        <f>3417.59</f>
        <v>3417.59</v>
      </c>
      <c r="K1615">
        <f>9382.66</f>
        <v>9382.66</v>
      </c>
      <c r="L1615">
        <f>1781.5</f>
        <v>1781.5</v>
      </c>
      <c r="M1615">
        <f>7292.16</f>
        <v>7292.16</v>
      </c>
      <c r="N1615">
        <f>318.713</f>
        <v>318.71300000000002</v>
      </c>
      <c r="O1615">
        <f>2770.95</f>
        <v>2770.95</v>
      </c>
      <c r="P1615">
        <f>224.75</f>
        <v>224.75</v>
      </c>
      <c r="Q1615">
        <f>2126.825</f>
        <v>2126.8249999999998</v>
      </c>
      <c r="R1615">
        <f>4515.9</f>
        <v>4515.8999999999996</v>
      </c>
      <c r="S1615">
        <f>2142.28</f>
        <v>2142.2800000000002</v>
      </c>
      <c r="T1615">
        <f>3907.986</f>
        <v>3907.9859999999999</v>
      </c>
      <c r="U1615">
        <f>52194.59</f>
        <v>52194.59</v>
      </c>
      <c r="V1615">
        <f>346.02</f>
        <v>346.02</v>
      </c>
    </row>
    <row r="1616" spans="1:22" x14ac:dyDescent="0.2">
      <c r="A1616" s="1">
        <v>42845</v>
      </c>
      <c r="B1616">
        <f>2943.14</f>
        <v>2943.14</v>
      </c>
      <c r="C1616">
        <f>8669.22</f>
        <v>8669.2199999999993</v>
      </c>
      <c r="D1616">
        <f>5881.92</f>
        <v>5881.92</v>
      </c>
      <c r="E1616">
        <f>2043.058</f>
        <v>2043.058</v>
      </c>
      <c r="F1616">
        <f>1823.89</f>
        <v>1823.89</v>
      </c>
      <c r="G1616">
        <f>7644.424</f>
        <v>7644.424</v>
      </c>
      <c r="H1616">
        <f>2972.97</f>
        <v>2972.97</v>
      </c>
      <c r="I1616">
        <f>8908.409</f>
        <v>8908.4089999999997</v>
      </c>
      <c r="J1616">
        <f>3423.42</f>
        <v>3423.42</v>
      </c>
      <c r="K1616">
        <f>9411.18</f>
        <v>9411.18</v>
      </c>
      <c r="L1616">
        <f>1788.07</f>
        <v>1788.07</v>
      </c>
      <c r="M1616">
        <f>7309.9</f>
        <v>7309.9</v>
      </c>
      <c r="N1616">
        <f>319.063</f>
        <v>319.06299999999999</v>
      </c>
      <c r="O1616">
        <f>2770.14</f>
        <v>2770.14</v>
      </c>
      <c r="P1616">
        <f>222.62</f>
        <v>222.62</v>
      </c>
      <c r="Q1616">
        <f>2130.468</f>
        <v>2130.4679999999998</v>
      </c>
      <c r="R1616">
        <f>4529.65</f>
        <v>4529.6499999999996</v>
      </c>
      <c r="S1616">
        <f>2119.58</f>
        <v>2119.58</v>
      </c>
      <c r="T1616">
        <f>3923.937</f>
        <v>3923.9369999999999</v>
      </c>
      <c r="U1616">
        <f>52496.62</f>
        <v>52496.62</v>
      </c>
      <c r="V1616">
        <f>346.32</f>
        <v>346.32</v>
      </c>
    </row>
    <row r="1617" spans="1:22" x14ac:dyDescent="0.2">
      <c r="A1617" s="1">
        <v>42844</v>
      </c>
      <c r="B1617">
        <f>2954.64</f>
        <v>2954.64</v>
      </c>
      <c r="C1617">
        <f>8641.65</f>
        <v>8641.65</v>
      </c>
      <c r="D1617">
        <f>5875.91</f>
        <v>5875.91</v>
      </c>
      <c r="E1617">
        <f>2031.244</f>
        <v>2031.2439999999999</v>
      </c>
      <c r="F1617">
        <f>1820.65</f>
        <v>1820.65</v>
      </c>
      <c r="G1617">
        <f>7618.825</f>
        <v>7618.8249999999998</v>
      </c>
      <c r="H1617">
        <f>2964.58</f>
        <v>2964.58</v>
      </c>
      <c r="I1617">
        <f>8832.58</f>
        <v>8832.58</v>
      </c>
      <c r="J1617">
        <f>3413.22</f>
        <v>3413.22</v>
      </c>
      <c r="K1617">
        <f>9341.54</f>
        <v>9341.5400000000009</v>
      </c>
      <c r="L1617">
        <f>1782.12</f>
        <v>1782.12</v>
      </c>
      <c r="M1617">
        <f>7263.53</f>
        <v>7263.53</v>
      </c>
      <c r="N1617">
        <f>319.214</f>
        <v>319.214</v>
      </c>
      <c r="O1617">
        <f>2763.08</f>
        <v>2763.08</v>
      </c>
      <c r="P1617">
        <f>222.96</f>
        <v>222.96</v>
      </c>
      <c r="Q1617">
        <f>2114.358</f>
        <v>2114.3580000000002</v>
      </c>
      <c r="R1617">
        <f>4495.56</f>
        <v>4495.5600000000004</v>
      </c>
      <c r="S1617">
        <f>2117.59</f>
        <v>2117.59</v>
      </c>
      <c r="T1617">
        <f>3916.532</f>
        <v>3916.5320000000002</v>
      </c>
      <c r="U1617">
        <f>52545.12</f>
        <v>52545.120000000003</v>
      </c>
      <c r="V1617">
        <f>346.79</f>
        <v>346.79</v>
      </c>
    </row>
    <row r="1618" spans="1:22" x14ac:dyDescent="0.2">
      <c r="A1618" s="1">
        <v>42843</v>
      </c>
      <c r="B1618">
        <f>2943.51</f>
        <v>2943.51</v>
      </c>
      <c r="C1618">
        <f>8700.42</f>
        <v>8700.42</v>
      </c>
      <c r="D1618">
        <f>5903.27</f>
        <v>5903.27</v>
      </c>
      <c r="E1618">
        <f>2041.304</f>
        <v>2041.3040000000001</v>
      </c>
      <c r="F1618">
        <f>1803.05</f>
        <v>1803.05</v>
      </c>
      <c r="G1618">
        <f>7623.847</f>
        <v>7623.8469999999998</v>
      </c>
      <c r="H1618">
        <f>2981.33</f>
        <v>2981.33</v>
      </c>
      <c r="I1618">
        <f>8784.836</f>
        <v>8784.8359999999993</v>
      </c>
      <c r="J1618">
        <f>3426.07</f>
        <v>3426.07</v>
      </c>
      <c r="K1618">
        <f>9355.61</f>
        <v>9355.61</v>
      </c>
      <c r="L1618">
        <f>1787.64</f>
        <v>1787.64</v>
      </c>
      <c r="M1618">
        <f>7271.61</f>
        <v>7271.61</v>
      </c>
      <c r="N1618">
        <f>319.255</f>
        <v>319.255</v>
      </c>
      <c r="O1618">
        <f>2757.75</f>
        <v>2757.75</v>
      </c>
      <c r="P1618">
        <f>222.3</f>
        <v>222.3</v>
      </c>
      <c r="Q1618">
        <f>2116.438</f>
        <v>2116.4380000000001</v>
      </c>
      <c r="R1618">
        <f>4502.66</f>
        <v>4502.66</v>
      </c>
      <c r="S1618">
        <f>2117.74</f>
        <v>2117.7399999999998</v>
      </c>
      <c r="T1618">
        <f>3917.617</f>
        <v>3917.6170000000002</v>
      </c>
      <c r="U1618">
        <f>52672.75</f>
        <v>52672.75</v>
      </c>
      <c r="V1618">
        <f>347.98</f>
        <v>347.98</v>
      </c>
    </row>
    <row r="1619" spans="1:22" x14ac:dyDescent="0.2">
      <c r="A1619" s="1">
        <v>42842</v>
      </c>
      <c r="B1619">
        <f>2987.81</f>
        <v>2987.81</v>
      </c>
      <c r="C1619">
        <f>8766.1</f>
        <v>8766.1</v>
      </c>
      <c r="D1619">
        <f>6052.01</f>
        <v>6052.01</v>
      </c>
      <c r="E1619">
        <f>2051.862</f>
        <v>2051.8620000000001</v>
      </c>
      <c r="F1619">
        <f>1800.44</f>
        <v>1800.44</v>
      </c>
      <c r="G1619">
        <f>7709.461</f>
        <v>7709.4610000000002</v>
      </c>
      <c r="H1619">
        <f>2979.97</f>
        <v>2979.97</v>
      </c>
      <c r="I1619">
        <f>8853.143</f>
        <v>8853.143</v>
      </c>
      <c r="J1619">
        <f>3431.61</f>
        <v>3431.61</v>
      </c>
      <c r="K1619">
        <f>9380.88</f>
        <v>9380.8799999999992</v>
      </c>
      <c r="L1619">
        <f>1796.44</f>
        <v>1796.44</v>
      </c>
      <c r="M1619">
        <f>7305.76</f>
        <v>7305.76</v>
      </c>
      <c r="N1619" t="e">
        <f>NA()</f>
        <v>#N/A</v>
      </c>
      <c r="O1619" t="e">
        <f>NA()</f>
        <v>#N/A</v>
      </c>
      <c r="P1619">
        <f>221.6</f>
        <v>221.6</v>
      </c>
      <c r="Q1619">
        <f>2125.398</f>
        <v>2125.3980000000001</v>
      </c>
      <c r="R1619">
        <f>4515.65</f>
        <v>4515.6499999999996</v>
      </c>
      <c r="S1619">
        <f>2109.33</f>
        <v>2109.33</v>
      </c>
      <c r="T1619" t="e">
        <f>NA()</f>
        <v>#N/A</v>
      </c>
      <c r="U1619" t="e">
        <f>NA()</f>
        <v>#N/A</v>
      </c>
      <c r="V1619" t="e">
        <f>NA()</f>
        <v>#N/A</v>
      </c>
    </row>
    <row r="1620" spans="1:22" x14ac:dyDescent="0.2">
      <c r="A1620" s="1">
        <v>42839</v>
      </c>
      <c r="B1620">
        <f>2987.81</f>
        <v>2987.81</v>
      </c>
      <c r="C1620">
        <f>8721.71</f>
        <v>8721.7099999999991</v>
      </c>
      <c r="D1620">
        <f>6052.01</f>
        <v>6052.01</v>
      </c>
      <c r="E1620">
        <f>2046.882</f>
        <v>2046.8820000000001</v>
      </c>
      <c r="F1620">
        <f>1789.58</f>
        <v>1789.58</v>
      </c>
      <c r="G1620">
        <f>7662.937</f>
        <v>7662.9369999999999</v>
      </c>
      <c r="H1620">
        <f>2956.8</f>
        <v>2956.8</v>
      </c>
      <c r="I1620">
        <f>8821.459</f>
        <v>8821.4590000000007</v>
      </c>
      <c r="J1620">
        <f>3411.72</f>
        <v>3411.72</v>
      </c>
      <c r="K1620">
        <f>9301.09</f>
        <v>9301.09</v>
      </c>
      <c r="L1620">
        <f>1787.2</f>
        <v>1787.2</v>
      </c>
      <c r="M1620">
        <f>7250.92</f>
        <v>7250.92</v>
      </c>
      <c r="N1620" t="e">
        <f>NA()</f>
        <v>#N/A</v>
      </c>
      <c r="O1620" t="e">
        <f>NA()</f>
        <v>#N/A</v>
      </c>
      <c r="P1620">
        <f>219.87</f>
        <v>219.87</v>
      </c>
      <c r="Q1620" t="e">
        <f>NA()</f>
        <v>#N/A</v>
      </c>
      <c r="R1620" t="e">
        <f>NA()</f>
        <v>#N/A</v>
      </c>
      <c r="S1620">
        <f>2099.8</f>
        <v>2099.8000000000002</v>
      </c>
      <c r="T1620" t="e">
        <f>NA()</f>
        <v>#N/A</v>
      </c>
      <c r="U1620" t="e">
        <f>NA()</f>
        <v>#N/A</v>
      </c>
      <c r="V1620" t="e">
        <f>NA()</f>
        <v>#N/A</v>
      </c>
    </row>
    <row r="1621" spans="1:22" x14ac:dyDescent="0.2">
      <c r="A1621" s="1">
        <v>42838</v>
      </c>
      <c r="B1621">
        <f>2987.81</f>
        <v>2987.81</v>
      </c>
      <c r="C1621">
        <f>8764.2</f>
        <v>8764.2000000000007</v>
      </c>
      <c r="D1621">
        <f>6052.01</f>
        <v>6052.01</v>
      </c>
      <c r="E1621">
        <f>2052.018</f>
        <v>2052.018</v>
      </c>
      <c r="F1621">
        <f>1789.58</f>
        <v>1789.58</v>
      </c>
      <c r="G1621">
        <f>7662.937</f>
        <v>7662.9369999999999</v>
      </c>
      <c r="H1621">
        <f>2968.32</f>
        <v>2968.32</v>
      </c>
      <c r="I1621">
        <f>8821.459</f>
        <v>8821.4590000000007</v>
      </c>
      <c r="J1621">
        <f>3411.72</f>
        <v>3411.72</v>
      </c>
      <c r="K1621">
        <f>9301.09</f>
        <v>9301.09</v>
      </c>
      <c r="L1621">
        <f>1787.37</f>
        <v>1787.37</v>
      </c>
      <c r="M1621">
        <f>7254.27</f>
        <v>7254.27</v>
      </c>
      <c r="N1621">
        <f>320.806</f>
        <v>320.80599999999998</v>
      </c>
      <c r="O1621">
        <f>2789.68</f>
        <v>2789.68</v>
      </c>
      <c r="P1621">
        <f>221.8</f>
        <v>221.8</v>
      </c>
      <c r="Q1621">
        <f>2107.245</f>
        <v>2107.2449999999999</v>
      </c>
      <c r="R1621">
        <f>4477.07</f>
        <v>4477.07</v>
      </c>
      <c r="S1621">
        <f>2113.11</f>
        <v>2113.11</v>
      </c>
      <c r="T1621">
        <f>3946.094</f>
        <v>3946.0940000000001</v>
      </c>
      <c r="U1621">
        <f>53510.22</f>
        <v>53510.22</v>
      </c>
      <c r="V1621">
        <f>355.41</f>
        <v>355.41</v>
      </c>
    </row>
    <row r="1622" spans="1:22" x14ac:dyDescent="0.2">
      <c r="A1622" s="1">
        <v>42837</v>
      </c>
      <c r="B1622">
        <f>2975.86</f>
        <v>2975.86</v>
      </c>
      <c r="C1622">
        <f>8697.05</f>
        <v>8697.0499999999993</v>
      </c>
      <c r="D1622">
        <f>6066.64</f>
        <v>6066.64</v>
      </c>
      <c r="E1622">
        <f>2041.93</f>
        <v>2041.93</v>
      </c>
      <c r="F1622">
        <f>1780.4</f>
        <v>1780.4</v>
      </c>
      <c r="G1622">
        <f>7675.688</f>
        <v>7675.6880000000001</v>
      </c>
      <c r="H1622">
        <f>2985.65</f>
        <v>2985.65</v>
      </c>
      <c r="I1622">
        <f>8853.389</f>
        <v>8853.3889999999992</v>
      </c>
      <c r="J1622">
        <f>3432.92</f>
        <v>3432.92</v>
      </c>
      <c r="K1622">
        <f>9363.14</f>
        <v>9363.14</v>
      </c>
      <c r="L1622">
        <f>1796.12</f>
        <v>1796.12</v>
      </c>
      <c r="M1622">
        <f>7292.97</f>
        <v>7292.97</v>
      </c>
      <c r="N1622">
        <f>320.127</f>
        <v>320.12700000000001</v>
      </c>
      <c r="O1622">
        <f>2800.63</f>
        <v>2800.63</v>
      </c>
      <c r="P1622">
        <f>222.91</f>
        <v>222.91</v>
      </c>
      <c r="Q1622">
        <f>2120.574</f>
        <v>2120.5740000000001</v>
      </c>
      <c r="R1622">
        <f>4507.76</f>
        <v>4507.76</v>
      </c>
      <c r="S1622">
        <f>2129.27</f>
        <v>2129.27</v>
      </c>
      <c r="T1622">
        <f>3917.13</f>
        <v>3917.13</v>
      </c>
      <c r="U1622">
        <f>53551.31</f>
        <v>53551.31</v>
      </c>
      <c r="V1622">
        <f>352.28</f>
        <v>352.28</v>
      </c>
    </row>
    <row r="1623" spans="1:22" x14ac:dyDescent="0.2">
      <c r="A1623" s="1">
        <v>42836</v>
      </c>
      <c r="B1623">
        <f>2973.49</f>
        <v>2973.49</v>
      </c>
      <c r="C1623">
        <f>8640.5</f>
        <v>8640.5</v>
      </c>
      <c r="D1623">
        <f>6080.27</f>
        <v>6080.27</v>
      </c>
      <c r="E1623">
        <f>2033.769</f>
        <v>2033.769</v>
      </c>
      <c r="F1623">
        <f>1777.8</f>
        <v>1777.8</v>
      </c>
      <c r="G1623">
        <f>7677.435</f>
        <v>7677.4350000000004</v>
      </c>
      <c r="H1623">
        <f>3013.66</f>
        <v>3013.66</v>
      </c>
      <c r="I1623">
        <f>8843.599</f>
        <v>8843.5990000000002</v>
      </c>
      <c r="J1623">
        <f>3434.34</f>
        <v>3434.34</v>
      </c>
      <c r="K1623">
        <f>9399.7</f>
        <v>9399.7000000000007</v>
      </c>
      <c r="L1623">
        <f>1794.46</f>
        <v>1794.46</v>
      </c>
      <c r="M1623">
        <f>7312.27</f>
        <v>7312.27</v>
      </c>
      <c r="N1623">
        <f>317.624</f>
        <v>317.62400000000002</v>
      </c>
      <c r="O1623">
        <f>2797.66</f>
        <v>2797.66</v>
      </c>
      <c r="P1623">
        <f>224.35</f>
        <v>224.35</v>
      </c>
      <c r="Q1623">
        <f>2127.809</f>
        <v>2127.8090000000002</v>
      </c>
      <c r="R1623">
        <f>4524.71</f>
        <v>4524.71</v>
      </c>
      <c r="S1623">
        <f>2151.67</f>
        <v>2151.67</v>
      </c>
      <c r="T1623">
        <f>3868.514</f>
        <v>3868.5140000000001</v>
      </c>
      <c r="U1623">
        <f>53535.16</f>
        <v>53535.16</v>
      </c>
      <c r="V1623">
        <f>352.05</f>
        <v>352.05</v>
      </c>
    </row>
    <row r="1624" spans="1:22" x14ac:dyDescent="0.2">
      <c r="A1624" s="1">
        <v>42835</v>
      </c>
      <c r="B1624">
        <f>2963.57</f>
        <v>2963.57</v>
      </c>
      <c r="C1624">
        <f>8661.23</f>
        <v>8661.23</v>
      </c>
      <c r="D1624">
        <f>6066.6</f>
        <v>6066.6</v>
      </c>
      <c r="E1624">
        <f>2041.09</f>
        <v>2041.09</v>
      </c>
      <c r="F1624">
        <f>1765.43</f>
        <v>1765.43</v>
      </c>
      <c r="G1624">
        <f>7622.823</f>
        <v>7622.8230000000003</v>
      </c>
      <c r="H1624">
        <f>2982.19</f>
        <v>2982.19</v>
      </c>
      <c r="I1624">
        <f>8836.221</f>
        <v>8836.2209999999995</v>
      </c>
      <c r="J1624">
        <f>3435</f>
        <v>3435</v>
      </c>
      <c r="K1624">
        <f>9410.77</f>
        <v>9410.77</v>
      </c>
      <c r="L1624">
        <f>1791.61</f>
        <v>1791.61</v>
      </c>
      <c r="M1624">
        <f>7307.2</f>
        <v>7307.2</v>
      </c>
      <c r="N1624">
        <f>316.149</f>
        <v>316.149</v>
      </c>
      <c r="O1624">
        <f>2795.94</f>
        <v>2795.94</v>
      </c>
      <c r="P1624">
        <f>224.47</f>
        <v>224.47</v>
      </c>
      <c r="Q1624">
        <f>2125.905</f>
        <v>2125.9050000000002</v>
      </c>
      <c r="R1624">
        <f>4530.57</f>
        <v>4530.57</v>
      </c>
      <c r="S1624">
        <f>2158.22</f>
        <v>2158.2199999999998</v>
      </c>
      <c r="T1624">
        <f>3824.007</f>
        <v>3824.0070000000001</v>
      </c>
      <c r="U1624">
        <f>53139.96</f>
        <v>53139.96</v>
      </c>
      <c r="V1624">
        <f>348.01</f>
        <v>348.01</v>
      </c>
    </row>
    <row r="1625" spans="1:22" x14ac:dyDescent="0.2">
      <c r="A1625" s="1">
        <v>42832</v>
      </c>
      <c r="B1625">
        <f>2959.68</f>
        <v>2959.68</v>
      </c>
      <c r="C1625">
        <f>8696.58</f>
        <v>8696.58</v>
      </c>
      <c r="D1625">
        <f>6066.96</f>
        <v>6066.96</v>
      </c>
      <c r="E1625">
        <f>2048.731</f>
        <v>2048.7310000000002</v>
      </c>
      <c r="F1625">
        <f>1753.01</f>
        <v>1753.01</v>
      </c>
      <c r="G1625">
        <f>7602.861</f>
        <v>7602.8609999999999</v>
      </c>
      <c r="H1625">
        <f>2973.88</f>
        <v>2973.88</v>
      </c>
      <c r="I1625">
        <f>8858.458</f>
        <v>8858.4580000000005</v>
      </c>
      <c r="J1625">
        <f>3436.8</f>
        <v>3436.8</v>
      </c>
      <c r="K1625">
        <f>9402.75</f>
        <v>9402.75</v>
      </c>
      <c r="L1625">
        <f>1791.53</f>
        <v>1791.53</v>
      </c>
      <c r="M1625">
        <f>7300.26</f>
        <v>7300.26</v>
      </c>
      <c r="N1625">
        <f>315.498</f>
        <v>315.49799999999999</v>
      </c>
      <c r="O1625">
        <f>2796.19</f>
        <v>2796.19</v>
      </c>
      <c r="P1625">
        <f>223.3</f>
        <v>223.3</v>
      </c>
      <c r="Q1625">
        <f>2121.298</f>
        <v>2121.2979999999998</v>
      </c>
      <c r="R1625">
        <f>4527.2</f>
        <v>4527.2</v>
      </c>
      <c r="S1625">
        <f>2143.99</f>
        <v>2143.9899999999998</v>
      </c>
      <c r="T1625">
        <f>3834.198</f>
        <v>3834.1979999999999</v>
      </c>
      <c r="U1625">
        <f>52853.36</f>
        <v>52853.36</v>
      </c>
      <c r="V1625">
        <f>349.12</f>
        <v>349.12</v>
      </c>
    </row>
    <row r="1626" spans="1:22" x14ac:dyDescent="0.2">
      <c r="A1626" s="1">
        <v>42831</v>
      </c>
      <c r="B1626">
        <f>2940.87</f>
        <v>2940.87</v>
      </c>
      <c r="C1626">
        <f>8740.56</f>
        <v>8740.56</v>
      </c>
      <c r="D1626">
        <f>6028.84</f>
        <v>6028.84</v>
      </c>
      <c r="E1626">
        <f>2052.221</f>
        <v>2052.221</v>
      </c>
      <c r="F1626">
        <f>1765.92</f>
        <v>1765.92</v>
      </c>
      <c r="G1626">
        <f>7618.465</f>
        <v>7618.4650000000001</v>
      </c>
      <c r="H1626">
        <f>2956.82</f>
        <v>2956.82</v>
      </c>
      <c r="I1626">
        <f>8878.103</f>
        <v>8878.1029999999992</v>
      </c>
      <c r="J1626">
        <f>3437.29</f>
        <v>3437.29</v>
      </c>
      <c r="K1626">
        <f>9410.82</f>
        <v>9410.82</v>
      </c>
      <c r="L1626">
        <f>1794.19</f>
        <v>1794.19</v>
      </c>
      <c r="M1626">
        <f>7304.37</f>
        <v>7304.37</v>
      </c>
      <c r="N1626">
        <f>314.646</f>
        <v>314.64600000000002</v>
      </c>
      <c r="O1626">
        <f>2790.43</f>
        <v>2790.43</v>
      </c>
      <c r="P1626">
        <f>221.04</f>
        <v>221.04</v>
      </c>
      <c r="Q1626">
        <f>2120.387</f>
        <v>2120.3870000000002</v>
      </c>
      <c r="R1626">
        <f>4530.93</f>
        <v>4530.93</v>
      </c>
      <c r="S1626">
        <f>2130.21</f>
        <v>2130.21</v>
      </c>
      <c r="T1626">
        <f>3833.832</f>
        <v>3833.8319999999999</v>
      </c>
      <c r="U1626">
        <f>52918.42</f>
        <v>52918.42</v>
      </c>
      <c r="V1626">
        <f>348.31</f>
        <v>348.31</v>
      </c>
    </row>
    <row r="1627" spans="1:22" x14ac:dyDescent="0.2">
      <c r="A1627" s="1">
        <v>42830</v>
      </c>
      <c r="B1627">
        <f>2946.65</f>
        <v>2946.65</v>
      </c>
      <c r="C1627">
        <f>8803.76</f>
        <v>8803.76</v>
      </c>
      <c r="D1627">
        <f>6043.95</f>
        <v>6043.95</v>
      </c>
      <c r="E1627">
        <f>2064.822</f>
        <v>2064.8220000000001</v>
      </c>
      <c r="F1627">
        <f>1770.36</f>
        <v>1770.36</v>
      </c>
      <c r="G1627">
        <f>7623.181</f>
        <v>7623.1809999999996</v>
      </c>
      <c r="H1627">
        <f>2988</f>
        <v>2988</v>
      </c>
      <c r="I1627">
        <f>8856.005</f>
        <v>8856.0049999999992</v>
      </c>
      <c r="J1627">
        <f>3438.99</f>
        <v>3438.99</v>
      </c>
      <c r="K1627">
        <f>9388.26</f>
        <v>9388.26</v>
      </c>
      <c r="L1627">
        <f>1794.59</f>
        <v>1794.59</v>
      </c>
      <c r="M1627">
        <f>7299.39</f>
        <v>7299.39</v>
      </c>
      <c r="N1627">
        <f>314.759</f>
        <v>314.75900000000001</v>
      </c>
      <c r="O1627">
        <f>2784.88</f>
        <v>2784.88</v>
      </c>
      <c r="P1627">
        <f>225.1</f>
        <v>225.1</v>
      </c>
      <c r="Q1627">
        <f>2116.8</f>
        <v>2116.8000000000002</v>
      </c>
      <c r="R1627">
        <f>4520.86</f>
        <v>4520.8599999999997</v>
      </c>
      <c r="S1627">
        <f>2165.44</f>
        <v>2165.44</v>
      </c>
      <c r="T1627">
        <f>3864.156</f>
        <v>3864.1559999999999</v>
      </c>
      <c r="U1627">
        <f>52990.08</f>
        <v>52990.080000000002</v>
      </c>
      <c r="V1627">
        <f>350.39</f>
        <v>350.39</v>
      </c>
    </row>
    <row r="1628" spans="1:22" x14ac:dyDescent="0.2">
      <c r="A1628" s="1">
        <v>42829</v>
      </c>
      <c r="B1628">
        <f>2942.68</f>
        <v>2942.68</v>
      </c>
      <c r="C1628">
        <f>8752.33</f>
        <v>8752.33</v>
      </c>
      <c r="D1628">
        <f>6035.82</f>
        <v>6035.82</v>
      </c>
      <c r="E1628">
        <f>2055.822</f>
        <v>2055.8220000000001</v>
      </c>
      <c r="F1628">
        <f>1769.9</f>
        <v>1769.9</v>
      </c>
      <c r="G1628">
        <f>7594.59</f>
        <v>7594.59</v>
      </c>
      <c r="H1628">
        <f>3013.33</f>
        <v>3013.33</v>
      </c>
      <c r="I1628">
        <f>8867.228</f>
        <v>8867.2279999999992</v>
      </c>
      <c r="J1628">
        <f>3447.05</f>
        <v>3447.05</v>
      </c>
      <c r="K1628">
        <f>9418</f>
        <v>9418</v>
      </c>
      <c r="L1628">
        <f>1796.75</f>
        <v>1796.75</v>
      </c>
      <c r="M1628">
        <f>7314.59</f>
        <v>7314.59</v>
      </c>
      <c r="N1628">
        <f>314.366</f>
        <v>314.36599999999999</v>
      </c>
      <c r="O1628">
        <f>2782.91</f>
        <v>2782.91</v>
      </c>
      <c r="P1628">
        <f>224.95</f>
        <v>224.95</v>
      </c>
      <c r="Q1628">
        <f>2119.314</f>
        <v>2119.3139999999999</v>
      </c>
      <c r="R1628">
        <f>4534.25</f>
        <v>4534.25</v>
      </c>
      <c r="S1628">
        <f>2165.26</f>
        <v>2165.2600000000002</v>
      </c>
      <c r="T1628">
        <f>3914.458</f>
        <v>3914.4580000000001</v>
      </c>
      <c r="U1628">
        <f>52660.74</f>
        <v>52660.74</v>
      </c>
      <c r="V1628">
        <f>351.58</f>
        <v>351.58</v>
      </c>
    </row>
    <row r="1629" spans="1:22" x14ac:dyDescent="0.2">
      <c r="A1629" s="1">
        <v>42828</v>
      </c>
      <c r="B1629">
        <f>2935.36</f>
        <v>2935.36</v>
      </c>
      <c r="C1629">
        <f>8743.78</f>
        <v>8743.7800000000007</v>
      </c>
      <c r="D1629">
        <f>6003.56</f>
        <v>6003.56</v>
      </c>
      <c r="E1629">
        <f>2055.535</f>
        <v>2055.5349999999999</v>
      </c>
      <c r="F1629">
        <f>1768.13</f>
        <v>1768.13</v>
      </c>
      <c r="G1629">
        <f>7574.073</f>
        <v>7574.0730000000003</v>
      </c>
      <c r="H1629">
        <f>3021.43</f>
        <v>3021.43</v>
      </c>
      <c r="I1629">
        <f>8839.487</f>
        <v>8839.4869999999992</v>
      </c>
      <c r="J1629">
        <f>3439.07</f>
        <v>3439.07</v>
      </c>
      <c r="K1629">
        <f>9410.66</f>
        <v>9410.66</v>
      </c>
      <c r="L1629">
        <f>1792.96</f>
        <v>1792.96</v>
      </c>
      <c r="M1629">
        <f>7309.76</f>
        <v>7309.76</v>
      </c>
      <c r="N1629">
        <f>313.754</f>
        <v>313.75400000000002</v>
      </c>
      <c r="O1629">
        <f>2778.47</f>
        <v>2778.47</v>
      </c>
      <c r="P1629">
        <f>226.45</f>
        <v>226.45</v>
      </c>
      <c r="Q1629">
        <f>2121.992</f>
        <v>2121.9920000000002</v>
      </c>
      <c r="R1629">
        <f>4530.98</f>
        <v>4530.9799999999996</v>
      </c>
      <c r="S1629">
        <f>2183.24</f>
        <v>2183.2399999999998</v>
      </c>
      <c r="T1629">
        <f>3933.778</f>
        <v>3933.7779999999998</v>
      </c>
      <c r="U1629">
        <f>52457.76</f>
        <v>52457.760000000002</v>
      </c>
      <c r="V1629">
        <f>350.56</f>
        <v>350.56</v>
      </c>
    </row>
    <row r="1630" spans="1:22" x14ac:dyDescent="0.2">
      <c r="A1630" s="1">
        <v>42825</v>
      </c>
      <c r="B1630">
        <f>2944.51</f>
        <v>2944.51</v>
      </c>
      <c r="C1630">
        <f>8726.96</f>
        <v>8726.9599999999991</v>
      </c>
      <c r="D1630">
        <f>6036.73</f>
        <v>6036.73</v>
      </c>
      <c r="E1630">
        <f>2040.902</f>
        <v>2040.902</v>
      </c>
      <c r="F1630">
        <f>1782.39</f>
        <v>1782.39</v>
      </c>
      <c r="G1630">
        <f>7631.688</f>
        <v>7631.6880000000001</v>
      </c>
      <c r="H1630">
        <f>3003.33</f>
        <v>3003.33</v>
      </c>
      <c r="I1630">
        <f>8922.583</f>
        <v>8922.5830000000005</v>
      </c>
      <c r="J1630">
        <f>3445.59</f>
        <v>3445.59</v>
      </c>
      <c r="K1630">
        <f>9427.22</f>
        <v>9427.2199999999993</v>
      </c>
      <c r="L1630">
        <f>1798.58</f>
        <v>1798.58</v>
      </c>
      <c r="M1630">
        <f>7328.14</f>
        <v>7328.14</v>
      </c>
      <c r="N1630">
        <f>315.181</f>
        <v>315.18099999999998</v>
      </c>
      <c r="O1630">
        <f>2794.77</f>
        <v>2794.77</v>
      </c>
      <c r="P1630">
        <f>225.27</f>
        <v>225.27</v>
      </c>
      <c r="Q1630">
        <f>2126.213</f>
        <v>2126.2130000000002</v>
      </c>
      <c r="R1630">
        <f>4538.21</f>
        <v>4538.21</v>
      </c>
      <c r="S1630">
        <f>2176.87</f>
        <v>2176.87</v>
      </c>
      <c r="T1630">
        <f>3921.162</f>
        <v>3921.1619999999998</v>
      </c>
      <c r="U1630">
        <f>52056.06</f>
        <v>52056.06</v>
      </c>
      <c r="V1630">
        <f>347.59</f>
        <v>347.59</v>
      </c>
    </row>
    <row r="1631" spans="1:22" x14ac:dyDescent="0.2">
      <c r="A1631" s="1">
        <v>42824</v>
      </c>
      <c r="B1631">
        <f>2941.84</f>
        <v>2941.84</v>
      </c>
      <c r="C1631">
        <f>8883.09</f>
        <v>8883.09</v>
      </c>
      <c r="D1631">
        <f>6075.15</f>
        <v>6075.15</v>
      </c>
      <c r="E1631">
        <f>2064.487</f>
        <v>2064.4870000000001</v>
      </c>
      <c r="F1631">
        <f>1769.89</f>
        <v>1769.89</v>
      </c>
      <c r="G1631">
        <f>7675.389</f>
        <v>7675.3890000000001</v>
      </c>
      <c r="H1631">
        <f>3036.18</f>
        <v>3036.18</v>
      </c>
      <c r="I1631">
        <f>8924.238</f>
        <v>8924.2379999999994</v>
      </c>
      <c r="J1631">
        <f>3452.32</f>
        <v>3452.32</v>
      </c>
      <c r="K1631">
        <f>9447.31</f>
        <v>9447.31</v>
      </c>
      <c r="L1631">
        <f>1806.12</f>
        <v>1806.12</v>
      </c>
      <c r="M1631">
        <f>7351.83</f>
        <v>7351.83</v>
      </c>
      <c r="N1631">
        <f>313.282</f>
        <v>313.28199999999998</v>
      </c>
      <c r="O1631">
        <f>2788.15</f>
        <v>2788.15</v>
      </c>
      <c r="P1631">
        <f>226.99</f>
        <v>226.99</v>
      </c>
      <c r="Q1631">
        <f>2128.326</f>
        <v>2128.326</v>
      </c>
      <c r="R1631">
        <f>4548.46</f>
        <v>4548.46</v>
      </c>
      <c r="S1631">
        <f>2198.44</f>
        <v>2198.44</v>
      </c>
      <c r="T1631">
        <f>4043.178</f>
        <v>4043.1779999999999</v>
      </c>
      <c r="U1631">
        <f>52261.18</f>
        <v>52261.18</v>
      </c>
      <c r="V1631">
        <f>355.05</f>
        <v>355.05</v>
      </c>
    </row>
    <row r="1632" spans="1:22" x14ac:dyDescent="0.2">
      <c r="A1632" s="1">
        <v>42823</v>
      </c>
      <c r="B1632">
        <f>2940.31</f>
        <v>2940.31</v>
      </c>
      <c r="C1632">
        <f>8891.03</f>
        <v>8891.0300000000007</v>
      </c>
      <c r="D1632">
        <f>6074.61</f>
        <v>6074.61</v>
      </c>
      <c r="E1632">
        <f>2069.198</f>
        <v>2069.1979999999999</v>
      </c>
      <c r="F1632">
        <f>1755.61</f>
        <v>1755.61</v>
      </c>
      <c r="G1632">
        <f>7624.507</f>
        <v>7624.5069999999996</v>
      </c>
      <c r="H1632">
        <f>3071.16</f>
        <v>3071.16</v>
      </c>
      <c r="I1632">
        <f>8892.666</f>
        <v>8892.6659999999993</v>
      </c>
      <c r="J1632">
        <f>3446.63</f>
        <v>3446.63</v>
      </c>
      <c r="K1632">
        <f>9421.06</f>
        <v>9421.06</v>
      </c>
      <c r="L1632">
        <f>1801.8</f>
        <v>1801.8</v>
      </c>
      <c r="M1632">
        <f>7337.65</f>
        <v>7337.65</v>
      </c>
      <c r="N1632">
        <f>311.238</f>
        <v>311.238</v>
      </c>
      <c r="O1632">
        <f>2771.02</f>
        <v>2771.02</v>
      </c>
      <c r="P1632">
        <f>230.18</f>
        <v>230.18</v>
      </c>
      <c r="Q1632">
        <f>2128.434</f>
        <v>2128.4340000000002</v>
      </c>
      <c r="R1632">
        <f>4535.01</f>
        <v>4535.01</v>
      </c>
      <c r="S1632">
        <f>2219.28</f>
        <v>2219.2800000000002</v>
      </c>
      <c r="T1632">
        <f>4064.706</f>
        <v>4064.7060000000001</v>
      </c>
      <c r="U1632">
        <f>52444.78</f>
        <v>52444.78</v>
      </c>
      <c r="V1632">
        <f>354.59</f>
        <v>354.59</v>
      </c>
    </row>
    <row r="1633" spans="1:22" x14ac:dyDescent="0.2">
      <c r="A1633" s="1">
        <v>42822</v>
      </c>
      <c r="B1633">
        <f>2939.51</f>
        <v>2939.51</v>
      </c>
      <c r="C1633">
        <f>8889.94</f>
        <v>8889.94</v>
      </c>
      <c r="D1633">
        <f>6049.65</f>
        <v>6049.65</v>
      </c>
      <c r="E1633">
        <f>2065.232</f>
        <v>2065.232</v>
      </c>
      <c r="F1633">
        <f>1775.13</f>
        <v>1775.13</v>
      </c>
      <c r="G1633">
        <f>7667.522</f>
        <v>7667.5219999999999</v>
      </c>
      <c r="H1633">
        <f>3079.84</f>
        <v>3079.84</v>
      </c>
      <c r="I1633">
        <f>8963.012</f>
        <v>8963.0120000000006</v>
      </c>
      <c r="J1633">
        <f>3449.24</f>
        <v>3449.24</v>
      </c>
      <c r="K1633">
        <f>9406.5</f>
        <v>9406.5</v>
      </c>
      <c r="L1633">
        <f>1806.2</f>
        <v>1806.2</v>
      </c>
      <c r="M1633">
        <f>7338.85</f>
        <v>7338.85</v>
      </c>
      <c r="N1633">
        <f>310.225</f>
        <v>310.22500000000002</v>
      </c>
      <c r="O1633">
        <f>2760.78</f>
        <v>2760.78</v>
      </c>
      <c r="P1633">
        <f>229.49</f>
        <v>229.49</v>
      </c>
      <c r="Q1633">
        <f>2129.365</f>
        <v>2129.3649999999998</v>
      </c>
      <c r="R1633">
        <f>4529.17</f>
        <v>4529.17</v>
      </c>
      <c r="S1633">
        <f>2203.42</f>
        <v>2203.42</v>
      </c>
      <c r="T1633">
        <f>4068.544</f>
        <v>4068.5439999999999</v>
      </c>
      <c r="U1633">
        <f>52309.23</f>
        <v>52309.23</v>
      </c>
      <c r="V1633">
        <f>354.45</f>
        <v>354.45</v>
      </c>
    </row>
    <row r="1634" spans="1:22" x14ac:dyDescent="0.2">
      <c r="A1634" s="1">
        <v>42821</v>
      </c>
      <c r="B1634">
        <f>2929.73</f>
        <v>2929.73</v>
      </c>
      <c r="C1634">
        <f>8870.99</f>
        <v>8870.99</v>
      </c>
      <c r="D1634">
        <f>6008.52</f>
        <v>6008.52</v>
      </c>
      <c r="E1634">
        <f>2055.362</f>
        <v>2055.3620000000001</v>
      </c>
      <c r="F1634">
        <f>1773.54</f>
        <v>1773.54</v>
      </c>
      <c r="G1634">
        <f>7637.919</f>
        <v>7637.9189999999999</v>
      </c>
      <c r="H1634">
        <f>3039.67</f>
        <v>3039.67</v>
      </c>
      <c r="I1634">
        <f>8917.727</f>
        <v>8917.7270000000008</v>
      </c>
      <c r="J1634">
        <f>3433.53</f>
        <v>3433.53</v>
      </c>
      <c r="K1634">
        <f>9339.43</f>
        <v>9339.43</v>
      </c>
      <c r="L1634">
        <f>1798.49</f>
        <v>1798.49</v>
      </c>
      <c r="M1634">
        <f>7284.55</f>
        <v>7284.55</v>
      </c>
      <c r="N1634">
        <f>310.084</f>
        <v>310.084</v>
      </c>
      <c r="O1634">
        <f>2745.4</f>
        <v>2745.4</v>
      </c>
      <c r="P1634">
        <f>226.67</f>
        <v>226.67</v>
      </c>
      <c r="Q1634">
        <f>2117.974</f>
        <v>2117.9740000000002</v>
      </c>
      <c r="R1634">
        <f>4496.53</f>
        <v>4496.53</v>
      </c>
      <c r="S1634">
        <f>2174.27</f>
        <v>2174.27</v>
      </c>
      <c r="T1634">
        <f>4062.64</f>
        <v>4062.64</v>
      </c>
      <c r="U1634">
        <f>51724.92</f>
        <v>51724.92</v>
      </c>
      <c r="V1634">
        <f>352.45</f>
        <v>352.45</v>
      </c>
    </row>
    <row r="1635" spans="1:22" x14ac:dyDescent="0.2">
      <c r="A1635" s="1">
        <v>42818</v>
      </c>
      <c r="B1635">
        <f>2939.9</f>
        <v>2939.9</v>
      </c>
      <c r="C1635">
        <f>8945.09</f>
        <v>8945.09</v>
      </c>
      <c r="D1635">
        <f>6044.21</f>
        <v>6044.21</v>
      </c>
      <c r="E1635">
        <f>2062.575</f>
        <v>2062.5749999999998</v>
      </c>
      <c r="F1635">
        <f>1762.17</f>
        <v>1762.17</v>
      </c>
      <c r="G1635">
        <f>7632.243</f>
        <v>7632.2430000000004</v>
      </c>
      <c r="H1635">
        <f>3055.5</f>
        <v>3055.5</v>
      </c>
      <c r="I1635">
        <f>8877.186</f>
        <v>8877.1859999999997</v>
      </c>
      <c r="J1635">
        <f>3433.72</f>
        <v>3433.72</v>
      </c>
      <c r="K1635">
        <f>9347.37</f>
        <v>9347.3700000000008</v>
      </c>
      <c r="L1635">
        <f>1794.99</f>
        <v>1794.99</v>
      </c>
      <c r="M1635">
        <f>7286.89</f>
        <v>7286.89</v>
      </c>
      <c r="N1635">
        <f>309.814</f>
        <v>309.81400000000002</v>
      </c>
      <c r="O1635">
        <f>2755.41</f>
        <v>2755.41</v>
      </c>
      <c r="P1635">
        <f>229.52</f>
        <v>229.52</v>
      </c>
      <c r="Q1635">
        <f>2121.745</f>
        <v>2121.7449999999999</v>
      </c>
      <c r="R1635">
        <f>4501.11</f>
        <v>4501.1099999999997</v>
      </c>
      <c r="S1635">
        <f>2202.13</f>
        <v>2202.13</v>
      </c>
      <c r="T1635">
        <f>4103.707</f>
        <v>4103.7070000000003</v>
      </c>
      <c r="U1635">
        <f>51816.31</f>
        <v>51816.31</v>
      </c>
      <c r="V1635">
        <f>355.24</f>
        <v>355.24</v>
      </c>
    </row>
    <row r="1636" spans="1:22" x14ac:dyDescent="0.2">
      <c r="A1636" s="1">
        <v>42817</v>
      </c>
      <c r="B1636">
        <f>2944.09</f>
        <v>2944.09</v>
      </c>
      <c r="C1636">
        <f>8946.97</f>
        <v>8946.9699999999993</v>
      </c>
      <c r="D1636">
        <f>6047.41</f>
        <v>6047.41</v>
      </c>
      <c r="E1636">
        <f>2059.894</f>
        <v>2059.8939999999998</v>
      </c>
      <c r="F1636">
        <f>1772.19</f>
        <v>1772.19</v>
      </c>
      <c r="G1636">
        <f>7656.932</f>
        <v>7656.9319999999998</v>
      </c>
      <c r="H1636">
        <f>3027.24</f>
        <v>3027.24</v>
      </c>
      <c r="I1636">
        <f>8866.116</f>
        <v>8866.116</v>
      </c>
      <c r="J1636">
        <f>3442.05</f>
        <v>3442.05</v>
      </c>
      <c r="K1636">
        <f>9353.85</f>
        <v>9353.85</v>
      </c>
      <c r="L1636">
        <f>1796.96</f>
        <v>1796.96</v>
      </c>
      <c r="M1636">
        <f>7283.2</f>
        <v>7283.2</v>
      </c>
      <c r="N1636">
        <f>310.244</f>
        <v>310.24400000000003</v>
      </c>
      <c r="O1636">
        <f>2759.8</f>
        <v>2759.8</v>
      </c>
      <c r="P1636">
        <f>227.42</f>
        <v>227.42</v>
      </c>
      <c r="Q1636">
        <f>2127.581</f>
        <v>2127.5810000000001</v>
      </c>
      <c r="R1636">
        <f>4504.92</f>
        <v>4504.92</v>
      </c>
      <c r="S1636">
        <f>2182.86</f>
        <v>2182.86</v>
      </c>
      <c r="T1636">
        <f>4121.817</f>
        <v>4121.817</v>
      </c>
      <c r="U1636">
        <f>52027.98</f>
        <v>52027.98</v>
      </c>
      <c r="V1636">
        <f>356.92</f>
        <v>356.92</v>
      </c>
    </row>
    <row r="1637" spans="1:22" x14ac:dyDescent="0.2">
      <c r="A1637" s="1">
        <v>42816</v>
      </c>
      <c r="B1637">
        <f>2936.06</f>
        <v>2936.06</v>
      </c>
      <c r="C1637">
        <f>8943.46</f>
        <v>8943.4599999999991</v>
      </c>
      <c r="D1637">
        <f>6034.23</f>
        <v>6034.23</v>
      </c>
      <c r="E1637">
        <f>2057.633</f>
        <v>2057.6329999999998</v>
      </c>
      <c r="F1637">
        <f>1752.27</f>
        <v>1752.27</v>
      </c>
      <c r="G1637">
        <f>7609.15</f>
        <v>7609.15</v>
      </c>
      <c r="H1637">
        <f>3028.27</f>
        <v>3028.27</v>
      </c>
      <c r="I1637">
        <f>8804.136</f>
        <v>8804.1360000000004</v>
      </c>
      <c r="J1637">
        <f>3448.26</f>
        <v>3448.26</v>
      </c>
      <c r="K1637">
        <f>9363.97</f>
        <v>9363.9699999999993</v>
      </c>
      <c r="L1637">
        <f>1792.28</f>
        <v>1792.28</v>
      </c>
      <c r="M1637">
        <f>7273.7</f>
        <v>7273.7</v>
      </c>
      <c r="N1637">
        <f>306.86</f>
        <v>306.86</v>
      </c>
      <c r="O1637">
        <f>2737.71</f>
        <v>2737.71</v>
      </c>
      <c r="P1637">
        <f>227.3</f>
        <v>227.3</v>
      </c>
      <c r="Q1637">
        <f>2126.933</f>
        <v>2126.933</v>
      </c>
      <c r="R1637">
        <f>4509.65</f>
        <v>4509.6499999999996</v>
      </c>
      <c r="S1637">
        <f>2182.56</f>
        <v>2182.56</v>
      </c>
      <c r="T1637">
        <f>4124.907</f>
        <v>4124.9070000000002</v>
      </c>
      <c r="U1637">
        <f>52096.71</f>
        <v>52096.71</v>
      </c>
      <c r="V1637">
        <f>358.57</f>
        <v>358.57</v>
      </c>
    </row>
    <row r="1638" spans="1:22" x14ac:dyDescent="0.2">
      <c r="A1638" s="1">
        <v>42815</v>
      </c>
      <c r="B1638">
        <f>2957.66</f>
        <v>2957.66</v>
      </c>
      <c r="C1638">
        <f>9005.15</f>
        <v>9005.15</v>
      </c>
      <c r="D1638">
        <f>6078.41</f>
        <v>6078.41</v>
      </c>
      <c r="E1638">
        <f>2070.09</f>
        <v>2070.09</v>
      </c>
      <c r="F1638">
        <f>1762.57</f>
        <v>1762.57</v>
      </c>
      <c r="G1638">
        <f>7666.492</f>
        <v>7666.4920000000002</v>
      </c>
      <c r="H1638">
        <f>3076.93</f>
        <v>3076.93</v>
      </c>
      <c r="I1638">
        <f>8838.392</f>
        <v>8838.3919999999998</v>
      </c>
      <c r="J1638">
        <f>3443.25</f>
        <v>3443.25</v>
      </c>
      <c r="K1638">
        <f>9345.99</f>
        <v>9345.99</v>
      </c>
      <c r="L1638">
        <f>1796.75</f>
        <v>1796.75</v>
      </c>
      <c r="M1638">
        <f>7288.36</f>
        <v>7288.36</v>
      </c>
      <c r="N1638">
        <f>308.306</f>
        <v>308.30599999999998</v>
      </c>
      <c r="O1638">
        <f>2749.34</f>
        <v>2749.34</v>
      </c>
      <c r="P1638">
        <f>231.51</f>
        <v>231.51</v>
      </c>
      <c r="Q1638">
        <f>2122.919</f>
        <v>2122.9189999999999</v>
      </c>
      <c r="R1638">
        <f>4500.98</f>
        <v>4500.9799999999996</v>
      </c>
      <c r="S1638">
        <f>2229.95</f>
        <v>2229.9499999999998</v>
      </c>
      <c r="T1638" t="e">
        <f>NA()</f>
        <v>#N/A</v>
      </c>
      <c r="U1638" t="e">
        <f>NA()</f>
        <v>#N/A</v>
      </c>
      <c r="V1638" t="e">
        <f>NA()</f>
        <v>#N/A</v>
      </c>
    </row>
    <row r="1639" spans="1:22" x14ac:dyDescent="0.2">
      <c r="A1639" s="1">
        <v>42814</v>
      </c>
      <c r="B1639">
        <f>2969.79</f>
        <v>2969.79</v>
      </c>
      <c r="C1639">
        <f>8962.83</f>
        <v>8962.83</v>
      </c>
      <c r="D1639">
        <f>6120.81</f>
        <v>6120.81</v>
      </c>
      <c r="E1639">
        <f>2068.53</f>
        <v>2068.5300000000002</v>
      </c>
      <c r="F1639">
        <f>1749.31</f>
        <v>1749.31</v>
      </c>
      <c r="G1639">
        <f>7647.575</f>
        <v>7647.5749999999998</v>
      </c>
      <c r="H1639">
        <f>3058.96</f>
        <v>3058.96</v>
      </c>
      <c r="I1639">
        <f>8845.434</f>
        <v>8845.4339999999993</v>
      </c>
      <c r="J1639">
        <f>3464.79</f>
        <v>3464.79</v>
      </c>
      <c r="K1639">
        <f>9465.35</f>
        <v>9465.35</v>
      </c>
      <c r="L1639">
        <f>1800.89</f>
        <v>1800.89</v>
      </c>
      <c r="M1639">
        <f>7343.65</f>
        <v>7343.65</v>
      </c>
      <c r="N1639">
        <f>309.391</f>
        <v>309.39100000000002</v>
      </c>
      <c r="O1639">
        <f>2763.16</f>
        <v>2763.16</v>
      </c>
      <c r="P1639" t="e">
        <f>NA()</f>
        <v>#N/A</v>
      </c>
      <c r="Q1639">
        <f>2139.904</f>
        <v>2139.904</v>
      </c>
      <c r="R1639">
        <f>4557.12</f>
        <v>4557.12</v>
      </c>
      <c r="S1639" t="e">
        <f>NA()</f>
        <v>#N/A</v>
      </c>
      <c r="T1639">
        <f>4147.209</f>
        <v>4147.2089999999998</v>
      </c>
      <c r="U1639">
        <f>52753.56</f>
        <v>52753.56</v>
      </c>
      <c r="V1639">
        <f>360.11</f>
        <v>360.11</v>
      </c>
    </row>
    <row r="1640" spans="1:22" x14ac:dyDescent="0.2">
      <c r="A1640" s="1">
        <v>42811</v>
      </c>
      <c r="B1640">
        <f>2963.92</f>
        <v>2963.92</v>
      </c>
      <c r="C1640">
        <f>8918.95</f>
        <v>8918.9500000000007</v>
      </c>
      <c r="D1640">
        <f>6116.81</f>
        <v>6116.81</v>
      </c>
      <c r="E1640">
        <f>2054.046</f>
        <v>2054.0459999999998</v>
      </c>
      <c r="F1640">
        <f>1743.81</f>
        <v>1743.81</v>
      </c>
      <c r="G1640">
        <f>7646.874</f>
        <v>7646.8739999999998</v>
      </c>
      <c r="H1640">
        <f>3056.66</f>
        <v>3056.66</v>
      </c>
      <c r="I1640">
        <f>8852.455</f>
        <v>8852.4549999999999</v>
      </c>
      <c r="J1640">
        <f>3465.96</f>
        <v>3465.96</v>
      </c>
      <c r="K1640">
        <f>9485.58</f>
        <v>9485.58</v>
      </c>
      <c r="L1640">
        <f>1800.74</f>
        <v>1800.74</v>
      </c>
      <c r="M1640">
        <f>7353.19</f>
        <v>7353.19</v>
      </c>
      <c r="N1640">
        <f>309.367</f>
        <v>309.36700000000002</v>
      </c>
      <c r="O1640">
        <f>2769.18</f>
        <v>2769.18</v>
      </c>
      <c r="P1640">
        <f>231.87</f>
        <v>231.87</v>
      </c>
      <c r="Q1640">
        <f>2146.155</f>
        <v>2146.1550000000002</v>
      </c>
      <c r="R1640">
        <f>4566.17</f>
        <v>4566.17</v>
      </c>
      <c r="S1640">
        <f>2233.4</f>
        <v>2233.4</v>
      </c>
      <c r="T1640">
        <f>4120.89</f>
        <v>4120.8900000000003</v>
      </c>
      <c r="U1640">
        <f>52550.99</f>
        <v>52550.99</v>
      </c>
      <c r="V1640">
        <f>360.84</f>
        <v>360.84</v>
      </c>
    </row>
    <row r="1641" spans="1:22" x14ac:dyDescent="0.2">
      <c r="A1641" s="1">
        <v>42810</v>
      </c>
      <c r="B1641">
        <f>2961.08</f>
        <v>2961.08</v>
      </c>
      <c r="C1641">
        <f>8901.39</f>
        <v>8901.39</v>
      </c>
      <c r="D1641">
        <f>6109.4</f>
        <v>6109.4</v>
      </c>
      <c r="E1641">
        <f>2049.014</f>
        <v>2049.0140000000001</v>
      </c>
      <c r="F1641">
        <f>1732.5</f>
        <v>1732.5</v>
      </c>
      <c r="G1641">
        <f>7634.583</f>
        <v>7634.5829999999996</v>
      </c>
      <c r="H1641">
        <f>3066.04</f>
        <v>3066.04</v>
      </c>
      <c r="I1641">
        <f>8828.173</f>
        <v>8828.1730000000007</v>
      </c>
      <c r="J1641">
        <f>3470.99</f>
        <v>3470.99</v>
      </c>
      <c r="K1641">
        <f>9496.12</f>
        <v>9496.1200000000008</v>
      </c>
      <c r="L1641">
        <f>1799.72</f>
        <v>1799.72</v>
      </c>
      <c r="M1641">
        <f>7356.6</f>
        <v>7356.6</v>
      </c>
      <c r="N1641">
        <f>309.104</f>
        <v>309.10399999999998</v>
      </c>
      <c r="O1641">
        <f>2762.6</f>
        <v>2762.6</v>
      </c>
      <c r="P1641">
        <f>232.98</f>
        <v>232.98</v>
      </c>
      <c r="Q1641">
        <f>2142.067</f>
        <v>2142.067</v>
      </c>
      <c r="R1641">
        <f>4572.16</f>
        <v>4572.16</v>
      </c>
      <c r="S1641">
        <f>2243.17</f>
        <v>2243.17</v>
      </c>
      <c r="T1641">
        <f>4134.405</f>
        <v>4134.4049999999997</v>
      </c>
      <c r="U1641">
        <f>52748.97</f>
        <v>52748.97</v>
      </c>
      <c r="V1641">
        <f>362.4</f>
        <v>362.4</v>
      </c>
    </row>
    <row r="1642" spans="1:22" x14ac:dyDescent="0.2">
      <c r="A1642" s="1">
        <v>42809</v>
      </c>
      <c r="B1642">
        <f>2947.74</f>
        <v>2947.74</v>
      </c>
      <c r="C1642">
        <f>8705.03</f>
        <v>8705.0300000000007</v>
      </c>
      <c r="D1642">
        <f>6062.21</f>
        <v>6062.21</v>
      </c>
      <c r="E1642">
        <f>2006.912</f>
        <v>2006.912</v>
      </c>
      <c r="F1642">
        <f>1703.46</f>
        <v>1703.46</v>
      </c>
      <c r="G1642">
        <f>7483.384</f>
        <v>7483.384</v>
      </c>
      <c r="H1642">
        <f>3021.18</f>
        <v>3021.18</v>
      </c>
      <c r="I1642">
        <f>8675.88</f>
        <v>8675.8799999999992</v>
      </c>
      <c r="J1642">
        <f>3479.76</f>
        <v>3479.76</v>
      </c>
      <c r="K1642">
        <f>9509.46</f>
        <v>9509.4599999999991</v>
      </c>
      <c r="L1642">
        <f>1786.61</f>
        <v>1786.61</v>
      </c>
      <c r="M1642">
        <f>7315.25</f>
        <v>7315.25</v>
      </c>
      <c r="N1642">
        <f>307.471</f>
        <v>307.471</v>
      </c>
      <c r="O1642">
        <f>2738.05</f>
        <v>2738.05</v>
      </c>
      <c r="P1642">
        <f>233.04</f>
        <v>233.04</v>
      </c>
      <c r="Q1642">
        <f>2147.166</f>
        <v>2147.1660000000002</v>
      </c>
      <c r="R1642">
        <f>4579.44</f>
        <v>4579.4399999999996</v>
      </c>
      <c r="S1642">
        <f>2241.2</f>
        <v>2241.1999999999998</v>
      </c>
      <c r="T1642">
        <f>4053.968</f>
        <v>4053.9679999999998</v>
      </c>
      <c r="U1642">
        <f>51701.6</f>
        <v>51701.599999999999</v>
      </c>
      <c r="V1642">
        <f>351.53</f>
        <v>351.53</v>
      </c>
    </row>
    <row r="1643" spans="1:22" x14ac:dyDescent="0.2">
      <c r="A1643" s="1">
        <v>42808</v>
      </c>
      <c r="B1643">
        <f>2953.59</f>
        <v>2953.59</v>
      </c>
      <c r="C1643">
        <f>8688.74</f>
        <v>8688.74</v>
      </c>
      <c r="D1643">
        <f>6053.33</f>
        <v>6053.33</v>
      </c>
      <c r="E1643">
        <f>1999.15</f>
        <v>1999.15</v>
      </c>
      <c r="F1643">
        <f>1698.36</f>
        <v>1698.36</v>
      </c>
      <c r="G1643">
        <f>7439.43</f>
        <v>7439.43</v>
      </c>
      <c r="H1643">
        <f>3025.35</f>
        <v>3025.35</v>
      </c>
      <c r="I1643">
        <f>8659.334</f>
        <v>8659.3340000000007</v>
      </c>
      <c r="J1643">
        <f>3447.58</f>
        <v>3447.58</v>
      </c>
      <c r="K1643">
        <f>9429.91</f>
        <v>9429.91</v>
      </c>
      <c r="L1643">
        <f>1777.05</f>
        <v>1777.05</v>
      </c>
      <c r="M1643">
        <f>7270.78</f>
        <v>7270.78</v>
      </c>
      <c r="N1643">
        <f>306.75</f>
        <v>306.75</v>
      </c>
      <c r="O1643">
        <f>2727.42</f>
        <v>2727.42</v>
      </c>
      <c r="P1643">
        <f>233.57</f>
        <v>233.57</v>
      </c>
      <c r="Q1643">
        <f>2122.514</f>
        <v>2122.5140000000001</v>
      </c>
      <c r="R1643">
        <f>4541.26</f>
        <v>4541.26</v>
      </c>
      <c r="S1643">
        <f>2246.27</f>
        <v>2246.27</v>
      </c>
      <c r="T1643">
        <f>4050.938</f>
        <v>4050.9380000000001</v>
      </c>
      <c r="U1643">
        <f>51699.46</f>
        <v>51699.46</v>
      </c>
      <c r="V1643">
        <f>350.4</f>
        <v>350.4</v>
      </c>
    </row>
    <row r="1644" spans="1:22" x14ac:dyDescent="0.2">
      <c r="A1644" s="1">
        <v>42807</v>
      </c>
      <c r="B1644">
        <f>2974.89</f>
        <v>2974.89</v>
      </c>
      <c r="C1644">
        <f>8681.33</f>
        <v>8681.33</v>
      </c>
      <c r="D1644">
        <f>6060.93</f>
        <v>6060.93</v>
      </c>
      <c r="E1644">
        <f>1995.863</f>
        <v>1995.8630000000001</v>
      </c>
      <c r="F1644">
        <f>1716.84</f>
        <v>1716.84</v>
      </c>
      <c r="G1644">
        <f>7488.709</f>
        <v>7488.7089999999998</v>
      </c>
      <c r="H1644">
        <f>3030.21</f>
        <v>3030.21</v>
      </c>
      <c r="I1644">
        <f>8703.778</f>
        <v>8703.7780000000002</v>
      </c>
      <c r="J1644">
        <f>3454.49</f>
        <v>3454.49</v>
      </c>
      <c r="K1644">
        <f>9460.11</f>
        <v>9460.11</v>
      </c>
      <c r="L1644">
        <f>1781.98</f>
        <v>1781.98</v>
      </c>
      <c r="M1644">
        <f>7298.33</f>
        <v>7298.33</v>
      </c>
      <c r="N1644">
        <f>306.809</f>
        <v>306.80900000000003</v>
      </c>
      <c r="O1644">
        <f>2736.59</f>
        <v>2736.59</v>
      </c>
      <c r="P1644">
        <f>233.84</f>
        <v>233.84</v>
      </c>
      <c r="Q1644">
        <f>2130.357</f>
        <v>2130.357</v>
      </c>
      <c r="R1644">
        <f>4556.44</f>
        <v>4556.4399999999996</v>
      </c>
      <c r="S1644">
        <f>2249.83</f>
        <v>2249.83</v>
      </c>
      <c r="T1644">
        <f>4062.797</f>
        <v>4062.797</v>
      </c>
      <c r="U1644">
        <f>51855.38</f>
        <v>51855.38</v>
      </c>
      <c r="V1644">
        <f>351.67</f>
        <v>351.67</v>
      </c>
    </row>
    <row r="1645" spans="1:22" x14ac:dyDescent="0.2">
      <c r="A1645" s="1">
        <v>42804</v>
      </c>
      <c r="B1645">
        <f>2955.62</f>
        <v>2955.62</v>
      </c>
      <c r="C1645">
        <f>8568.19</f>
        <v>8568.19</v>
      </c>
      <c r="D1645">
        <f>6041.18</f>
        <v>6041.18</v>
      </c>
      <c r="E1645">
        <f>1969.531</f>
        <v>1969.5309999999999</v>
      </c>
      <c r="F1645">
        <f>1706.45</f>
        <v>1706.45</v>
      </c>
      <c r="G1645">
        <f>7421.923</f>
        <v>7421.9229999999998</v>
      </c>
      <c r="H1645">
        <f>3012.21</f>
        <v>3012.21</v>
      </c>
      <c r="I1645">
        <f>8674.894</f>
        <v>8674.8940000000002</v>
      </c>
      <c r="J1645">
        <f>3456.48</f>
        <v>3456.48</v>
      </c>
      <c r="K1645">
        <f>9450.84</f>
        <v>9450.84</v>
      </c>
      <c r="L1645">
        <f>1778.35</f>
        <v>1778.35</v>
      </c>
      <c r="M1645">
        <f>7280.49</f>
        <v>7280.49</v>
      </c>
      <c r="N1645">
        <f>304.727</f>
        <v>304.72699999999998</v>
      </c>
      <c r="O1645">
        <f>2723.7</f>
        <v>2723.7</v>
      </c>
      <c r="P1645">
        <f>232.67</f>
        <v>232.67</v>
      </c>
      <c r="Q1645">
        <f>2127.07</f>
        <v>2127.0700000000002</v>
      </c>
      <c r="R1645">
        <f>4553.28</f>
        <v>4553.28</v>
      </c>
      <c r="S1645">
        <f>2245</f>
        <v>2245</v>
      </c>
      <c r="T1645">
        <f>4026.73</f>
        <v>4026.73</v>
      </c>
      <c r="U1645">
        <f>51269.54</f>
        <v>51269.54</v>
      </c>
      <c r="V1645">
        <f>349.02</f>
        <v>349.02</v>
      </c>
    </row>
    <row r="1646" spans="1:22" x14ac:dyDescent="0.2">
      <c r="A1646" s="1">
        <v>42803</v>
      </c>
      <c r="B1646">
        <f>2949.26</f>
        <v>2949.26</v>
      </c>
      <c r="C1646">
        <f>8530.55</f>
        <v>8530.5499999999993</v>
      </c>
      <c r="D1646">
        <f>6018.05</f>
        <v>6018.05</v>
      </c>
      <c r="E1646">
        <f>1962.686</f>
        <v>1962.6859999999999</v>
      </c>
      <c r="F1646">
        <f>1705.59</f>
        <v>1705.59</v>
      </c>
      <c r="G1646">
        <f>7384.703</f>
        <v>7384.7030000000004</v>
      </c>
      <c r="H1646">
        <f>2975.01</f>
        <v>2975.01</v>
      </c>
      <c r="I1646">
        <f>8595.298</f>
        <v>8595.2980000000007</v>
      </c>
      <c r="J1646">
        <f>3441.59</f>
        <v>3441.59</v>
      </c>
      <c r="K1646">
        <f>9418.7</f>
        <v>9418.7000000000007</v>
      </c>
      <c r="L1646">
        <f>1768.5</f>
        <v>1768.5</v>
      </c>
      <c r="M1646">
        <f>7240.99</f>
        <v>7240.99</v>
      </c>
      <c r="N1646">
        <f>305.635</f>
        <v>305.63499999999999</v>
      </c>
      <c r="O1646">
        <f>2724.08</f>
        <v>2724.08</v>
      </c>
      <c r="P1646">
        <f>230.31</f>
        <v>230.31</v>
      </c>
      <c r="Q1646">
        <f>2115.02</f>
        <v>2115.02</v>
      </c>
      <c r="R1646">
        <f>4538.36</f>
        <v>4538.3599999999997</v>
      </c>
      <c r="S1646">
        <f>2217.43</f>
        <v>2217.4299999999998</v>
      </c>
      <c r="T1646">
        <f>4003.905</f>
        <v>4003.9050000000002</v>
      </c>
      <c r="U1646">
        <f>50910.71</f>
        <v>50910.71</v>
      </c>
      <c r="V1646">
        <f>345.53</f>
        <v>345.53</v>
      </c>
    </row>
    <row r="1647" spans="1:22" x14ac:dyDescent="0.2">
      <c r="A1647" s="1">
        <v>42802</v>
      </c>
      <c r="B1647">
        <f>2942.51</f>
        <v>2942.51</v>
      </c>
      <c r="C1647">
        <f>8667.15</f>
        <v>8667.15</v>
      </c>
      <c r="D1647">
        <f>6029.72</f>
        <v>6029.72</v>
      </c>
      <c r="E1647">
        <f>1987.911</f>
        <v>1987.9110000000001</v>
      </c>
      <c r="F1647">
        <f>1696.79</f>
        <v>1696.79</v>
      </c>
      <c r="G1647">
        <f>7412.987</f>
        <v>7412.9870000000001</v>
      </c>
      <c r="H1647">
        <f>2965.41</f>
        <v>2965.41</v>
      </c>
      <c r="I1647">
        <f>8544.822</f>
        <v>8544.8220000000001</v>
      </c>
      <c r="J1647">
        <f>3437.52</f>
        <v>3437.52</v>
      </c>
      <c r="K1647">
        <f>9411.73</f>
        <v>9411.73</v>
      </c>
      <c r="L1647">
        <f>1767.61</f>
        <v>1767.61</v>
      </c>
      <c r="M1647">
        <f>7235.53</f>
        <v>7235.53</v>
      </c>
      <c r="N1647">
        <f>304.564</f>
        <v>304.56400000000002</v>
      </c>
      <c r="O1647">
        <f>2720.94</f>
        <v>2720.94</v>
      </c>
      <c r="P1647">
        <f>229.73</f>
        <v>229.73</v>
      </c>
      <c r="Q1647">
        <f>2117.273</f>
        <v>2117.2730000000001</v>
      </c>
      <c r="R1647">
        <f>4534.68</f>
        <v>4534.68</v>
      </c>
      <c r="S1647">
        <f>2211.1</f>
        <v>2211.1</v>
      </c>
      <c r="T1647">
        <f>4004.713</f>
        <v>4004.7130000000002</v>
      </c>
      <c r="U1647">
        <f>51299.99</f>
        <v>51299.99</v>
      </c>
      <c r="V1647">
        <f>347.09</f>
        <v>347.09</v>
      </c>
    </row>
    <row r="1648" spans="1:22" x14ac:dyDescent="0.2">
      <c r="A1648" s="1">
        <v>42801</v>
      </c>
      <c r="B1648">
        <f>2935.54</f>
        <v>2935.54</v>
      </c>
      <c r="C1648">
        <f>8663.87</f>
        <v>8663.8700000000008</v>
      </c>
      <c r="D1648">
        <f>6033.33</f>
        <v>6033.33</v>
      </c>
      <c r="E1648">
        <f>1991.12</f>
        <v>1991.12</v>
      </c>
      <c r="F1648">
        <f>1700.42</f>
        <v>1700.42</v>
      </c>
      <c r="G1648">
        <f>7431.726</f>
        <v>7431.7259999999997</v>
      </c>
      <c r="H1648">
        <f>2987.06</f>
        <v>2987.06</v>
      </c>
      <c r="I1648">
        <f>8556.622</f>
        <v>8556.6219999999994</v>
      </c>
      <c r="J1648">
        <f>3444.65</f>
        <v>3444.65</v>
      </c>
      <c r="K1648">
        <f>9431.58</f>
        <v>9431.58</v>
      </c>
      <c r="L1648">
        <f>1774.6</f>
        <v>1774.6</v>
      </c>
      <c r="M1648">
        <f>7257.11</f>
        <v>7257.11</v>
      </c>
      <c r="N1648">
        <f>304.724</f>
        <v>304.72399999999999</v>
      </c>
      <c r="O1648">
        <f>2720.7</f>
        <v>2720.7</v>
      </c>
      <c r="P1648">
        <f>230.62</f>
        <v>230.62</v>
      </c>
      <c r="Q1648">
        <f>2118.649</f>
        <v>2118.6489999999999</v>
      </c>
      <c r="R1648">
        <f>4543.75</f>
        <v>4543.75</v>
      </c>
      <c r="S1648">
        <f>2217.93</f>
        <v>2217.9299999999998</v>
      </c>
      <c r="T1648">
        <f>4010.678</f>
        <v>4010.6779999999999</v>
      </c>
      <c r="U1648">
        <f>51377.78</f>
        <v>51377.78</v>
      </c>
      <c r="V1648">
        <f>349.22</f>
        <v>349.22</v>
      </c>
    </row>
    <row r="1649" spans="1:22" x14ac:dyDescent="0.2">
      <c r="A1649" s="1">
        <v>42800</v>
      </c>
      <c r="B1649">
        <f>2940.75</f>
        <v>2940.75</v>
      </c>
      <c r="C1649">
        <f>8667.86</f>
        <v>8667.86</v>
      </c>
      <c r="D1649">
        <f>6042.47</f>
        <v>6042.47</v>
      </c>
      <c r="E1649">
        <f>1986.735</f>
        <v>1986.7349999999999</v>
      </c>
      <c r="F1649">
        <f>1718.11</f>
        <v>1718.11</v>
      </c>
      <c r="G1649">
        <f>7477.73</f>
        <v>7477.73</v>
      </c>
      <c r="H1649">
        <f>2987.22</f>
        <v>2987.22</v>
      </c>
      <c r="I1649">
        <f>8585.301</f>
        <v>8585.3009999999995</v>
      </c>
      <c r="J1649">
        <f>3450.63</f>
        <v>3450.63</v>
      </c>
      <c r="K1649">
        <f>9458.34</f>
        <v>9458.34</v>
      </c>
      <c r="L1649">
        <f>1778.02</f>
        <v>1778.02</v>
      </c>
      <c r="M1649">
        <f>7276.94</f>
        <v>7276.94</v>
      </c>
      <c r="N1649">
        <f>306.162</f>
        <v>306.16199999999998</v>
      </c>
      <c r="O1649">
        <f>2727.32</f>
        <v>2727.32</v>
      </c>
      <c r="P1649">
        <f>230.23</f>
        <v>230.23</v>
      </c>
      <c r="Q1649">
        <f>2126.837</f>
        <v>2126.837</v>
      </c>
      <c r="R1649">
        <f>4556.72</f>
        <v>4556.72</v>
      </c>
      <c r="S1649">
        <f>2217.62</f>
        <v>2217.62</v>
      </c>
      <c r="T1649">
        <f>4018.379</f>
        <v>4018.3789999999999</v>
      </c>
      <c r="U1649">
        <f>51498.14</f>
        <v>51498.14</v>
      </c>
      <c r="V1649">
        <f>349.56</f>
        <v>349.56</v>
      </c>
    </row>
    <row r="1650" spans="1:22" x14ac:dyDescent="0.2">
      <c r="A1650" s="1">
        <v>42797</v>
      </c>
      <c r="B1650">
        <f>2927.43</f>
        <v>2927.43</v>
      </c>
      <c r="C1650">
        <f>8621.27</f>
        <v>8621.27</v>
      </c>
      <c r="D1650">
        <f>6062.32</f>
        <v>6062.32</v>
      </c>
      <c r="E1650">
        <f>1979.472</f>
        <v>1979.472</v>
      </c>
      <c r="F1650">
        <f>1707.44</f>
        <v>1707.44</v>
      </c>
      <c r="G1650">
        <f>7506.551</f>
        <v>7506.5510000000004</v>
      </c>
      <c r="H1650">
        <f>2966.97</f>
        <v>2966.97</v>
      </c>
      <c r="I1650">
        <f>8595.095</f>
        <v>8595.0949999999993</v>
      </c>
      <c r="J1650">
        <f>3457.73</f>
        <v>3457.73</v>
      </c>
      <c r="K1650">
        <f>9489.02</f>
        <v>9489.02</v>
      </c>
      <c r="L1650">
        <f>1778.17</f>
        <v>1778.17</v>
      </c>
      <c r="M1650">
        <f>7289.68</f>
        <v>7289.68</v>
      </c>
      <c r="N1650">
        <f>307.171</f>
        <v>307.17099999999999</v>
      </c>
      <c r="O1650">
        <f>2741.64</f>
        <v>2741.64</v>
      </c>
      <c r="P1650">
        <f>230.1</f>
        <v>230.1</v>
      </c>
      <c r="Q1650">
        <f>2131.547</f>
        <v>2131.547</v>
      </c>
      <c r="R1650">
        <f>4571.6</f>
        <v>4571.6000000000004</v>
      </c>
      <c r="S1650">
        <f>2222.12</f>
        <v>2222.12</v>
      </c>
      <c r="T1650">
        <f>4013.022</f>
        <v>4013.0219999999999</v>
      </c>
      <c r="U1650">
        <f>51708.61</f>
        <v>51708.61</v>
      </c>
      <c r="V1650">
        <f>349.65</f>
        <v>349.65</v>
      </c>
    </row>
    <row r="1651" spans="1:22" x14ac:dyDescent="0.2">
      <c r="A1651" s="1">
        <v>42796</v>
      </c>
      <c r="B1651">
        <f>2931.94</f>
        <v>2931.94</v>
      </c>
      <c r="C1651">
        <f>8675.59</f>
        <v>8675.59</v>
      </c>
      <c r="D1651">
        <f>6068.97</f>
        <v>6068.97</v>
      </c>
      <c r="E1651">
        <f>1990.798</f>
        <v>1990.798</v>
      </c>
      <c r="F1651">
        <f>1713</f>
        <v>1713</v>
      </c>
      <c r="G1651">
        <f>7530.772</f>
        <v>7530.7719999999999</v>
      </c>
      <c r="H1651">
        <f>2981.91</f>
        <v>2981.91</v>
      </c>
      <c r="I1651">
        <f>8552.17</f>
        <v>8552.17</v>
      </c>
      <c r="J1651">
        <f>3461.02</f>
        <v>3461.02</v>
      </c>
      <c r="K1651">
        <f>9484.27</f>
        <v>9484.27</v>
      </c>
      <c r="L1651">
        <f>1779.97</f>
        <v>1779.97</v>
      </c>
      <c r="M1651">
        <f>7288.9</f>
        <v>7288.9</v>
      </c>
      <c r="N1651">
        <f>309.502</f>
        <v>309.50200000000001</v>
      </c>
      <c r="O1651">
        <f>2743.34</f>
        <v>2743.34</v>
      </c>
      <c r="P1651">
        <f>231.36</f>
        <v>231.36</v>
      </c>
      <c r="Q1651">
        <f>2136.202</f>
        <v>2136.2020000000002</v>
      </c>
      <c r="R1651">
        <f>4569.17</f>
        <v>4569.17</v>
      </c>
      <c r="S1651">
        <f>2231.59</f>
        <v>2231.59</v>
      </c>
      <c r="T1651">
        <f>4005.502</f>
        <v>4005.502</v>
      </c>
      <c r="U1651">
        <f>51893.19</f>
        <v>51893.19</v>
      </c>
      <c r="V1651">
        <f>348.73</f>
        <v>348.73</v>
      </c>
    </row>
    <row r="1652" spans="1:22" x14ac:dyDescent="0.2">
      <c r="A1652" s="1">
        <v>42795</v>
      </c>
      <c r="B1652">
        <f>2923.2</f>
        <v>2923.2</v>
      </c>
      <c r="C1652">
        <f>8687.17</f>
        <v>8687.17</v>
      </c>
      <c r="D1652">
        <f>6067.96</f>
        <v>6067.96</v>
      </c>
      <c r="E1652">
        <f>1994.983</f>
        <v>1994.9829999999999</v>
      </c>
      <c r="F1652">
        <f>1724.73</f>
        <v>1724.73</v>
      </c>
      <c r="G1652">
        <f>7548.809</f>
        <v>7548.8090000000002</v>
      </c>
      <c r="H1652">
        <f>2971.49</f>
        <v>2971.49</v>
      </c>
      <c r="I1652">
        <f>8567.742</f>
        <v>8567.7420000000002</v>
      </c>
      <c r="J1652">
        <f>3469.92</f>
        <v>3469.92</v>
      </c>
      <c r="K1652">
        <f>9539.93</f>
        <v>9539.93</v>
      </c>
      <c r="L1652">
        <f>1779.78</f>
        <v>1779.78</v>
      </c>
      <c r="M1652">
        <f>7316.49</f>
        <v>7316.49</v>
      </c>
      <c r="N1652">
        <f>309.687</f>
        <v>309.68700000000001</v>
      </c>
      <c r="O1652">
        <f>2741.25</f>
        <v>2741.25</v>
      </c>
      <c r="P1652">
        <f>229.8</f>
        <v>229.8</v>
      </c>
      <c r="Q1652">
        <f>2146.224</f>
        <v>2146.2240000000002</v>
      </c>
      <c r="R1652">
        <f>4595.73</f>
        <v>4595.7299999999996</v>
      </c>
      <c r="S1652">
        <f>2215.04</f>
        <v>2215.04</v>
      </c>
      <c r="T1652">
        <f>3965.139</f>
        <v>3965.1390000000001</v>
      </c>
      <c r="U1652">
        <f>51682.19</f>
        <v>51682.19</v>
      </c>
      <c r="V1652">
        <f>344.53</f>
        <v>344.53</v>
      </c>
    </row>
    <row r="1653" spans="1:22" x14ac:dyDescent="0.2">
      <c r="A1653" s="1">
        <v>42794</v>
      </c>
      <c r="B1653">
        <f>2896.29</f>
        <v>2896.29</v>
      </c>
      <c r="C1653">
        <f>8671.64</f>
        <v>8671.64</v>
      </c>
      <c r="D1653">
        <f>5969.78</f>
        <v>5969.78</v>
      </c>
      <c r="E1653">
        <f>1990.165</f>
        <v>1990.165</v>
      </c>
      <c r="F1653">
        <f>1713.22</f>
        <v>1713.22</v>
      </c>
      <c r="G1653">
        <f>7506.416</f>
        <v>7506.4160000000002</v>
      </c>
      <c r="H1653">
        <f>2985.95</f>
        <v>2985.95</v>
      </c>
      <c r="I1653">
        <f>8485.757</f>
        <v>8485.7569999999996</v>
      </c>
      <c r="J1653">
        <f>3440.59</f>
        <v>3440.59</v>
      </c>
      <c r="K1653">
        <f>9413.93</f>
        <v>9413.93</v>
      </c>
      <c r="L1653">
        <f>1770.84</f>
        <v>1770.84</v>
      </c>
      <c r="M1653">
        <f>7245.76</f>
        <v>7245.76</v>
      </c>
      <c r="N1653">
        <f>306.838</f>
        <v>306.83800000000002</v>
      </c>
      <c r="O1653">
        <f>2699.03</f>
        <v>2699.03</v>
      </c>
      <c r="P1653">
        <f>228.29</f>
        <v>228.29</v>
      </c>
      <c r="Q1653">
        <f>2121.385</f>
        <v>2121.3850000000002</v>
      </c>
      <c r="R1653">
        <f>4532.93</f>
        <v>4532.93</v>
      </c>
      <c r="S1653">
        <f>2189.71</f>
        <v>2189.71</v>
      </c>
      <c r="T1653">
        <f>3945.084</f>
        <v>3945.0839999999998</v>
      </c>
      <c r="U1653">
        <f>51146.05</f>
        <v>51146.05</v>
      </c>
      <c r="V1653">
        <f>341.46</f>
        <v>341.46</v>
      </c>
    </row>
    <row r="1654" spans="1:22" x14ac:dyDescent="0.2">
      <c r="A1654" s="1">
        <v>42793</v>
      </c>
      <c r="B1654">
        <f>2875.45</f>
        <v>2875.45</v>
      </c>
      <c r="C1654">
        <f>8729.86</f>
        <v>8729.86</v>
      </c>
      <c r="D1654">
        <f>5961.19</f>
        <v>5961.19</v>
      </c>
      <c r="E1654">
        <f>1998.476</f>
        <v>1998.4760000000001</v>
      </c>
      <c r="F1654">
        <f>1700.6</f>
        <v>1700.6</v>
      </c>
      <c r="G1654">
        <f>7508.797</f>
        <v>7508.7969999999996</v>
      </c>
      <c r="H1654">
        <f>2984.51</f>
        <v>2984.51</v>
      </c>
      <c r="I1654">
        <f>8448.385</f>
        <v>8448.3850000000002</v>
      </c>
      <c r="J1654">
        <f>3444.56</f>
        <v>3444.56</v>
      </c>
      <c r="K1654">
        <f>9439.81</f>
        <v>9439.81</v>
      </c>
      <c r="L1654">
        <f>1770.48</f>
        <v>1770.48</v>
      </c>
      <c r="M1654">
        <f>7256.79</f>
        <v>7256.79</v>
      </c>
      <c r="N1654">
        <f>306.055</f>
        <v>306.05500000000001</v>
      </c>
      <c r="O1654">
        <f>2693.55</f>
        <v>2693.55</v>
      </c>
      <c r="P1654">
        <f>228.28</f>
        <v>228.28</v>
      </c>
      <c r="Q1654">
        <f>2129.599</f>
        <v>2129.5990000000002</v>
      </c>
      <c r="R1654">
        <f>4544.51</f>
        <v>4544.51</v>
      </c>
      <c r="S1654">
        <f>2187.82</f>
        <v>2187.8200000000002</v>
      </c>
      <c r="T1654">
        <f>3973.478</f>
        <v>3973.4780000000001</v>
      </c>
      <c r="U1654">
        <f>51497.16</f>
        <v>51497.16</v>
      </c>
      <c r="V1654">
        <f>344.23</f>
        <v>344.23</v>
      </c>
    </row>
    <row r="1655" spans="1:22" x14ac:dyDescent="0.2">
      <c r="A1655" s="1">
        <v>42790</v>
      </c>
      <c r="B1655">
        <f>2872.36</f>
        <v>2872.36</v>
      </c>
      <c r="C1655">
        <f>8761.22</f>
        <v>8761.2199999999993</v>
      </c>
      <c r="D1655">
        <f>5953.56</f>
        <v>5953.56</v>
      </c>
      <c r="E1655">
        <f>2005.208</f>
        <v>2005.2080000000001</v>
      </c>
      <c r="F1655">
        <f>1714.14</f>
        <v>1714.14</v>
      </c>
      <c r="G1655">
        <f>7515.901</f>
        <v>7515.9009999999998</v>
      </c>
      <c r="H1655">
        <f>3006.15</f>
        <v>3006.15</v>
      </c>
      <c r="I1655">
        <f>8414.259</f>
        <v>8414.259</v>
      </c>
      <c r="J1655">
        <f>3448.32</f>
        <v>3448.32</v>
      </c>
      <c r="K1655">
        <f>9427.47</f>
        <v>9427.4699999999993</v>
      </c>
      <c r="L1655">
        <f>1771.27</f>
        <v>1771.27</v>
      </c>
      <c r="M1655">
        <f>7253.03</f>
        <v>7253.03</v>
      </c>
      <c r="N1655">
        <f>306.691</f>
        <v>306.69099999999997</v>
      </c>
      <c r="O1655">
        <f>2697.71</f>
        <v>2697.71</v>
      </c>
      <c r="P1655">
        <f>230.5</f>
        <v>230.5</v>
      </c>
      <c r="Q1655">
        <f>2131.866</f>
        <v>2131.866</v>
      </c>
      <c r="R1655">
        <f>4539.25</f>
        <v>4539.25</v>
      </c>
      <c r="S1655">
        <f>2210.83</f>
        <v>2210.83</v>
      </c>
      <c r="T1655">
        <f>3984.215</f>
        <v>3984.2150000000001</v>
      </c>
      <c r="U1655">
        <f>51609.86</f>
        <v>51609.86</v>
      </c>
      <c r="V1655">
        <f>344.95</f>
        <v>344.95</v>
      </c>
    </row>
    <row r="1656" spans="1:22" x14ac:dyDescent="0.2">
      <c r="A1656" s="1">
        <v>42789</v>
      </c>
      <c r="B1656">
        <f>2871.78</f>
        <v>2871.78</v>
      </c>
      <c r="C1656">
        <f>8845.06</f>
        <v>8845.06</v>
      </c>
      <c r="D1656">
        <f>5976.29</f>
        <v>5976.29</v>
      </c>
      <c r="E1656">
        <f>2023.386</f>
        <v>2023.386</v>
      </c>
      <c r="F1656">
        <f>1718.58</f>
        <v>1718.58</v>
      </c>
      <c r="G1656">
        <f>7578.811</f>
        <v>7578.8109999999997</v>
      </c>
      <c r="H1656">
        <f>3015.92</f>
        <v>3015.92</v>
      </c>
      <c r="I1656">
        <f>8501.777</f>
        <v>8501.777</v>
      </c>
      <c r="J1656">
        <f>3432.08</f>
        <v>3432.08</v>
      </c>
      <c r="K1656">
        <f>9411</f>
        <v>9411</v>
      </c>
      <c r="L1656">
        <f>1774.67</f>
        <v>1774.67</v>
      </c>
      <c r="M1656">
        <f>7269.6</f>
        <v>7269.6</v>
      </c>
      <c r="N1656">
        <f>307.896</f>
        <v>307.89600000000002</v>
      </c>
      <c r="O1656">
        <f>2719.54</f>
        <v>2719.54</v>
      </c>
      <c r="P1656">
        <f>230.74</f>
        <v>230.74</v>
      </c>
      <c r="Q1656">
        <f>2124.016</f>
        <v>2124.0160000000001</v>
      </c>
      <c r="R1656">
        <f>4531.39</f>
        <v>4531.3900000000003</v>
      </c>
      <c r="S1656">
        <f>2218.95</f>
        <v>2218.9499999999998</v>
      </c>
      <c r="T1656">
        <f>3999.999</f>
        <v>3999.9989999999998</v>
      </c>
      <c r="U1656">
        <f>52183.1</f>
        <v>52183.1</v>
      </c>
      <c r="V1656">
        <f>347.52</f>
        <v>347.52</v>
      </c>
    </row>
    <row r="1657" spans="1:22" x14ac:dyDescent="0.2">
      <c r="A1657" s="1">
        <v>42788</v>
      </c>
      <c r="B1657">
        <f>2871.78</f>
        <v>2871.78</v>
      </c>
      <c r="C1657">
        <f>8810.4</f>
        <v>8810.4</v>
      </c>
      <c r="D1657">
        <f>5980.57</f>
        <v>5980.57</v>
      </c>
      <c r="E1657">
        <f>2020.897</f>
        <v>2020.8969999999999</v>
      </c>
      <c r="F1657">
        <f>1696.49</f>
        <v>1696.49</v>
      </c>
      <c r="G1657">
        <f>7525.767</f>
        <v>7525.7669999999998</v>
      </c>
      <c r="H1657">
        <f>2996.37</f>
        <v>2996.37</v>
      </c>
      <c r="I1657">
        <f>8476.024</f>
        <v>8476.0239999999994</v>
      </c>
      <c r="J1657">
        <f>3416.84</f>
        <v>3416.84</v>
      </c>
      <c r="K1657">
        <f>9408.42</f>
        <v>9408.42</v>
      </c>
      <c r="L1657">
        <f>1765.31</f>
        <v>1765.31</v>
      </c>
      <c r="M1657">
        <f>7255.53</f>
        <v>7255.53</v>
      </c>
      <c r="N1657">
        <f>307.012</f>
        <v>307.012</v>
      </c>
      <c r="O1657">
        <f>2719.12</f>
        <v>2719.12</v>
      </c>
      <c r="P1657">
        <f>230.39</f>
        <v>230.39</v>
      </c>
      <c r="Q1657">
        <f>2125.744</f>
        <v>2125.7440000000001</v>
      </c>
      <c r="R1657">
        <f>4528.97</f>
        <v>4528.97</v>
      </c>
      <c r="S1657">
        <f>2220.14</f>
        <v>2220.14</v>
      </c>
      <c r="T1657">
        <f>3958.21</f>
        <v>3958.21</v>
      </c>
      <c r="U1657">
        <f>52088.56</f>
        <v>52088.56</v>
      </c>
      <c r="V1657">
        <f>344.1</f>
        <v>344.1</v>
      </c>
    </row>
    <row r="1658" spans="1:22" x14ac:dyDescent="0.2">
      <c r="A1658" s="1">
        <v>42787</v>
      </c>
      <c r="B1658">
        <f>2866.25</f>
        <v>2866.25</v>
      </c>
      <c r="C1658">
        <f>8759.99</f>
        <v>8759.99</v>
      </c>
      <c r="D1658">
        <f>5958.11</f>
        <v>5958.11</v>
      </c>
      <c r="E1658">
        <f>2009.556</f>
        <v>2009.556</v>
      </c>
      <c r="F1658">
        <f>1697.31</f>
        <v>1697.31</v>
      </c>
      <c r="G1658">
        <f>7504.384</f>
        <v>7504.384</v>
      </c>
      <c r="H1658">
        <f>2984.08</f>
        <v>2984.08</v>
      </c>
      <c r="I1658">
        <f>8477.622</f>
        <v>8477.6219999999994</v>
      </c>
      <c r="J1658">
        <f>3417.74</f>
        <v>3417.74</v>
      </c>
      <c r="K1658">
        <f>9418.5</f>
        <v>9418.5</v>
      </c>
      <c r="L1658">
        <f>1763.56</f>
        <v>1763.56</v>
      </c>
      <c r="M1658">
        <f>7257.16</f>
        <v>7257.16</v>
      </c>
      <c r="N1658">
        <f>305.739</f>
        <v>305.73899999999998</v>
      </c>
      <c r="O1658">
        <f>2719.21</f>
        <v>2719.21</v>
      </c>
      <c r="P1658">
        <f>230.3</f>
        <v>230.3</v>
      </c>
      <c r="Q1658">
        <f>2129.05</f>
        <v>2129.0500000000002</v>
      </c>
      <c r="R1658">
        <f>4533.46</f>
        <v>4533.46</v>
      </c>
      <c r="S1658">
        <f>2218.01</f>
        <v>2218.0100000000002</v>
      </c>
      <c r="T1658">
        <f>3980.246</f>
        <v>3980.2460000000001</v>
      </c>
      <c r="U1658">
        <f>52586.61</f>
        <v>52586.61</v>
      </c>
      <c r="V1658">
        <f>346.66</f>
        <v>346.66</v>
      </c>
    </row>
    <row r="1659" spans="1:22" x14ac:dyDescent="0.2">
      <c r="A1659" s="1">
        <v>42786</v>
      </c>
      <c r="B1659">
        <f>2868.3</f>
        <v>2868.3</v>
      </c>
      <c r="C1659">
        <f>8768.26</f>
        <v>8768.26</v>
      </c>
      <c r="D1659">
        <f>5978.61</f>
        <v>5978.61</v>
      </c>
      <c r="E1659">
        <f>2004.674</f>
        <v>2004.674</v>
      </c>
      <c r="F1659">
        <f>1695.99</f>
        <v>1695.99</v>
      </c>
      <c r="G1659">
        <f>7532.74</f>
        <v>7532.74</v>
      </c>
      <c r="H1659">
        <f>2983.12</f>
        <v>2983.12</v>
      </c>
      <c r="I1659">
        <f>8484.499</f>
        <v>8484.4989999999998</v>
      </c>
      <c r="J1659">
        <f>3398.02</f>
        <v>3398.02</v>
      </c>
      <c r="K1659">
        <f>9361.73</f>
        <v>9361.73</v>
      </c>
      <c r="L1659">
        <f>1758.07</f>
        <v>1758.07</v>
      </c>
      <c r="M1659">
        <f>7232.34</f>
        <v>7232.34</v>
      </c>
      <c r="N1659">
        <f>303.873</f>
        <v>303.87299999999999</v>
      </c>
      <c r="O1659">
        <f>2702.56</f>
        <v>2702.56</v>
      </c>
      <c r="P1659">
        <f>228.8</f>
        <v>228.8</v>
      </c>
      <c r="Q1659" t="e">
        <f>NA()</f>
        <v>#N/A</v>
      </c>
      <c r="R1659" t="e">
        <f>NA()</f>
        <v>#N/A</v>
      </c>
      <c r="S1659">
        <f>2205.76</f>
        <v>2205.7600000000002</v>
      </c>
      <c r="T1659">
        <f>3999.945</f>
        <v>3999.9450000000002</v>
      </c>
      <c r="U1659">
        <f>52558.61</f>
        <v>52558.61</v>
      </c>
      <c r="V1659">
        <f>348.7</f>
        <v>348.7</v>
      </c>
    </row>
    <row r="1660" spans="1:22" x14ac:dyDescent="0.2">
      <c r="A1660" s="1">
        <v>42783</v>
      </c>
      <c r="B1660">
        <f>2870.94</f>
        <v>2870.94</v>
      </c>
      <c r="C1660">
        <f>8766.05</f>
        <v>8766.0499999999993</v>
      </c>
      <c r="D1660">
        <f>5978.7</f>
        <v>5978.7</v>
      </c>
      <c r="E1660">
        <f>1994.997</f>
        <v>1994.9970000000001</v>
      </c>
      <c r="F1660">
        <f>1695.3</f>
        <v>1695.3</v>
      </c>
      <c r="G1660">
        <f>7508.754</f>
        <v>7508.7539999999999</v>
      </c>
      <c r="H1660">
        <f>2981.88</f>
        <v>2981.88</v>
      </c>
      <c r="I1660">
        <f>8483.392</f>
        <v>8483.3919999999998</v>
      </c>
      <c r="J1660">
        <f>3398.02</f>
        <v>3398.02</v>
      </c>
      <c r="K1660">
        <f>9361.73</f>
        <v>9361.73</v>
      </c>
      <c r="L1660">
        <f>1759.1</f>
        <v>1759.1</v>
      </c>
      <c r="M1660">
        <f>7231.02</f>
        <v>7231.02</v>
      </c>
      <c r="N1660">
        <f>304.368</f>
        <v>304.36799999999999</v>
      </c>
      <c r="O1660">
        <f>2699.01</f>
        <v>2699.01</v>
      </c>
      <c r="P1660">
        <f>228.21</f>
        <v>228.21</v>
      </c>
      <c r="Q1660">
        <f>2115.285</f>
        <v>2115.2849999999999</v>
      </c>
      <c r="R1660">
        <f>4506.2</f>
        <v>4506.2</v>
      </c>
      <c r="S1660">
        <f>2202.25</f>
        <v>2202.25</v>
      </c>
      <c r="T1660">
        <f>4002.428</f>
        <v>4002.4279999999999</v>
      </c>
      <c r="U1660">
        <f>52223.54</f>
        <v>52223.54</v>
      </c>
      <c r="V1660">
        <f>349.85</f>
        <v>349.85</v>
      </c>
    </row>
    <row r="1661" spans="1:22" x14ac:dyDescent="0.2">
      <c r="A1661" s="1">
        <v>42782</v>
      </c>
      <c r="B1661">
        <f>2873.52</f>
        <v>2873.52</v>
      </c>
      <c r="C1661">
        <f>8852.65</f>
        <v>8852.65</v>
      </c>
      <c r="D1661">
        <f>5960.64</f>
        <v>5960.64</v>
      </c>
      <c r="E1661">
        <f>2008.898</f>
        <v>2008.8979999999999</v>
      </c>
      <c r="F1661">
        <f>1704.91</f>
        <v>1704.91</v>
      </c>
      <c r="G1661">
        <f>7529.914</f>
        <v>7529.9139999999998</v>
      </c>
      <c r="H1661">
        <f>2979.37</f>
        <v>2979.37</v>
      </c>
      <c r="I1661">
        <f>8516.353</f>
        <v>8516.3529999999992</v>
      </c>
      <c r="J1661">
        <f>3390.44</f>
        <v>3390.44</v>
      </c>
      <c r="K1661">
        <f>9345.09</f>
        <v>9345.09</v>
      </c>
      <c r="L1661">
        <f>1756.43</f>
        <v>1756.43</v>
      </c>
      <c r="M1661">
        <f>7231.07</f>
        <v>7231.07</v>
      </c>
      <c r="N1661">
        <f>302.002</f>
        <v>302.00200000000001</v>
      </c>
      <c r="O1661">
        <f>2696.04</f>
        <v>2696.04</v>
      </c>
      <c r="P1661">
        <f>228.92</f>
        <v>228.92</v>
      </c>
      <c r="Q1661">
        <f>2104.197</f>
        <v>2104.1970000000001</v>
      </c>
      <c r="R1661">
        <f>4498.56</f>
        <v>4498.5600000000004</v>
      </c>
      <c r="S1661">
        <f>2211.17</f>
        <v>2211.17</v>
      </c>
      <c r="T1661">
        <f>4015.526</f>
        <v>4015.5259999999998</v>
      </c>
      <c r="U1661">
        <f>52586.37</f>
        <v>52586.37</v>
      </c>
      <c r="V1661">
        <f>350.89</f>
        <v>350.89</v>
      </c>
    </row>
    <row r="1662" spans="1:22" x14ac:dyDescent="0.2">
      <c r="A1662" s="1">
        <v>42781</v>
      </c>
      <c r="B1662">
        <f>2890.36</f>
        <v>2890.36</v>
      </c>
      <c r="C1662">
        <f>8816.43</f>
        <v>8816.43</v>
      </c>
      <c r="D1662">
        <f>5958.8</f>
        <v>5958.8</v>
      </c>
      <c r="E1662">
        <f>2000.589</f>
        <v>2000.5889999999999</v>
      </c>
      <c r="F1662">
        <f>1697.84</f>
        <v>1697.84</v>
      </c>
      <c r="G1662">
        <f>7499.971</f>
        <v>7499.9709999999995</v>
      </c>
      <c r="H1662">
        <f>2953</f>
        <v>2953</v>
      </c>
      <c r="I1662">
        <f>8454.43</f>
        <v>8454.43</v>
      </c>
      <c r="J1662">
        <f>3379.78</f>
        <v>3379.78</v>
      </c>
      <c r="K1662">
        <f>9353.42</f>
        <v>9353.42</v>
      </c>
      <c r="L1662">
        <f>1748.75</f>
        <v>1748.75</v>
      </c>
      <c r="M1662">
        <f>7216.98</f>
        <v>7216.98</v>
      </c>
      <c r="N1662">
        <f>301.748</f>
        <v>301.74799999999999</v>
      </c>
      <c r="O1662">
        <f>2703.69</f>
        <v>2703.69</v>
      </c>
      <c r="P1662">
        <f>229.14</f>
        <v>229.14</v>
      </c>
      <c r="Q1662">
        <f>2102.48</f>
        <v>2102.48</v>
      </c>
      <c r="R1662">
        <f>4501.99</f>
        <v>4501.99</v>
      </c>
      <c r="S1662">
        <f>2214.88</f>
        <v>2214.88</v>
      </c>
      <c r="T1662">
        <f>4009.333</f>
        <v>4009.3330000000001</v>
      </c>
      <c r="U1662">
        <f>52485.16</f>
        <v>52485.16</v>
      </c>
      <c r="V1662">
        <f>349.51</f>
        <v>349.51</v>
      </c>
    </row>
    <row r="1663" spans="1:22" x14ac:dyDescent="0.2">
      <c r="A1663" s="1">
        <v>42780</v>
      </c>
      <c r="B1663">
        <f>2893.45</f>
        <v>2893.45</v>
      </c>
      <c r="C1663">
        <f>8676.65</f>
        <v>8676.65</v>
      </c>
      <c r="D1663">
        <f>5930.36</f>
        <v>5930.36</v>
      </c>
      <c r="E1663">
        <f>1984.201</f>
        <v>1984.201</v>
      </c>
      <c r="F1663">
        <f>1695.14</f>
        <v>1695.14</v>
      </c>
      <c r="G1663">
        <f>7469.808</f>
        <v>7469.808</v>
      </c>
      <c r="H1663">
        <f>2938.25</f>
        <v>2938.25</v>
      </c>
      <c r="I1663">
        <f>8415.757</f>
        <v>8415.7569999999996</v>
      </c>
      <c r="J1663">
        <f>3358.06</f>
        <v>3358.06</v>
      </c>
      <c r="K1663">
        <f>9306.2</f>
        <v>9306.2000000000007</v>
      </c>
      <c r="L1663">
        <f>1738.72</f>
        <v>1738.72</v>
      </c>
      <c r="M1663">
        <f>7177.23</f>
        <v>7177.23</v>
      </c>
      <c r="N1663">
        <f>301.438</f>
        <v>301.43799999999999</v>
      </c>
      <c r="O1663">
        <f>2693.97</f>
        <v>2693.97</v>
      </c>
      <c r="P1663">
        <f>229.14</f>
        <v>229.14</v>
      </c>
      <c r="Q1663">
        <f>2089</f>
        <v>2089</v>
      </c>
      <c r="R1663">
        <f>4478.98</f>
        <v>4478.9799999999996</v>
      </c>
      <c r="S1663">
        <f>2194.1</f>
        <v>2194.1</v>
      </c>
      <c r="T1663">
        <f>3965.621</f>
        <v>3965.6210000000001</v>
      </c>
      <c r="U1663">
        <f>52465.64</f>
        <v>52465.64</v>
      </c>
      <c r="V1663">
        <f>347.09</f>
        <v>347.09</v>
      </c>
    </row>
    <row r="1664" spans="1:22" x14ac:dyDescent="0.2">
      <c r="A1664" s="1">
        <v>42779</v>
      </c>
      <c r="B1664">
        <f>2884.63</f>
        <v>2884.63</v>
      </c>
      <c r="C1664">
        <f>8648.06</f>
        <v>8648.06</v>
      </c>
      <c r="D1664">
        <f>5938.81</f>
        <v>5938.81</v>
      </c>
      <c r="E1664">
        <f>1987.098</f>
        <v>1987.098</v>
      </c>
      <c r="F1664">
        <f>1698.93</f>
        <v>1698.93</v>
      </c>
      <c r="G1664">
        <f>7502.744</f>
        <v>7502.7439999999997</v>
      </c>
      <c r="H1664">
        <f>2973.22</f>
        <v>2973.22</v>
      </c>
      <c r="I1664">
        <f>8446.247</f>
        <v>8446.2469999999994</v>
      </c>
      <c r="J1664">
        <f>3351.19</f>
        <v>3351.19</v>
      </c>
      <c r="K1664">
        <f>9266.37</f>
        <v>9266.3700000000008</v>
      </c>
      <c r="L1664">
        <f>1741.87</f>
        <v>1741.87</v>
      </c>
      <c r="M1664">
        <f>7174.91</f>
        <v>7174.91</v>
      </c>
      <c r="N1664">
        <f>302.931</f>
        <v>302.93099999999998</v>
      </c>
      <c r="O1664">
        <f>2695.83</f>
        <v>2695.83</v>
      </c>
      <c r="P1664">
        <f>229.22</f>
        <v>229.22</v>
      </c>
      <c r="Q1664">
        <f>2084.42</f>
        <v>2084.42</v>
      </c>
      <c r="R1664">
        <f>4459.83</f>
        <v>4459.83</v>
      </c>
      <c r="S1664">
        <f>2215.6</f>
        <v>2215.6</v>
      </c>
      <c r="T1664">
        <f>3976.801</f>
        <v>3976.8009999999999</v>
      </c>
      <c r="U1664">
        <f>52956.71</f>
        <v>52956.71</v>
      </c>
      <c r="V1664">
        <f>348.37</f>
        <v>348.37</v>
      </c>
    </row>
    <row r="1665" spans="1:22" x14ac:dyDescent="0.2">
      <c r="A1665" s="1">
        <v>42776</v>
      </c>
      <c r="B1665">
        <f>2881.73</f>
        <v>2881.73</v>
      </c>
      <c r="C1665">
        <f>8584.58</f>
        <v>8584.58</v>
      </c>
      <c r="D1665">
        <f>5922.36</f>
        <v>5922.36</v>
      </c>
      <c r="E1665">
        <f>1975.802</f>
        <v>1975.8019999999999</v>
      </c>
      <c r="F1665">
        <f>1702.37</f>
        <v>1702.37</v>
      </c>
      <c r="G1665">
        <f>7468.985</f>
        <v>7468.9849999999997</v>
      </c>
      <c r="H1665">
        <f>2972.47</f>
        <v>2972.47</v>
      </c>
      <c r="I1665">
        <f>8393.503</f>
        <v>8393.5030000000006</v>
      </c>
      <c r="J1665">
        <f>3335.6</f>
        <v>3335.6</v>
      </c>
      <c r="K1665">
        <f>9216.86</f>
        <v>9216.86</v>
      </c>
      <c r="L1665">
        <f>1735.03</f>
        <v>1735.03</v>
      </c>
      <c r="M1665">
        <f>7139.67</f>
        <v>7139.67</v>
      </c>
      <c r="N1665">
        <f>301.725</f>
        <v>301.72500000000002</v>
      </c>
      <c r="O1665">
        <f>2674.18</f>
        <v>2674.18</v>
      </c>
      <c r="P1665">
        <f>228.48</f>
        <v>228.48</v>
      </c>
      <c r="Q1665">
        <f>2074.08</f>
        <v>2074.08</v>
      </c>
      <c r="R1665">
        <f>4435.42</f>
        <v>4435.42</v>
      </c>
      <c r="S1665">
        <f>2204.71</f>
        <v>2204.71</v>
      </c>
      <c r="T1665">
        <f>3951.217</f>
        <v>3951.2170000000001</v>
      </c>
      <c r="U1665">
        <f>52687.29</f>
        <v>52687.29</v>
      </c>
      <c r="V1665">
        <f>345.74</f>
        <v>345.74</v>
      </c>
    </row>
    <row r="1666" spans="1:22" x14ac:dyDescent="0.2">
      <c r="A1666" s="1">
        <v>42775</v>
      </c>
      <c r="B1666">
        <f>2868.15</f>
        <v>2868.15</v>
      </c>
      <c r="C1666">
        <f>8528.43</f>
        <v>8528.43</v>
      </c>
      <c r="D1666">
        <f>5898.5</f>
        <v>5898.5</v>
      </c>
      <c r="E1666">
        <f>1966.015</f>
        <v>1966.0150000000001</v>
      </c>
      <c r="F1666">
        <f>1702.11</f>
        <v>1702.11</v>
      </c>
      <c r="G1666">
        <f>7463.712</f>
        <v>7463.7120000000004</v>
      </c>
      <c r="H1666">
        <f>2922.41</f>
        <v>2922.41</v>
      </c>
      <c r="I1666">
        <f>8420.419</f>
        <v>8420.4189999999999</v>
      </c>
      <c r="J1666">
        <f>3328.32</f>
        <v>3328.32</v>
      </c>
      <c r="K1666">
        <f>9184.54</f>
        <v>9184.5400000000009</v>
      </c>
      <c r="L1666">
        <f>1732.29</f>
        <v>1732.29</v>
      </c>
      <c r="M1666">
        <f>7111.22</f>
        <v>7111.22</v>
      </c>
      <c r="N1666">
        <f>301.138</f>
        <v>301.13799999999998</v>
      </c>
      <c r="O1666">
        <f>2670.32</f>
        <v>2670.32</v>
      </c>
      <c r="P1666">
        <f>223.67</f>
        <v>223.67</v>
      </c>
      <c r="Q1666">
        <f>2065.747</f>
        <v>2065.7469999999998</v>
      </c>
      <c r="R1666">
        <f>4419.4</f>
        <v>4419.3999999999996</v>
      </c>
      <c r="S1666">
        <f>2157.66</f>
        <v>2157.66</v>
      </c>
      <c r="T1666">
        <f>3897.85</f>
        <v>3897.85</v>
      </c>
      <c r="U1666">
        <f>51904.34</f>
        <v>51904.34</v>
      </c>
      <c r="V1666">
        <f>341.06</f>
        <v>341.06</v>
      </c>
    </row>
    <row r="1667" spans="1:22" x14ac:dyDescent="0.2">
      <c r="A1667" s="1">
        <v>42774</v>
      </c>
      <c r="B1667">
        <f>2852.57</f>
        <v>2852.57</v>
      </c>
      <c r="C1667">
        <f>8477.85</f>
        <v>8477.85</v>
      </c>
      <c r="D1667">
        <f>5863.91</f>
        <v>5863.91</v>
      </c>
      <c r="E1667">
        <f>1957.712</f>
        <v>1957.712</v>
      </c>
      <c r="F1667">
        <f>1689.07</f>
        <v>1689.07</v>
      </c>
      <c r="G1667">
        <f>7427.956</f>
        <v>7427.9560000000001</v>
      </c>
      <c r="H1667">
        <f>2977.79</f>
        <v>2977.79</v>
      </c>
      <c r="I1667">
        <f>8385.365</f>
        <v>8385.3649999999998</v>
      </c>
      <c r="J1667">
        <f>3320.01</f>
        <v>3320.01</v>
      </c>
      <c r="K1667">
        <f>9130.71</f>
        <v>9130.7099999999991</v>
      </c>
      <c r="L1667">
        <f>1730.09</f>
        <v>1730.09</v>
      </c>
      <c r="M1667">
        <f>7089.46</f>
        <v>7089.46</v>
      </c>
      <c r="N1667">
        <f>299.125</f>
        <v>299.125</v>
      </c>
      <c r="O1667">
        <f>2648.19</f>
        <v>2648.19</v>
      </c>
      <c r="P1667">
        <f>225.47</f>
        <v>225.47</v>
      </c>
      <c r="Q1667">
        <f>2053.237</f>
        <v>2053.2370000000001</v>
      </c>
      <c r="R1667">
        <f>4393.31</f>
        <v>4393.3100000000004</v>
      </c>
      <c r="S1667">
        <f>2172.76</f>
        <v>2172.7600000000002</v>
      </c>
      <c r="T1667">
        <f>3865.541</f>
        <v>3865.5410000000002</v>
      </c>
      <c r="U1667">
        <f>51803.48</f>
        <v>51803.48</v>
      </c>
      <c r="V1667">
        <f>337.68</f>
        <v>337.68</v>
      </c>
    </row>
    <row r="1668" spans="1:22" x14ac:dyDescent="0.2">
      <c r="A1668" s="1">
        <v>42773</v>
      </c>
      <c r="B1668">
        <f>2840.08</f>
        <v>2840.08</v>
      </c>
      <c r="C1668">
        <f>8452.54</f>
        <v>8452.5400000000009</v>
      </c>
      <c r="D1668">
        <f>5861.79</f>
        <v>5861.79</v>
      </c>
      <c r="E1668">
        <f>1953.729</f>
        <v>1953.729</v>
      </c>
      <c r="F1668">
        <f>1662.87</f>
        <v>1662.87</v>
      </c>
      <c r="G1668">
        <f>7362.327</f>
        <v>7362.3270000000002</v>
      </c>
      <c r="H1668">
        <f>2954.65</f>
        <v>2954.65</v>
      </c>
      <c r="I1668">
        <f>8359.587</f>
        <v>8359.5869999999995</v>
      </c>
      <c r="J1668">
        <f>3312.98</f>
        <v>3312.98</v>
      </c>
      <c r="K1668">
        <f>9120.62</f>
        <v>9120.6200000000008</v>
      </c>
      <c r="L1668">
        <f>1721.78</f>
        <v>1721.78</v>
      </c>
      <c r="M1668">
        <f>7068.6</f>
        <v>7068.6</v>
      </c>
      <c r="N1668">
        <f>296.519</f>
        <v>296.51900000000001</v>
      </c>
      <c r="O1668">
        <f>2643.42</f>
        <v>2643.42</v>
      </c>
      <c r="P1668">
        <f>224.17</f>
        <v>224.17</v>
      </c>
      <c r="Q1668">
        <f>2049.182</f>
        <v>2049.1819999999998</v>
      </c>
      <c r="R1668">
        <f>4388.87</f>
        <v>4388.87</v>
      </c>
      <c r="S1668">
        <f>2161.36</f>
        <v>2161.36</v>
      </c>
      <c r="T1668">
        <f>3862.339</f>
        <v>3862.3389999999999</v>
      </c>
      <c r="U1668">
        <f>52181.91</f>
        <v>52181.91</v>
      </c>
      <c r="V1668">
        <f>337.68</f>
        <v>337.68</v>
      </c>
    </row>
    <row r="1669" spans="1:22" x14ac:dyDescent="0.2">
      <c r="A1669" s="1">
        <v>42772</v>
      </c>
      <c r="B1669">
        <f>2815.88</f>
        <v>2815.88</v>
      </c>
      <c r="C1669">
        <f>8445.6</f>
        <v>8445.6</v>
      </c>
      <c r="D1669">
        <f>5850.3</f>
        <v>5850.3</v>
      </c>
      <c r="E1669">
        <f>1960.271</f>
        <v>1960.271</v>
      </c>
      <c r="F1669">
        <f>1646.8</f>
        <v>1646.8</v>
      </c>
      <c r="G1669">
        <f>7351.729</f>
        <v>7351.7290000000003</v>
      </c>
      <c r="H1669">
        <f>2961.02</f>
        <v>2961.02</v>
      </c>
      <c r="I1669">
        <f>8390.099</f>
        <v>8390.0990000000002</v>
      </c>
      <c r="J1669">
        <f>3304.54</f>
        <v>3304.54</v>
      </c>
      <c r="K1669">
        <f>9118.34</f>
        <v>9118.34</v>
      </c>
      <c r="L1669">
        <f>1719.94</f>
        <v>1719.94</v>
      </c>
      <c r="M1669">
        <f>7071.93</f>
        <v>7071.93</v>
      </c>
      <c r="N1669">
        <f>293.635</f>
        <v>293.63499999999999</v>
      </c>
      <c r="O1669">
        <f>2634.69</f>
        <v>2634.69</v>
      </c>
      <c r="P1669">
        <f>224.83</f>
        <v>224.83</v>
      </c>
      <c r="Q1669">
        <f>2041.037</f>
        <v>2041.037</v>
      </c>
      <c r="R1669">
        <f>4387.67</f>
        <v>4387.67</v>
      </c>
      <c r="S1669">
        <f>2167.45</f>
        <v>2167.4499999999998</v>
      </c>
      <c r="T1669">
        <f>3860.186</f>
        <v>3860.1860000000001</v>
      </c>
      <c r="U1669">
        <f>52151.16</f>
        <v>52151.16</v>
      </c>
      <c r="V1669">
        <f>336.48</f>
        <v>336.48</v>
      </c>
    </row>
    <row r="1670" spans="1:22" x14ac:dyDescent="0.2">
      <c r="A1670" s="1">
        <v>42769</v>
      </c>
      <c r="B1670">
        <f>2828.27</f>
        <v>2828.27</v>
      </c>
      <c r="C1670">
        <f>8398.94</f>
        <v>8398.94</v>
      </c>
      <c r="D1670">
        <f>5863.48</f>
        <v>5863.48</v>
      </c>
      <c r="E1670">
        <f>1951.5</f>
        <v>1951.5</v>
      </c>
      <c r="F1670">
        <f>1664.85</f>
        <v>1664.85</v>
      </c>
      <c r="G1670">
        <f>7402.988</f>
        <v>7402.9880000000003</v>
      </c>
      <c r="H1670">
        <f>2948.63</f>
        <v>2948.63</v>
      </c>
      <c r="I1670">
        <f>8499.434</f>
        <v>8499.4339999999993</v>
      </c>
      <c r="J1670">
        <f>3308.87</f>
        <v>3308.87</v>
      </c>
      <c r="K1670">
        <f>9137.27</f>
        <v>9137.27</v>
      </c>
      <c r="L1670">
        <f>1727</f>
        <v>1727</v>
      </c>
      <c r="M1670">
        <f>7100.53</f>
        <v>7100.53</v>
      </c>
      <c r="N1670">
        <f>293.973</f>
        <v>293.97300000000001</v>
      </c>
      <c r="O1670">
        <f>2651.22</f>
        <v>2651.22</v>
      </c>
      <c r="P1670">
        <f>224.01</f>
        <v>224.01</v>
      </c>
      <c r="Q1670">
        <f>2048.446</f>
        <v>2048.4459999999999</v>
      </c>
      <c r="R1670">
        <f>4396.95</f>
        <v>4396.95</v>
      </c>
      <c r="S1670">
        <f>2159.71</f>
        <v>2159.71</v>
      </c>
      <c r="T1670">
        <f>3875.145</f>
        <v>3875.145</v>
      </c>
      <c r="U1670">
        <f>52265.16</f>
        <v>52265.16</v>
      </c>
      <c r="V1670">
        <f>338.6</f>
        <v>338.6</v>
      </c>
    </row>
    <row r="1671" spans="1:22" x14ac:dyDescent="0.2">
      <c r="A1671" s="1">
        <v>42768</v>
      </c>
      <c r="B1671">
        <f>2804.62</f>
        <v>2804.62</v>
      </c>
      <c r="C1671">
        <f>8356.02</f>
        <v>8356.02</v>
      </c>
      <c r="D1671">
        <f>5824.69</f>
        <v>5824.69</v>
      </c>
      <c r="E1671">
        <f>1943.687</f>
        <v>1943.6869999999999</v>
      </c>
      <c r="F1671">
        <f>1650</f>
        <v>1650</v>
      </c>
      <c r="G1671">
        <f>7368.834</f>
        <v>7368.8339999999998</v>
      </c>
      <c r="H1671">
        <f>2947.57</f>
        <v>2947.57</v>
      </c>
      <c r="I1671">
        <f>8466.234</f>
        <v>8466.2340000000004</v>
      </c>
      <c r="J1671">
        <f>3290.37</f>
        <v>3290.37</v>
      </c>
      <c r="K1671">
        <f>9069.22</f>
        <v>9069.2199999999993</v>
      </c>
      <c r="L1671">
        <f>1719.69</f>
        <v>1719.69</v>
      </c>
      <c r="M1671">
        <f>7059.25</f>
        <v>7059.25</v>
      </c>
      <c r="N1671">
        <f>292.858</f>
        <v>292.858</v>
      </c>
      <c r="O1671">
        <f>2637.01</f>
        <v>2637.01</v>
      </c>
      <c r="P1671">
        <f>222.98</f>
        <v>222.98</v>
      </c>
      <c r="Q1671">
        <f>2036.92</f>
        <v>2036.92</v>
      </c>
      <c r="R1671">
        <f>4364.85</f>
        <v>4364.8500000000004</v>
      </c>
      <c r="S1671">
        <f>2153.17</f>
        <v>2153.17</v>
      </c>
      <c r="T1671">
        <f>3867.368</f>
        <v>3867.3679999999999</v>
      </c>
      <c r="U1671">
        <f>52719.58</f>
        <v>52719.58</v>
      </c>
      <c r="V1671">
        <f>339.49</f>
        <v>339.49</v>
      </c>
    </row>
    <row r="1672" spans="1:22" x14ac:dyDescent="0.2">
      <c r="A1672" s="1">
        <v>42767</v>
      </c>
      <c r="B1672">
        <f>2806.67</f>
        <v>2806.67</v>
      </c>
      <c r="C1672">
        <f>8364.12</f>
        <v>8364.1200000000008</v>
      </c>
      <c r="D1672">
        <f>5797.7</f>
        <v>5797.7</v>
      </c>
      <c r="E1672">
        <f>1938.96</f>
        <v>1938.96</v>
      </c>
      <c r="F1672">
        <f>1665.55</f>
        <v>1665.55</v>
      </c>
      <c r="G1672">
        <f>7404.281</f>
        <v>7404.2809999999999</v>
      </c>
      <c r="H1672">
        <f>2944.62</f>
        <v>2944.62</v>
      </c>
      <c r="I1672">
        <f>8432.304</f>
        <v>8432.3040000000001</v>
      </c>
      <c r="J1672">
        <f>3277.91</f>
        <v>3277.91</v>
      </c>
      <c r="K1672">
        <f>9062.52</f>
        <v>9062.52</v>
      </c>
      <c r="L1672">
        <f>1715.92</f>
        <v>1715.92</v>
      </c>
      <c r="M1672">
        <f>7051.6</f>
        <v>7051.6</v>
      </c>
      <c r="N1672">
        <f>294.135</f>
        <v>294.13499999999999</v>
      </c>
      <c r="O1672">
        <f>2643.99</f>
        <v>2643.99</v>
      </c>
      <c r="P1672">
        <f>225.87</f>
        <v>225.87</v>
      </c>
      <c r="Q1672">
        <f>2033.042</f>
        <v>2033.0419999999999</v>
      </c>
      <c r="R1672">
        <f>4362.1</f>
        <v>4362.1000000000004</v>
      </c>
      <c r="S1672">
        <f>2177.93</f>
        <v>2177.9299999999998</v>
      </c>
      <c r="T1672">
        <f>3917.603</f>
        <v>3917.6030000000001</v>
      </c>
      <c r="U1672">
        <f>53104.12</f>
        <v>53104.12</v>
      </c>
      <c r="V1672">
        <f>343.61</f>
        <v>343.61</v>
      </c>
    </row>
    <row r="1673" spans="1:22" x14ac:dyDescent="0.2">
      <c r="A1673" s="1">
        <v>42766</v>
      </c>
      <c r="B1673">
        <f>2801.13</f>
        <v>2801.13</v>
      </c>
      <c r="C1673">
        <f>8366.18</f>
        <v>8366.18</v>
      </c>
      <c r="D1673">
        <f>5790.76</f>
        <v>5790.76</v>
      </c>
      <c r="E1673">
        <f>1930.908</f>
        <v>1930.9079999999999</v>
      </c>
      <c r="F1673">
        <f>1648.08</f>
        <v>1648.08</v>
      </c>
      <c r="G1673">
        <f>7357.992</f>
        <v>7357.9920000000002</v>
      </c>
      <c r="H1673">
        <f>2966.4</f>
        <v>2966.4</v>
      </c>
      <c r="I1673">
        <f>8411.041</f>
        <v>8411.0409999999993</v>
      </c>
      <c r="J1673">
        <f>3291.72</f>
        <v>3291.72</v>
      </c>
      <c r="K1673">
        <f>9057.8</f>
        <v>9057.7999999999993</v>
      </c>
      <c r="L1673">
        <f>1717.35</f>
        <v>1717.35</v>
      </c>
      <c r="M1673">
        <f>7046.8</f>
        <v>7046.8</v>
      </c>
      <c r="N1673">
        <f>292.31</f>
        <v>292.31</v>
      </c>
      <c r="O1673">
        <f>2623.28</f>
        <v>2623.28</v>
      </c>
      <c r="P1673">
        <f>225.11</f>
        <v>225.11</v>
      </c>
      <c r="Q1673">
        <f>2044.585</f>
        <v>2044.585</v>
      </c>
      <c r="R1673">
        <f>4359.81</f>
        <v>4359.8100000000004</v>
      </c>
      <c r="S1673">
        <f>2169.23</f>
        <v>2169.23</v>
      </c>
      <c r="T1673">
        <f>3914.769</f>
        <v>3914.7689999999998</v>
      </c>
      <c r="U1673">
        <f>52788.12</f>
        <v>52788.12</v>
      </c>
      <c r="V1673">
        <f>343.94</f>
        <v>343.94</v>
      </c>
    </row>
    <row r="1674" spans="1:22" x14ac:dyDescent="0.2">
      <c r="A1674" s="1">
        <v>42765</v>
      </c>
      <c r="B1674">
        <f>2803.21</f>
        <v>2803.21</v>
      </c>
      <c r="C1674">
        <f>8379.34</f>
        <v>8379.34</v>
      </c>
      <c r="D1674">
        <f>5806.53</f>
        <v>5806.53</v>
      </c>
      <c r="E1674">
        <f>1939.07</f>
        <v>1939.07</v>
      </c>
      <c r="F1674">
        <f>1651.92</f>
        <v>1651.92</v>
      </c>
      <c r="G1674">
        <f>7336.21</f>
        <v>7336.21</v>
      </c>
      <c r="H1674">
        <f>2979.03</f>
        <v>2979.03</v>
      </c>
      <c r="I1674">
        <f>8374.984</f>
        <v>8374.9840000000004</v>
      </c>
      <c r="J1674">
        <f>3290.65</f>
        <v>3290.65</v>
      </c>
      <c r="K1674">
        <f>9062.31</f>
        <v>9062.31</v>
      </c>
      <c r="L1674">
        <f>1713.85</f>
        <v>1713.85</v>
      </c>
      <c r="M1674">
        <f>7045.41</f>
        <v>7045.41</v>
      </c>
      <c r="N1674">
        <f>293.664</f>
        <v>293.66399999999999</v>
      </c>
      <c r="O1674">
        <f>2639.65</f>
        <v>2639.65</v>
      </c>
      <c r="P1674">
        <f>228.49</f>
        <v>228.49</v>
      </c>
      <c r="Q1674">
        <f>2047.548</f>
        <v>2047.548</v>
      </c>
      <c r="R1674">
        <f>4363.67</f>
        <v>4363.67</v>
      </c>
      <c r="S1674">
        <f>2200.72</f>
        <v>2200.7199999999998</v>
      </c>
      <c r="T1674">
        <f>3902.782</f>
        <v>3902.7820000000002</v>
      </c>
      <c r="U1674">
        <f>52660.94</f>
        <v>52660.94</v>
      </c>
      <c r="V1674">
        <f>342.53</f>
        <v>342.53</v>
      </c>
    </row>
    <row r="1675" spans="1:22" x14ac:dyDescent="0.2">
      <c r="A1675" s="1">
        <v>42762</v>
      </c>
      <c r="B1675">
        <f>2825.74</f>
        <v>2825.74</v>
      </c>
      <c r="C1675">
        <f>8426.86</f>
        <v>8426.86</v>
      </c>
      <c r="D1675">
        <f>5860.37</f>
        <v>5860.37</v>
      </c>
      <c r="E1675">
        <f>1945.084</f>
        <v>1945.0840000000001</v>
      </c>
      <c r="F1675">
        <f>1656.7</f>
        <v>1656.7</v>
      </c>
      <c r="G1675">
        <f>7426.622</f>
        <v>7426.6220000000003</v>
      </c>
      <c r="H1675">
        <f>2963.3</f>
        <v>2963.3</v>
      </c>
      <c r="I1675">
        <f>8472.208</f>
        <v>8472.2080000000005</v>
      </c>
      <c r="J1675">
        <f>3303.37</f>
        <v>3303.37</v>
      </c>
      <c r="K1675">
        <f>9116.83</f>
        <v>9116.83</v>
      </c>
      <c r="L1675">
        <f>1722.52</f>
        <v>1722.52</v>
      </c>
      <c r="M1675">
        <f>7089.39</f>
        <v>7089.39</v>
      </c>
      <c r="N1675">
        <f>296.775</f>
        <v>296.77499999999998</v>
      </c>
      <c r="O1675">
        <f>2668.86</f>
        <v>2668.86</v>
      </c>
      <c r="P1675">
        <f>229.15</f>
        <v>229.15</v>
      </c>
      <c r="Q1675">
        <f>2052.64</f>
        <v>2052.64</v>
      </c>
      <c r="R1675">
        <f>4389.85</f>
        <v>4389.8500000000004</v>
      </c>
      <c r="S1675">
        <f>2208.54</f>
        <v>2208.54</v>
      </c>
      <c r="T1675">
        <f>3946.141</f>
        <v>3946.1410000000001</v>
      </c>
      <c r="U1675">
        <f>52973.83</f>
        <v>52973.83</v>
      </c>
      <c r="V1675">
        <f>346.51</f>
        <v>346.51</v>
      </c>
    </row>
    <row r="1676" spans="1:22" x14ac:dyDescent="0.2">
      <c r="A1676" s="1">
        <v>42761</v>
      </c>
      <c r="B1676">
        <f>2825.08</f>
        <v>2825.08</v>
      </c>
      <c r="C1676">
        <f>8430.47</f>
        <v>8430.4699999999993</v>
      </c>
      <c r="D1676">
        <f>5841.61</f>
        <v>5841.61</v>
      </c>
      <c r="E1676">
        <f>1946.799</f>
        <v>1946.799</v>
      </c>
      <c r="F1676">
        <f>1661.63</f>
        <v>1661.63</v>
      </c>
      <c r="G1676">
        <f>7427.058</f>
        <v>7427.058</v>
      </c>
      <c r="H1676">
        <f>2959.52</f>
        <v>2959.52</v>
      </c>
      <c r="I1676">
        <f>8470.647</f>
        <v>8470.6470000000008</v>
      </c>
      <c r="J1676">
        <f>3299.21</f>
        <v>3299.21</v>
      </c>
      <c r="K1676">
        <f>9123.34</f>
        <v>9123.34</v>
      </c>
      <c r="L1676">
        <f>1721.07</f>
        <v>1721.07</v>
      </c>
      <c r="M1676">
        <f>7090.47</f>
        <v>7090.47</v>
      </c>
      <c r="N1676">
        <f>297.272</f>
        <v>297.27199999999999</v>
      </c>
      <c r="O1676">
        <f>2677.19</f>
        <v>2677.19</v>
      </c>
      <c r="P1676">
        <f>228.49</f>
        <v>228.49</v>
      </c>
      <c r="Q1676">
        <f>2058.77</f>
        <v>2058.77</v>
      </c>
      <c r="R1676">
        <f>4393.43</f>
        <v>4393.43</v>
      </c>
      <c r="S1676">
        <f>2202.36</f>
        <v>2202.36</v>
      </c>
      <c r="T1676">
        <f>4002.825</f>
        <v>4002.8249999999998</v>
      </c>
      <c r="U1676">
        <f>53405.74</f>
        <v>53405.74</v>
      </c>
      <c r="V1676">
        <f>354.08</f>
        <v>354.08</v>
      </c>
    </row>
    <row r="1677" spans="1:22" x14ac:dyDescent="0.2">
      <c r="A1677" s="1">
        <v>42760</v>
      </c>
      <c r="B1677">
        <f>2819.91</f>
        <v>2819.91</v>
      </c>
      <c r="C1677">
        <f>8389.77</f>
        <v>8389.77</v>
      </c>
      <c r="D1677">
        <f>5844.01</f>
        <v>5844.01</v>
      </c>
      <c r="E1677">
        <f>1937.019</f>
        <v>1937.019</v>
      </c>
      <c r="F1677">
        <f>1659.56</f>
        <v>1659.56</v>
      </c>
      <c r="G1677">
        <f>7442.25</f>
        <v>7442.25</v>
      </c>
      <c r="H1677">
        <f>2948.71</f>
        <v>2948.71</v>
      </c>
      <c r="I1677">
        <f>8518.039</f>
        <v>8518.0390000000007</v>
      </c>
      <c r="J1677">
        <f>3307.99</f>
        <v>3307.99</v>
      </c>
      <c r="K1677">
        <f>9132.22</f>
        <v>9132.2199999999993</v>
      </c>
      <c r="L1677">
        <f>1727.79</f>
        <v>1727.79</v>
      </c>
      <c r="M1677">
        <f>7098.48</f>
        <v>7098.48</v>
      </c>
      <c r="N1677">
        <f>296.233</f>
        <v>296.233</v>
      </c>
      <c r="O1677">
        <f>2672.1</f>
        <v>2672.1</v>
      </c>
      <c r="P1677">
        <f>225.14</f>
        <v>225.14</v>
      </c>
      <c r="Q1677">
        <f>2065.622</f>
        <v>2065.6219999999998</v>
      </c>
      <c r="R1677">
        <f>4396.57</f>
        <v>4396.57</v>
      </c>
      <c r="S1677">
        <f>2168.95</f>
        <v>2168.9499999999998</v>
      </c>
      <c r="T1677">
        <f>3972.111</f>
        <v>3972.1109999999999</v>
      </c>
      <c r="U1677">
        <f>53250.79</f>
        <v>53250.79</v>
      </c>
      <c r="V1677">
        <f>352.32</f>
        <v>352.32</v>
      </c>
    </row>
    <row r="1678" spans="1:22" x14ac:dyDescent="0.2">
      <c r="A1678" s="1">
        <v>42759</v>
      </c>
      <c r="B1678">
        <f>2809.84</f>
        <v>2809.84</v>
      </c>
      <c r="C1678">
        <f>8376.22</f>
        <v>8376.2199999999993</v>
      </c>
      <c r="D1678">
        <f>5832.52</f>
        <v>5832.52</v>
      </c>
      <c r="E1678">
        <f>1929.493</f>
        <v>1929.4929999999999</v>
      </c>
      <c r="F1678">
        <f>1647.28</f>
        <v>1647.28</v>
      </c>
      <c r="G1678">
        <f>7369.083</f>
        <v>7369.0829999999996</v>
      </c>
      <c r="H1678">
        <f>2928.79</f>
        <v>2928.79</v>
      </c>
      <c r="I1678">
        <f>8412.646</f>
        <v>8412.6460000000006</v>
      </c>
      <c r="J1678">
        <f>3289.57</f>
        <v>3289.57</v>
      </c>
      <c r="K1678">
        <f>9059.89</f>
        <v>9059.89</v>
      </c>
      <c r="L1678">
        <f>1715.55</f>
        <v>1715.55</v>
      </c>
      <c r="M1678">
        <f>7038.55</f>
        <v>7038.55</v>
      </c>
      <c r="N1678">
        <f>293.087</f>
        <v>293.08699999999999</v>
      </c>
      <c r="O1678">
        <f>2638.78</f>
        <v>2638.78</v>
      </c>
      <c r="P1678">
        <f>224.03</f>
        <v>224.03</v>
      </c>
      <c r="Q1678">
        <f>2054.51</f>
        <v>2054.5100000000002</v>
      </c>
      <c r="R1678">
        <f>4361.56</f>
        <v>4361.5600000000004</v>
      </c>
      <c r="S1678">
        <f>2147.06</f>
        <v>2147.06</v>
      </c>
      <c r="T1678">
        <f>3949.666</f>
        <v>3949.6660000000002</v>
      </c>
      <c r="U1678">
        <f>53342.04</f>
        <v>53342.04</v>
      </c>
      <c r="V1678">
        <f>350.62</f>
        <v>350.62</v>
      </c>
    </row>
    <row r="1679" spans="1:22" x14ac:dyDescent="0.2">
      <c r="A1679" s="1">
        <v>42758</v>
      </c>
      <c r="B1679">
        <f>2817.47</f>
        <v>2817.47</v>
      </c>
      <c r="C1679">
        <f>8333.16</f>
        <v>8333.16</v>
      </c>
      <c r="D1679">
        <f>5833.2</f>
        <v>5833.2</v>
      </c>
      <c r="E1679">
        <f>1915.659</f>
        <v>1915.6590000000001</v>
      </c>
      <c r="F1679">
        <f>1638.14</f>
        <v>1638.14</v>
      </c>
      <c r="G1679">
        <f>7354.683</f>
        <v>7354.683</v>
      </c>
      <c r="H1679">
        <f>2957</f>
        <v>2957</v>
      </c>
      <c r="I1679">
        <f>8376.629</f>
        <v>8376.6290000000008</v>
      </c>
      <c r="J1679">
        <f>3270.72</f>
        <v>3270.72</v>
      </c>
      <c r="K1679">
        <f>8999</f>
        <v>8999</v>
      </c>
      <c r="L1679">
        <f>1708.42</f>
        <v>1708.42</v>
      </c>
      <c r="M1679">
        <f>7002.41</f>
        <v>7002.41</v>
      </c>
      <c r="N1679">
        <f>292.591</f>
        <v>292.59100000000001</v>
      </c>
      <c r="O1679">
        <f>2629.93</f>
        <v>2629.93</v>
      </c>
      <c r="P1679">
        <f>225.98</f>
        <v>225.98</v>
      </c>
      <c r="Q1679">
        <f>2039.83</f>
        <v>2039.83</v>
      </c>
      <c r="R1679">
        <f>4333.1</f>
        <v>4333.1000000000004</v>
      </c>
      <c r="S1679">
        <f>2158.9</f>
        <v>2158.9</v>
      </c>
      <c r="T1679">
        <f>3928.383</f>
        <v>3928.3829999999998</v>
      </c>
      <c r="U1679">
        <f>53040.48</f>
        <v>53040.480000000003</v>
      </c>
      <c r="V1679">
        <f>349.31</f>
        <v>349.31</v>
      </c>
    </row>
    <row r="1680" spans="1:22" x14ac:dyDescent="0.2">
      <c r="A1680" s="1">
        <v>42755</v>
      </c>
      <c r="B1680">
        <f>2822.57</f>
        <v>2822.57</v>
      </c>
      <c r="C1680">
        <f>8268.71</f>
        <v>8268.7099999999991</v>
      </c>
      <c r="D1680">
        <f>5871.75</f>
        <v>5871.75</v>
      </c>
      <c r="E1680">
        <f>1896.776</f>
        <v>1896.7760000000001</v>
      </c>
      <c r="F1680">
        <f>1621.02</f>
        <v>1621.02</v>
      </c>
      <c r="G1680">
        <f>7300.288</f>
        <v>7300.2879999999996</v>
      </c>
      <c r="H1680">
        <f>2941.47</f>
        <v>2941.47</v>
      </c>
      <c r="I1680">
        <f>8379.042</f>
        <v>8379.0419999999995</v>
      </c>
      <c r="J1680">
        <f>3284.02</f>
        <v>3284.02</v>
      </c>
      <c r="K1680">
        <f>9021.08</f>
        <v>9021.08</v>
      </c>
      <c r="L1680">
        <f>1710.73</f>
        <v>1710.73</v>
      </c>
      <c r="M1680">
        <f>7007.18</f>
        <v>7007.18</v>
      </c>
      <c r="N1680">
        <f>292.763</f>
        <v>292.76299999999998</v>
      </c>
      <c r="O1680">
        <f>2641.83</f>
        <v>2641.83</v>
      </c>
      <c r="P1680">
        <f>229.1</f>
        <v>229.1</v>
      </c>
      <c r="Q1680">
        <f>2044.043</f>
        <v>2044.0429999999999</v>
      </c>
      <c r="R1680">
        <f>4344.67</f>
        <v>4344.67</v>
      </c>
      <c r="S1680">
        <f>2185.74</f>
        <v>2185.7399999999998</v>
      </c>
      <c r="T1680">
        <f>3901.947</f>
        <v>3901.9470000000001</v>
      </c>
      <c r="U1680">
        <f>52532.26</f>
        <v>52532.26</v>
      </c>
      <c r="V1680">
        <f>345.78</f>
        <v>345.78</v>
      </c>
    </row>
    <row r="1681" spans="1:22" x14ac:dyDescent="0.2">
      <c r="A1681" s="1">
        <v>42754</v>
      </c>
      <c r="B1681">
        <f>2835.63</f>
        <v>2835.63</v>
      </c>
      <c r="C1681">
        <f>8291.24</f>
        <v>8291.24</v>
      </c>
      <c r="D1681">
        <f>5879.91</f>
        <v>5879.91</v>
      </c>
      <c r="E1681">
        <f>1899.396</f>
        <v>1899.396</v>
      </c>
      <c r="F1681">
        <f>1636.35</f>
        <v>1636.35</v>
      </c>
      <c r="G1681">
        <f>7303.845</f>
        <v>7303.8450000000003</v>
      </c>
      <c r="H1681">
        <f>2922.57</f>
        <v>2922.57</v>
      </c>
      <c r="I1681">
        <f>8309.859</f>
        <v>8309.8590000000004</v>
      </c>
      <c r="J1681">
        <f>3260.6</f>
        <v>3260.6</v>
      </c>
      <c r="K1681">
        <f>8992.85</f>
        <v>8992.85</v>
      </c>
      <c r="L1681">
        <f>1699.68</f>
        <v>1699.68</v>
      </c>
      <c r="M1681">
        <f>6980.74</f>
        <v>6980.74</v>
      </c>
      <c r="N1681">
        <f>294.233</f>
        <v>294.233</v>
      </c>
      <c r="O1681">
        <f>2642.07</f>
        <v>2642.07</v>
      </c>
      <c r="P1681">
        <f>228.66</f>
        <v>228.66</v>
      </c>
      <c r="Q1681">
        <f>2035.772</f>
        <v>2035.7719999999999</v>
      </c>
      <c r="R1681">
        <f>4329.96</f>
        <v>4329.96</v>
      </c>
      <c r="S1681">
        <f>2178.17</f>
        <v>2178.17</v>
      </c>
      <c r="T1681">
        <f>3931.514</f>
        <v>3931.5140000000001</v>
      </c>
      <c r="U1681">
        <f>52900.77</f>
        <v>52900.77</v>
      </c>
      <c r="V1681">
        <f>348.26</f>
        <v>348.26</v>
      </c>
    </row>
    <row r="1682" spans="1:22" x14ac:dyDescent="0.2">
      <c r="A1682" s="1">
        <v>42753</v>
      </c>
      <c r="B1682">
        <f>2853.54</f>
        <v>2853.54</v>
      </c>
      <c r="C1682">
        <f>8334.73</f>
        <v>8334.73</v>
      </c>
      <c r="D1682">
        <f>5909.76</f>
        <v>5909.76</v>
      </c>
      <c r="E1682">
        <f>1906.533</f>
        <v>1906.5329999999999</v>
      </c>
      <c r="F1682">
        <f>1650.51</f>
        <v>1650.51</v>
      </c>
      <c r="G1682">
        <f>7365.012</f>
        <v>7365.0119999999997</v>
      </c>
      <c r="H1682">
        <f>2942.16</f>
        <v>2942.16</v>
      </c>
      <c r="I1682">
        <f>8379.299</f>
        <v>8379.2990000000009</v>
      </c>
      <c r="J1682">
        <f>3276.94</f>
        <v>3276.94</v>
      </c>
      <c r="K1682">
        <f>9024.33</f>
        <v>9024.33</v>
      </c>
      <c r="L1682">
        <f>1713.39</f>
        <v>1713.39</v>
      </c>
      <c r="M1682">
        <f>7018.52</f>
        <v>7018.52</v>
      </c>
      <c r="N1682">
        <f>294.37</f>
        <v>294.37</v>
      </c>
      <c r="O1682">
        <f>2643.68</f>
        <v>2643.68</v>
      </c>
      <c r="P1682">
        <f>225.93</f>
        <v>225.93</v>
      </c>
      <c r="Q1682">
        <f>2046.065</f>
        <v>2046.0650000000001</v>
      </c>
      <c r="R1682">
        <f>4345.57</f>
        <v>4345.57</v>
      </c>
      <c r="S1682">
        <f>2157.8</f>
        <v>2157.8000000000002</v>
      </c>
      <c r="T1682">
        <f>3943.021</f>
        <v>3943.0210000000002</v>
      </c>
      <c r="U1682">
        <f>52933.28</f>
        <v>52933.279999999999</v>
      </c>
      <c r="V1682">
        <f>349.67</f>
        <v>349.67</v>
      </c>
    </row>
    <row r="1683" spans="1:22" x14ac:dyDescent="0.2">
      <c r="A1683" s="1">
        <v>42752</v>
      </c>
      <c r="B1683">
        <f>2870.26</f>
        <v>2870.26</v>
      </c>
      <c r="C1683">
        <f>8323.6</f>
        <v>8323.6</v>
      </c>
      <c r="D1683">
        <f>5887.55</f>
        <v>5887.55</v>
      </c>
      <c r="E1683">
        <f>1900.133</f>
        <v>1900.133</v>
      </c>
      <c r="F1683">
        <f>1705.75</f>
        <v>1705.75</v>
      </c>
      <c r="G1683">
        <f>7362.178</f>
        <v>7362.1779999999999</v>
      </c>
      <c r="H1683">
        <f>2940.29</f>
        <v>2940.29</v>
      </c>
      <c r="I1683">
        <f>8360</f>
        <v>8360</v>
      </c>
      <c r="J1683">
        <f>3273.18</f>
        <v>3273.18</v>
      </c>
      <c r="K1683">
        <f>9005.42</f>
        <v>9005.42</v>
      </c>
      <c r="L1683">
        <f>1712.56</f>
        <v>1712.56</v>
      </c>
      <c r="M1683">
        <f>7006.7</f>
        <v>7006.7</v>
      </c>
      <c r="N1683">
        <f>296.84</f>
        <v>296.83999999999997</v>
      </c>
      <c r="O1683">
        <f>2639.6</f>
        <v>2639.6</v>
      </c>
      <c r="P1683">
        <f>225.26</f>
        <v>225.26</v>
      </c>
      <c r="Q1683">
        <f>2041.984</f>
        <v>2041.9839999999999</v>
      </c>
      <c r="R1683">
        <f>4337.2</f>
        <v>4337.2</v>
      </c>
      <c r="S1683">
        <f>2151.01</f>
        <v>2151.0100000000002</v>
      </c>
      <c r="T1683">
        <f>3933.568</f>
        <v>3933.5680000000002</v>
      </c>
      <c r="U1683">
        <f>52817.73</f>
        <v>52817.73</v>
      </c>
      <c r="V1683">
        <f>348.46</f>
        <v>348.46</v>
      </c>
    </row>
    <row r="1684" spans="1:22" x14ac:dyDescent="0.2">
      <c r="A1684" s="1">
        <v>42751</v>
      </c>
      <c r="B1684">
        <f>2879.9</f>
        <v>2879.9</v>
      </c>
      <c r="C1684">
        <f>8281.44</f>
        <v>8281.44</v>
      </c>
      <c r="D1684">
        <f>5974.6</f>
        <v>5974.6</v>
      </c>
      <c r="E1684">
        <f>1887.89</f>
        <v>1887.89</v>
      </c>
      <c r="F1684">
        <f>1666.21</f>
        <v>1666.21</v>
      </c>
      <c r="G1684">
        <f>7274.872</f>
        <v>7274.8720000000003</v>
      </c>
      <c r="H1684">
        <f>2954.71</f>
        <v>2954.71</v>
      </c>
      <c r="I1684">
        <f>8323.596</f>
        <v>8323.5959999999995</v>
      </c>
      <c r="J1684">
        <f>3267.4</f>
        <v>3267.4</v>
      </c>
      <c r="K1684">
        <f>9032.86</f>
        <v>9032.86</v>
      </c>
      <c r="L1684">
        <f>1706.43</f>
        <v>1706.43</v>
      </c>
      <c r="M1684">
        <f>7010.21</f>
        <v>7010.21</v>
      </c>
      <c r="N1684">
        <f>296.185</f>
        <v>296.185</v>
      </c>
      <c r="O1684">
        <f>2643.75</f>
        <v>2643.75</v>
      </c>
      <c r="P1684">
        <f>228.74</f>
        <v>228.74</v>
      </c>
      <c r="Q1684" t="e">
        <f>NA()</f>
        <v>#N/A</v>
      </c>
      <c r="R1684" t="e">
        <f>NA()</f>
        <v>#N/A</v>
      </c>
      <c r="S1684">
        <f>2181.72</f>
        <v>2181.7199999999998</v>
      </c>
      <c r="T1684">
        <f>3966.137</f>
        <v>3966.1370000000002</v>
      </c>
      <c r="U1684">
        <f>53158.54</f>
        <v>53158.54</v>
      </c>
      <c r="V1684">
        <f>353.08</f>
        <v>353.08</v>
      </c>
    </row>
    <row r="1685" spans="1:22" x14ac:dyDescent="0.2">
      <c r="A1685" s="1">
        <v>42748</v>
      </c>
      <c r="B1685">
        <f>2895.13</f>
        <v>2895.13</v>
      </c>
      <c r="C1685">
        <f>8359.34</f>
        <v>8359.34</v>
      </c>
      <c r="D1685">
        <f>5983.31</f>
        <v>5983.31</v>
      </c>
      <c r="E1685">
        <f>1902.478</f>
        <v>1902.4780000000001</v>
      </c>
      <c r="F1685">
        <f>1698.21</f>
        <v>1698.21</v>
      </c>
      <c r="G1685">
        <f>7353.074</f>
        <v>7353.0739999999996</v>
      </c>
      <c r="H1685">
        <f>2952</f>
        <v>2952</v>
      </c>
      <c r="I1685">
        <f>8403.89</f>
        <v>8403.89</v>
      </c>
      <c r="J1685">
        <f>3267.4</f>
        <v>3267.4</v>
      </c>
      <c r="K1685">
        <f>9032.86</f>
        <v>9032.86</v>
      </c>
      <c r="L1685">
        <f>1713.62</f>
        <v>1713.62</v>
      </c>
      <c r="M1685">
        <f>7027.74</f>
        <v>7027.74</v>
      </c>
      <c r="N1685">
        <f>297.653</f>
        <v>297.65300000000002</v>
      </c>
      <c r="O1685">
        <f>2668.38</f>
        <v>2668.38</v>
      </c>
      <c r="P1685">
        <f>230.93</f>
        <v>230.93</v>
      </c>
      <c r="Q1685">
        <f>2034.809</f>
        <v>2034.809</v>
      </c>
      <c r="R1685">
        <f>4350.11</f>
        <v>4350.1099999999997</v>
      </c>
      <c r="S1685">
        <f>2202.02</f>
        <v>2202.02</v>
      </c>
      <c r="T1685">
        <f>3928.615</f>
        <v>3928.6149999999998</v>
      </c>
      <c r="U1685">
        <f>52794.81</f>
        <v>52794.81</v>
      </c>
      <c r="V1685">
        <f>348.9</f>
        <v>348.9</v>
      </c>
    </row>
    <row r="1686" spans="1:22" x14ac:dyDescent="0.2">
      <c r="A1686" s="1">
        <v>42747</v>
      </c>
      <c r="B1686">
        <f>2879.8</f>
        <v>2879.8</v>
      </c>
      <c r="C1686">
        <f>8360.52</f>
        <v>8360.52</v>
      </c>
      <c r="D1686">
        <f>5946.26</f>
        <v>5946.26</v>
      </c>
      <c r="E1686">
        <f>1903.864</f>
        <v>1903.864</v>
      </c>
      <c r="F1686">
        <f>1689.05</f>
        <v>1689.05</v>
      </c>
      <c r="G1686">
        <f>7332.249</f>
        <v>7332.2489999999998</v>
      </c>
      <c r="H1686">
        <f>2959.64</f>
        <v>2959.64</v>
      </c>
      <c r="I1686">
        <f>8334.062</f>
        <v>8334.0619999999999</v>
      </c>
      <c r="J1686">
        <f>3268.03</f>
        <v>3268.03</v>
      </c>
      <c r="K1686">
        <f>9014.05</f>
        <v>9014.0499999999993</v>
      </c>
      <c r="L1686">
        <f>1709.91</f>
        <v>1709.91</v>
      </c>
      <c r="M1686">
        <f>7008.9</f>
        <v>7008.9</v>
      </c>
      <c r="N1686">
        <f>294.994</f>
        <v>294.99400000000003</v>
      </c>
      <c r="O1686">
        <f>2640.43</f>
        <v>2640.43</v>
      </c>
      <c r="P1686">
        <f>229.53</f>
        <v>229.53</v>
      </c>
      <c r="Q1686">
        <f>2032.962</f>
        <v>2032.962</v>
      </c>
      <c r="R1686">
        <f>4342.09</f>
        <v>4342.09</v>
      </c>
      <c r="S1686">
        <f>2188.52</f>
        <v>2188.52</v>
      </c>
      <c r="T1686">
        <f>3887.853</f>
        <v>3887.8530000000001</v>
      </c>
      <c r="U1686">
        <f>52444.36</f>
        <v>52444.36</v>
      </c>
      <c r="V1686">
        <f>346.11</f>
        <v>346.11</v>
      </c>
    </row>
    <row r="1687" spans="1:22" x14ac:dyDescent="0.2">
      <c r="A1687" s="1">
        <v>42746</v>
      </c>
      <c r="B1687">
        <f>2889.48</f>
        <v>2889.48</v>
      </c>
      <c r="C1687">
        <f>8252.88</f>
        <v>8252.8799999999992</v>
      </c>
      <c r="D1687">
        <f>5944.73</f>
        <v>5944.73</v>
      </c>
      <c r="E1687">
        <f>1882.827</f>
        <v>1882.827</v>
      </c>
      <c r="F1687">
        <f>1675.99</f>
        <v>1675.99</v>
      </c>
      <c r="G1687">
        <f>7240.441</f>
        <v>7240.4409999999998</v>
      </c>
      <c r="H1687">
        <f>2915.31</f>
        <v>2915.31</v>
      </c>
      <c r="I1687">
        <f>8248.157</f>
        <v>8248.1569999999992</v>
      </c>
      <c r="J1687">
        <f>3272.11</f>
        <v>3272.11</v>
      </c>
      <c r="K1687">
        <f>9032.34</f>
        <v>9032.34</v>
      </c>
      <c r="L1687">
        <f>1702.42</f>
        <v>1702.42</v>
      </c>
      <c r="M1687">
        <f>6988.09</f>
        <v>6988.09</v>
      </c>
      <c r="N1687">
        <f>298.013</f>
        <v>298.01299999999998</v>
      </c>
      <c r="O1687">
        <f>2659.65</f>
        <v>2659.65</v>
      </c>
      <c r="P1687">
        <f>232.4</f>
        <v>232.4</v>
      </c>
      <c r="Q1687">
        <f>2037.075</f>
        <v>2037.075</v>
      </c>
      <c r="R1687">
        <f>4351.32</f>
        <v>4351.32</v>
      </c>
      <c r="S1687">
        <f>2209.88</f>
        <v>2209.88</v>
      </c>
      <c r="T1687">
        <f>3881.563</f>
        <v>3881.5630000000001</v>
      </c>
      <c r="U1687">
        <f>52437.91</f>
        <v>52437.91</v>
      </c>
      <c r="V1687">
        <f>343.66</f>
        <v>343.66</v>
      </c>
    </row>
    <row r="1688" spans="1:22" x14ac:dyDescent="0.2">
      <c r="A1688" s="1">
        <v>42745</v>
      </c>
      <c r="B1688">
        <f>2904.83</f>
        <v>2904.83</v>
      </c>
      <c r="C1688">
        <f>8273.43</f>
        <v>8273.43</v>
      </c>
      <c r="D1688">
        <f>5932.48</f>
        <v>5932.48</v>
      </c>
      <c r="E1688">
        <f>1880.573</f>
        <v>1880.5730000000001</v>
      </c>
      <c r="F1688">
        <f>1700.82</f>
        <v>1700.82</v>
      </c>
      <c r="G1688">
        <f>7296.55</f>
        <v>7296.55</v>
      </c>
      <c r="H1688">
        <f>2937.07</f>
        <v>2937.07</v>
      </c>
      <c r="I1688">
        <f>8329.675</f>
        <v>8329.6749999999993</v>
      </c>
      <c r="J1688">
        <f>3262.77</f>
        <v>3262.77</v>
      </c>
      <c r="K1688">
        <f>9007.49</f>
        <v>9007.49</v>
      </c>
      <c r="L1688">
        <f>1705.72</f>
        <v>1705.72</v>
      </c>
      <c r="M1688">
        <f>6993.43</f>
        <v>6993.43</v>
      </c>
      <c r="N1688">
        <f>298.5</f>
        <v>298.5</v>
      </c>
      <c r="O1688">
        <f>2652.86</f>
        <v>2652.86</v>
      </c>
      <c r="P1688">
        <f>231.81</f>
        <v>231.81</v>
      </c>
      <c r="Q1688">
        <f>2030.859</f>
        <v>2030.8589999999999</v>
      </c>
      <c r="R1688">
        <f>4338.64</f>
        <v>4338.6400000000003</v>
      </c>
      <c r="S1688">
        <f>2198.36</f>
        <v>2198.36</v>
      </c>
      <c r="T1688">
        <f>3888.036</f>
        <v>3888.0360000000001</v>
      </c>
      <c r="U1688">
        <f>51740.17</f>
        <v>51740.17</v>
      </c>
      <c r="V1688">
        <f>342.89</f>
        <v>342.89</v>
      </c>
    </row>
    <row r="1689" spans="1:22" x14ac:dyDescent="0.2">
      <c r="A1689" s="1">
        <v>42744</v>
      </c>
      <c r="B1689">
        <f>2898.13</f>
        <v>2898.13</v>
      </c>
      <c r="C1689">
        <f>8220.42</f>
        <v>8220.42</v>
      </c>
      <c r="D1689">
        <f>5901.74</f>
        <v>5901.74</v>
      </c>
      <c r="E1689">
        <f>1865.155</f>
        <v>1865.155</v>
      </c>
      <c r="F1689">
        <f>1691.17</f>
        <v>1691.17</v>
      </c>
      <c r="G1689">
        <f>7238.162</f>
        <v>7238.1620000000003</v>
      </c>
      <c r="H1689">
        <f>2929.33</f>
        <v>2929.33</v>
      </c>
      <c r="I1689">
        <f>8302.265</f>
        <v>8302.2649999999994</v>
      </c>
      <c r="J1689">
        <f>3272.84</f>
        <v>3272.84</v>
      </c>
      <c r="K1689">
        <f>9006.46</f>
        <v>9006.4599999999991</v>
      </c>
      <c r="L1689">
        <f>1704.72</f>
        <v>1704.72</v>
      </c>
      <c r="M1689">
        <f>6982.73</f>
        <v>6982.73</v>
      </c>
      <c r="N1689">
        <f>297.078</f>
        <v>297.07799999999997</v>
      </c>
      <c r="O1689">
        <f>2648.8</f>
        <v>2648.8</v>
      </c>
      <c r="P1689" t="e">
        <f>NA()</f>
        <v>#N/A</v>
      </c>
      <c r="Q1689">
        <f>2033.02</f>
        <v>2033.02</v>
      </c>
      <c r="R1689">
        <f>4338.62</f>
        <v>4338.62</v>
      </c>
      <c r="S1689" t="e">
        <f>NA()</f>
        <v>#N/A</v>
      </c>
      <c r="T1689">
        <f>3890.918</f>
        <v>3890.9180000000001</v>
      </c>
      <c r="U1689">
        <f>51049.71</f>
        <v>51049.71</v>
      </c>
      <c r="V1689">
        <f>342.44</f>
        <v>342.44</v>
      </c>
    </row>
    <row r="1690" spans="1:22" x14ac:dyDescent="0.2">
      <c r="A1690" s="1">
        <v>42741</v>
      </c>
      <c r="B1690">
        <f>2896.53</f>
        <v>2896.53</v>
      </c>
      <c r="C1690">
        <f>8244.18</f>
        <v>8244.18</v>
      </c>
      <c r="D1690">
        <f>5879.13</f>
        <v>5879.13</v>
      </c>
      <c r="E1690">
        <f>1870.829</f>
        <v>1870.829</v>
      </c>
      <c r="F1690">
        <f>1710.57</f>
        <v>1710.57</v>
      </c>
      <c r="G1690">
        <f>7315.196</f>
        <v>7315.1959999999999</v>
      </c>
      <c r="H1690">
        <f>2928.95</f>
        <v>2928.95</v>
      </c>
      <c r="I1690">
        <f>8347.973</f>
        <v>8347.973</v>
      </c>
      <c r="J1690">
        <f>3288.77</f>
        <v>3288.77</v>
      </c>
      <c r="K1690">
        <f>9037.29</f>
        <v>9037.2900000000009</v>
      </c>
      <c r="L1690">
        <f>1712.06</f>
        <v>1712.06</v>
      </c>
      <c r="M1690">
        <f>7006.9</f>
        <v>7006.9</v>
      </c>
      <c r="N1690">
        <f>299.778</f>
        <v>299.77800000000002</v>
      </c>
      <c r="O1690">
        <f>2663.5</f>
        <v>2663.5</v>
      </c>
      <c r="P1690">
        <f>233.87</f>
        <v>233.87</v>
      </c>
      <c r="Q1690">
        <f>2046.448</f>
        <v>2046.4480000000001</v>
      </c>
      <c r="R1690">
        <f>4354.05</f>
        <v>4354.05</v>
      </c>
      <c r="S1690">
        <f>2214.04</f>
        <v>2214.04</v>
      </c>
      <c r="T1690">
        <f>3897.02</f>
        <v>3897.02</v>
      </c>
      <c r="U1690">
        <f>51216</f>
        <v>51216</v>
      </c>
      <c r="V1690">
        <f>342.86</f>
        <v>342.86</v>
      </c>
    </row>
    <row r="1691" spans="1:22" x14ac:dyDescent="0.2">
      <c r="A1691" s="1">
        <v>42740</v>
      </c>
      <c r="B1691">
        <f>2893.78</f>
        <v>2893.78</v>
      </c>
      <c r="C1691">
        <f>8249.08</f>
        <v>8249.08</v>
      </c>
      <c r="D1691">
        <f>5867.12</f>
        <v>5867.12</v>
      </c>
      <c r="E1691">
        <f>1872.114</f>
        <v>1872.114</v>
      </c>
      <c r="F1691">
        <f>1722.16</f>
        <v>1722.16</v>
      </c>
      <c r="G1691">
        <f>7359.136</f>
        <v>7359.1360000000004</v>
      </c>
      <c r="H1691">
        <f>2969.33</f>
        <v>2969.33</v>
      </c>
      <c r="I1691">
        <f>8358.497</f>
        <v>8358.4969999999994</v>
      </c>
      <c r="J1691">
        <f>3286.35</f>
        <v>3286.35</v>
      </c>
      <c r="K1691">
        <f>9001.47</f>
        <v>9001.4699999999993</v>
      </c>
      <c r="L1691">
        <f>1716.21</f>
        <v>1716.21</v>
      </c>
      <c r="M1691">
        <f>7002.99</f>
        <v>7002.99</v>
      </c>
      <c r="N1691">
        <f>300.436</f>
        <v>300.43599999999998</v>
      </c>
      <c r="O1691">
        <f>2663.28</f>
        <v>2663.28</v>
      </c>
      <c r="P1691">
        <f>234.34</f>
        <v>234.34</v>
      </c>
      <c r="Q1691">
        <f>2044.161</f>
        <v>2044.1610000000001</v>
      </c>
      <c r="R1691">
        <f>4337.45</f>
        <v>4337.45</v>
      </c>
      <c r="S1691">
        <f>2217.4</f>
        <v>2217.4</v>
      </c>
      <c r="T1691">
        <f>3884.386</f>
        <v>3884.386</v>
      </c>
      <c r="U1691">
        <f>50474.95</f>
        <v>50474.95</v>
      </c>
      <c r="V1691">
        <f>340.82</f>
        <v>340.82</v>
      </c>
    </row>
    <row r="1692" spans="1:22" x14ac:dyDescent="0.2">
      <c r="A1692" s="1">
        <v>42739</v>
      </c>
      <c r="B1692">
        <f>2872.77</f>
        <v>2872.77</v>
      </c>
      <c r="C1692">
        <f>8200.87</f>
        <v>8200.8700000000008</v>
      </c>
      <c r="D1692">
        <f>5862.16</f>
        <v>5862.16</v>
      </c>
      <c r="E1692">
        <f>1850.238</f>
        <v>1850.2380000000001</v>
      </c>
      <c r="F1692">
        <f>1682.97</f>
        <v>1682.97</v>
      </c>
      <c r="G1692">
        <f>7280.642</f>
        <v>7280.6419999999998</v>
      </c>
      <c r="H1692">
        <f>2924.93</f>
        <v>2924.93</v>
      </c>
      <c r="I1692">
        <f>8247.35</f>
        <v>8247.35</v>
      </c>
      <c r="J1692">
        <f>3290.42</f>
        <v>3290.42</v>
      </c>
      <c r="K1692">
        <f>9007.74</f>
        <v>9007.74</v>
      </c>
      <c r="L1692">
        <f>1705.19</f>
        <v>1705.19</v>
      </c>
      <c r="M1692">
        <f>6969.54</f>
        <v>6969.54</v>
      </c>
      <c r="N1692">
        <f>299.973</f>
        <v>299.97300000000001</v>
      </c>
      <c r="O1692">
        <f>2661.72</f>
        <v>2661.72</v>
      </c>
      <c r="P1692">
        <f>233.78</f>
        <v>233.78</v>
      </c>
      <c r="Q1692">
        <f>2050.665</f>
        <v>2050.665</v>
      </c>
      <c r="R1692">
        <f>4340.75</f>
        <v>4340.75</v>
      </c>
      <c r="S1692">
        <f>2215.69</f>
        <v>2215.69</v>
      </c>
      <c r="T1692">
        <f>3931.31</f>
        <v>3931.31</v>
      </c>
      <c r="U1692">
        <f>50760.24</f>
        <v>50760.24</v>
      </c>
      <c r="V1692">
        <f>345.93</f>
        <v>345.93</v>
      </c>
    </row>
    <row r="1693" spans="1:22" x14ac:dyDescent="0.2">
      <c r="A1693" s="1">
        <v>42738</v>
      </c>
      <c r="B1693">
        <f>2866.73</f>
        <v>2866.73</v>
      </c>
      <c r="C1693">
        <f>8182.78</f>
        <v>8182.78</v>
      </c>
      <c r="D1693">
        <f>5852.5</f>
        <v>5852.5</v>
      </c>
      <c r="E1693">
        <f>1843.789</f>
        <v>1843.789</v>
      </c>
      <c r="F1693">
        <f>1680.75</f>
        <v>1680.75</v>
      </c>
      <c r="G1693">
        <f>7234.472</f>
        <v>7234.4719999999998</v>
      </c>
      <c r="H1693">
        <f>2837.46</f>
        <v>2837.46</v>
      </c>
      <c r="I1693">
        <f>8180.373</f>
        <v>8180.3729999999996</v>
      </c>
      <c r="J1693">
        <f>3284.22</f>
        <v>3284.22</v>
      </c>
      <c r="K1693">
        <f>8949.73</f>
        <v>8949.73</v>
      </c>
      <c r="L1693">
        <f>1695.77</f>
        <v>1695.77</v>
      </c>
      <c r="M1693">
        <f>6905.88</f>
        <v>6905.88</v>
      </c>
      <c r="N1693">
        <f>301.998</f>
        <v>301.99799999999999</v>
      </c>
      <c r="O1693">
        <f>2662.49</f>
        <v>2662.49</v>
      </c>
      <c r="P1693" t="e">
        <f>NA()</f>
        <v>#N/A</v>
      </c>
      <c r="Q1693">
        <f>2036.356</f>
        <v>2036.356</v>
      </c>
      <c r="R1693">
        <f>4315.08</f>
        <v>4315.08</v>
      </c>
      <c r="S1693" t="e">
        <f>NA()</f>
        <v>#N/A</v>
      </c>
      <c r="T1693">
        <f>3932.516</f>
        <v>3932.5160000000001</v>
      </c>
      <c r="U1693">
        <f>51020.66</f>
        <v>51020.66</v>
      </c>
      <c r="V1693">
        <f>344.48</f>
        <v>344.48</v>
      </c>
    </row>
    <row r="1694" spans="1:22" x14ac:dyDescent="0.2">
      <c r="A1694" s="1">
        <v>42737</v>
      </c>
      <c r="B1694">
        <f>2849.79</f>
        <v>2849.79</v>
      </c>
      <c r="C1694">
        <f>8125.78</f>
        <v>8125.78</v>
      </c>
      <c r="D1694">
        <f>5823.91</f>
        <v>5823.91</v>
      </c>
      <c r="E1694">
        <f>1829.834</f>
        <v>1829.8340000000001</v>
      </c>
      <c r="F1694">
        <f>1690.08</f>
        <v>1690.08</v>
      </c>
      <c r="G1694">
        <f>7264.233</f>
        <v>7264.2330000000002</v>
      </c>
      <c r="H1694">
        <f>2871.28</f>
        <v>2871.28</v>
      </c>
      <c r="I1694">
        <f>8266.909</f>
        <v>8266.9089999999997</v>
      </c>
      <c r="J1694">
        <f>3263.84</f>
        <v>3263.84</v>
      </c>
      <c r="K1694">
        <f>8873.98</f>
        <v>8873.98</v>
      </c>
      <c r="L1694">
        <f>1695.81</f>
        <v>1695.81</v>
      </c>
      <c r="M1694">
        <f>6886.52</f>
        <v>6886.52</v>
      </c>
      <c r="N1694">
        <f>301.339</f>
        <v>301.339</v>
      </c>
      <c r="O1694">
        <f>2647.32</f>
        <v>2647.32</v>
      </c>
      <c r="P1694" t="e">
        <f>NA()</f>
        <v>#N/A</v>
      </c>
      <c r="Q1694" t="e">
        <f>NA()</f>
        <v>#N/A</v>
      </c>
      <c r="R1694" t="e">
        <f>NA()</f>
        <v>#N/A</v>
      </c>
      <c r="S1694" t="e">
        <f>NA()</f>
        <v>#N/A</v>
      </c>
      <c r="T1694" t="e">
        <f>NA()</f>
        <v>#N/A</v>
      </c>
      <c r="U1694" t="e">
        <f>NA()</f>
        <v>#N/A</v>
      </c>
      <c r="V1694" t="e">
        <f>NA()</f>
        <v>#N/A</v>
      </c>
    </row>
    <row r="1695" spans="1:22" x14ac:dyDescent="0.2">
      <c r="A1695" s="1">
        <v>42734</v>
      </c>
      <c r="B1695">
        <f>2849.79</f>
        <v>2849.79</v>
      </c>
      <c r="C1695">
        <f>8130.03</f>
        <v>8130.03</v>
      </c>
      <c r="D1695">
        <f>5823.91</f>
        <v>5823.91</v>
      </c>
      <c r="E1695">
        <f>1830.638</f>
        <v>1830.6379999999999</v>
      </c>
      <c r="F1695">
        <f>1690.08</f>
        <v>1690.08</v>
      </c>
      <c r="G1695">
        <f>7264.233</f>
        <v>7264.2330000000002</v>
      </c>
      <c r="H1695">
        <f>2871.28</f>
        <v>2871.28</v>
      </c>
      <c r="I1695">
        <f>8213.064</f>
        <v>8213.0640000000003</v>
      </c>
      <c r="J1695">
        <f>3263.84</f>
        <v>3263.84</v>
      </c>
      <c r="K1695">
        <f>8873.98</f>
        <v>8873.98</v>
      </c>
      <c r="L1695">
        <f>1694.03</f>
        <v>1694.03</v>
      </c>
      <c r="M1695">
        <f>6879.16</f>
        <v>6879.16</v>
      </c>
      <c r="N1695">
        <f>299.723</f>
        <v>299.72300000000001</v>
      </c>
      <c r="O1695">
        <f>2631.66</f>
        <v>2631.66</v>
      </c>
      <c r="P1695">
        <f>228.22</f>
        <v>228.22</v>
      </c>
      <c r="Q1695">
        <f>2024.376</f>
        <v>2024.376</v>
      </c>
      <c r="R1695">
        <f>4278.66</f>
        <v>4278.66</v>
      </c>
      <c r="S1695">
        <f>2164.57</f>
        <v>2164.5700000000002</v>
      </c>
      <c r="T1695">
        <f>3908.056</f>
        <v>3908.056</v>
      </c>
      <c r="U1695">
        <f>50653.54</f>
        <v>50653.54</v>
      </c>
      <c r="V1695">
        <f>341.97</f>
        <v>341.97</v>
      </c>
    </row>
    <row r="1696" spans="1:22" x14ac:dyDescent="0.2">
      <c r="A1696" s="1">
        <v>42733</v>
      </c>
      <c r="B1696">
        <f>2842.3</f>
        <v>2842.3</v>
      </c>
      <c r="C1696">
        <f>8077.3</f>
        <v>8077.3</v>
      </c>
      <c r="D1696">
        <f>5805.51</f>
        <v>5805.51</v>
      </c>
      <c r="E1696">
        <f>1822.496</f>
        <v>1822.4960000000001</v>
      </c>
      <c r="F1696">
        <f>1665.87</f>
        <v>1665.87</v>
      </c>
      <c r="G1696">
        <f>7167.045</f>
        <v>7167.0450000000001</v>
      </c>
      <c r="H1696">
        <f>2875.83</f>
        <v>2875.83</v>
      </c>
      <c r="I1696">
        <f>8156.38</f>
        <v>8156.38</v>
      </c>
      <c r="J1696">
        <f>3279.46</f>
        <v>3279.46</v>
      </c>
      <c r="K1696">
        <f>8914.15</f>
        <v>8914.15</v>
      </c>
      <c r="L1696">
        <f>1692.62</f>
        <v>1692.62</v>
      </c>
      <c r="M1696">
        <f>6885.81</f>
        <v>6885.81</v>
      </c>
      <c r="N1696">
        <f>298.794</f>
        <v>298.79399999999998</v>
      </c>
      <c r="O1696">
        <f>2625.68</f>
        <v>2625.68</v>
      </c>
      <c r="P1696">
        <f>228.25</f>
        <v>228.25</v>
      </c>
      <c r="Q1696">
        <f>2033.917</f>
        <v>2033.9169999999999</v>
      </c>
      <c r="R1696">
        <f>4298.39</f>
        <v>4298.3900000000003</v>
      </c>
      <c r="S1696">
        <f>2164.25</f>
        <v>2164.25</v>
      </c>
      <c r="T1696">
        <f>3919.293</f>
        <v>3919.2930000000001</v>
      </c>
      <c r="U1696">
        <f>50682.08</f>
        <v>50682.080000000002</v>
      </c>
      <c r="V1696">
        <f>342.02</f>
        <v>342.02</v>
      </c>
    </row>
    <row r="1697" spans="1:22" x14ac:dyDescent="0.2">
      <c r="A1697" s="1">
        <v>42732</v>
      </c>
      <c r="B1697">
        <f>2833.5</f>
        <v>2833.5</v>
      </c>
      <c r="C1697">
        <f>8017.11</f>
        <v>8017.11</v>
      </c>
      <c r="D1697">
        <f>5792.2</f>
        <v>5792.2</v>
      </c>
      <c r="E1697">
        <f>1807.04</f>
        <v>1807.04</v>
      </c>
      <c r="F1697">
        <f>1658.36</f>
        <v>1658.36</v>
      </c>
      <c r="G1697">
        <f>7151.373</f>
        <v>7151.3729999999996</v>
      </c>
      <c r="H1697">
        <f>2880.73</f>
        <v>2880.73</v>
      </c>
      <c r="I1697">
        <f>8099.251</f>
        <v>8099.2510000000002</v>
      </c>
      <c r="J1697">
        <f>3271.12</f>
        <v>3271.12</v>
      </c>
      <c r="K1697">
        <f>8915.92</f>
        <v>8915.92</v>
      </c>
      <c r="L1697">
        <f>1684.47</f>
        <v>1684.47</v>
      </c>
      <c r="M1697">
        <f>6875.14</f>
        <v>6875.14</v>
      </c>
      <c r="N1697">
        <f>299.957</f>
        <v>299.95699999999999</v>
      </c>
      <c r="O1697">
        <f>2633.77</f>
        <v>2633.77</v>
      </c>
      <c r="P1697">
        <f>230.93</f>
        <v>230.93</v>
      </c>
      <c r="Q1697">
        <f>2029.416</f>
        <v>2029.4159999999999</v>
      </c>
      <c r="R1697">
        <f>4299.45</f>
        <v>4299.45</v>
      </c>
      <c r="S1697">
        <f>2190.5</f>
        <v>2190.5</v>
      </c>
      <c r="T1697">
        <f>3877.769</f>
        <v>3877.7689999999998</v>
      </c>
      <c r="U1697">
        <f>50322.72</f>
        <v>50322.720000000001</v>
      </c>
      <c r="V1697">
        <f>339.09</f>
        <v>339.09</v>
      </c>
    </row>
    <row r="1698" spans="1:22" x14ac:dyDescent="0.2">
      <c r="A1698" s="1">
        <v>42731</v>
      </c>
      <c r="B1698">
        <f>2841.85</f>
        <v>2841.85</v>
      </c>
      <c r="C1698">
        <f>7917.48</f>
        <v>7917.48</v>
      </c>
      <c r="D1698">
        <f>5761.3</f>
        <v>5761.3</v>
      </c>
      <c r="E1698">
        <f>1788.922</f>
        <v>1788.922</v>
      </c>
      <c r="F1698">
        <f>1670.25</f>
        <v>1670.25</v>
      </c>
      <c r="G1698">
        <f>7131.368</f>
        <v>7131.3680000000004</v>
      </c>
      <c r="H1698">
        <f>2877.64</f>
        <v>2877.64</v>
      </c>
      <c r="I1698">
        <f>8143.95</f>
        <v>8143.95</v>
      </c>
      <c r="J1698">
        <f>3295.78</f>
        <v>3295.78</v>
      </c>
      <c r="K1698">
        <f>8989.63</f>
        <v>8989.6299999999992</v>
      </c>
      <c r="L1698">
        <f>1693.01</f>
        <v>1693.01</v>
      </c>
      <c r="M1698">
        <f>6912.9</f>
        <v>6912.9</v>
      </c>
      <c r="N1698">
        <f>298.551</f>
        <v>298.55099999999999</v>
      </c>
      <c r="O1698">
        <f>2626.1</f>
        <v>2626.1</v>
      </c>
      <c r="P1698">
        <f>230.44</f>
        <v>230.44</v>
      </c>
      <c r="Q1698">
        <f>2046.661</f>
        <v>2046.6610000000001</v>
      </c>
      <c r="R1698">
        <f>4334.93</f>
        <v>4334.93</v>
      </c>
      <c r="S1698">
        <f>2186.9</f>
        <v>2186.9</v>
      </c>
      <c r="T1698" t="e">
        <f>NA()</f>
        <v>#N/A</v>
      </c>
      <c r="U1698" t="e">
        <f>NA()</f>
        <v>#N/A</v>
      </c>
      <c r="V1698" t="e">
        <f>NA()</f>
        <v>#N/A</v>
      </c>
    </row>
    <row r="1699" spans="1:22" x14ac:dyDescent="0.2">
      <c r="A1699" s="1">
        <v>42730</v>
      </c>
      <c r="B1699">
        <f>2841.85</f>
        <v>2841.85</v>
      </c>
      <c r="C1699">
        <f>7904.35</f>
        <v>7904.35</v>
      </c>
      <c r="D1699">
        <f>5761.3</f>
        <v>5761.3</v>
      </c>
      <c r="E1699">
        <f>1783.917</f>
        <v>1783.9169999999999</v>
      </c>
      <c r="F1699">
        <f>1670.11</f>
        <v>1670.11</v>
      </c>
      <c r="G1699">
        <f>7130.786</f>
        <v>7130.7860000000001</v>
      </c>
      <c r="H1699">
        <f>2886.52</f>
        <v>2886.52</v>
      </c>
      <c r="I1699">
        <f>8133.717</f>
        <v>8133.7169999999996</v>
      </c>
      <c r="J1699">
        <f>3291.38</f>
        <v>3291.38</v>
      </c>
      <c r="K1699">
        <f>8969.13</f>
        <v>8969.1299999999992</v>
      </c>
      <c r="L1699">
        <f>1691.98</f>
        <v>1691.98</v>
      </c>
      <c r="M1699">
        <f>6904.69</f>
        <v>6904.69</v>
      </c>
      <c r="N1699" t="e">
        <f>NA()</f>
        <v>#N/A</v>
      </c>
      <c r="O1699" t="e">
        <f>NA()</f>
        <v>#N/A</v>
      </c>
      <c r="P1699">
        <f>230.5</f>
        <v>230.5</v>
      </c>
      <c r="Q1699" t="e">
        <f>NA()</f>
        <v>#N/A</v>
      </c>
      <c r="R1699" t="e">
        <f>NA()</f>
        <v>#N/A</v>
      </c>
      <c r="S1699">
        <f>2189.63</f>
        <v>2189.63</v>
      </c>
      <c r="T1699" t="e">
        <f>NA()</f>
        <v>#N/A</v>
      </c>
      <c r="U1699" t="e">
        <f>NA()</f>
        <v>#N/A</v>
      </c>
      <c r="V1699" t="e">
        <f>NA()</f>
        <v>#N/A</v>
      </c>
    </row>
    <row r="1700" spans="1:22" x14ac:dyDescent="0.2">
      <c r="A1700" s="1">
        <v>42727</v>
      </c>
      <c r="B1700">
        <f>2841.85</f>
        <v>2841.85</v>
      </c>
      <c r="C1700">
        <f>7877.48</f>
        <v>7877.48</v>
      </c>
      <c r="D1700">
        <f>5761.3</f>
        <v>5761.3</v>
      </c>
      <c r="E1700">
        <f>1782.095</f>
        <v>1782.095</v>
      </c>
      <c r="F1700">
        <f>1670.11</f>
        <v>1670.11</v>
      </c>
      <c r="G1700">
        <f>7130.786</f>
        <v>7130.7860000000001</v>
      </c>
      <c r="H1700">
        <f>2908.26</f>
        <v>2908.26</v>
      </c>
      <c r="I1700">
        <f>8133.717</f>
        <v>8133.7169999999996</v>
      </c>
      <c r="J1700">
        <f>3291.38</f>
        <v>3291.38</v>
      </c>
      <c r="K1700">
        <f>8969.13</f>
        <v>8969.1299999999992</v>
      </c>
      <c r="L1700">
        <f>1692.31</f>
        <v>1692.31</v>
      </c>
      <c r="M1700">
        <f>6907.31</f>
        <v>6907.31</v>
      </c>
      <c r="N1700">
        <f>298.197</f>
        <v>298.197</v>
      </c>
      <c r="O1700">
        <f>2623.3</f>
        <v>2623.3</v>
      </c>
      <c r="P1700" t="e">
        <f>NA()</f>
        <v>#N/A</v>
      </c>
      <c r="Q1700">
        <f>2041.142</f>
        <v>2041.1420000000001</v>
      </c>
      <c r="R1700">
        <f>4325.17</f>
        <v>4325.17</v>
      </c>
      <c r="S1700" t="e">
        <f>NA()</f>
        <v>#N/A</v>
      </c>
      <c r="T1700">
        <f>3806.853</f>
        <v>3806.8530000000001</v>
      </c>
      <c r="U1700">
        <f>49400.56</f>
        <v>49400.56</v>
      </c>
      <c r="V1700">
        <f>332</f>
        <v>332</v>
      </c>
    </row>
    <row r="1701" spans="1:22" x14ac:dyDescent="0.2">
      <c r="A1701" s="1">
        <v>42726</v>
      </c>
      <c r="B1701">
        <f>2835.39</f>
        <v>2835.39</v>
      </c>
      <c r="C1701">
        <f>7881.91</f>
        <v>7881.91</v>
      </c>
      <c r="D1701">
        <f>5757.64</f>
        <v>5757.64</v>
      </c>
      <c r="E1701">
        <f>1783.656</f>
        <v>1783.6559999999999</v>
      </c>
      <c r="F1701">
        <f>1672.56</f>
        <v>1672.56</v>
      </c>
      <c r="G1701">
        <f>7149.127</f>
        <v>7149.1270000000004</v>
      </c>
      <c r="H1701">
        <f>2901.46</f>
        <v>2901.46</v>
      </c>
      <c r="I1701">
        <f>8116.271</f>
        <v>8116.2709999999997</v>
      </c>
      <c r="J1701">
        <f>3289.72</f>
        <v>3289.72</v>
      </c>
      <c r="K1701">
        <f>8955.44</f>
        <v>8955.44</v>
      </c>
      <c r="L1701">
        <f>1691.8</f>
        <v>1691.8</v>
      </c>
      <c r="M1701">
        <f>6901.74</f>
        <v>6901.74</v>
      </c>
      <c r="N1701">
        <f>298.46</f>
        <v>298.45999999999998</v>
      </c>
      <c r="O1701">
        <f>2623.32</f>
        <v>2623.32</v>
      </c>
      <c r="P1701">
        <f>231.35</f>
        <v>231.35</v>
      </c>
      <c r="Q1701">
        <f>2040.593</f>
        <v>2040.5930000000001</v>
      </c>
      <c r="R1701">
        <f>4319.33</f>
        <v>4319.33</v>
      </c>
      <c r="S1701">
        <f>2197.73</f>
        <v>2197.73</v>
      </c>
      <c r="T1701">
        <f>3826.117</f>
        <v>3826.1170000000002</v>
      </c>
      <c r="U1701">
        <f>49833.77</f>
        <v>49833.77</v>
      </c>
      <c r="V1701">
        <f>333.71</f>
        <v>333.71</v>
      </c>
    </row>
    <row r="1702" spans="1:22" x14ac:dyDescent="0.2">
      <c r="A1702" s="1">
        <v>42725</v>
      </c>
      <c r="B1702">
        <f>2822.86</f>
        <v>2822.86</v>
      </c>
      <c r="C1702">
        <f>7967.77</f>
        <v>7967.77</v>
      </c>
      <c r="D1702">
        <f>5739.35</f>
        <v>5739.35</v>
      </c>
      <c r="E1702">
        <f>1801.344</f>
        <v>1801.3440000000001</v>
      </c>
      <c r="F1702">
        <f>1672.98</f>
        <v>1672.98</v>
      </c>
      <c r="G1702">
        <f>7171.547</f>
        <v>7171.5469999999996</v>
      </c>
      <c r="H1702">
        <f>2885.78</f>
        <v>2885.78</v>
      </c>
      <c r="I1702">
        <f>8105.603</f>
        <v>8105.6030000000001</v>
      </c>
      <c r="J1702">
        <f>3290.21</f>
        <v>3290.21</v>
      </c>
      <c r="K1702">
        <f>8972.24</f>
        <v>8972.24</v>
      </c>
      <c r="L1702">
        <f>1689.86</f>
        <v>1689.86</v>
      </c>
      <c r="M1702">
        <f>6909.93</f>
        <v>6909.93</v>
      </c>
      <c r="N1702">
        <f>298.742</f>
        <v>298.74200000000002</v>
      </c>
      <c r="O1702">
        <f>2627.73</f>
        <v>2627.73</v>
      </c>
      <c r="P1702">
        <f>231.75</f>
        <v>231.75</v>
      </c>
      <c r="Q1702">
        <f>2048.143</f>
        <v>2048.143</v>
      </c>
      <c r="R1702">
        <f>4326.85</f>
        <v>4326.8500000000004</v>
      </c>
      <c r="S1702">
        <f>2199.32</f>
        <v>2199.3200000000002</v>
      </c>
      <c r="T1702">
        <f>3865.189</f>
        <v>3865.1889999999999</v>
      </c>
      <c r="U1702">
        <f>50163.92</f>
        <v>50163.92</v>
      </c>
      <c r="V1702">
        <f>337.62</f>
        <v>337.62</v>
      </c>
    </row>
    <row r="1703" spans="1:22" x14ac:dyDescent="0.2">
      <c r="A1703" s="1">
        <v>42724</v>
      </c>
      <c r="B1703">
        <f>2830.19</f>
        <v>2830.19</v>
      </c>
      <c r="C1703">
        <f>7967.46</f>
        <v>7967.46</v>
      </c>
      <c r="D1703">
        <f>5741.42</f>
        <v>5741.42</v>
      </c>
      <c r="E1703">
        <f>1801.603</f>
        <v>1801.6030000000001</v>
      </c>
      <c r="F1703">
        <f>1672.76</f>
        <v>1672.76</v>
      </c>
      <c r="G1703">
        <f>7162.753</f>
        <v>7162.7529999999997</v>
      </c>
      <c r="H1703">
        <f>2877.83</f>
        <v>2877.83</v>
      </c>
      <c r="I1703">
        <f>8073.132</f>
        <v>8073.1319999999996</v>
      </c>
      <c r="J1703">
        <f>3299.72</f>
        <v>3299.72</v>
      </c>
      <c r="K1703">
        <f>8993.82</f>
        <v>8993.82</v>
      </c>
      <c r="L1703">
        <f>1691.02</f>
        <v>1691.02</v>
      </c>
      <c r="M1703">
        <f>6914.72</f>
        <v>6914.72</v>
      </c>
      <c r="N1703">
        <f>299.942</f>
        <v>299.94200000000001</v>
      </c>
      <c r="O1703">
        <f>2633.59</f>
        <v>2633.59</v>
      </c>
      <c r="P1703">
        <f>232.55</f>
        <v>232.55</v>
      </c>
      <c r="Q1703">
        <f>2053.826</f>
        <v>2053.826</v>
      </c>
      <c r="R1703">
        <f>4337.36</f>
        <v>4337.3599999999997</v>
      </c>
      <c r="S1703">
        <f>2209.88</f>
        <v>2209.88</v>
      </c>
      <c r="T1703">
        <f>3871.656</f>
        <v>3871.6559999999999</v>
      </c>
      <c r="U1703">
        <f>50343.24</f>
        <v>50343.24</v>
      </c>
      <c r="V1703">
        <f>338.86</f>
        <v>338.86</v>
      </c>
    </row>
    <row r="1704" spans="1:22" x14ac:dyDescent="0.2">
      <c r="A1704" s="1">
        <v>42723</v>
      </c>
      <c r="B1704">
        <f>2821.36</f>
        <v>2821.36</v>
      </c>
      <c r="C1704">
        <f>7953.61</f>
        <v>7953.61</v>
      </c>
      <c r="D1704">
        <f>5719.57</f>
        <v>5719.57</v>
      </c>
      <c r="E1704">
        <f>1801.203</f>
        <v>1801.203</v>
      </c>
      <c r="F1704">
        <f>1671.66</f>
        <v>1671.66</v>
      </c>
      <c r="G1704">
        <f>7157.087</f>
        <v>7157.0870000000004</v>
      </c>
      <c r="H1704">
        <f>2899.11</f>
        <v>2899.11</v>
      </c>
      <c r="I1704">
        <f>8083.712</f>
        <v>8083.7120000000004</v>
      </c>
      <c r="J1704">
        <f>3293.11</f>
        <v>3293.11</v>
      </c>
      <c r="K1704">
        <f>8959.94</f>
        <v>8959.94</v>
      </c>
      <c r="L1704">
        <f>1691.34</f>
        <v>1691.34</v>
      </c>
      <c r="M1704">
        <f>6903.85</f>
        <v>6903.85</v>
      </c>
      <c r="N1704">
        <f>298.922</f>
        <v>298.92200000000003</v>
      </c>
      <c r="O1704">
        <f>2621.76</f>
        <v>2621.76</v>
      </c>
      <c r="P1704">
        <f>231.86</f>
        <v>231.86</v>
      </c>
      <c r="Q1704">
        <f>2048.421</f>
        <v>2048.4209999999998</v>
      </c>
      <c r="R1704">
        <f>4321.02</f>
        <v>4321.0200000000004</v>
      </c>
      <c r="S1704">
        <f>2205.18</f>
        <v>2205.1799999999998</v>
      </c>
      <c r="T1704">
        <f>3829.615</f>
        <v>3829.6149999999998</v>
      </c>
      <c r="U1704">
        <f>49880.99</f>
        <v>49880.99</v>
      </c>
      <c r="V1704">
        <f>336.06</f>
        <v>336.06</v>
      </c>
    </row>
    <row r="1705" spans="1:22" x14ac:dyDescent="0.2">
      <c r="A1705" s="1">
        <v>42720</v>
      </c>
      <c r="B1705">
        <f>2822.71</f>
        <v>2822.71</v>
      </c>
      <c r="C1705">
        <f>7997.99</f>
        <v>7997.99</v>
      </c>
      <c r="D1705">
        <f>5715.07</f>
        <v>5715.07</v>
      </c>
      <c r="E1705">
        <f>1812.362</f>
        <v>1812.3620000000001</v>
      </c>
      <c r="F1705">
        <f>1675.27</f>
        <v>1675.27</v>
      </c>
      <c r="G1705">
        <f>7175.935</f>
        <v>7175.9350000000004</v>
      </c>
      <c r="H1705">
        <f>2865.22</f>
        <v>2865.22</v>
      </c>
      <c r="I1705">
        <f>8058.009</f>
        <v>8058.009</v>
      </c>
      <c r="J1705">
        <f>3287.01</f>
        <v>3287.01</v>
      </c>
      <c r="K1705">
        <f>8943.4</f>
        <v>8943.4</v>
      </c>
      <c r="L1705">
        <f>1687.85</f>
        <v>1687.85</v>
      </c>
      <c r="M1705">
        <f>6887.51</f>
        <v>6887.51</v>
      </c>
      <c r="N1705">
        <f>298.901</f>
        <v>298.90100000000001</v>
      </c>
      <c r="O1705">
        <f>2622.38</f>
        <v>2622.38</v>
      </c>
      <c r="P1705">
        <f>231.94</f>
        <v>231.94</v>
      </c>
      <c r="Q1705">
        <f>2043.719</f>
        <v>2043.7190000000001</v>
      </c>
      <c r="R1705">
        <f>4312.4</f>
        <v>4312.3999999999996</v>
      </c>
      <c r="S1705">
        <f>2207.48</f>
        <v>2207.48</v>
      </c>
      <c r="T1705" t="e">
        <f>NA()</f>
        <v>#N/A</v>
      </c>
      <c r="U1705" t="e">
        <f>NA()</f>
        <v>#N/A</v>
      </c>
      <c r="V1705" t="e">
        <f>NA()</f>
        <v>#N/A</v>
      </c>
    </row>
    <row r="1706" spans="1:22" x14ac:dyDescent="0.2">
      <c r="A1706" s="1">
        <v>42719</v>
      </c>
      <c r="B1706">
        <f>2812.49</f>
        <v>2812.49</v>
      </c>
      <c r="C1706">
        <f>8020.34</f>
        <v>8020.34</v>
      </c>
      <c r="D1706">
        <f>5704.78</f>
        <v>5704.78</v>
      </c>
      <c r="E1706">
        <f>1817.015</f>
        <v>1817.0150000000001</v>
      </c>
      <c r="F1706">
        <f>1668.4</f>
        <v>1668.4</v>
      </c>
      <c r="G1706">
        <f>7147.434</f>
        <v>7147.4340000000002</v>
      </c>
      <c r="H1706">
        <f>2845.84</f>
        <v>2845.84</v>
      </c>
      <c r="I1706">
        <f>8037.538</f>
        <v>8037.5379999999996</v>
      </c>
      <c r="J1706">
        <f>3285.39</f>
        <v>3285.39</v>
      </c>
      <c r="K1706">
        <f>8957.11</f>
        <v>8957.11</v>
      </c>
      <c r="L1706">
        <f>1685.23</f>
        <v>1685.23</v>
      </c>
      <c r="M1706">
        <f>6886.5</f>
        <v>6886.5</v>
      </c>
      <c r="N1706">
        <f>298.104</f>
        <v>298.10399999999998</v>
      </c>
      <c r="O1706">
        <f>2616.72</f>
        <v>2616.7199999999998</v>
      </c>
      <c r="P1706">
        <f>230.54</f>
        <v>230.54</v>
      </c>
      <c r="Q1706">
        <f>2043.497</f>
        <v>2043.4970000000001</v>
      </c>
      <c r="R1706">
        <f>4319.84</f>
        <v>4319.84</v>
      </c>
      <c r="S1706">
        <f>2196.15</f>
        <v>2196.15</v>
      </c>
      <c r="T1706">
        <f>3796.74</f>
        <v>3796.74</v>
      </c>
      <c r="U1706">
        <f>49691.31</f>
        <v>49691.31</v>
      </c>
      <c r="V1706">
        <f>332.43</f>
        <v>332.43</v>
      </c>
    </row>
    <row r="1707" spans="1:22" x14ac:dyDescent="0.2">
      <c r="A1707" s="1">
        <v>42718</v>
      </c>
      <c r="B1707">
        <f>2787.2</f>
        <v>2787.2</v>
      </c>
      <c r="C1707">
        <f>8138.97</f>
        <v>8138.97</v>
      </c>
      <c r="D1707">
        <f>5663.59</f>
        <v>5663.59</v>
      </c>
      <c r="E1707">
        <f>1846.812</f>
        <v>1846.8119999999999</v>
      </c>
      <c r="F1707">
        <f>1688.58</f>
        <v>1688.58</v>
      </c>
      <c r="G1707">
        <f>7269.25</f>
        <v>7269.25</v>
      </c>
      <c r="H1707">
        <f>2920.44</f>
        <v>2920.44</v>
      </c>
      <c r="I1707">
        <f>8140.41</f>
        <v>8140.41</v>
      </c>
      <c r="J1707">
        <f>3270.44</f>
        <v>3270.44</v>
      </c>
      <c r="K1707">
        <f>8923.31</f>
        <v>8923.31</v>
      </c>
      <c r="L1707">
        <f>1698.22</f>
        <v>1698.22</v>
      </c>
      <c r="M1707">
        <f>6922.41</f>
        <v>6922.41</v>
      </c>
      <c r="N1707">
        <f>295.743</f>
        <v>295.74299999999999</v>
      </c>
      <c r="O1707">
        <f>2590.99</f>
        <v>2590.9899999999998</v>
      </c>
      <c r="P1707">
        <f>229.17</f>
        <v>229.17</v>
      </c>
      <c r="Q1707">
        <f>2038.236</f>
        <v>2038.2360000000001</v>
      </c>
      <c r="R1707">
        <f>4302.93</f>
        <v>4302.93</v>
      </c>
      <c r="S1707">
        <f>2190.41</f>
        <v>2190.41</v>
      </c>
      <c r="T1707">
        <f>3864.153</f>
        <v>3864.1529999999998</v>
      </c>
      <c r="U1707">
        <f>50716.25</f>
        <v>50716.25</v>
      </c>
      <c r="V1707">
        <f>338.49</f>
        <v>338.49</v>
      </c>
    </row>
    <row r="1708" spans="1:22" x14ac:dyDescent="0.2">
      <c r="A1708" s="1">
        <v>42717</v>
      </c>
      <c r="B1708">
        <f>2793.99</f>
        <v>2793.99</v>
      </c>
      <c r="C1708">
        <f>8207.69</f>
        <v>8207.69</v>
      </c>
      <c r="D1708">
        <f>5679.38</f>
        <v>5679.38</v>
      </c>
      <c r="E1708">
        <f>1856.174</f>
        <v>1856.174</v>
      </c>
      <c r="F1708">
        <f>1688.77</f>
        <v>1688.77</v>
      </c>
      <c r="G1708">
        <f>7278.418</f>
        <v>7278.4179999999997</v>
      </c>
      <c r="H1708">
        <f>2916.32</f>
        <v>2916.32</v>
      </c>
      <c r="I1708">
        <f>8179.563</f>
        <v>8179.5630000000001</v>
      </c>
      <c r="J1708">
        <f>3301.82</f>
        <v>3301.82</v>
      </c>
      <c r="K1708">
        <f>8996.21</f>
        <v>8996.2099999999991</v>
      </c>
      <c r="L1708">
        <f>1708.64</f>
        <v>1708.64</v>
      </c>
      <c r="M1708">
        <f>6962.49</f>
        <v>6962.49</v>
      </c>
      <c r="N1708">
        <f>296.392</f>
        <v>296.392</v>
      </c>
      <c r="O1708">
        <f>2603.77</f>
        <v>2603.77</v>
      </c>
      <c r="P1708">
        <f>229.38</f>
        <v>229.38</v>
      </c>
      <c r="Q1708">
        <f>2063.882</f>
        <v>2063.8820000000001</v>
      </c>
      <c r="R1708">
        <f>4337.86</f>
        <v>4337.8599999999997</v>
      </c>
      <c r="S1708">
        <f>2192.63</f>
        <v>2192.63</v>
      </c>
      <c r="T1708">
        <f>3885.134</f>
        <v>3885.134</v>
      </c>
      <c r="U1708">
        <f>50839.25</f>
        <v>50839.25</v>
      </c>
      <c r="V1708">
        <f>339.96</f>
        <v>339.96</v>
      </c>
    </row>
    <row r="1709" spans="1:22" x14ac:dyDescent="0.2">
      <c r="A1709" s="1">
        <v>42716</v>
      </c>
      <c r="B1709">
        <f>2765.03</f>
        <v>2765.03</v>
      </c>
      <c r="C1709">
        <f>8161.2</f>
        <v>8161.2</v>
      </c>
      <c r="D1709">
        <f>5615.69</f>
        <v>5615.69</v>
      </c>
      <c r="E1709">
        <f>1845.647</f>
        <v>1845.6469999999999</v>
      </c>
      <c r="F1709">
        <f>1660.02</f>
        <v>1660.02</v>
      </c>
      <c r="G1709">
        <f>7188.027</f>
        <v>7188.027</v>
      </c>
      <c r="H1709">
        <f>2885.11</f>
        <v>2885.11</v>
      </c>
      <c r="I1709">
        <f>8064.824</f>
        <v>8064.8239999999996</v>
      </c>
      <c r="J1709">
        <f>3277.09</f>
        <v>3277.09</v>
      </c>
      <c r="K1709">
        <f>8936.32</f>
        <v>8936.32</v>
      </c>
      <c r="L1709">
        <f>1690.88</f>
        <v>1690.88</v>
      </c>
      <c r="M1709">
        <f>6907.71</f>
        <v>6907.71</v>
      </c>
      <c r="N1709">
        <f>293.326</f>
        <v>293.32600000000002</v>
      </c>
      <c r="O1709">
        <f>2575.92</f>
        <v>2575.92</v>
      </c>
      <c r="P1709">
        <f>227.36</f>
        <v>227.36</v>
      </c>
      <c r="Q1709">
        <f>2058.432</f>
        <v>2058.4319999999998</v>
      </c>
      <c r="R1709">
        <f>4308.94</f>
        <v>4308.9399999999996</v>
      </c>
      <c r="S1709">
        <f>2180.08</f>
        <v>2180.08</v>
      </c>
      <c r="T1709">
        <f>3847.097</f>
        <v>3847.0970000000002</v>
      </c>
      <c r="U1709">
        <f>50527.86</f>
        <v>50527.86</v>
      </c>
      <c r="V1709">
        <f>336.28</f>
        <v>336.28</v>
      </c>
    </row>
    <row r="1710" spans="1:22" x14ac:dyDescent="0.2">
      <c r="A1710" s="1">
        <v>42713</v>
      </c>
      <c r="B1710">
        <f>2791.73</f>
        <v>2791.73</v>
      </c>
      <c r="C1710">
        <f>8179.73</f>
        <v>8179.73</v>
      </c>
      <c r="D1710">
        <f>5667.68</f>
        <v>5667.68</v>
      </c>
      <c r="E1710">
        <f>1857.449</f>
        <v>1857.4490000000001</v>
      </c>
      <c r="F1710">
        <f>1671.96</f>
        <v>1671.96</v>
      </c>
      <c r="G1710">
        <f>7197.447</f>
        <v>7197.4470000000001</v>
      </c>
      <c r="H1710">
        <f>2879.82</f>
        <v>2879.82</v>
      </c>
      <c r="I1710">
        <f>8031.434</f>
        <v>8031.4340000000002</v>
      </c>
      <c r="J1710">
        <f>3256.53</f>
        <v>3256.53</v>
      </c>
      <c r="K1710">
        <f>8947.21</f>
        <v>8947.2099999999991</v>
      </c>
      <c r="L1710">
        <f>1683.44</f>
        <v>1683.44</v>
      </c>
      <c r="M1710">
        <f>6906.98</f>
        <v>6906.98</v>
      </c>
      <c r="N1710">
        <f>295.661</f>
        <v>295.661</v>
      </c>
      <c r="O1710">
        <f>2587.09</f>
        <v>2587.09</v>
      </c>
      <c r="P1710">
        <f>226.97</f>
        <v>226.97</v>
      </c>
      <c r="Q1710">
        <f>2053.862</f>
        <v>2053.8620000000001</v>
      </c>
      <c r="R1710">
        <f>4313.61</f>
        <v>4313.6099999999997</v>
      </c>
      <c r="S1710">
        <f>2171.44</f>
        <v>2171.44</v>
      </c>
      <c r="T1710">
        <f>3873.622</f>
        <v>3873.6219999999998</v>
      </c>
      <c r="U1710">
        <f>50899.92</f>
        <v>50899.92</v>
      </c>
      <c r="V1710">
        <f>338.26</f>
        <v>338.26</v>
      </c>
    </row>
    <row r="1711" spans="1:22" x14ac:dyDescent="0.2">
      <c r="A1711" s="1">
        <v>42712</v>
      </c>
      <c r="B1711">
        <f>2787.35</f>
        <v>2787.35</v>
      </c>
      <c r="C1711">
        <f>8180.78</f>
        <v>8180.78</v>
      </c>
      <c r="D1711">
        <f>5649.21</f>
        <v>5649.21</v>
      </c>
      <c r="E1711">
        <f>1860.556</f>
        <v>1860.556</v>
      </c>
      <c r="F1711">
        <f>1654.39</f>
        <v>1654.39</v>
      </c>
      <c r="G1711">
        <f>7164.254</f>
        <v>7164.2539999999999</v>
      </c>
      <c r="H1711">
        <f>2889.06</f>
        <v>2889.06</v>
      </c>
      <c r="I1711">
        <f>8021.183</f>
        <v>8021.183</v>
      </c>
      <c r="J1711">
        <f>3233.91</f>
        <v>3233.91</v>
      </c>
      <c r="K1711">
        <f>8898.55</f>
        <v>8898.5499999999993</v>
      </c>
      <c r="L1711">
        <f>1671.7</f>
        <v>1671.7</v>
      </c>
      <c r="M1711">
        <f>6878.77</f>
        <v>6878.77</v>
      </c>
      <c r="N1711">
        <f>287.971</f>
        <v>287.971</v>
      </c>
      <c r="O1711">
        <f>2562.32</f>
        <v>2562.3200000000002</v>
      </c>
      <c r="P1711">
        <f>224.69</f>
        <v>224.69</v>
      </c>
      <c r="Q1711">
        <f>2046.128</f>
        <v>2046.1279999999999</v>
      </c>
      <c r="R1711">
        <f>4288.1</f>
        <v>4288.1000000000004</v>
      </c>
      <c r="S1711">
        <f>2153.4</f>
        <v>2153.4</v>
      </c>
      <c r="T1711">
        <f>3844.104</f>
        <v>3844.1039999999998</v>
      </c>
      <c r="U1711">
        <f>50543.44</f>
        <v>50543.44</v>
      </c>
      <c r="V1711">
        <f>337.22</f>
        <v>337.22</v>
      </c>
    </row>
    <row r="1712" spans="1:22" x14ac:dyDescent="0.2">
      <c r="A1712" s="1">
        <v>42711</v>
      </c>
      <c r="B1712">
        <f>2787.01</f>
        <v>2787.01</v>
      </c>
      <c r="C1712">
        <f>8073.51</f>
        <v>8073.51</v>
      </c>
      <c r="D1712">
        <f>5624.5</f>
        <v>5624.5</v>
      </c>
      <c r="E1712">
        <f>1835.733</f>
        <v>1835.7329999999999</v>
      </c>
      <c r="F1712">
        <f>1655.38</f>
        <v>1655.38</v>
      </c>
      <c r="G1712">
        <f>7166.361</f>
        <v>7166.3609999999999</v>
      </c>
      <c r="H1712">
        <f>2856.5</f>
        <v>2856.5</v>
      </c>
      <c r="I1712">
        <f>8043.613</f>
        <v>8043.6130000000003</v>
      </c>
      <c r="J1712">
        <f>3236.76</f>
        <v>3236.76</v>
      </c>
      <c r="K1712">
        <f>8877.77</f>
        <v>8877.77</v>
      </c>
      <c r="L1712">
        <f>1673.96</f>
        <v>1673.96</v>
      </c>
      <c r="M1712">
        <f>6863.96</f>
        <v>6863.96</v>
      </c>
      <c r="N1712">
        <f>285.988</f>
        <v>285.988</v>
      </c>
      <c r="O1712">
        <f>2529.98</f>
        <v>2529.98</v>
      </c>
      <c r="P1712">
        <f>221.29</f>
        <v>221.29</v>
      </c>
      <c r="Q1712">
        <f>2042.642</f>
        <v>2042.6420000000001</v>
      </c>
      <c r="R1712">
        <f>4278.44</f>
        <v>4278.4399999999996</v>
      </c>
      <c r="S1712">
        <f>2121.99</f>
        <v>2121.9899999999998</v>
      </c>
      <c r="T1712">
        <f>3753.114</f>
        <v>3753.114</v>
      </c>
      <c r="U1712">
        <f>49476.06</f>
        <v>49476.06</v>
      </c>
      <c r="V1712">
        <f>327.54</f>
        <v>327.54000000000002</v>
      </c>
    </row>
    <row r="1713" spans="1:22" x14ac:dyDescent="0.2">
      <c r="A1713" s="1">
        <v>42710</v>
      </c>
      <c r="B1713">
        <f>2750.24</f>
        <v>2750.24</v>
      </c>
      <c r="C1713">
        <f>8014.91</f>
        <v>8014.91</v>
      </c>
      <c r="D1713">
        <f>5524.77</f>
        <v>5524.77</v>
      </c>
      <c r="E1713">
        <f>1822.72</f>
        <v>1822.72</v>
      </c>
      <c r="F1713">
        <f>1652.15</f>
        <v>1652.15</v>
      </c>
      <c r="G1713">
        <f>7098.885</f>
        <v>7098.8850000000002</v>
      </c>
      <c r="H1713">
        <f>2838.48</f>
        <v>2838.48</v>
      </c>
      <c r="I1713">
        <f>7936.077</f>
        <v>7936.0770000000002</v>
      </c>
      <c r="J1713">
        <f>3194.78</f>
        <v>3194.78</v>
      </c>
      <c r="K1713">
        <f>8763.53</f>
        <v>8763.5300000000007</v>
      </c>
      <c r="L1713">
        <f>1656.3</f>
        <v>1656.3</v>
      </c>
      <c r="M1713">
        <f>6778.7</f>
        <v>6778.7</v>
      </c>
      <c r="N1713">
        <f>286.746</f>
        <v>286.74599999999998</v>
      </c>
      <c r="O1713">
        <f>2507.63</f>
        <v>2507.63</v>
      </c>
      <c r="P1713">
        <f>218.8</f>
        <v>218.8</v>
      </c>
      <c r="Q1713">
        <f>2016.079</f>
        <v>2016.079</v>
      </c>
      <c r="R1713">
        <f>4222.04</f>
        <v>4222.04</v>
      </c>
      <c r="S1713">
        <f>2103.01</f>
        <v>2103.0100000000002</v>
      </c>
      <c r="T1713">
        <f>3700.687</f>
        <v>3700.6869999999999</v>
      </c>
      <c r="U1713">
        <f>48935.9</f>
        <v>48935.9</v>
      </c>
      <c r="V1713">
        <f>323.23</f>
        <v>323.23</v>
      </c>
    </row>
    <row r="1714" spans="1:22" x14ac:dyDescent="0.2">
      <c r="A1714" s="1">
        <v>42709</v>
      </c>
      <c r="B1714">
        <f>2742.21</f>
        <v>2742.21</v>
      </c>
      <c r="C1714">
        <f>7958.78</f>
        <v>7958.78</v>
      </c>
      <c r="D1714">
        <f>5497.87</f>
        <v>5497.87</v>
      </c>
      <c r="E1714">
        <f>1806.765</f>
        <v>1806.7650000000001</v>
      </c>
      <c r="F1714">
        <f>1641.16</f>
        <v>1641.16</v>
      </c>
      <c r="G1714">
        <f>7062.407</f>
        <v>7062.4070000000002</v>
      </c>
      <c r="H1714">
        <f>2817.39</f>
        <v>2817.39</v>
      </c>
      <c r="I1714">
        <f>7834.467</f>
        <v>7834.4669999999996</v>
      </c>
      <c r="J1714">
        <f>3185.71</f>
        <v>3185.71</v>
      </c>
      <c r="K1714">
        <f>8732.29</f>
        <v>8732.2900000000009</v>
      </c>
      <c r="L1714">
        <f>1649.06</f>
        <v>1649.06</v>
      </c>
      <c r="M1714">
        <f>6740.42</f>
        <v>6740.42</v>
      </c>
      <c r="N1714">
        <f>285.724</f>
        <v>285.72399999999999</v>
      </c>
      <c r="O1714">
        <f>2481.77</f>
        <v>2481.77</v>
      </c>
      <c r="P1714">
        <f>217.11</f>
        <v>217.11</v>
      </c>
      <c r="Q1714">
        <f>2013.606</f>
        <v>2013.606</v>
      </c>
      <c r="R1714">
        <f>4207.57</f>
        <v>4207.57</v>
      </c>
      <c r="S1714">
        <f>2088.43</f>
        <v>2088.4299999999998</v>
      </c>
      <c r="T1714">
        <f>3742.786</f>
        <v>3742.7860000000001</v>
      </c>
      <c r="U1714">
        <f>49713.56</f>
        <v>49713.56</v>
      </c>
      <c r="V1714">
        <f>326.41</f>
        <v>326.41000000000003</v>
      </c>
    </row>
    <row r="1715" spans="1:22" x14ac:dyDescent="0.2">
      <c r="A1715" s="1">
        <v>42706</v>
      </c>
      <c r="B1715">
        <f>2740.58</f>
        <v>2740.58</v>
      </c>
      <c r="C1715">
        <f>7941.21</f>
        <v>7941.21</v>
      </c>
      <c r="D1715">
        <f>5484.74</f>
        <v>5484.74</v>
      </c>
      <c r="E1715">
        <f>1804.833</f>
        <v>1804.8330000000001</v>
      </c>
      <c r="F1715">
        <f>1633.38</f>
        <v>1633.38</v>
      </c>
      <c r="G1715">
        <f>7020.036</f>
        <v>7020.0360000000001</v>
      </c>
      <c r="H1715">
        <f>2855.93</f>
        <v>2855.93</v>
      </c>
      <c r="I1715">
        <f>7723.855</f>
        <v>7723.8549999999996</v>
      </c>
      <c r="J1715">
        <f>3174.16</f>
        <v>3174.16</v>
      </c>
      <c r="K1715">
        <f>8677.95</f>
        <v>8677.9500000000007</v>
      </c>
      <c r="L1715">
        <f>1640.05</f>
        <v>1640.05</v>
      </c>
      <c r="M1715">
        <f>6703.98</f>
        <v>6703.98</v>
      </c>
      <c r="N1715">
        <f>286.148</f>
        <v>286.14800000000002</v>
      </c>
      <c r="O1715">
        <f>2467.6</f>
        <v>2467.6</v>
      </c>
      <c r="P1715">
        <f>219.17</f>
        <v>219.17</v>
      </c>
      <c r="Q1715">
        <f>2002.954</f>
        <v>2002.954</v>
      </c>
      <c r="R1715">
        <f>4182.81</f>
        <v>4182.8100000000004</v>
      </c>
      <c r="S1715">
        <f>2104.12</f>
        <v>2104.12</v>
      </c>
      <c r="T1715">
        <f>3689.492</f>
        <v>3689.4920000000002</v>
      </c>
      <c r="U1715">
        <f>49256.1</f>
        <v>49256.1</v>
      </c>
      <c r="V1715">
        <f>320.35</f>
        <v>320.35000000000002</v>
      </c>
    </row>
    <row r="1716" spans="1:22" x14ac:dyDescent="0.2">
      <c r="A1716" s="1">
        <v>42705</v>
      </c>
      <c r="B1716">
        <f>2734.84</f>
        <v>2734.84</v>
      </c>
      <c r="C1716">
        <f>7964.32</f>
        <v>7964.32</v>
      </c>
      <c r="D1716">
        <f>5502.84</f>
        <v>5502.84</v>
      </c>
      <c r="E1716">
        <f>1816.037</f>
        <v>1816.037</v>
      </c>
      <c r="F1716">
        <f>1620.96</f>
        <v>1620.96</v>
      </c>
      <c r="G1716">
        <f>7019.388</f>
        <v>7019.3879999999999</v>
      </c>
      <c r="H1716">
        <f>2868.01</f>
        <v>2868.01</v>
      </c>
      <c r="I1716">
        <f>7722.125</f>
        <v>7722.125</v>
      </c>
      <c r="J1716">
        <f>3164.18</f>
        <v>3164.18</v>
      </c>
      <c r="K1716">
        <f>8675.92</f>
        <v>8675.92</v>
      </c>
      <c r="L1716">
        <f>1636.13</f>
        <v>1636.13</v>
      </c>
      <c r="M1716">
        <f>6702.77</f>
        <v>6702.77</v>
      </c>
      <c r="N1716">
        <f>285.905</f>
        <v>285.90499999999997</v>
      </c>
      <c r="O1716">
        <f>2473.5</f>
        <v>2473.5</v>
      </c>
      <c r="P1716">
        <f>218.66</f>
        <v>218.66</v>
      </c>
      <c r="Q1716">
        <f>2001.23</f>
        <v>2001.23</v>
      </c>
      <c r="R1716">
        <f>4181.15</f>
        <v>4181.1499999999996</v>
      </c>
      <c r="S1716">
        <f>2111.66</f>
        <v>2111.66</v>
      </c>
      <c r="T1716">
        <f>3738.166</f>
        <v>3738.1660000000002</v>
      </c>
      <c r="U1716">
        <f>49927</f>
        <v>49927</v>
      </c>
      <c r="V1716">
        <f>325.3</f>
        <v>325.3</v>
      </c>
    </row>
    <row r="1717" spans="1:22" x14ac:dyDescent="0.2">
      <c r="A1717" s="1">
        <v>42704</v>
      </c>
      <c r="B1717">
        <f>2743.02</f>
        <v>2743.02</v>
      </c>
      <c r="C1717">
        <f>7957.89</f>
        <v>7957.89</v>
      </c>
      <c r="D1717">
        <f>5527</f>
        <v>5527</v>
      </c>
      <c r="E1717">
        <f>1825.345</f>
        <v>1825.345</v>
      </c>
      <c r="F1717">
        <f>1612.96</f>
        <v>1612.96</v>
      </c>
      <c r="G1717">
        <f>6975.637</f>
        <v>6975.6369999999997</v>
      </c>
      <c r="H1717">
        <f>2855.82</f>
        <v>2855.82</v>
      </c>
      <c r="I1717">
        <f>7768.813</f>
        <v>7768.8130000000001</v>
      </c>
      <c r="J1717">
        <f>3186.62</f>
        <v>3186.62</v>
      </c>
      <c r="K1717">
        <f>8711.44</f>
        <v>8711.44</v>
      </c>
      <c r="L1717">
        <f>1645.56</f>
        <v>1645.56</v>
      </c>
      <c r="M1717">
        <f>6716.02</f>
        <v>6716.02</v>
      </c>
      <c r="N1717">
        <f>287.46</f>
        <v>287.45999999999998</v>
      </c>
      <c r="O1717">
        <f>2485.94</f>
        <v>2485.94</v>
      </c>
      <c r="P1717">
        <f>216.88</f>
        <v>216.88</v>
      </c>
      <c r="Q1717">
        <f>2003.831</f>
        <v>2003.8309999999999</v>
      </c>
      <c r="R1717">
        <f>4195.73</f>
        <v>4195.7299999999996</v>
      </c>
      <c r="S1717">
        <f>2091.95</f>
        <v>2091.9499999999998</v>
      </c>
      <c r="T1717">
        <f>3739.67</f>
        <v>3739.67</v>
      </c>
      <c r="U1717">
        <f>50209.43</f>
        <v>50209.43</v>
      </c>
      <c r="V1717">
        <f>325.6</f>
        <v>325.60000000000002</v>
      </c>
    </row>
    <row r="1718" spans="1:22" x14ac:dyDescent="0.2">
      <c r="A1718" s="1">
        <v>42703</v>
      </c>
      <c r="B1718">
        <f>2752.58</f>
        <v>2752.58</v>
      </c>
      <c r="C1718">
        <f>7931.17</f>
        <v>7931.17</v>
      </c>
      <c r="D1718">
        <f>5517.4</f>
        <v>5517.4</v>
      </c>
      <c r="E1718">
        <f>1815.874</f>
        <v>1815.874</v>
      </c>
      <c r="F1718">
        <f>1621.21</f>
        <v>1621.21</v>
      </c>
      <c r="G1718">
        <f>6969.028</f>
        <v>6969.0280000000002</v>
      </c>
      <c r="H1718">
        <f>2879.92</f>
        <v>2879.92</v>
      </c>
      <c r="I1718">
        <f>7741.828</f>
        <v>7741.8280000000004</v>
      </c>
      <c r="J1718">
        <f>3204.94</f>
        <v>3204.94</v>
      </c>
      <c r="K1718">
        <f>8734.22</f>
        <v>8734.2199999999993</v>
      </c>
      <c r="L1718">
        <f>1652.11</f>
        <v>1652.11</v>
      </c>
      <c r="M1718">
        <f>6728.14</f>
        <v>6728.14</v>
      </c>
      <c r="N1718">
        <f>287.108</f>
        <v>287.108</v>
      </c>
      <c r="O1718">
        <f>2473.53</f>
        <v>2473.5300000000002</v>
      </c>
      <c r="P1718">
        <f>216.68</f>
        <v>216.68</v>
      </c>
      <c r="Q1718">
        <f>2015.633</f>
        <v>2015.633</v>
      </c>
      <c r="R1718">
        <f>4205.99</f>
        <v>4205.99</v>
      </c>
      <c r="S1718">
        <f>2090.72</f>
        <v>2090.7199999999998</v>
      </c>
      <c r="T1718">
        <f>3765.426</f>
        <v>3765.4259999999999</v>
      </c>
      <c r="U1718">
        <f>50157.28</f>
        <v>50157.279999999999</v>
      </c>
      <c r="V1718">
        <f>326.97</f>
        <v>326.97000000000003</v>
      </c>
    </row>
    <row r="1719" spans="1:22" x14ac:dyDescent="0.2">
      <c r="A1719" s="1">
        <v>42702</v>
      </c>
      <c r="B1719">
        <f>2753.34</f>
        <v>2753.34</v>
      </c>
      <c r="C1719">
        <f>7990.04</f>
        <v>7990.04</v>
      </c>
      <c r="D1719">
        <f>5539.77</f>
        <v>5539.77</v>
      </c>
      <c r="E1719">
        <f>1825.785</f>
        <v>1825.7850000000001</v>
      </c>
      <c r="F1719">
        <f>1623.67</f>
        <v>1623.67</v>
      </c>
      <c r="G1719">
        <f>6945.278</f>
        <v>6945.2780000000002</v>
      </c>
      <c r="H1719">
        <f>2894.1</f>
        <v>2894.1</v>
      </c>
      <c r="I1719">
        <f>7685.438</f>
        <v>7685.4380000000001</v>
      </c>
      <c r="J1719">
        <f>3205.03</f>
        <v>3205.03</v>
      </c>
      <c r="K1719">
        <f>8720.62</f>
        <v>8720.6200000000008</v>
      </c>
      <c r="L1719">
        <f>1650.32</f>
        <v>1650.32</v>
      </c>
      <c r="M1719">
        <f>6717.48</f>
        <v>6717.48</v>
      </c>
      <c r="N1719">
        <f>286.549</f>
        <v>286.54899999999998</v>
      </c>
      <c r="O1719">
        <f>2467.36</f>
        <v>2467.36</v>
      </c>
      <c r="P1719">
        <f>217</f>
        <v>217</v>
      </c>
      <c r="Q1719">
        <f>2013.328</f>
        <v>2013.328</v>
      </c>
      <c r="R1719">
        <f>4199.39</f>
        <v>4199.3900000000003</v>
      </c>
      <c r="S1719">
        <f>2092.16</f>
        <v>2092.16</v>
      </c>
      <c r="T1719">
        <f>3779.166</f>
        <v>3779.1660000000002</v>
      </c>
      <c r="U1719">
        <f>50193.64</f>
        <v>50193.64</v>
      </c>
      <c r="V1719">
        <f>328.11</f>
        <v>328.11</v>
      </c>
    </row>
    <row r="1720" spans="1:22" x14ac:dyDescent="0.2">
      <c r="A1720" s="1">
        <v>42699</v>
      </c>
      <c r="B1720">
        <f>2775.36</f>
        <v>2775.36</v>
      </c>
      <c r="C1720">
        <f>7901.64</f>
        <v>7901.64</v>
      </c>
      <c r="D1720">
        <f>5573.41</f>
        <v>5573.41</v>
      </c>
      <c r="E1720">
        <f>1810.139</f>
        <v>1810.1389999999999</v>
      </c>
      <c r="F1720">
        <f>1636.49</f>
        <v>1636.49</v>
      </c>
      <c r="G1720">
        <f>7008.186</f>
        <v>7008.1859999999997</v>
      </c>
      <c r="H1720">
        <f>2864.91</f>
        <v>2864.91</v>
      </c>
      <c r="I1720">
        <f>7763.904</f>
        <v>7763.9040000000005</v>
      </c>
      <c r="J1720">
        <f>3208.8</f>
        <v>3208.8</v>
      </c>
      <c r="K1720">
        <f>8766.79</f>
        <v>8766.7900000000009</v>
      </c>
      <c r="L1720">
        <f>1654.42</f>
        <v>1654.42</v>
      </c>
      <c r="M1720">
        <f>6747.58</f>
        <v>6747.58</v>
      </c>
      <c r="N1720">
        <f>288.411</f>
        <v>288.411</v>
      </c>
      <c r="O1720">
        <f>2488.49</f>
        <v>2488.4899999999998</v>
      </c>
      <c r="P1720">
        <f>215.27</f>
        <v>215.27</v>
      </c>
      <c r="Q1720">
        <f>2024.184</f>
        <v>2024.184</v>
      </c>
      <c r="R1720">
        <f>4221.02</f>
        <v>4221.0200000000004</v>
      </c>
      <c r="S1720">
        <f>2084.9</f>
        <v>2084.9</v>
      </c>
      <c r="T1720">
        <f>3758.612</f>
        <v>3758.6120000000001</v>
      </c>
      <c r="U1720">
        <f>50696.1</f>
        <v>50696.1</v>
      </c>
      <c r="V1720">
        <f>326.53</f>
        <v>326.52999999999997</v>
      </c>
    </row>
    <row r="1721" spans="1:22" x14ac:dyDescent="0.2">
      <c r="A1721" s="1">
        <v>42698</v>
      </c>
      <c r="B1721">
        <f>2776.83</f>
        <v>2776.83</v>
      </c>
      <c r="C1721">
        <f>7891.76</f>
        <v>7891.76</v>
      </c>
      <c r="D1721">
        <f>5564</f>
        <v>5564</v>
      </c>
      <c r="E1721">
        <f>1802.162</f>
        <v>1802.162</v>
      </c>
      <c r="F1721">
        <f>1633.52</f>
        <v>1633.52</v>
      </c>
      <c r="G1721">
        <f>7004.615</f>
        <v>7004.6149999999998</v>
      </c>
      <c r="H1721">
        <f>2832.99</f>
        <v>2832.99</v>
      </c>
      <c r="I1721">
        <f>7702.475</f>
        <v>7702.4750000000004</v>
      </c>
      <c r="J1721">
        <f>3188.02</f>
        <v>3188.02</v>
      </c>
      <c r="K1721">
        <f>8731.53</f>
        <v>8731.5300000000007</v>
      </c>
      <c r="L1721">
        <f>1642.55</f>
        <v>1642.55</v>
      </c>
      <c r="M1721">
        <f>6717.81</f>
        <v>6717.81</v>
      </c>
      <c r="N1721">
        <f>287.445</f>
        <v>287.44499999999999</v>
      </c>
      <c r="O1721">
        <f>2482.07</f>
        <v>2482.0700000000002</v>
      </c>
      <c r="P1721">
        <f>214.57</f>
        <v>214.57</v>
      </c>
      <c r="Q1721" t="e">
        <f>NA()</f>
        <v>#N/A</v>
      </c>
      <c r="R1721" t="e">
        <f>NA()</f>
        <v>#N/A</v>
      </c>
      <c r="S1721">
        <f>2078.4</f>
        <v>2078.4</v>
      </c>
      <c r="T1721">
        <f>3730.112</f>
        <v>3730.1120000000001</v>
      </c>
      <c r="U1721">
        <f>50561.43</f>
        <v>50561.43</v>
      </c>
      <c r="V1721">
        <f>325.6</f>
        <v>325.60000000000002</v>
      </c>
    </row>
    <row r="1722" spans="1:22" x14ac:dyDescent="0.2">
      <c r="A1722" s="1">
        <v>42697</v>
      </c>
      <c r="B1722">
        <f>2779.21</f>
        <v>2779.21</v>
      </c>
      <c r="C1722">
        <f>7908.92</f>
        <v>7908.92</v>
      </c>
      <c r="D1722">
        <f>5548.89</f>
        <v>5548.89</v>
      </c>
      <c r="E1722">
        <f>1810.392</f>
        <v>1810.3920000000001</v>
      </c>
      <c r="F1722">
        <f>1616.24</f>
        <v>1616.24</v>
      </c>
      <c r="G1722">
        <f>6949.45</f>
        <v>6949.45</v>
      </c>
      <c r="H1722">
        <f>2798.52</f>
        <v>2798.52</v>
      </c>
      <c r="I1722">
        <f>7657.235</f>
        <v>7657.2349999999997</v>
      </c>
      <c r="J1722">
        <f>3188.02</f>
        <v>3188.02</v>
      </c>
      <c r="K1722">
        <f>8731.53</f>
        <v>8731.5300000000007</v>
      </c>
      <c r="L1722">
        <f>1637.73</f>
        <v>1637.73</v>
      </c>
      <c r="M1722">
        <f>6703.34</f>
        <v>6703.34</v>
      </c>
      <c r="N1722">
        <f>285.92</f>
        <v>285.92</v>
      </c>
      <c r="O1722">
        <f>2474.95</f>
        <v>2474.9499999999998</v>
      </c>
      <c r="P1722" t="e">
        <f>NA()</f>
        <v>#N/A</v>
      </c>
      <c r="Q1722">
        <f>2011.351</f>
        <v>2011.3510000000001</v>
      </c>
      <c r="R1722">
        <f>4204.49</f>
        <v>4204.49</v>
      </c>
      <c r="S1722" t="e">
        <f>NA()</f>
        <v>#N/A</v>
      </c>
      <c r="T1722">
        <f>3755.636</f>
        <v>3755.636</v>
      </c>
      <c r="U1722">
        <f>50616.43</f>
        <v>50616.43</v>
      </c>
      <c r="V1722">
        <f>327.56</f>
        <v>327.56</v>
      </c>
    </row>
    <row r="1723" spans="1:22" x14ac:dyDescent="0.2">
      <c r="A1723" s="1">
        <v>42696</v>
      </c>
      <c r="B1723">
        <f>2790.59</f>
        <v>2790.59</v>
      </c>
      <c r="C1723">
        <f>7902.25</f>
        <v>7902.25</v>
      </c>
      <c r="D1723">
        <f>5550.53</f>
        <v>5550.53</v>
      </c>
      <c r="E1723">
        <f>1813.54</f>
        <v>1813.54</v>
      </c>
      <c r="F1723">
        <f>1619.82</f>
        <v>1619.82</v>
      </c>
      <c r="G1723">
        <f>6964.062</f>
        <v>6964.0619999999999</v>
      </c>
      <c r="H1723">
        <f>2839.38</f>
        <v>2839.38</v>
      </c>
      <c r="I1723">
        <f>7716.671</f>
        <v>7716.6710000000003</v>
      </c>
      <c r="J1723">
        <f>3198.8</f>
        <v>3198.8</v>
      </c>
      <c r="K1723">
        <f>8724.23</f>
        <v>8724.23</v>
      </c>
      <c r="L1723">
        <f>1642.73</f>
        <v>1642.73</v>
      </c>
      <c r="M1723">
        <f>6716.29</f>
        <v>6716.29</v>
      </c>
      <c r="N1723">
        <f>284.412</f>
        <v>284.41199999999998</v>
      </c>
      <c r="O1723">
        <f>2472.68</f>
        <v>2472.6799999999998</v>
      </c>
      <c r="P1723">
        <f>213.93</f>
        <v>213.93</v>
      </c>
      <c r="Q1723">
        <f>2007.971</f>
        <v>2007.971</v>
      </c>
      <c r="R1723">
        <f>4200.95</f>
        <v>4200.95</v>
      </c>
      <c r="S1723">
        <f>2060.65</f>
        <v>2060.65</v>
      </c>
      <c r="T1723">
        <f>3805.528</f>
        <v>3805.5279999999998</v>
      </c>
      <c r="U1723">
        <f>51117.74</f>
        <v>51117.74</v>
      </c>
      <c r="V1723">
        <f>329</f>
        <v>329</v>
      </c>
    </row>
    <row r="1724" spans="1:22" x14ac:dyDescent="0.2">
      <c r="A1724" s="1">
        <v>42695</v>
      </c>
      <c r="B1724">
        <f>2760.93</f>
        <v>2760.93</v>
      </c>
      <c r="C1724">
        <f>7807.82</f>
        <v>7807.82</v>
      </c>
      <c r="D1724">
        <f>5516.54</f>
        <v>5516.54</v>
      </c>
      <c r="E1724">
        <f>1792.199</f>
        <v>1792.1990000000001</v>
      </c>
      <c r="F1724">
        <f>1601.61</f>
        <v>1601.61</v>
      </c>
      <c r="G1724">
        <f>6945.159</f>
        <v>6945.1589999999997</v>
      </c>
      <c r="H1724">
        <f>2847.28</f>
        <v>2847.28</v>
      </c>
      <c r="I1724">
        <f>7733.42</f>
        <v>7733.42</v>
      </c>
      <c r="J1724">
        <f>3187.37</f>
        <v>3187.37</v>
      </c>
      <c r="K1724">
        <f>8705.34</f>
        <v>8705.34</v>
      </c>
      <c r="L1724">
        <f>1641.33</f>
        <v>1641.33</v>
      </c>
      <c r="M1724">
        <f>6705.93</f>
        <v>6705.93</v>
      </c>
      <c r="N1724">
        <f>285.703</f>
        <v>285.70299999999997</v>
      </c>
      <c r="O1724">
        <f>2471.47</f>
        <v>2471.4699999999998</v>
      </c>
      <c r="P1724">
        <f>212.83</f>
        <v>212.83</v>
      </c>
      <c r="Q1724">
        <f>2003.093</f>
        <v>2003.0930000000001</v>
      </c>
      <c r="R1724">
        <f>4191.68</f>
        <v>4191.68</v>
      </c>
      <c r="S1724">
        <f>2054.15</f>
        <v>2054.15</v>
      </c>
      <c r="T1724">
        <f>3728.952</f>
        <v>3728.9520000000002</v>
      </c>
      <c r="U1724">
        <f>50596.52</f>
        <v>50596.52</v>
      </c>
      <c r="V1724">
        <f>322.83</f>
        <v>322.83</v>
      </c>
    </row>
    <row r="1725" spans="1:22" x14ac:dyDescent="0.2">
      <c r="A1725" s="1">
        <v>42692</v>
      </c>
      <c r="B1725">
        <f>2775.2</f>
        <v>2775.2</v>
      </c>
      <c r="C1725">
        <f>7744.08</f>
        <v>7744.08</v>
      </c>
      <c r="D1725">
        <f>5514.76</f>
        <v>5514.76</v>
      </c>
      <c r="E1725">
        <f>1786.144</f>
        <v>1786.144</v>
      </c>
      <c r="F1725">
        <f>1582.8</f>
        <v>1582.8</v>
      </c>
      <c r="G1725">
        <f>6850.422</f>
        <v>6850.4219999999996</v>
      </c>
      <c r="H1725">
        <f>2835.66</f>
        <v>2835.66</v>
      </c>
      <c r="I1725">
        <f>7694.139</f>
        <v>7694.1390000000001</v>
      </c>
      <c r="J1725">
        <f>3163.55</f>
        <v>3163.55</v>
      </c>
      <c r="K1725">
        <f>8640.68</f>
        <v>8640.68</v>
      </c>
      <c r="L1725">
        <f>1629.64</f>
        <v>1629.64</v>
      </c>
      <c r="M1725">
        <f>6654.22</f>
        <v>6654.22</v>
      </c>
      <c r="N1725">
        <f>283.911</f>
        <v>283.911</v>
      </c>
      <c r="O1725">
        <f>2461.14</f>
        <v>2461.14</v>
      </c>
      <c r="P1725">
        <f>210.2</f>
        <v>210.2</v>
      </c>
      <c r="Q1725">
        <f>1991.476</f>
        <v>1991.4760000000001</v>
      </c>
      <c r="R1725">
        <f>4160.58</f>
        <v>4160.58</v>
      </c>
      <c r="S1725">
        <f>2033.55</f>
        <v>2033.55</v>
      </c>
      <c r="T1725">
        <f>3727.498</f>
        <v>3727.498</v>
      </c>
      <c r="U1725">
        <f>50626.06</f>
        <v>50626.06</v>
      </c>
      <c r="V1725">
        <f>320.73</f>
        <v>320.73</v>
      </c>
    </row>
    <row r="1726" spans="1:22" x14ac:dyDescent="0.2">
      <c r="A1726" s="1">
        <v>42691</v>
      </c>
      <c r="B1726">
        <f>2774.06</f>
        <v>2774.06</v>
      </c>
      <c r="C1726">
        <f>7767.65</f>
        <v>7767.65</v>
      </c>
      <c r="D1726">
        <f>5530.18</f>
        <v>5530.18</v>
      </c>
      <c r="E1726">
        <f>1791.757</f>
        <v>1791.7570000000001</v>
      </c>
      <c r="F1726">
        <f>1610.03</f>
        <v>1610.03</v>
      </c>
      <c r="G1726">
        <f>6940.993</f>
        <v>6940.9930000000004</v>
      </c>
      <c r="H1726">
        <f>2851.48</f>
        <v>2851.48</v>
      </c>
      <c r="I1726">
        <f>7797.086</f>
        <v>7797.0860000000002</v>
      </c>
      <c r="J1726">
        <f>3169.21</f>
        <v>3169.21</v>
      </c>
      <c r="K1726">
        <f>8659.39</f>
        <v>8659.39</v>
      </c>
      <c r="L1726">
        <f>1640.5</f>
        <v>1640.5</v>
      </c>
      <c r="M1726">
        <f>6691.3</f>
        <v>6691.3</v>
      </c>
      <c r="N1726">
        <f>284.71</f>
        <v>284.70999999999998</v>
      </c>
      <c r="O1726">
        <f>2474.43</f>
        <v>2474.4299999999998</v>
      </c>
      <c r="P1726">
        <f>209.67</f>
        <v>209.67</v>
      </c>
      <c r="Q1726">
        <f>1998.203</f>
        <v>1998.203</v>
      </c>
      <c r="R1726">
        <f>4169.87</f>
        <v>4169.87</v>
      </c>
      <c r="S1726">
        <f>2025.9</f>
        <v>2025.9</v>
      </c>
      <c r="T1726">
        <f>3734.152</f>
        <v>3734.152</v>
      </c>
      <c r="U1726">
        <f>50617.57</f>
        <v>50617.57</v>
      </c>
      <c r="V1726">
        <f>322.46</f>
        <v>322.45999999999998</v>
      </c>
    </row>
    <row r="1727" spans="1:22" x14ac:dyDescent="0.2">
      <c r="A1727" s="1">
        <v>42690</v>
      </c>
      <c r="B1727">
        <f>2760.08</f>
        <v>2760.08</v>
      </c>
      <c r="C1727">
        <f>7737.14</f>
        <v>7737.14</v>
      </c>
      <c r="D1727">
        <f>5491.19</f>
        <v>5491.19</v>
      </c>
      <c r="E1727">
        <f>1791.654</f>
        <v>1791.654</v>
      </c>
      <c r="F1727">
        <f>1591.75</f>
        <v>1591.75</v>
      </c>
      <c r="G1727">
        <f>6884.655</f>
        <v>6884.6549999999997</v>
      </c>
      <c r="H1727">
        <f>2852.1</f>
        <v>2852.1</v>
      </c>
      <c r="I1727">
        <f>7754.278</f>
        <v>7754.2780000000002</v>
      </c>
      <c r="J1727">
        <f>3165.86</f>
        <v>3165.86</v>
      </c>
      <c r="K1727">
        <f>8617.14</f>
        <v>8617.14</v>
      </c>
      <c r="L1727">
        <f>1635.69</f>
        <v>1635.69</v>
      </c>
      <c r="M1727">
        <f>6657.32</f>
        <v>6657.32</v>
      </c>
      <c r="N1727">
        <f>282.504</f>
        <v>282.50400000000002</v>
      </c>
      <c r="O1727">
        <f>2456.66</f>
        <v>2456.66</v>
      </c>
      <c r="P1727">
        <f>209.66</f>
        <v>209.66</v>
      </c>
      <c r="Q1727">
        <f>1995.338</f>
        <v>1995.338</v>
      </c>
      <c r="R1727">
        <f>4150.21</f>
        <v>4150.21</v>
      </c>
      <c r="S1727">
        <f>2023.85</f>
        <v>2023.85</v>
      </c>
      <c r="T1727">
        <f>3704.186</f>
        <v>3704.1860000000001</v>
      </c>
      <c r="U1727">
        <f>50004.82</f>
        <v>50004.82</v>
      </c>
      <c r="V1727">
        <f>318.11</f>
        <v>318.11</v>
      </c>
    </row>
    <row r="1728" spans="1:22" x14ac:dyDescent="0.2">
      <c r="A1728" s="1">
        <v>42689</v>
      </c>
      <c r="B1728">
        <f>2788.44</f>
        <v>2788.44</v>
      </c>
      <c r="C1728">
        <f>7706.7</f>
        <v>7706.7</v>
      </c>
      <c r="D1728">
        <f>5526.18</f>
        <v>5526.18</v>
      </c>
      <c r="E1728">
        <f>1779.53</f>
        <v>1779.53</v>
      </c>
      <c r="F1728">
        <f>1603.55</f>
        <v>1603.55</v>
      </c>
      <c r="G1728">
        <f>6908.664</f>
        <v>6908.6639999999998</v>
      </c>
      <c r="H1728">
        <f>2834.97</f>
        <v>2834.97</v>
      </c>
      <c r="I1728">
        <f>7821.375</f>
        <v>7821.375</v>
      </c>
      <c r="J1728">
        <f>3171.29</f>
        <v>3171.29</v>
      </c>
      <c r="K1728">
        <f>8627.4</f>
        <v>8627.4</v>
      </c>
      <c r="L1728">
        <f>1641.56</f>
        <v>1641.56</v>
      </c>
      <c r="M1728">
        <f>6669.48</f>
        <v>6669.48</v>
      </c>
      <c r="N1728">
        <f>282.765</f>
        <v>282.76499999999999</v>
      </c>
      <c r="O1728">
        <f>2463.83</f>
        <v>2463.83</v>
      </c>
      <c r="P1728">
        <f>207.12</f>
        <v>207.12</v>
      </c>
      <c r="Q1728">
        <f>1999.28</f>
        <v>1999.28</v>
      </c>
      <c r="R1728">
        <f>4155.62</f>
        <v>4155.62</v>
      </c>
      <c r="S1728">
        <f>1997.28</f>
        <v>1997.28</v>
      </c>
      <c r="T1728">
        <f>3639.853</f>
        <v>3639.8530000000001</v>
      </c>
      <c r="U1728">
        <f>49430.21</f>
        <v>49430.21</v>
      </c>
      <c r="V1728">
        <f>313.61</f>
        <v>313.61</v>
      </c>
    </row>
    <row r="1729" spans="1:22" x14ac:dyDescent="0.2">
      <c r="A1729" s="1">
        <v>42688</v>
      </c>
      <c r="B1729">
        <f>2750.83</f>
        <v>2750.83</v>
      </c>
      <c r="C1729">
        <f>7657.2</f>
        <v>7657.2</v>
      </c>
      <c r="D1729">
        <f>5494</f>
        <v>5494</v>
      </c>
      <c r="E1729">
        <f>1774.149</f>
        <v>1774.1489999999999</v>
      </c>
      <c r="F1729">
        <f>1626.92</f>
        <v>1626.92</v>
      </c>
      <c r="G1729">
        <f>6905.282</f>
        <v>6905.2820000000002</v>
      </c>
      <c r="H1729">
        <f>2838.79</f>
        <v>2838.79</v>
      </c>
      <c r="I1729">
        <f>7782.325</f>
        <v>7782.3249999999998</v>
      </c>
      <c r="J1729">
        <f>3148</f>
        <v>3148</v>
      </c>
      <c r="K1729">
        <f>8561.84</f>
        <v>8561.84</v>
      </c>
      <c r="L1729">
        <f>1632.15</f>
        <v>1632.15</v>
      </c>
      <c r="M1729">
        <f>6630.97</f>
        <v>6630.97</v>
      </c>
      <c r="N1729">
        <f>281.452</f>
        <v>281.452</v>
      </c>
      <c r="O1729">
        <f>2454.63</f>
        <v>2454.63</v>
      </c>
      <c r="P1729">
        <f>207.06</f>
        <v>207.06</v>
      </c>
      <c r="Q1729">
        <f>1988.36</f>
        <v>1988.36</v>
      </c>
      <c r="R1729">
        <f>4123.81</f>
        <v>4123.8100000000004</v>
      </c>
      <c r="S1729">
        <f>1993.03</f>
        <v>1993.03</v>
      </c>
      <c r="T1729">
        <f>3597.737</f>
        <v>3597.7370000000001</v>
      </c>
      <c r="U1729">
        <f>49731.89</f>
        <v>49731.89</v>
      </c>
      <c r="V1729">
        <f>309.81</f>
        <v>309.81</v>
      </c>
    </row>
    <row r="1730" spans="1:22" x14ac:dyDescent="0.2">
      <c r="A1730" s="1">
        <v>42685</v>
      </c>
      <c r="B1730">
        <f>2736.13</f>
        <v>2736.13</v>
      </c>
      <c r="C1730">
        <f>7745.8</f>
        <v>7745.8</v>
      </c>
      <c r="D1730">
        <f>5475.49</f>
        <v>5475.49</v>
      </c>
      <c r="E1730">
        <f>1795.506</f>
        <v>1795.5060000000001</v>
      </c>
      <c r="F1730">
        <f>1628.83</f>
        <v>1628.83</v>
      </c>
      <c r="G1730">
        <f>6954.45</f>
        <v>6954.45</v>
      </c>
      <c r="H1730">
        <f>2838.1</f>
        <v>2838.1</v>
      </c>
      <c r="I1730">
        <f>7869.726</f>
        <v>7869.7259999999997</v>
      </c>
      <c r="J1730">
        <f>3152.28</f>
        <v>3152.28</v>
      </c>
      <c r="K1730">
        <f>8559.41</f>
        <v>8559.41</v>
      </c>
      <c r="L1730">
        <f>1641.75</f>
        <v>1641.75</v>
      </c>
      <c r="M1730">
        <f>6647.79</f>
        <v>6647.79</v>
      </c>
      <c r="N1730">
        <f>282.105</f>
        <v>282.10500000000002</v>
      </c>
      <c r="O1730">
        <f>2451.25</f>
        <v>2451.25</v>
      </c>
      <c r="P1730">
        <f>203.36</f>
        <v>203.36</v>
      </c>
      <c r="Q1730">
        <f>1986.49</f>
        <v>1986.49</v>
      </c>
      <c r="R1730">
        <f>4123.69</f>
        <v>4123.6899999999996</v>
      </c>
      <c r="S1730">
        <f>1962.11</f>
        <v>1962.11</v>
      </c>
      <c r="T1730">
        <f>3649.214</f>
        <v>3649.2139999999999</v>
      </c>
      <c r="U1730">
        <f>50294.72</f>
        <v>50294.720000000001</v>
      </c>
      <c r="V1730">
        <f>314.71</f>
        <v>314.70999999999998</v>
      </c>
    </row>
    <row r="1731" spans="1:22" x14ac:dyDescent="0.2">
      <c r="A1731" s="1">
        <v>42684</v>
      </c>
      <c r="B1731">
        <f>2767.34</f>
        <v>2767.34</v>
      </c>
      <c r="C1731">
        <f>7965.62</f>
        <v>7965.62</v>
      </c>
      <c r="D1731">
        <f>5554.85</f>
        <v>5554.85</v>
      </c>
      <c r="E1731">
        <f>1851.598</f>
        <v>1851.598</v>
      </c>
      <c r="F1731">
        <f>1649</f>
        <v>1649</v>
      </c>
      <c r="G1731">
        <f>6999.499</f>
        <v>6999.4989999999998</v>
      </c>
      <c r="H1731">
        <f>2827.4</f>
        <v>2827.4</v>
      </c>
      <c r="I1731">
        <f>7921.604</f>
        <v>7921.6040000000003</v>
      </c>
      <c r="J1731">
        <f>3160.74</f>
        <v>3160.74</v>
      </c>
      <c r="K1731">
        <f>8570.45</f>
        <v>8570.4500000000007</v>
      </c>
      <c r="L1731">
        <f>1649.46</f>
        <v>1649.46</v>
      </c>
      <c r="M1731">
        <f>6664.59</f>
        <v>6664.59</v>
      </c>
      <c r="N1731">
        <f>283.288</f>
        <v>283.28800000000001</v>
      </c>
      <c r="O1731">
        <f>2461.05</f>
        <v>2461.0500000000002</v>
      </c>
      <c r="P1731">
        <f>204.69</f>
        <v>204.69</v>
      </c>
      <c r="Q1731">
        <f>1995.96</f>
        <v>1995.96</v>
      </c>
      <c r="R1731">
        <f>4129.46</f>
        <v>4129.46</v>
      </c>
      <c r="S1731">
        <f>1959.35</f>
        <v>1959.35</v>
      </c>
      <c r="T1731">
        <f>3754.981</f>
        <v>3754.9810000000002</v>
      </c>
      <c r="U1731">
        <f>51493</f>
        <v>51493</v>
      </c>
      <c r="V1731">
        <f>325.09</f>
        <v>325.08999999999997</v>
      </c>
    </row>
    <row r="1732" spans="1:22" x14ac:dyDescent="0.2">
      <c r="A1732" s="1">
        <v>42683</v>
      </c>
      <c r="B1732">
        <f>2780.55</f>
        <v>2780.55</v>
      </c>
      <c r="C1732">
        <f>7988.8</f>
        <v>7988.8</v>
      </c>
      <c r="D1732">
        <f>5608.99</f>
        <v>5608.99</v>
      </c>
      <c r="E1732">
        <f>1861.094</f>
        <v>1861.0940000000001</v>
      </c>
      <c r="F1732">
        <f>1647.81</f>
        <v>1647.81</v>
      </c>
      <c r="G1732">
        <f>7039.673</f>
        <v>7039.6729999999998</v>
      </c>
      <c r="H1732">
        <f>2729.24</f>
        <v>2729.24</v>
      </c>
      <c r="I1732">
        <f>7998.562</f>
        <v>7998.5619999999999</v>
      </c>
      <c r="J1732">
        <f>3174.12</f>
        <v>3174.12</v>
      </c>
      <c r="K1732">
        <f>8558.4</f>
        <v>8558.4</v>
      </c>
      <c r="L1732">
        <f>1654.87</f>
        <v>1654.87</v>
      </c>
      <c r="M1732">
        <f>6644.07</f>
        <v>6644.07</v>
      </c>
      <c r="N1732">
        <f>285.017</f>
        <v>285.017</v>
      </c>
      <c r="O1732">
        <f>2465.86</f>
        <v>2465.86</v>
      </c>
      <c r="P1732">
        <f>196.03</f>
        <v>196.03</v>
      </c>
      <c r="Q1732">
        <f>1988.15</f>
        <v>1988.15</v>
      </c>
      <c r="R1732">
        <f>4121.03</f>
        <v>4121.03</v>
      </c>
      <c r="S1732">
        <f>1852.32</f>
        <v>1852.32</v>
      </c>
      <c r="T1732">
        <f>3805.654</f>
        <v>3805.654</v>
      </c>
      <c r="U1732">
        <f>50977.85</f>
        <v>50977.85</v>
      </c>
      <c r="V1732">
        <f>326.62</f>
        <v>326.62</v>
      </c>
    </row>
    <row r="1733" spans="1:22" x14ac:dyDescent="0.2">
      <c r="A1733" s="1">
        <v>42682</v>
      </c>
      <c r="B1733">
        <f>2764.39</f>
        <v>2764.39</v>
      </c>
      <c r="C1733">
        <f>8171.4</f>
        <v>8171.4</v>
      </c>
      <c r="D1733">
        <f>5553.23</f>
        <v>5553.23</v>
      </c>
      <c r="E1733">
        <f>1908.11</f>
        <v>1908.11</v>
      </c>
      <c r="F1733">
        <f>1601.63</f>
        <v>1601.63</v>
      </c>
      <c r="G1733">
        <f>6949.505</f>
        <v>6949.5050000000001</v>
      </c>
      <c r="H1733">
        <f>2856.06</f>
        <v>2856.06</v>
      </c>
      <c r="I1733">
        <f>7981.469</f>
        <v>7981.4690000000001</v>
      </c>
      <c r="J1733">
        <f>3149.43</f>
        <v>3149.43</v>
      </c>
      <c r="K1733">
        <f>8464.49</f>
        <v>8464.49</v>
      </c>
      <c r="L1733">
        <f>1650.2</f>
        <v>1650.2</v>
      </c>
      <c r="M1733">
        <f>6625.28</f>
        <v>6625.28</v>
      </c>
      <c r="N1733">
        <f>278.472</f>
        <v>278.47199999999998</v>
      </c>
      <c r="O1733">
        <f>2427.01</f>
        <v>2427.0100000000002</v>
      </c>
      <c r="P1733">
        <f>204</f>
        <v>204</v>
      </c>
      <c r="Q1733">
        <f>1964.41</f>
        <v>1964.41</v>
      </c>
      <c r="R1733">
        <f>4075.61</f>
        <v>4075.61</v>
      </c>
      <c r="S1733">
        <f>1941.05</f>
        <v>1941.05</v>
      </c>
      <c r="T1733">
        <f>3840.353</f>
        <v>3840.3530000000001</v>
      </c>
      <c r="U1733">
        <f>50700.7</f>
        <v>50700.7</v>
      </c>
      <c r="V1733">
        <f>328.76</f>
        <v>328.76</v>
      </c>
    </row>
    <row r="1734" spans="1:22" x14ac:dyDescent="0.2">
      <c r="A1734" s="1">
        <v>42681</v>
      </c>
      <c r="B1734">
        <f>2760.41</f>
        <v>2760.41</v>
      </c>
      <c r="C1734">
        <f>8093.63</f>
        <v>8093.63</v>
      </c>
      <c r="D1734">
        <f>5523.84</f>
        <v>5523.84</v>
      </c>
      <c r="E1734">
        <f>1891.869</f>
        <v>1891.8689999999999</v>
      </c>
      <c r="F1734">
        <f>1581.3</f>
        <v>1581.3</v>
      </c>
      <c r="G1734">
        <f>6908.684</f>
        <v>6908.6840000000002</v>
      </c>
      <c r="H1734">
        <f>2854.47</f>
        <v>2854.47</v>
      </c>
      <c r="I1734">
        <f>7947.494</f>
        <v>7947.4939999999997</v>
      </c>
      <c r="J1734">
        <f>3133</f>
        <v>3133</v>
      </c>
      <c r="K1734">
        <f>8428.25</f>
        <v>8428.25</v>
      </c>
      <c r="L1734">
        <f>1641.6</f>
        <v>1641.6</v>
      </c>
      <c r="M1734">
        <f>6599.27</f>
        <v>6599.27</v>
      </c>
      <c r="N1734">
        <f>277.752</f>
        <v>277.75200000000001</v>
      </c>
      <c r="O1734">
        <f>2420.17</f>
        <v>2420.17</v>
      </c>
      <c r="P1734">
        <f>203.92</f>
        <v>203.92</v>
      </c>
      <c r="Q1734">
        <f>1952.88</f>
        <v>1952.88</v>
      </c>
      <c r="R1734">
        <f>4058.3</f>
        <v>4058.3</v>
      </c>
      <c r="S1734">
        <f>1940.07</f>
        <v>1940.07</v>
      </c>
      <c r="T1734">
        <f>3785.954</f>
        <v>3785.9540000000002</v>
      </c>
      <c r="U1734">
        <f>50303.77</f>
        <v>50303.77</v>
      </c>
      <c r="V1734">
        <f>323.05</f>
        <v>323.05</v>
      </c>
    </row>
    <row r="1735" spans="1:22" x14ac:dyDescent="0.2">
      <c r="A1735" s="1">
        <v>42678</v>
      </c>
      <c r="B1735">
        <f>2724.54</f>
        <v>2724.54</v>
      </c>
      <c r="C1735">
        <f>7974.57</f>
        <v>7974.57</v>
      </c>
      <c r="D1735">
        <f>5431.61</f>
        <v>5431.61</v>
      </c>
      <c r="E1735">
        <f>1860.873</f>
        <v>1860.873</v>
      </c>
      <c r="F1735">
        <f>1570.36</f>
        <v>1570.36</v>
      </c>
      <c r="G1735">
        <f>6878.451</f>
        <v>6878.451</v>
      </c>
      <c r="H1735">
        <f>2867.49</f>
        <v>2867.49</v>
      </c>
      <c r="I1735">
        <f>7879.599</f>
        <v>7879.5990000000002</v>
      </c>
      <c r="J1735">
        <f>3074.1</f>
        <v>3074.1</v>
      </c>
      <c r="K1735">
        <f>8247.04</f>
        <v>8247.0400000000009</v>
      </c>
      <c r="L1735">
        <f>1621.47</f>
        <v>1621.47</v>
      </c>
      <c r="M1735">
        <f>6499.41</f>
        <v>6499.41</v>
      </c>
      <c r="N1735">
        <f>274.867</f>
        <v>274.86700000000002</v>
      </c>
      <c r="O1735">
        <f>2380.33</f>
        <v>2380.33</v>
      </c>
      <c r="P1735">
        <f>202.19</f>
        <v>202.19</v>
      </c>
      <c r="Q1735">
        <f>1916.1</f>
        <v>1916.1</v>
      </c>
      <c r="R1735">
        <f>3970.02</f>
        <v>3970.02</v>
      </c>
      <c r="S1735">
        <f>1917.62</f>
        <v>1917.62</v>
      </c>
      <c r="T1735">
        <f>3727.515</f>
        <v>3727.5149999999999</v>
      </c>
      <c r="U1735">
        <f>49686.1</f>
        <v>49686.1</v>
      </c>
      <c r="V1735">
        <f>318</f>
        <v>318</v>
      </c>
    </row>
    <row r="1736" spans="1:22" x14ac:dyDescent="0.2">
      <c r="A1736" s="1">
        <v>42677</v>
      </c>
      <c r="B1736">
        <f>2781.93</f>
        <v>2781.93</v>
      </c>
      <c r="C1736">
        <f>8025</f>
        <v>8025</v>
      </c>
      <c r="D1736">
        <f>5510.54</f>
        <v>5510.54</v>
      </c>
      <c r="E1736">
        <f>1870.917</f>
        <v>1870.9169999999999</v>
      </c>
      <c r="F1736">
        <f>1587.99</f>
        <v>1587.99</v>
      </c>
      <c r="G1736">
        <f>6930.96</f>
        <v>6930.96</v>
      </c>
      <c r="H1736">
        <f>2916.74</f>
        <v>2916.74</v>
      </c>
      <c r="I1736">
        <f>7914.682</f>
        <v>7914.6819999999998</v>
      </c>
      <c r="J1736">
        <f>3085.93</f>
        <v>3085.93</v>
      </c>
      <c r="K1736">
        <f>8259.08</f>
        <v>8259.08</v>
      </c>
      <c r="L1736">
        <f>1629.3</f>
        <v>1629.3</v>
      </c>
      <c r="M1736">
        <f>6525.93</f>
        <v>6525.93</v>
      </c>
      <c r="N1736">
        <f>276.882</f>
        <v>276.88200000000001</v>
      </c>
      <c r="O1736">
        <f>2399.13</f>
        <v>2399.13</v>
      </c>
      <c r="P1736" t="e">
        <f>NA()</f>
        <v>#N/A</v>
      </c>
      <c r="Q1736">
        <f>1917.36</f>
        <v>1917.36</v>
      </c>
      <c r="R1736">
        <f>3976.56</f>
        <v>3976.56</v>
      </c>
      <c r="S1736" t="e">
        <f>NA()</f>
        <v>#N/A</v>
      </c>
      <c r="T1736">
        <f>3793.454</f>
        <v>3793.4540000000002</v>
      </c>
      <c r="U1736">
        <f>50239.27</f>
        <v>50239.27</v>
      </c>
      <c r="V1736">
        <f>322.15</f>
        <v>322.14999999999998</v>
      </c>
    </row>
    <row r="1737" spans="1:22" x14ac:dyDescent="0.2">
      <c r="A1737" s="1">
        <v>42676</v>
      </c>
      <c r="B1737">
        <f>2761.06</f>
        <v>2761.06</v>
      </c>
      <c r="C1737">
        <f>8080.65</f>
        <v>8080.65</v>
      </c>
      <c r="D1737">
        <f>5552.12</f>
        <v>5552.12</v>
      </c>
      <c r="E1737">
        <f>1882.019</f>
        <v>1882.019</v>
      </c>
      <c r="F1737">
        <f>1580.88</f>
        <v>1580.88</v>
      </c>
      <c r="G1737">
        <f>6900.783</f>
        <v>6900.7830000000004</v>
      </c>
      <c r="H1737">
        <f>2914.77</f>
        <v>2914.77</v>
      </c>
      <c r="I1737">
        <f>7956.153</f>
        <v>7956.1530000000002</v>
      </c>
      <c r="J1737">
        <f>3092.92</f>
        <v>3092.92</v>
      </c>
      <c r="K1737">
        <f>8294.03</f>
        <v>8294.0300000000007</v>
      </c>
      <c r="L1737">
        <f>1633.97</f>
        <v>1633.97</v>
      </c>
      <c r="M1737">
        <f>6547.02</f>
        <v>6547.02</v>
      </c>
      <c r="N1737">
        <f>275.835</f>
        <v>275.83499999999998</v>
      </c>
      <c r="O1737">
        <f>2401.27</f>
        <v>2401.27</v>
      </c>
      <c r="P1737">
        <f>204.61</f>
        <v>204.61</v>
      </c>
      <c r="Q1737">
        <f>1920.27</f>
        <v>1920.27</v>
      </c>
      <c r="R1737">
        <f>3992.76</f>
        <v>3992.76</v>
      </c>
      <c r="S1737">
        <f>1948.09</f>
        <v>1948.09</v>
      </c>
      <c r="T1737">
        <f>3820.535</f>
        <v>3820.5349999999999</v>
      </c>
      <c r="U1737">
        <f>50384.87</f>
        <v>50384.87</v>
      </c>
      <c r="V1737">
        <f>324.84</f>
        <v>324.83999999999997</v>
      </c>
    </row>
    <row r="1738" spans="1:22" x14ac:dyDescent="0.2">
      <c r="A1738" s="1">
        <v>42675</v>
      </c>
      <c r="B1738">
        <f>2781.8</f>
        <v>2781.8</v>
      </c>
      <c r="C1738">
        <f>8182.84</f>
        <v>8182.84</v>
      </c>
      <c r="D1738">
        <f>5610.29</f>
        <v>5610.29</v>
      </c>
      <c r="E1738">
        <f>1908.152</f>
        <v>1908.152</v>
      </c>
      <c r="F1738">
        <f>1582.14</f>
        <v>1582.14</v>
      </c>
      <c r="G1738">
        <f>6918.833</f>
        <v>6918.8329999999996</v>
      </c>
      <c r="H1738">
        <f>2924.85</f>
        <v>2924.85</v>
      </c>
      <c r="I1738">
        <f>8004.239</f>
        <v>8004.2389999999996</v>
      </c>
      <c r="J1738">
        <f>3108.31</f>
        <v>3108.31</v>
      </c>
      <c r="K1738">
        <f>8350.4</f>
        <v>8350.4</v>
      </c>
      <c r="L1738">
        <f>1641.41</f>
        <v>1641.41</v>
      </c>
      <c r="M1738">
        <f>6590.07</f>
        <v>6590.07</v>
      </c>
      <c r="N1738">
        <f>277.709</f>
        <v>277.709</v>
      </c>
      <c r="O1738">
        <f>2431.54</f>
        <v>2431.54</v>
      </c>
      <c r="P1738">
        <f>207.91</f>
        <v>207.91</v>
      </c>
      <c r="Q1738">
        <f>1924.03</f>
        <v>1924.03</v>
      </c>
      <c r="R1738">
        <f>4018.47</f>
        <v>4018.47</v>
      </c>
      <c r="S1738">
        <f>1983.32</f>
        <v>1983.32</v>
      </c>
      <c r="T1738">
        <f>3839.307</f>
        <v>3839.3069999999998</v>
      </c>
      <c r="U1738">
        <f>51002.69</f>
        <v>51002.69</v>
      </c>
      <c r="V1738">
        <f>326.42</f>
        <v>326.42</v>
      </c>
    </row>
    <row r="1739" spans="1:22" x14ac:dyDescent="0.2">
      <c r="A1739" s="1">
        <v>42674</v>
      </c>
      <c r="B1739">
        <f>2785.35</f>
        <v>2785.35</v>
      </c>
      <c r="C1739">
        <f>8169.37</f>
        <v>8169.37</v>
      </c>
      <c r="D1739">
        <f>5640.37</f>
        <v>5640.37</v>
      </c>
      <c r="E1739">
        <f>1913.299</f>
        <v>1913.299</v>
      </c>
      <c r="F1739">
        <f>1580.72</f>
        <v>1580.72</v>
      </c>
      <c r="G1739">
        <f>6951.38</f>
        <v>6951.38</v>
      </c>
      <c r="H1739">
        <f>2913.42</f>
        <v>2913.42</v>
      </c>
      <c r="I1739">
        <f>8022.707</f>
        <v>8022.7070000000003</v>
      </c>
      <c r="J1739">
        <f>3126.38</f>
        <v>3126.38</v>
      </c>
      <c r="K1739">
        <f>8407.8</f>
        <v>8407.7999999999993</v>
      </c>
      <c r="L1739">
        <f>1646.7</f>
        <v>1646.7</v>
      </c>
      <c r="M1739">
        <f>6617.26</f>
        <v>6617.26</v>
      </c>
      <c r="N1739">
        <f>280.977</f>
        <v>280.97699999999998</v>
      </c>
      <c r="O1739">
        <f>2455.54</f>
        <v>2455.54</v>
      </c>
      <c r="P1739">
        <f>207.27</f>
        <v>207.27</v>
      </c>
      <c r="Q1739">
        <f>1935.705</f>
        <v>1935.7049999999999</v>
      </c>
      <c r="R1739">
        <f>4045.89</f>
        <v>4045.89</v>
      </c>
      <c r="S1739">
        <f>1983.08</f>
        <v>1983.08</v>
      </c>
      <c r="T1739">
        <f>3835.316</f>
        <v>3835.3159999999998</v>
      </c>
      <c r="U1739">
        <f>50590.08</f>
        <v>50590.080000000002</v>
      </c>
      <c r="V1739">
        <f>325.85</f>
        <v>325.85000000000002</v>
      </c>
    </row>
    <row r="1740" spans="1:22" x14ac:dyDescent="0.2">
      <c r="A1740" s="1">
        <v>42671</v>
      </c>
      <c r="B1740">
        <f>2803.88</f>
        <v>2803.88</v>
      </c>
      <c r="C1740">
        <f>8104.62</f>
        <v>8104.62</v>
      </c>
      <c r="D1740">
        <f>5674.47</f>
        <v>5674.47</v>
      </c>
      <c r="E1740">
        <f>1909.921</f>
        <v>1909.921</v>
      </c>
      <c r="F1740">
        <f>1581.75</f>
        <v>1581.75</v>
      </c>
      <c r="G1740">
        <f>6958.083</f>
        <v>6958.0829999999996</v>
      </c>
      <c r="H1740">
        <f>2889.35</f>
        <v>2889.35</v>
      </c>
      <c r="I1740">
        <f>8047.671</f>
        <v>8047.6710000000003</v>
      </c>
      <c r="J1740">
        <f>3117.2</f>
        <v>3117.2</v>
      </c>
      <c r="K1740">
        <f>8406.91</f>
        <v>8406.91</v>
      </c>
      <c r="L1740">
        <f>1645.24</f>
        <v>1645.24</v>
      </c>
      <c r="M1740">
        <f>6617.27</f>
        <v>6617.27</v>
      </c>
      <c r="N1740">
        <f>281.857</f>
        <v>281.85700000000003</v>
      </c>
      <c r="O1740">
        <f>2470.24</f>
        <v>2470.2399999999998</v>
      </c>
      <c r="P1740">
        <f>207.51</f>
        <v>207.51</v>
      </c>
      <c r="Q1740">
        <f>1932.46</f>
        <v>1932.46</v>
      </c>
      <c r="R1740">
        <f>4046.36</f>
        <v>4046.36</v>
      </c>
      <c r="S1740">
        <f>1982.21</f>
        <v>1982.21</v>
      </c>
      <c r="T1740">
        <f>3779.665</f>
        <v>3779.665</v>
      </c>
      <c r="U1740">
        <f>50797.7</f>
        <v>50797.7</v>
      </c>
      <c r="V1740">
        <f>322.14</f>
        <v>322.14</v>
      </c>
    </row>
    <row r="1741" spans="1:22" x14ac:dyDescent="0.2">
      <c r="A1741" s="1">
        <v>42670</v>
      </c>
      <c r="B1741">
        <f>2787.62</f>
        <v>2787.62</v>
      </c>
      <c r="C1741">
        <f>8150.2</f>
        <v>8150.2</v>
      </c>
      <c r="D1741">
        <f>5666.61</f>
        <v>5666.61</v>
      </c>
      <c r="E1741">
        <f>1913.666</f>
        <v>1913.6659999999999</v>
      </c>
      <c r="F1741">
        <f>1579.2</f>
        <v>1579.2</v>
      </c>
      <c r="G1741">
        <f>6964.849</f>
        <v>6964.8490000000002</v>
      </c>
      <c r="H1741">
        <f>2870.55</f>
        <v>2870.55</v>
      </c>
      <c r="I1741">
        <f>8066.078</f>
        <v>8066.0780000000004</v>
      </c>
      <c r="J1741">
        <f>3118.77</f>
        <v>3118.77</v>
      </c>
      <c r="K1741">
        <f>8431.21</f>
        <v>8431.2099999999991</v>
      </c>
      <c r="L1741">
        <f>1647.01</f>
        <v>1647.01</v>
      </c>
      <c r="M1741">
        <f>6631.32</f>
        <v>6631.32</v>
      </c>
      <c r="N1741">
        <f>282.416</f>
        <v>282.416</v>
      </c>
      <c r="O1741">
        <f>2478.64</f>
        <v>2478.64</v>
      </c>
      <c r="P1741">
        <f>205.92</f>
        <v>205.92</v>
      </c>
      <c r="Q1741">
        <f>1932.13</f>
        <v>1932.13</v>
      </c>
      <c r="R1741">
        <f>4058.75</f>
        <v>4058.75</v>
      </c>
      <c r="S1741">
        <f>1967.4</f>
        <v>1967.4</v>
      </c>
      <c r="T1741">
        <f>3819.84</f>
        <v>3819.84</v>
      </c>
      <c r="U1741">
        <f>51139.66</f>
        <v>51139.66</v>
      </c>
      <c r="V1741">
        <f>325.27</f>
        <v>325.27</v>
      </c>
    </row>
    <row r="1742" spans="1:22" x14ac:dyDescent="0.2">
      <c r="A1742" s="1">
        <v>42669</v>
      </c>
      <c r="B1742">
        <f>2806.08</f>
        <v>2806.08</v>
      </c>
      <c r="C1742">
        <f>8207.22</f>
        <v>8207.2199999999993</v>
      </c>
      <c r="D1742">
        <f>5640.96</f>
        <v>5640.96</v>
      </c>
      <c r="E1742">
        <f>1924.689</f>
        <v>1924.6890000000001</v>
      </c>
      <c r="F1742">
        <f>1590.22</f>
        <v>1590.22</v>
      </c>
      <c r="G1742">
        <f>6968.502</f>
        <v>6968.5020000000004</v>
      </c>
      <c r="H1742">
        <f>2899.65</f>
        <v>2899.65</v>
      </c>
      <c r="I1742">
        <f>8054.298</f>
        <v>8054.2979999999998</v>
      </c>
      <c r="J1742">
        <f>3130.07</f>
        <v>3130.07</v>
      </c>
      <c r="K1742">
        <f>8458.16</f>
        <v>8458.16</v>
      </c>
      <c r="L1742">
        <f>1651.83</f>
        <v>1651.83</v>
      </c>
      <c r="M1742">
        <f>6651.28</f>
        <v>6651.28</v>
      </c>
      <c r="N1742">
        <f>282.262</f>
        <v>282.262</v>
      </c>
      <c r="O1742">
        <f>2476.14</f>
        <v>2476.14</v>
      </c>
      <c r="P1742">
        <f>206.44</f>
        <v>206.44</v>
      </c>
      <c r="Q1742">
        <f>1943.59</f>
        <v>1943.59</v>
      </c>
      <c r="R1742">
        <f>4070.76</f>
        <v>4070.76</v>
      </c>
      <c r="S1742">
        <f>1968.33</f>
        <v>1968.33</v>
      </c>
      <c r="T1742">
        <f>3838.529</f>
        <v>3838.529</v>
      </c>
      <c r="U1742">
        <f>51552.32</f>
        <v>51552.32</v>
      </c>
      <c r="V1742">
        <f>326.5</f>
        <v>326.5</v>
      </c>
    </row>
    <row r="1743" spans="1:22" x14ac:dyDescent="0.2">
      <c r="A1743" s="1">
        <v>42668</v>
      </c>
      <c r="B1743">
        <f>2821.29</f>
        <v>2821.29</v>
      </c>
      <c r="C1743">
        <f>8266.43</f>
        <v>8266.43</v>
      </c>
      <c r="D1743">
        <f>5689.24</f>
        <v>5689.24</v>
      </c>
      <c r="E1743">
        <f>1940.904</f>
        <v>1940.904</v>
      </c>
      <c r="F1743">
        <f>1586.69</f>
        <v>1586.69</v>
      </c>
      <c r="G1743">
        <f>6968.215</f>
        <v>6968.2150000000001</v>
      </c>
      <c r="H1743">
        <f>2884.09</f>
        <v>2884.09</v>
      </c>
      <c r="I1743">
        <f>8039.703</f>
        <v>8039.7030000000004</v>
      </c>
      <c r="J1743">
        <f>3129.31</f>
        <v>3129.31</v>
      </c>
      <c r="K1743">
        <f>8473.36</f>
        <v>8473.36</v>
      </c>
      <c r="L1743">
        <f>1652.05</f>
        <v>1652.05</v>
      </c>
      <c r="M1743">
        <f>6656.22</f>
        <v>6656.22</v>
      </c>
      <c r="N1743">
        <f>284.176</f>
        <v>284.17599999999999</v>
      </c>
      <c r="O1743">
        <f>2485.6</f>
        <v>2485.6</v>
      </c>
      <c r="P1743">
        <f>205.33</f>
        <v>205.33</v>
      </c>
      <c r="Q1743">
        <f>1943.5</f>
        <v>1943.5</v>
      </c>
      <c r="R1743">
        <f>4077.8</f>
        <v>4077.8</v>
      </c>
      <c r="S1743">
        <f>1960.67</f>
        <v>1960.67</v>
      </c>
      <c r="T1743">
        <f>3836.361</f>
        <v>3836.3609999999999</v>
      </c>
      <c r="U1743">
        <f>51749.86</f>
        <v>51749.86</v>
      </c>
      <c r="V1743">
        <f>325.51</f>
        <v>325.51</v>
      </c>
    </row>
    <row r="1744" spans="1:22" x14ac:dyDescent="0.2">
      <c r="A1744" s="1">
        <v>42667</v>
      </c>
      <c r="B1744">
        <f>2819.17</f>
        <v>2819.17</v>
      </c>
      <c r="C1744">
        <f>8234.53</f>
        <v>8234.5300000000007</v>
      </c>
      <c r="D1744">
        <f>5663.91</f>
        <v>5663.91</v>
      </c>
      <c r="E1744">
        <f>1941.222</f>
        <v>1941.222</v>
      </c>
      <c r="F1744">
        <f>1583.82</f>
        <v>1583.82</v>
      </c>
      <c r="G1744">
        <f>6978.864</f>
        <v>6978.8639999999996</v>
      </c>
      <c r="H1744">
        <f>2869.76</f>
        <v>2869.76</v>
      </c>
      <c r="I1744">
        <f>8093.921</f>
        <v>8093.9210000000003</v>
      </c>
      <c r="J1744">
        <f>3122.95</f>
        <v>3122.95</v>
      </c>
      <c r="K1744">
        <f>8506.94</f>
        <v>8506.94</v>
      </c>
      <c r="L1744">
        <f>1652.46</f>
        <v>1652.46</v>
      </c>
      <c r="M1744">
        <f>6675.83</f>
        <v>6675.83</v>
      </c>
      <c r="N1744">
        <f>286.567</f>
        <v>286.56700000000001</v>
      </c>
      <c r="O1744">
        <f>2493.09</f>
        <v>2493.09</v>
      </c>
      <c r="P1744">
        <f>203.51</f>
        <v>203.51</v>
      </c>
      <c r="Q1744">
        <f>1958.05</f>
        <v>1958.05</v>
      </c>
      <c r="R1744">
        <f>4093.22</f>
        <v>4093.22</v>
      </c>
      <c r="S1744">
        <f>1946.85</f>
        <v>1946.85</v>
      </c>
      <c r="T1744">
        <f>3843.657</f>
        <v>3843.6570000000002</v>
      </c>
      <c r="U1744">
        <f>51683.39</f>
        <v>51683.39</v>
      </c>
      <c r="V1744">
        <f>324.7</f>
        <v>324.7</v>
      </c>
    </row>
    <row r="1745" spans="1:22" x14ac:dyDescent="0.2">
      <c r="A1745" s="1">
        <v>42664</v>
      </c>
      <c r="B1745">
        <f>2836.48</f>
        <v>2836.48</v>
      </c>
      <c r="C1745">
        <f>8154.86</f>
        <v>8154.86</v>
      </c>
      <c r="D1745">
        <f>5691.53</f>
        <v>5691.53</v>
      </c>
      <c r="E1745">
        <f>1926.057</f>
        <v>1926.057</v>
      </c>
      <c r="F1745">
        <f>1590.1</f>
        <v>1590.1</v>
      </c>
      <c r="G1745">
        <f>7009.231</f>
        <v>7009.2309999999998</v>
      </c>
      <c r="H1745">
        <f>2875.89</f>
        <v>2875.89</v>
      </c>
      <c r="I1745">
        <f>8065.818</f>
        <v>8065.8180000000002</v>
      </c>
      <c r="J1745">
        <f>3110.6</f>
        <v>3110.6</v>
      </c>
      <c r="K1745">
        <f>8464.66</f>
        <v>8464.66</v>
      </c>
      <c r="L1745">
        <f>1650.55</f>
        <v>1650.55</v>
      </c>
      <c r="M1745">
        <f>6655.65</f>
        <v>6655.65</v>
      </c>
      <c r="N1745">
        <f>289.01</f>
        <v>289.01</v>
      </c>
      <c r="O1745">
        <f>2494.74</f>
        <v>2494.7399999999998</v>
      </c>
      <c r="P1745">
        <f>203.37</f>
        <v>203.37</v>
      </c>
      <c r="Q1745">
        <f>1953.75</f>
        <v>1953.75</v>
      </c>
      <c r="R1745">
        <f>4073.85</f>
        <v>4073.85</v>
      </c>
      <c r="S1745">
        <f>1943.55</f>
        <v>1943.55</v>
      </c>
      <c r="T1745">
        <f>3842.378</f>
        <v>3842.3780000000002</v>
      </c>
      <c r="U1745">
        <f>51629.23</f>
        <v>51629.23</v>
      </c>
      <c r="V1745">
        <f>323.41</f>
        <v>323.41000000000003</v>
      </c>
    </row>
    <row r="1746" spans="1:22" x14ac:dyDescent="0.2">
      <c r="A1746" s="1">
        <v>42663</v>
      </c>
      <c r="B1746">
        <f>2844.74</f>
        <v>2844.74</v>
      </c>
      <c r="C1746">
        <f>8160.49</f>
        <v>8160.49</v>
      </c>
      <c r="D1746">
        <f>5696.75</f>
        <v>5696.75</v>
      </c>
      <c r="E1746">
        <f>1930.443</f>
        <v>1930.443</v>
      </c>
      <c r="F1746">
        <f>1597.12</f>
        <v>1597.12</v>
      </c>
      <c r="G1746">
        <f>7044.182</f>
        <v>7044.1819999999998</v>
      </c>
      <c r="H1746">
        <f>2882.63</f>
        <v>2882.63</v>
      </c>
      <c r="I1746">
        <f>8108.052</f>
        <v>8108.0519999999997</v>
      </c>
      <c r="J1746">
        <f>3112.92</f>
        <v>3112.92</v>
      </c>
      <c r="K1746">
        <f>8464.04</f>
        <v>8464.0400000000009</v>
      </c>
      <c r="L1746">
        <f>1657.11</f>
        <v>1657.11</v>
      </c>
      <c r="M1746">
        <f>6666.88</f>
        <v>6666.88</v>
      </c>
      <c r="N1746">
        <f>290.313</f>
        <v>290.31299999999999</v>
      </c>
      <c r="O1746">
        <f>2493.33</f>
        <v>2493.33</v>
      </c>
      <c r="P1746">
        <f>204.05</f>
        <v>204.05</v>
      </c>
      <c r="Q1746">
        <f>1957.2</f>
        <v>1957.2</v>
      </c>
      <c r="R1746">
        <f>4074.18</f>
        <v>4074.18</v>
      </c>
      <c r="S1746">
        <f>1951.39</f>
        <v>1951.39</v>
      </c>
      <c r="T1746">
        <f>3820.749</f>
        <v>3820.7489999999998</v>
      </c>
      <c r="U1746">
        <f>51420.66</f>
        <v>51420.66</v>
      </c>
      <c r="V1746">
        <f>323.54</f>
        <v>323.54000000000002</v>
      </c>
    </row>
    <row r="1747" spans="1:22" x14ac:dyDescent="0.2">
      <c r="A1747" s="1">
        <v>42662</v>
      </c>
      <c r="B1747">
        <f>2847.18</f>
        <v>2847.18</v>
      </c>
      <c r="C1747">
        <f>8163.48</f>
        <v>8163.48</v>
      </c>
      <c r="D1747">
        <f>5685.92</f>
        <v>5685.92</v>
      </c>
      <c r="E1747">
        <f>1930.381</f>
        <v>1930.3810000000001</v>
      </c>
      <c r="F1747">
        <f>1603.36</f>
        <v>1603.36</v>
      </c>
      <c r="G1747">
        <f>7061.181</f>
        <v>7061.1809999999996</v>
      </c>
      <c r="H1747">
        <f>2878.98</f>
        <v>2878.98</v>
      </c>
      <c r="I1747">
        <f>8111.46</f>
        <v>8111.46</v>
      </c>
      <c r="J1747">
        <f>3121.02</f>
        <v>3121.02</v>
      </c>
      <c r="K1747">
        <f>8476.63</f>
        <v>8476.6299999999992</v>
      </c>
      <c r="L1747">
        <f>1661.56</f>
        <v>1661.56</v>
      </c>
      <c r="M1747">
        <f>6676.61</f>
        <v>6676.61</v>
      </c>
      <c r="N1747">
        <f>291.259</f>
        <v>291.25900000000001</v>
      </c>
      <c r="O1747">
        <f>2485.82</f>
        <v>2485.8200000000002</v>
      </c>
      <c r="P1747">
        <f>201.93</f>
        <v>201.93</v>
      </c>
      <c r="Q1747">
        <f>1962.73</f>
        <v>1962.73</v>
      </c>
      <c r="R1747">
        <f>4079.5</f>
        <v>4079.5</v>
      </c>
      <c r="S1747">
        <f>1932.03</f>
        <v>1932.03</v>
      </c>
      <c r="T1747">
        <f>3830.728</f>
        <v>3830.7280000000001</v>
      </c>
      <c r="U1747">
        <f>51504.87</f>
        <v>51504.87</v>
      </c>
      <c r="V1747">
        <f>324.91</f>
        <v>324.91000000000003</v>
      </c>
    </row>
    <row r="1748" spans="1:22" x14ac:dyDescent="0.2">
      <c r="A1748" s="1">
        <v>42661</v>
      </c>
      <c r="B1748">
        <f>2832.59</f>
        <v>2832.59</v>
      </c>
      <c r="C1748">
        <f>8135.29</f>
        <v>8135.29</v>
      </c>
      <c r="D1748">
        <f>5668.21</f>
        <v>5668.21</v>
      </c>
      <c r="E1748">
        <f>1920.228</f>
        <v>1920.2280000000001</v>
      </c>
      <c r="F1748">
        <f>1602.12</f>
        <v>1602.12</v>
      </c>
      <c r="G1748">
        <f>7044.568</f>
        <v>7044.5680000000002</v>
      </c>
      <c r="H1748">
        <f>2865.8</f>
        <v>2865.8</v>
      </c>
      <c r="I1748">
        <f>8087.007</f>
        <v>8087.0069999999996</v>
      </c>
      <c r="J1748">
        <f>3129.45</f>
        <v>3129.45</v>
      </c>
      <c r="K1748">
        <f>8456.75</f>
        <v>8456.75</v>
      </c>
      <c r="L1748">
        <f>1662.39</f>
        <v>1662.39</v>
      </c>
      <c r="M1748">
        <f>6653.99</f>
        <v>6653.99</v>
      </c>
      <c r="N1748">
        <f>289.956</f>
        <v>289.95600000000002</v>
      </c>
      <c r="O1748">
        <f>2476.92</f>
        <v>2476.92</v>
      </c>
      <c r="P1748">
        <f>201.38</f>
        <v>201.38</v>
      </c>
      <c r="Q1748">
        <f>1965.91</f>
        <v>1965.91</v>
      </c>
      <c r="R1748">
        <f>4069.99</f>
        <v>4069.99</v>
      </c>
      <c r="S1748">
        <f>1931.13</f>
        <v>1931.13</v>
      </c>
      <c r="T1748">
        <f>3821.014</f>
        <v>3821.0140000000001</v>
      </c>
      <c r="U1748">
        <f>51126.79</f>
        <v>51126.79</v>
      </c>
      <c r="V1748">
        <f>323.99</f>
        <v>323.99</v>
      </c>
    </row>
    <row r="1749" spans="1:22" x14ac:dyDescent="0.2">
      <c r="A1749" s="1">
        <v>42660</v>
      </c>
      <c r="B1749">
        <f>2798.45</f>
        <v>2798.45</v>
      </c>
      <c r="C1749">
        <f>8034.99</f>
        <v>8034.99</v>
      </c>
      <c r="D1749">
        <f>5625.7</f>
        <v>5625.7</v>
      </c>
      <c r="E1749">
        <f>1890.986</f>
        <v>1890.9860000000001</v>
      </c>
      <c r="F1749">
        <f>1565.4</f>
        <v>1565.4</v>
      </c>
      <c r="G1749">
        <f>6906.657</f>
        <v>6906.6570000000002</v>
      </c>
      <c r="H1749">
        <f>2863.53</f>
        <v>2863.53</v>
      </c>
      <c r="I1749">
        <f>8003.061</f>
        <v>8003.0609999999997</v>
      </c>
      <c r="J1749">
        <f>3120.83</f>
        <v>3120.83</v>
      </c>
      <c r="K1749">
        <f>8404.73</f>
        <v>8404.73</v>
      </c>
      <c r="L1749">
        <f>1650.73</f>
        <v>1650.73</v>
      </c>
      <c r="M1749">
        <f>6602.12</f>
        <v>6602.12</v>
      </c>
      <c r="N1749">
        <f>285.503</f>
        <v>285.50299999999999</v>
      </c>
      <c r="O1749">
        <f>2443.17</f>
        <v>2443.17</v>
      </c>
      <c r="P1749">
        <f>200.34</f>
        <v>200.34</v>
      </c>
      <c r="Q1749">
        <f>1962.08</f>
        <v>1962.08</v>
      </c>
      <c r="R1749">
        <f>4045.07</f>
        <v>4045.07</v>
      </c>
      <c r="S1749">
        <f>1925.42</f>
        <v>1925.42</v>
      </c>
      <c r="T1749">
        <f>3764.561</f>
        <v>3764.5610000000001</v>
      </c>
      <c r="U1749">
        <f>50769.01</f>
        <v>50769.01</v>
      </c>
      <c r="V1749">
        <f>318.98</f>
        <v>318.98</v>
      </c>
    </row>
    <row r="1750" spans="1:22" x14ac:dyDescent="0.2">
      <c r="A1750" s="1">
        <v>42657</v>
      </c>
      <c r="B1750">
        <f>2844.31</f>
        <v>2844.31</v>
      </c>
      <c r="C1750">
        <f>8053.42</f>
        <v>8053.42</v>
      </c>
      <c r="D1750">
        <f>5679.14</f>
        <v>5679.14</v>
      </c>
      <c r="E1750">
        <f>1895.894</f>
        <v>1895.894</v>
      </c>
      <c r="F1750">
        <f>1591.77</f>
        <v>1591.77</v>
      </c>
      <c r="G1750">
        <f>6998.419</f>
        <v>6998.4189999999999</v>
      </c>
      <c r="H1750">
        <f>2844.36</f>
        <v>2844.36</v>
      </c>
      <c r="I1750">
        <f>8057.941</f>
        <v>8057.9409999999998</v>
      </c>
      <c r="J1750">
        <f>3125.46</f>
        <v>3125.46</v>
      </c>
      <c r="K1750">
        <f>8429.51</f>
        <v>8429.51</v>
      </c>
      <c r="L1750">
        <f>1658.85</f>
        <v>1658.85</v>
      </c>
      <c r="M1750">
        <f>6624.97</f>
        <v>6624.97</v>
      </c>
      <c r="N1750">
        <f>289.5</f>
        <v>289.5</v>
      </c>
      <c r="O1750">
        <f>2460.53</f>
        <v>2460.5300000000002</v>
      </c>
      <c r="P1750">
        <f>199.73</f>
        <v>199.73</v>
      </c>
      <c r="Q1750">
        <f>1967.39</f>
        <v>1967.39</v>
      </c>
      <c r="R1750">
        <f>4057.28</f>
        <v>4057.28</v>
      </c>
      <c r="S1750">
        <f>1917.77</f>
        <v>1917.77</v>
      </c>
      <c r="T1750">
        <f>3769.873</f>
        <v>3769.873</v>
      </c>
      <c r="U1750">
        <f>51146.78</f>
        <v>51146.78</v>
      </c>
      <c r="V1750">
        <f>319.12</f>
        <v>319.12</v>
      </c>
    </row>
    <row r="1751" spans="1:22" x14ac:dyDescent="0.2">
      <c r="A1751" s="1">
        <v>42656</v>
      </c>
      <c r="B1751">
        <f>2817.69</f>
        <v>2817.69</v>
      </c>
      <c r="C1751">
        <f>7999.58</f>
        <v>7999.58</v>
      </c>
      <c r="D1751">
        <f>5650.14</f>
        <v>5650.14</v>
      </c>
      <c r="E1751">
        <f>1882.399</f>
        <v>1882.3989999999999</v>
      </c>
      <c r="F1751">
        <f>1582.16</f>
        <v>1582.16</v>
      </c>
      <c r="G1751">
        <f>6961.229</f>
        <v>6961.2290000000003</v>
      </c>
      <c r="H1751">
        <f>2856.67</f>
        <v>2856.67</v>
      </c>
      <c r="I1751">
        <f>7958.21</f>
        <v>7958.21</v>
      </c>
      <c r="J1751">
        <f>3125.24</f>
        <v>3125.24</v>
      </c>
      <c r="K1751">
        <f>8429.07</f>
        <v>8429.07</v>
      </c>
      <c r="L1751">
        <f>1654.02</f>
        <v>1654.02</v>
      </c>
      <c r="M1751">
        <f>6608.95</f>
        <v>6608.95</v>
      </c>
      <c r="N1751">
        <f>286.837</f>
        <v>286.83699999999999</v>
      </c>
      <c r="O1751">
        <f>2428.11</f>
        <v>2428.11</v>
      </c>
      <c r="P1751">
        <f>198.73</f>
        <v>198.73</v>
      </c>
      <c r="Q1751">
        <f>1968.82</f>
        <v>1968.82</v>
      </c>
      <c r="R1751">
        <f>4056.45</f>
        <v>4056.45</v>
      </c>
      <c r="S1751">
        <f>1910.83</f>
        <v>1910.83</v>
      </c>
      <c r="T1751">
        <f>3733.484</f>
        <v>3733.4839999999999</v>
      </c>
      <c r="U1751">
        <f>50494.51</f>
        <v>50494.51</v>
      </c>
      <c r="V1751">
        <f>317.67</f>
        <v>317.67</v>
      </c>
    </row>
    <row r="1752" spans="1:22" x14ac:dyDescent="0.2">
      <c r="A1752" s="1">
        <v>42655</v>
      </c>
      <c r="B1752">
        <f>2834.91</f>
        <v>2834.91</v>
      </c>
      <c r="C1752">
        <f>8116.76</f>
        <v>8116.76</v>
      </c>
      <c r="D1752">
        <f>5686.98</f>
        <v>5686.98</v>
      </c>
      <c r="E1752">
        <f>1907.935</f>
        <v>1907.9349999999999</v>
      </c>
      <c r="F1752">
        <f>1607.08</f>
        <v>1607.08</v>
      </c>
      <c r="G1752">
        <f>7005.72</f>
        <v>7005.72</v>
      </c>
      <c r="H1752">
        <f>2835.67</f>
        <v>2835.67</v>
      </c>
      <c r="I1752">
        <f>8019.993</f>
        <v>8019.9930000000004</v>
      </c>
      <c r="J1752">
        <f>3129.84</f>
        <v>3129.84</v>
      </c>
      <c r="K1752">
        <f>8455.69</f>
        <v>8455.69</v>
      </c>
      <c r="L1752">
        <f>1659.31</f>
        <v>1659.31</v>
      </c>
      <c r="M1752">
        <f>6631.91</f>
        <v>6631.91</v>
      </c>
      <c r="N1752">
        <f>288.512</f>
        <v>288.512</v>
      </c>
      <c r="O1752">
        <f>2450.13</f>
        <v>2450.13</v>
      </c>
      <c r="P1752">
        <f>198.48</f>
        <v>198.48</v>
      </c>
      <c r="Q1752">
        <f>1973.44</f>
        <v>1973.44</v>
      </c>
      <c r="R1752">
        <f>4068.92</f>
        <v>4068.92</v>
      </c>
      <c r="S1752">
        <f>1910.89</f>
        <v>1910.89</v>
      </c>
      <c r="T1752">
        <f>3805.962</f>
        <v>3805.962</v>
      </c>
      <c r="U1752">
        <f>51548.13</f>
        <v>51548.13</v>
      </c>
      <c r="V1752">
        <f>324.46</f>
        <v>324.45999999999998</v>
      </c>
    </row>
    <row r="1753" spans="1:22" x14ac:dyDescent="0.2">
      <c r="A1753" s="1">
        <v>42654</v>
      </c>
      <c r="B1753">
        <f>2851.9</f>
        <v>2851.9</v>
      </c>
      <c r="C1753">
        <f>8148.29</f>
        <v>8148.29</v>
      </c>
      <c r="D1753">
        <f>5724.93</f>
        <v>5724.93</v>
      </c>
      <c r="E1753">
        <f>1913.817</f>
        <v>1913.817</v>
      </c>
      <c r="F1753">
        <f>1618.07</f>
        <v>1618.07</v>
      </c>
      <c r="G1753">
        <f>7076.958</f>
        <v>7076.9579999999996</v>
      </c>
      <c r="H1753">
        <f>2870.12</f>
        <v>2870.12</v>
      </c>
      <c r="I1753">
        <f>8087.234</f>
        <v>8087.2340000000004</v>
      </c>
      <c r="J1753">
        <f>3129.35</f>
        <v>3129.35</v>
      </c>
      <c r="K1753">
        <f>8446.03</f>
        <v>8446.0300000000007</v>
      </c>
      <c r="L1753">
        <f>1665.76</f>
        <v>1665.76</v>
      </c>
      <c r="M1753">
        <f>6650.14</f>
        <v>6650.14</v>
      </c>
      <c r="N1753">
        <f>290.37</f>
        <v>290.37</v>
      </c>
      <c r="O1753">
        <f>2460.61</f>
        <v>2460.61</v>
      </c>
      <c r="P1753">
        <f>200.07</f>
        <v>200.07</v>
      </c>
      <c r="Q1753">
        <f>1966</f>
        <v>1966</v>
      </c>
      <c r="R1753">
        <f>4063.92</f>
        <v>4063.92</v>
      </c>
      <c r="S1753">
        <f>1930.81</f>
        <v>1930.81</v>
      </c>
      <c r="T1753">
        <f>3814.237</f>
        <v>3814.2370000000001</v>
      </c>
      <c r="U1753">
        <f>51898.82</f>
        <v>51898.82</v>
      </c>
      <c r="V1753">
        <f>323.85</f>
        <v>323.85000000000002</v>
      </c>
    </row>
    <row r="1754" spans="1:22" x14ac:dyDescent="0.2">
      <c r="A1754" s="1">
        <v>42653</v>
      </c>
      <c r="B1754">
        <f>2851.27</f>
        <v>2851.27</v>
      </c>
      <c r="C1754">
        <f>8272.15</f>
        <v>8272.15</v>
      </c>
      <c r="D1754">
        <f>5746.49</f>
        <v>5746.49</v>
      </c>
      <c r="E1754">
        <f>1941.501</f>
        <v>1941.501</v>
      </c>
      <c r="F1754">
        <f>1650.76</f>
        <v>1650.76</v>
      </c>
      <c r="G1754">
        <f>7189.159</f>
        <v>7189.1589999999997</v>
      </c>
      <c r="H1754">
        <f>2858.27</f>
        <v>2858.27</v>
      </c>
      <c r="I1754">
        <f>8196.818</f>
        <v>8196.8179999999993</v>
      </c>
      <c r="J1754">
        <f>3165.16</f>
        <v>3165.16</v>
      </c>
      <c r="K1754">
        <f>8552.96</f>
        <v>8552.9599999999991</v>
      </c>
      <c r="L1754">
        <f>1684.26</f>
        <v>1684.26</v>
      </c>
      <c r="M1754">
        <f>6724.27</f>
        <v>6724.27</v>
      </c>
      <c r="N1754">
        <f>291.898</f>
        <v>291.89800000000002</v>
      </c>
      <c r="O1754">
        <f>2476.41</f>
        <v>2476.41</v>
      </c>
      <c r="P1754" t="e">
        <f>NA()</f>
        <v>#N/A</v>
      </c>
      <c r="Q1754">
        <f>1995.29</f>
        <v>1995.29</v>
      </c>
      <c r="R1754">
        <f>4115.12</f>
        <v>4115.12</v>
      </c>
      <c r="S1754" t="e">
        <f>NA()</f>
        <v>#N/A</v>
      </c>
      <c r="T1754">
        <f>3867.715</f>
        <v>3867.7150000000001</v>
      </c>
      <c r="U1754">
        <f>51675.51</f>
        <v>51675.51</v>
      </c>
      <c r="V1754">
        <f>327.73</f>
        <v>327.73</v>
      </c>
    </row>
    <row r="1755" spans="1:22" x14ac:dyDescent="0.2">
      <c r="A1755" s="1">
        <v>42650</v>
      </c>
      <c r="B1755">
        <f>2855.28</f>
        <v>2855.28</v>
      </c>
      <c r="C1755">
        <f>8253.87</f>
        <v>8253.8700000000008</v>
      </c>
      <c r="D1755">
        <f>5703.48</f>
        <v>5703.48</v>
      </c>
      <c r="E1755">
        <f>1933.268</f>
        <v>1933.268</v>
      </c>
      <c r="F1755">
        <f>1648.77</f>
        <v>1648.77</v>
      </c>
      <c r="G1755">
        <f>7185.09</f>
        <v>7185.09</v>
      </c>
      <c r="H1755">
        <f>2870.6</f>
        <v>2870.6</v>
      </c>
      <c r="I1755">
        <f>8135.458</f>
        <v>8135.4579999999996</v>
      </c>
      <c r="J1755">
        <f>3153.79</f>
        <v>3153.79</v>
      </c>
      <c r="K1755">
        <f>8514.63</f>
        <v>8514.6299999999992</v>
      </c>
      <c r="L1755">
        <f>1677.19</f>
        <v>1677.19</v>
      </c>
      <c r="M1755">
        <f>6697.32</f>
        <v>6697.32</v>
      </c>
      <c r="N1755">
        <f>290.495</f>
        <v>290.495</v>
      </c>
      <c r="O1755">
        <f>2456.37</f>
        <v>2456.37</v>
      </c>
      <c r="P1755">
        <f>199.16</f>
        <v>199.16</v>
      </c>
      <c r="Q1755">
        <f>1993.43</f>
        <v>1993.43</v>
      </c>
      <c r="R1755">
        <f>4096.25</f>
        <v>4096.25</v>
      </c>
      <c r="S1755">
        <f>1922.65</f>
        <v>1922.65</v>
      </c>
      <c r="T1755">
        <f>3861.409</f>
        <v>3861.4090000000001</v>
      </c>
      <c r="U1755">
        <f>51662.07</f>
        <v>51662.07</v>
      </c>
      <c r="V1755">
        <f>326.46</f>
        <v>326.45999999999998</v>
      </c>
    </row>
    <row r="1756" spans="1:22" x14ac:dyDescent="0.2">
      <c r="A1756" s="1">
        <v>42649</v>
      </c>
      <c r="B1756">
        <f>2869.64</f>
        <v>2869.64</v>
      </c>
      <c r="C1756">
        <f>8261.66</f>
        <v>8261.66</v>
      </c>
      <c r="D1756">
        <f>5667.51</f>
        <v>5667.51</v>
      </c>
      <c r="E1756">
        <f>1937.964</f>
        <v>1937.9639999999999</v>
      </c>
      <c r="F1756">
        <f>1662.06</f>
        <v>1662.06</v>
      </c>
      <c r="G1756">
        <f>7246.248</f>
        <v>7246.2479999999996</v>
      </c>
      <c r="H1756">
        <f>2843.5</f>
        <v>2843.5</v>
      </c>
      <c r="I1756">
        <f>8199.949</f>
        <v>8199.9490000000005</v>
      </c>
      <c r="J1756">
        <f>3158.81</f>
        <v>3158.81</v>
      </c>
      <c r="K1756">
        <f>8542.38</f>
        <v>8542.3799999999992</v>
      </c>
      <c r="L1756">
        <f>1683.26</f>
        <v>1683.26</v>
      </c>
      <c r="M1756">
        <f>6720.64</f>
        <v>6720.64</v>
      </c>
      <c r="N1756">
        <f>294.902</f>
        <v>294.90199999999999</v>
      </c>
      <c r="O1756">
        <f>2478.9</f>
        <v>2478.9</v>
      </c>
      <c r="P1756">
        <f>200.63</f>
        <v>200.63</v>
      </c>
      <c r="Q1756">
        <f>2007.66</f>
        <v>2007.66</v>
      </c>
      <c r="R1756">
        <f>4109.49</f>
        <v>4109.49</v>
      </c>
      <c r="S1756">
        <f>1927.38</f>
        <v>1927.38</v>
      </c>
      <c r="T1756">
        <f>3853.416</f>
        <v>3853.4160000000002</v>
      </c>
      <c r="U1756">
        <f>51610.78</f>
        <v>51610.78</v>
      </c>
      <c r="V1756">
        <f>325.72</f>
        <v>325.72000000000003</v>
      </c>
    </row>
    <row r="1757" spans="1:22" x14ac:dyDescent="0.2">
      <c r="A1757" s="1">
        <v>42648</v>
      </c>
      <c r="B1757">
        <f>2897.31</f>
        <v>2897.31</v>
      </c>
      <c r="C1757">
        <f>8243.09</f>
        <v>8243.09</v>
      </c>
      <c r="D1757">
        <f>5691.11</f>
        <v>5691.11</v>
      </c>
      <c r="E1757">
        <f>1934.153</f>
        <v>1934.153</v>
      </c>
      <c r="F1757">
        <f>1686</f>
        <v>1686</v>
      </c>
      <c r="G1757">
        <f>7330.35</f>
        <v>7330.35</v>
      </c>
      <c r="H1757">
        <f>2842.48</f>
        <v>2842.48</v>
      </c>
      <c r="I1757">
        <f>8237.13</f>
        <v>8237.1299999999992</v>
      </c>
      <c r="J1757">
        <f>3157.91</f>
        <v>3157.91</v>
      </c>
      <c r="K1757">
        <f>8542.38</f>
        <v>8542.3799999999992</v>
      </c>
      <c r="L1757">
        <f>1686.82</f>
        <v>1686.82</v>
      </c>
      <c r="M1757">
        <f>6730.96</f>
        <v>6730.96</v>
      </c>
      <c r="N1757">
        <f>297.632</f>
        <v>297.63200000000001</v>
      </c>
      <c r="O1757">
        <f>2487.83</f>
        <v>2487.83</v>
      </c>
      <c r="P1757">
        <f>199.78</f>
        <v>199.78</v>
      </c>
      <c r="Q1757">
        <f>2006.13</f>
        <v>2006.13</v>
      </c>
      <c r="R1757">
        <f>4107.4</f>
        <v>4107.3999999999996</v>
      </c>
      <c r="S1757">
        <f>1918.67</f>
        <v>1918.67</v>
      </c>
      <c r="T1757">
        <f>3869.903</f>
        <v>3869.9029999999998</v>
      </c>
      <c r="U1757">
        <f>51868.53</f>
        <v>51868.53</v>
      </c>
      <c r="V1757">
        <f>327.54</f>
        <v>327.54000000000002</v>
      </c>
    </row>
    <row r="1758" spans="1:22" x14ac:dyDescent="0.2">
      <c r="A1758" s="1">
        <v>42647</v>
      </c>
      <c r="B1758">
        <f>2921.1</f>
        <v>2921.1</v>
      </c>
      <c r="C1758">
        <f>8233.58</f>
        <v>8233.58</v>
      </c>
      <c r="D1758">
        <f>5724.36</f>
        <v>5724.36</v>
      </c>
      <c r="E1758">
        <f>1934.67</f>
        <v>1934.67</v>
      </c>
      <c r="F1758">
        <f>1690.16</f>
        <v>1690.16</v>
      </c>
      <c r="G1758">
        <f>7380.348</f>
        <v>7380.348</v>
      </c>
      <c r="H1758">
        <f>2833.66</f>
        <v>2833.66</v>
      </c>
      <c r="I1758">
        <f>8230.11</f>
        <v>8230.11</v>
      </c>
      <c r="J1758">
        <f>3144.88</f>
        <v>3144.88</v>
      </c>
      <c r="K1758">
        <f>8502.84</f>
        <v>8502.84</v>
      </c>
      <c r="L1758">
        <f>1686.4</f>
        <v>1686.4</v>
      </c>
      <c r="M1758">
        <f>6716.26</f>
        <v>6716.26</v>
      </c>
      <c r="N1758">
        <f>300.347</f>
        <v>300.34699999999998</v>
      </c>
      <c r="O1758">
        <f>2494.25</f>
        <v>2494.25</v>
      </c>
      <c r="P1758">
        <f>198.88</f>
        <v>198.88</v>
      </c>
      <c r="Q1758">
        <f>2002.33</f>
        <v>2002.33</v>
      </c>
      <c r="R1758">
        <f>4088.17</f>
        <v>4088.17</v>
      </c>
      <c r="S1758">
        <f>1907.84</f>
        <v>1907.84</v>
      </c>
      <c r="T1758">
        <f>3868.491</f>
        <v>3868.491</v>
      </c>
      <c r="U1758">
        <f>52040.85</f>
        <v>52040.85</v>
      </c>
      <c r="V1758">
        <f>328.2</f>
        <v>328.2</v>
      </c>
    </row>
    <row r="1759" spans="1:22" x14ac:dyDescent="0.2">
      <c r="A1759" s="1">
        <v>42646</v>
      </c>
      <c r="B1759">
        <f>2881.15</f>
        <v>2881.15</v>
      </c>
      <c r="C1759">
        <f>8186.25</f>
        <v>8186.25</v>
      </c>
      <c r="D1759">
        <f>5650.86</f>
        <v>5650.86</v>
      </c>
      <c r="E1759">
        <f>1926.159</f>
        <v>1926.1590000000001</v>
      </c>
      <c r="F1759">
        <f>1679.06</f>
        <v>1679.06</v>
      </c>
      <c r="G1759">
        <f>7332.777</f>
        <v>7332.777</v>
      </c>
      <c r="H1759">
        <f>2844.38</f>
        <v>2844.38</v>
      </c>
      <c r="I1759">
        <f>8211.648</f>
        <v>8211.6479999999992</v>
      </c>
      <c r="J1759">
        <f>3170.23</f>
        <v>3170.23</v>
      </c>
      <c r="K1759">
        <f>8544.13</f>
        <v>8544.1299999999992</v>
      </c>
      <c r="L1759">
        <f>1693.06</f>
        <v>1693.06</v>
      </c>
      <c r="M1759">
        <f>6735.47</f>
        <v>6735.47</v>
      </c>
      <c r="N1759">
        <f>298.607</f>
        <v>298.60700000000003</v>
      </c>
      <c r="O1759">
        <f>2477.42</f>
        <v>2477.42</v>
      </c>
      <c r="P1759">
        <f>197.96</f>
        <v>197.96</v>
      </c>
      <c r="Q1759">
        <f>2022.13</f>
        <v>2022.13</v>
      </c>
      <c r="R1759">
        <f>4108.13</f>
        <v>4108.13</v>
      </c>
      <c r="S1759">
        <f>1894.34</f>
        <v>1894.34</v>
      </c>
      <c r="T1759">
        <f>3817.823</f>
        <v>3817.8229999999999</v>
      </c>
      <c r="U1759">
        <f>51658.99</f>
        <v>51658.99</v>
      </c>
      <c r="V1759">
        <f>324.29</f>
        <v>324.29000000000002</v>
      </c>
    </row>
    <row r="1760" spans="1:22" x14ac:dyDescent="0.2">
      <c r="A1760" s="1">
        <v>42643</v>
      </c>
      <c r="B1760">
        <f>2841.97</f>
        <v>2841.97</v>
      </c>
      <c r="C1760">
        <f>8128.21</f>
        <v>8128.21</v>
      </c>
      <c r="D1760">
        <f>5582.74</f>
        <v>5582.74</v>
      </c>
      <c r="E1760">
        <f>1908.581</f>
        <v>1908.5809999999999</v>
      </c>
      <c r="F1760">
        <f>1680.54</f>
        <v>1680.54</v>
      </c>
      <c r="G1760">
        <f>7328.723</f>
        <v>7328.723</v>
      </c>
      <c r="H1760">
        <f>2844.18</f>
        <v>2844.18</v>
      </c>
      <c r="I1760">
        <f>8225.05</f>
        <v>8225.0499999999993</v>
      </c>
      <c r="J1760">
        <f>3179.31</f>
        <v>3179.31</v>
      </c>
      <c r="K1760">
        <f>8570.22</f>
        <v>8570.2199999999993</v>
      </c>
      <c r="L1760">
        <f>1696.6</f>
        <v>1696.6</v>
      </c>
      <c r="M1760">
        <f>6746.08</f>
        <v>6746.08</v>
      </c>
      <c r="N1760">
        <f>297.967</f>
        <v>297.96699999999998</v>
      </c>
      <c r="O1760">
        <f>2476.14</f>
        <v>2476.14</v>
      </c>
      <c r="P1760">
        <f>196.53</f>
        <v>196.53</v>
      </c>
      <c r="Q1760">
        <f>2028.67</f>
        <v>2028.67</v>
      </c>
      <c r="R1760">
        <f>4121.06</f>
        <v>4121.0600000000004</v>
      </c>
      <c r="S1760">
        <f>1883.03</f>
        <v>1883.03</v>
      </c>
      <c r="T1760">
        <f>3826.374</f>
        <v>3826.3739999999998</v>
      </c>
      <c r="U1760">
        <f>51949.83</f>
        <v>51949.83</v>
      </c>
      <c r="V1760">
        <f>325.49</f>
        <v>325.49</v>
      </c>
    </row>
    <row r="1761" spans="1:22" x14ac:dyDescent="0.2">
      <c r="A1761" s="1">
        <v>42642</v>
      </c>
      <c r="B1761">
        <f>2835.1</f>
        <v>2835.1</v>
      </c>
      <c r="C1761">
        <f>8238.97</f>
        <v>8238.9699999999993</v>
      </c>
      <c r="D1761">
        <f>5599</f>
        <v>5599</v>
      </c>
      <c r="E1761">
        <f>1929.542</f>
        <v>1929.5419999999999</v>
      </c>
      <c r="F1761">
        <f>1687.3</f>
        <v>1687.3</v>
      </c>
      <c r="G1761">
        <f>7342.409</f>
        <v>7342.4089999999997</v>
      </c>
      <c r="H1761">
        <f>2871.5</f>
        <v>2871.5</v>
      </c>
      <c r="I1761">
        <f>8202.045</f>
        <v>8202.0450000000001</v>
      </c>
      <c r="J1761">
        <f>3156.01</f>
        <v>3156.01</v>
      </c>
      <c r="K1761">
        <f>8502.41</f>
        <v>8502.41</v>
      </c>
      <c r="L1761">
        <f>1692.89</f>
        <v>1692.89</v>
      </c>
      <c r="M1761">
        <f>6722.85</f>
        <v>6722.85</v>
      </c>
      <c r="N1761">
        <f>297.857</f>
        <v>297.85700000000003</v>
      </c>
      <c r="O1761">
        <f>2474.26</f>
        <v>2474.2600000000002</v>
      </c>
      <c r="P1761">
        <f>199.85</f>
        <v>199.85</v>
      </c>
      <c r="Q1761">
        <f>2009.05</f>
        <v>2009.05</v>
      </c>
      <c r="R1761">
        <f>4088.47</f>
        <v>4088.47</v>
      </c>
      <c r="S1761">
        <f>1912.16</f>
        <v>1912.16</v>
      </c>
      <c r="T1761">
        <f>3895.297</f>
        <v>3895.297</v>
      </c>
      <c r="U1761">
        <f>52698.58</f>
        <v>52698.58</v>
      </c>
      <c r="V1761">
        <f>331.27</f>
        <v>331.27</v>
      </c>
    </row>
    <row r="1762" spans="1:22" x14ac:dyDescent="0.2">
      <c r="A1762" s="1">
        <v>42641</v>
      </c>
      <c r="B1762">
        <f>2818.06</f>
        <v>2818.06</v>
      </c>
      <c r="C1762">
        <f>8154.79</f>
        <v>8154.79</v>
      </c>
      <c r="D1762">
        <f>5542.12</f>
        <v>5542.12</v>
      </c>
      <c r="E1762">
        <f>1926.851</f>
        <v>1926.8510000000001</v>
      </c>
      <c r="F1762">
        <f>1660.47</f>
        <v>1660.47</v>
      </c>
      <c r="G1762">
        <f>7270.573</f>
        <v>7270.5730000000003</v>
      </c>
      <c r="H1762">
        <f>2868.6</f>
        <v>2868.6</v>
      </c>
      <c r="I1762">
        <f>8174.132</f>
        <v>8174.1319999999996</v>
      </c>
      <c r="J1762">
        <f>3183.2</f>
        <v>3183.2</v>
      </c>
      <c r="K1762">
        <f>8583.06</f>
        <v>8583.06</v>
      </c>
      <c r="L1762">
        <f>1695.47</f>
        <v>1695.47</v>
      </c>
      <c r="M1762">
        <f>6745.59</f>
        <v>6745.59</v>
      </c>
      <c r="N1762">
        <f>299.463</f>
        <v>299.46300000000002</v>
      </c>
      <c r="O1762">
        <f>2470.52</f>
        <v>2470.52</v>
      </c>
      <c r="P1762">
        <f>199.05</f>
        <v>199.05</v>
      </c>
      <c r="Q1762">
        <f>2029.24</f>
        <v>2029.24</v>
      </c>
      <c r="R1762">
        <f>4126.83</f>
        <v>4126.83</v>
      </c>
      <c r="S1762">
        <f>1894.4</f>
        <v>1894.4</v>
      </c>
      <c r="T1762">
        <f>3850.068</f>
        <v>3850.0680000000002</v>
      </c>
      <c r="U1762">
        <f>51773.5</f>
        <v>51773.5</v>
      </c>
      <c r="V1762">
        <f>326.27</f>
        <v>326.27</v>
      </c>
    </row>
    <row r="1763" spans="1:22" x14ac:dyDescent="0.2">
      <c r="A1763" s="1">
        <v>42640</v>
      </c>
      <c r="B1763">
        <f>2798.55</f>
        <v>2798.55</v>
      </c>
      <c r="C1763">
        <f>8165.05</f>
        <v>8165.05</v>
      </c>
      <c r="D1763">
        <f>5508.37</f>
        <v>5508.37</v>
      </c>
      <c r="E1763">
        <f>1924.361</f>
        <v>1924.3610000000001</v>
      </c>
      <c r="F1763">
        <f>1641.03</f>
        <v>1641.03</v>
      </c>
      <c r="G1763">
        <f>7225.337</f>
        <v>7225.3370000000004</v>
      </c>
      <c r="H1763">
        <f>2887.97</f>
        <v>2887.97</v>
      </c>
      <c r="I1763">
        <f>8123.095</f>
        <v>8123.0950000000003</v>
      </c>
      <c r="J1763">
        <f>3167.55</f>
        <v>3167.55</v>
      </c>
      <c r="K1763">
        <f>8535.48</f>
        <v>8535.48</v>
      </c>
      <c r="L1763">
        <f>1684.85</f>
        <v>1684.85</v>
      </c>
      <c r="M1763">
        <f>6716.58</f>
        <v>6716.58</v>
      </c>
      <c r="N1763">
        <f>297.53</f>
        <v>297.52999999999997</v>
      </c>
      <c r="O1763">
        <f>2453.86</f>
        <v>2453.86</v>
      </c>
      <c r="P1763">
        <f>200.84</f>
        <v>200.84</v>
      </c>
      <c r="Q1763">
        <f>2020.51</f>
        <v>2020.51</v>
      </c>
      <c r="R1763">
        <f>4104.18</f>
        <v>4104.18</v>
      </c>
      <c r="S1763">
        <f>1904.39</f>
        <v>1904.39</v>
      </c>
      <c r="T1763">
        <f>3798.341</f>
        <v>3798.3409999999999</v>
      </c>
      <c r="U1763">
        <f>50899.66</f>
        <v>50899.66</v>
      </c>
      <c r="V1763">
        <f>323.41</f>
        <v>323.41000000000003</v>
      </c>
    </row>
    <row r="1764" spans="1:22" x14ac:dyDescent="0.2">
      <c r="A1764" s="1">
        <v>42639</v>
      </c>
      <c r="B1764">
        <f>2805.2</f>
        <v>2805.2</v>
      </c>
      <c r="C1764">
        <f>8145.12</f>
        <v>8145.12</v>
      </c>
      <c r="D1764">
        <f>5516.76</f>
        <v>5516.76</v>
      </c>
      <c r="E1764">
        <f>1912.344</f>
        <v>1912.3440000000001</v>
      </c>
      <c r="F1764">
        <f>1649.95</f>
        <v>1649.95</v>
      </c>
      <c r="G1764">
        <f>7230.263</f>
        <v>7230.2629999999999</v>
      </c>
      <c r="H1764">
        <f>2865.26</f>
        <v>2865.26</v>
      </c>
      <c r="I1764">
        <f>8185.522</f>
        <v>8185.5219999999999</v>
      </c>
      <c r="J1764">
        <f>3146.08</f>
        <v>3146.08</v>
      </c>
      <c r="K1764">
        <f>8482.62</f>
        <v>8482.6200000000008</v>
      </c>
      <c r="L1764">
        <f>1683.07</f>
        <v>1683.07</v>
      </c>
      <c r="M1764">
        <f>6696.45</f>
        <v>6696.45</v>
      </c>
      <c r="N1764">
        <f>296.619</f>
        <v>296.61900000000003</v>
      </c>
      <c r="O1764">
        <f>2452.23</f>
        <v>2452.23</v>
      </c>
      <c r="P1764">
        <f>199.53</f>
        <v>199.53</v>
      </c>
      <c r="Q1764">
        <f>2006.86</f>
        <v>2006.86</v>
      </c>
      <c r="R1764">
        <f>4077.71</f>
        <v>4077.71</v>
      </c>
      <c r="S1764">
        <f>1885.5</f>
        <v>1885.5</v>
      </c>
      <c r="T1764">
        <f>3825.799</f>
        <v>3825.799</v>
      </c>
      <c r="U1764">
        <f>51479.8</f>
        <v>51479.8</v>
      </c>
      <c r="V1764">
        <f>327.67</f>
        <v>327.67</v>
      </c>
    </row>
    <row r="1765" spans="1:22" x14ac:dyDescent="0.2">
      <c r="A1765" s="1">
        <v>42636</v>
      </c>
      <c r="B1765">
        <f>2854.21</f>
        <v>2854.21</v>
      </c>
      <c r="C1765">
        <f>8238.28</f>
        <v>8238.2800000000007</v>
      </c>
      <c r="D1765">
        <f>5590.71</f>
        <v>5590.71</v>
      </c>
      <c r="E1765">
        <f>1937.686</f>
        <v>1937.6859999999999</v>
      </c>
      <c r="F1765">
        <f>1672.02</f>
        <v>1672.02</v>
      </c>
      <c r="G1765">
        <f>7319.297</f>
        <v>7319.2969999999996</v>
      </c>
      <c r="H1765">
        <f>2880.28</f>
        <v>2880.28</v>
      </c>
      <c r="I1765">
        <f>8277.848</f>
        <v>8277.848</v>
      </c>
      <c r="J1765">
        <f>3171.78</f>
        <v>3171.78</v>
      </c>
      <c r="K1765">
        <f>8554.17</f>
        <v>8554.17</v>
      </c>
      <c r="L1765">
        <f>1697.97</f>
        <v>1697.97</v>
      </c>
      <c r="M1765">
        <f>6754</f>
        <v>6754</v>
      </c>
      <c r="N1765">
        <f>301.277</f>
        <v>301.27699999999999</v>
      </c>
      <c r="O1765">
        <f>2491.01</f>
        <v>2491.0100000000002</v>
      </c>
      <c r="P1765">
        <f>201.07</f>
        <v>201.07</v>
      </c>
      <c r="Q1765">
        <f>2022.36</f>
        <v>2022.36</v>
      </c>
      <c r="R1765">
        <f>4112.69</f>
        <v>4112.6899999999996</v>
      </c>
      <c r="S1765">
        <f>1904.87</f>
        <v>1904.87</v>
      </c>
      <c r="T1765">
        <f>3874.076</f>
        <v>3874.076</v>
      </c>
      <c r="U1765">
        <f>51999.45</f>
        <v>51999.45</v>
      </c>
      <c r="V1765">
        <f>331.02</f>
        <v>331.02</v>
      </c>
    </row>
    <row r="1766" spans="1:22" x14ac:dyDescent="0.2">
      <c r="A1766" s="1">
        <v>42635</v>
      </c>
      <c r="B1766">
        <f>2860.96</f>
        <v>2860.96</v>
      </c>
      <c r="C1766">
        <f>8265.97</f>
        <v>8265.9699999999993</v>
      </c>
      <c r="D1766">
        <f>5592.3</f>
        <v>5592.3</v>
      </c>
      <c r="E1766">
        <f>1944.801</f>
        <v>1944.8009999999999</v>
      </c>
      <c r="F1766">
        <f>1691.17</f>
        <v>1691.17</v>
      </c>
      <c r="G1766">
        <f>7399.97</f>
        <v>7399.97</v>
      </c>
      <c r="H1766">
        <f>2892.22</f>
        <v>2892.22</v>
      </c>
      <c r="I1766">
        <f>8345.09</f>
        <v>8345.09</v>
      </c>
      <c r="J1766">
        <f>3186.24</f>
        <v>3186.24</v>
      </c>
      <c r="K1766">
        <f>8601.95</f>
        <v>8601.9500000000007</v>
      </c>
      <c r="L1766">
        <f>1707.26</f>
        <v>1707.26</v>
      </c>
      <c r="M1766">
        <f>6796.34</f>
        <v>6796.34</v>
      </c>
      <c r="N1766">
        <f>304.518</f>
        <v>304.51799999999997</v>
      </c>
      <c r="O1766">
        <f>2509.51</f>
        <v>2509.5100000000002</v>
      </c>
      <c r="P1766" t="e">
        <f>NA()</f>
        <v>#N/A</v>
      </c>
      <c r="Q1766">
        <f>2035.59</f>
        <v>2035.59</v>
      </c>
      <c r="R1766">
        <f>4136.41</f>
        <v>4136.41</v>
      </c>
      <c r="S1766" t="e">
        <f>NA()</f>
        <v>#N/A</v>
      </c>
      <c r="T1766">
        <f>3865.695</f>
        <v>3865.6950000000002</v>
      </c>
      <c r="U1766">
        <f>51895.18</f>
        <v>51895.18</v>
      </c>
      <c r="V1766">
        <f>331.34</f>
        <v>331.34</v>
      </c>
    </row>
    <row r="1767" spans="1:22" x14ac:dyDescent="0.2">
      <c r="A1767" s="1">
        <v>42634</v>
      </c>
      <c r="B1767">
        <f>2833.89</f>
        <v>2833.89</v>
      </c>
      <c r="C1767">
        <f>8170.26</f>
        <v>8170.26</v>
      </c>
      <c r="D1767">
        <f>5529.89</f>
        <v>5529.89</v>
      </c>
      <c r="E1767">
        <f>1912.49</f>
        <v>1912.49</v>
      </c>
      <c r="F1767">
        <f>1649.83</f>
        <v>1649.83</v>
      </c>
      <c r="G1767">
        <f>7240.943</f>
        <v>7240.9430000000002</v>
      </c>
      <c r="H1767">
        <f>2894.8</f>
        <v>2894.8</v>
      </c>
      <c r="I1767">
        <f>8127.42</f>
        <v>8127.42</v>
      </c>
      <c r="J1767">
        <f>3169.91</f>
        <v>3169.91</v>
      </c>
      <c r="K1767">
        <f>8545</f>
        <v>8545</v>
      </c>
      <c r="L1767">
        <f>1684.12</f>
        <v>1684.12</v>
      </c>
      <c r="M1767">
        <f>6722.19</f>
        <v>6722.19</v>
      </c>
      <c r="N1767">
        <f>300.65</f>
        <v>300.64999999999998</v>
      </c>
      <c r="O1767">
        <f>2467.79</f>
        <v>2467.79</v>
      </c>
      <c r="P1767">
        <f>201.73</f>
        <v>201.73</v>
      </c>
      <c r="Q1767">
        <f>2020.06</f>
        <v>2020.06</v>
      </c>
      <c r="R1767">
        <f>4109.63</f>
        <v>4109.63</v>
      </c>
      <c r="S1767">
        <f>1909.26</f>
        <v>1909.26</v>
      </c>
      <c r="T1767">
        <f>3787.214</f>
        <v>3787.2139999999999</v>
      </c>
      <c r="U1767">
        <f>50757.82</f>
        <v>50757.82</v>
      </c>
      <c r="V1767">
        <f>323.23</f>
        <v>323.23</v>
      </c>
    </row>
    <row r="1768" spans="1:22" x14ac:dyDescent="0.2">
      <c r="A1768" s="1">
        <v>42633</v>
      </c>
      <c r="B1768">
        <f>2827.53</f>
        <v>2827.53</v>
      </c>
      <c r="C1768">
        <f>8127.6</f>
        <v>8127.6</v>
      </c>
      <c r="D1768">
        <f>5526.67</f>
        <v>5526.67</v>
      </c>
      <c r="E1768">
        <f>1897.871</f>
        <v>1897.8710000000001</v>
      </c>
      <c r="F1768">
        <f>1639.21</f>
        <v>1639.21</v>
      </c>
      <c r="G1768">
        <f>7230.702</f>
        <v>7230.7020000000002</v>
      </c>
      <c r="H1768">
        <f>2804.87</f>
        <v>2804.87</v>
      </c>
      <c r="I1768">
        <f>8111.827</f>
        <v>8111.8270000000002</v>
      </c>
      <c r="J1768">
        <f>3135.24</f>
        <v>3135.24</v>
      </c>
      <c r="K1768">
        <f>8452.9</f>
        <v>8452.9</v>
      </c>
      <c r="L1768">
        <f>1672.28</f>
        <v>1672.28</v>
      </c>
      <c r="M1768">
        <f>6649.8</f>
        <v>6649.8</v>
      </c>
      <c r="N1768">
        <f>301.494</f>
        <v>301.49400000000003</v>
      </c>
      <c r="O1768">
        <f>2458.62</f>
        <v>2458.62</v>
      </c>
      <c r="P1768">
        <f>196.2</f>
        <v>196.2</v>
      </c>
      <c r="Q1768">
        <f>1997.51</f>
        <v>1997.51</v>
      </c>
      <c r="R1768">
        <f>4065.2</f>
        <v>4065.2</v>
      </c>
      <c r="S1768">
        <f>1858.87</f>
        <v>1858.87</v>
      </c>
      <c r="T1768">
        <f>3815.63</f>
        <v>3815.63</v>
      </c>
      <c r="U1768">
        <f>51335.75</f>
        <v>51335.75</v>
      </c>
      <c r="V1768">
        <f>324.36</f>
        <v>324.36</v>
      </c>
    </row>
    <row r="1769" spans="1:22" x14ac:dyDescent="0.2">
      <c r="A1769" s="1">
        <v>42632</v>
      </c>
      <c r="B1769">
        <f>2829.69</f>
        <v>2829.69</v>
      </c>
      <c r="C1769">
        <f>8106.67</f>
        <v>8106.67</v>
      </c>
      <c r="D1769">
        <f>5512.72</f>
        <v>5512.72</v>
      </c>
      <c r="E1769">
        <f>1895.45</f>
        <v>1895.45</v>
      </c>
      <c r="F1769">
        <f>1648.49</f>
        <v>1648.49</v>
      </c>
      <c r="G1769">
        <f>7273.103</f>
        <v>7273.1030000000001</v>
      </c>
      <c r="H1769">
        <f>2787.52</f>
        <v>2787.52</v>
      </c>
      <c r="I1769">
        <f>8113.503</f>
        <v>8113.5029999999997</v>
      </c>
      <c r="J1769">
        <f>3137.71</f>
        <v>3137.71</v>
      </c>
      <c r="K1769">
        <f>8450.79</f>
        <v>8450.7900000000009</v>
      </c>
      <c r="L1769">
        <f>1673.34</f>
        <v>1673.34</v>
      </c>
      <c r="M1769">
        <f>6649.06</f>
        <v>6649.06</v>
      </c>
      <c r="N1769">
        <f>301.611</f>
        <v>301.61099999999999</v>
      </c>
      <c r="O1769">
        <f>2459.42</f>
        <v>2459.42</v>
      </c>
      <c r="P1769" t="e">
        <f>NA()</f>
        <v>#N/A</v>
      </c>
      <c r="Q1769">
        <f>1995.62</f>
        <v>1995.62</v>
      </c>
      <c r="R1769">
        <f>4063.94</f>
        <v>4063.94</v>
      </c>
      <c r="S1769" t="e">
        <f>NA()</f>
        <v>#N/A</v>
      </c>
      <c r="T1769">
        <f>3823.808</f>
        <v>3823.808</v>
      </c>
      <c r="U1769">
        <f>51975.89</f>
        <v>51975.89</v>
      </c>
      <c r="V1769">
        <f>325.78</f>
        <v>325.77999999999997</v>
      </c>
    </row>
    <row r="1770" spans="1:22" x14ac:dyDescent="0.2">
      <c r="A1770" s="1">
        <v>42629</v>
      </c>
      <c r="B1770">
        <f>2797.08</f>
        <v>2797.08</v>
      </c>
      <c r="C1770">
        <f>7938.51</f>
        <v>7938.51</v>
      </c>
      <c r="D1770">
        <f>5429.17</f>
        <v>5429.17</v>
      </c>
      <c r="E1770">
        <f>1869.509</f>
        <v>1869.509</v>
      </c>
      <c r="F1770">
        <f>1621.2</f>
        <v>1621.2</v>
      </c>
      <c r="G1770">
        <f>7172.176</f>
        <v>7172.1760000000004</v>
      </c>
      <c r="H1770">
        <f>2774.43</f>
        <v>2774.43</v>
      </c>
      <c r="I1770">
        <f>8019.931</f>
        <v>8019.9309999999996</v>
      </c>
      <c r="J1770">
        <f>3136.9</f>
        <v>3136.9</v>
      </c>
      <c r="K1770">
        <f>8448.91</f>
        <v>8448.91</v>
      </c>
      <c r="L1770">
        <f>1664.71</f>
        <v>1664.71</v>
      </c>
      <c r="M1770">
        <f>6622.23</f>
        <v>6622.23</v>
      </c>
      <c r="N1770">
        <f>299.155</f>
        <v>299.15499999999997</v>
      </c>
      <c r="O1770">
        <f>2434.31</f>
        <v>2434.31</v>
      </c>
      <c r="P1770">
        <f>195.72</f>
        <v>195.72</v>
      </c>
      <c r="Q1770">
        <f>1989.78</f>
        <v>1989.78</v>
      </c>
      <c r="R1770">
        <f>4063.97</f>
        <v>4063.97</v>
      </c>
      <c r="S1770">
        <f>1851.15</f>
        <v>1851.15</v>
      </c>
      <c r="T1770">
        <f>3771.281</f>
        <v>3771.2809999999999</v>
      </c>
      <c r="U1770">
        <f>51832.55</f>
        <v>51832.55</v>
      </c>
      <c r="V1770">
        <f>321.5</f>
        <v>321.5</v>
      </c>
    </row>
    <row r="1771" spans="1:22" x14ac:dyDescent="0.2">
      <c r="A1771" s="1">
        <v>42628</v>
      </c>
      <c r="B1771">
        <f>2804.18</f>
        <v>2804.18</v>
      </c>
      <c r="C1771">
        <f>7973.44</f>
        <v>7973.44</v>
      </c>
      <c r="D1771">
        <f>5445.36</f>
        <v>5445.36</v>
      </c>
      <c r="E1771">
        <f>1876.947</f>
        <v>1876.9469999999999</v>
      </c>
      <c r="F1771">
        <f>1644.05</f>
        <v>1644.05</v>
      </c>
      <c r="G1771">
        <f>7254.95</f>
        <v>7254.95</v>
      </c>
      <c r="H1771">
        <f>2765.94</f>
        <v>2765.94</v>
      </c>
      <c r="I1771">
        <f>8152.298</f>
        <v>8152.2979999999998</v>
      </c>
      <c r="J1771">
        <f>3144.23</f>
        <v>3144.23</v>
      </c>
      <c r="K1771">
        <f>8480</f>
        <v>8480</v>
      </c>
      <c r="L1771">
        <f>1675.75</f>
        <v>1675.75</v>
      </c>
      <c r="M1771">
        <f>6655.47</f>
        <v>6655.47</v>
      </c>
      <c r="N1771">
        <f>300.616</f>
        <v>300.61599999999999</v>
      </c>
      <c r="O1771">
        <f>2454.18</f>
        <v>2454.1799999999998</v>
      </c>
      <c r="P1771">
        <f>193.91</f>
        <v>193.91</v>
      </c>
      <c r="Q1771">
        <f>1999.63</f>
        <v>1999.63</v>
      </c>
      <c r="R1771">
        <f>4079.32</f>
        <v>4079.32</v>
      </c>
      <c r="S1771">
        <f>1836.48</f>
        <v>1836.48</v>
      </c>
      <c r="T1771">
        <f>3788.218</f>
        <v>3788.2179999999998</v>
      </c>
      <c r="U1771">
        <f>52174.26</f>
        <v>52174.26</v>
      </c>
      <c r="V1771">
        <f>323.47</f>
        <v>323.47000000000003</v>
      </c>
    </row>
    <row r="1772" spans="1:22" x14ac:dyDescent="0.2">
      <c r="A1772" s="1">
        <v>42627</v>
      </c>
      <c r="B1772">
        <f>2788.14</f>
        <v>2788.14</v>
      </c>
      <c r="C1772">
        <f>7956.3</f>
        <v>7956.3</v>
      </c>
      <c r="D1772">
        <f>5399.11</f>
        <v>5399.11</v>
      </c>
      <c r="E1772">
        <f>1868.67</f>
        <v>1868.67</v>
      </c>
      <c r="F1772">
        <f>1630.92</f>
        <v>1630.92</v>
      </c>
      <c r="G1772">
        <f>7188.031</f>
        <v>7188.0309999999999</v>
      </c>
      <c r="H1772">
        <f>2789.32</f>
        <v>2789.32</v>
      </c>
      <c r="I1772">
        <f>8123.787</f>
        <v>8123.7870000000003</v>
      </c>
      <c r="J1772">
        <f>3112.54</f>
        <v>3112.54</v>
      </c>
      <c r="K1772">
        <f>8393.77</f>
        <v>8393.77</v>
      </c>
      <c r="L1772">
        <f>1662.91</f>
        <v>1662.91</v>
      </c>
      <c r="M1772">
        <f>6606.71</f>
        <v>6606.71</v>
      </c>
      <c r="N1772">
        <f>298.498</f>
        <v>298.49799999999999</v>
      </c>
      <c r="O1772">
        <f>2439.22</f>
        <v>2439.2199999999998</v>
      </c>
      <c r="P1772">
        <f>195.65</f>
        <v>195.65</v>
      </c>
      <c r="Q1772">
        <f>1984.08</f>
        <v>1984.08</v>
      </c>
      <c r="R1772">
        <f>4037.83</f>
        <v>4037.83</v>
      </c>
      <c r="S1772">
        <f>1855.71</f>
        <v>1855.71</v>
      </c>
      <c r="T1772">
        <f>3800.701</f>
        <v>3800.701</v>
      </c>
      <c r="U1772">
        <f>52501.97</f>
        <v>52501.97</v>
      </c>
      <c r="V1772">
        <f>325.37</f>
        <v>325.37</v>
      </c>
    </row>
    <row r="1773" spans="1:22" x14ac:dyDescent="0.2">
      <c r="A1773" s="1">
        <v>42626</v>
      </c>
      <c r="B1773">
        <f>2789.83</f>
        <v>2789.83</v>
      </c>
      <c r="C1773">
        <f>7965.49</f>
        <v>7965.49</v>
      </c>
      <c r="D1773">
        <f>5392.9</f>
        <v>5392.9</v>
      </c>
      <c r="E1773">
        <f>1870.164</f>
        <v>1870.164</v>
      </c>
      <c r="F1773">
        <f>1623.27</f>
        <v>1623.27</v>
      </c>
      <c r="G1773">
        <f>7180.26</f>
        <v>7180.26</v>
      </c>
      <c r="H1773">
        <f>2817.69</f>
        <v>2817.69</v>
      </c>
      <c r="I1773">
        <f>8134.041</f>
        <v>8134.0410000000002</v>
      </c>
      <c r="J1773">
        <f>3117.85</f>
        <v>3117.85</v>
      </c>
      <c r="K1773">
        <f>8397.22</f>
        <v>8397.2199999999993</v>
      </c>
      <c r="L1773">
        <f>1665.42</f>
        <v>1665.42</v>
      </c>
      <c r="M1773">
        <f>6615.37</f>
        <v>6615.37</v>
      </c>
      <c r="N1773">
        <f>298.896</f>
        <v>298.89600000000002</v>
      </c>
      <c r="O1773">
        <f>2442.26</f>
        <v>2442.2600000000002</v>
      </c>
      <c r="P1773">
        <f>197.47</f>
        <v>197.47</v>
      </c>
      <c r="Q1773">
        <f>1988.14</f>
        <v>1988.14</v>
      </c>
      <c r="R1773">
        <f>4039.92</f>
        <v>4039.92</v>
      </c>
      <c r="S1773">
        <f>1867.36</f>
        <v>1867.36</v>
      </c>
      <c r="T1773">
        <f>3818.083</f>
        <v>3818.0830000000001</v>
      </c>
      <c r="U1773">
        <f>52805.96</f>
        <v>52805.96</v>
      </c>
      <c r="V1773">
        <f>327.52</f>
        <v>327.52</v>
      </c>
    </row>
    <row r="1774" spans="1:22" x14ac:dyDescent="0.2">
      <c r="A1774" s="1">
        <v>42625</v>
      </c>
      <c r="B1774">
        <f>2812.95</f>
        <v>2812.95</v>
      </c>
      <c r="C1774">
        <f>7979.33</f>
        <v>7979.33</v>
      </c>
      <c r="D1774">
        <f>5421.43</f>
        <v>5421.43</v>
      </c>
      <c r="E1774">
        <f>1877.298</f>
        <v>1877.298</v>
      </c>
      <c r="F1774">
        <f>1652.08</f>
        <v>1652.08</v>
      </c>
      <c r="G1774">
        <f>7287.577</f>
        <v>7287.5770000000002</v>
      </c>
      <c r="H1774">
        <f>2821.91</f>
        <v>2821.91</v>
      </c>
      <c r="I1774">
        <f>8180.257</f>
        <v>8180.2569999999996</v>
      </c>
      <c r="J1774">
        <f>3163.6</f>
        <v>3163.6</v>
      </c>
      <c r="K1774">
        <f>8520.7</f>
        <v>8520.7000000000007</v>
      </c>
      <c r="L1774">
        <f>1686.64</f>
        <v>1686.64</v>
      </c>
      <c r="M1774">
        <f>6695.68</f>
        <v>6695.68</v>
      </c>
      <c r="N1774">
        <f>301.741</f>
        <v>301.74099999999999</v>
      </c>
      <c r="O1774">
        <f>2468.02</f>
        <v>2468.02</v>
      </c>
      <c r="P1774">
        <f>197.82</f>
        <v>197.82</v>
      </c>
      <c r="Q1774">
        <f>2021.35</f>
        <v>2021.35</v>
      </c>
      <c r="R1774">
        <f>4099.47</f>
        <v>4099.47</v>
      </c>
      <c r="S1774">
        <f>1867.5</f>
        <v>1867.5</v>
      </c>
      <c r="T1774">
        <f>3790.792</f>
        <v>3790.7919999999999</v>
      </c>
      <c r="U1774">
        <f>52802</f>
        <v>52802</v>
      </c>
      <c r="V1774">
        <f>324.94</f>
        <v>324.94</v>
      </c>
    </row>
    <row r="1775" spans="1:22" x14ac:dyDescent="0.2">
      <c r="A1775" s="1">
        <v>42622</v>
      </c>
      <c r="B1775">
        <f>2853.62</f>
        <v>2853.62</v>
      </c>
      <c r="C1775">
        <f>8166.95</f>
        <v>8166.95</v>
      </c>
      <c r="D1775">
        <f>5482.96</f>
        <v>5482.96</v>
      </c>
      <c r="E1775">
        <f>1919.206</f>
        <v>1919.2059999999999</v>
      </c>
      <c r="F1775">
        <f>1666.45</f>
        <v>1666.45</v>
      </c>
      <c r="G1775">
        <f>7345.924</f>
        <v>7345.924</v>
      </c>
      <c r="H1775">
        <f>2841.41</f>
        <v>2841.41</v>
      </c>
      <c r="I1775">
        <f>8254.072</f>
        <v>8254.0720000000001</v>
      </c>
      <c r="J1775">
        <f>3114.53</f>
        <v>3114.53</v>
      </c>
      <c r="K1775">
        <f>8397.25</f>
        <v>8397.25</v>
      </c>
      <c r="L1775">
        <f>1679.6</f>
        <v>1679.6</v>
      </c>
      <c r="M1775">
        <f>6664.91</f>
        <v>6664.91</v>
      </c>
      <c r="N1775">
        <f>304.724</f>
        <v>304.72399999999999</v>
      </c>
      <c r="O1775">
        <f>2492.12</f>
        <v>2492.12</v>
      </c>
      <c r="P1775">
        <f>200.24</f>
        <v>200.24</v>
      </c>
      <c r="Q1775">
        <f>1992.94</f>
        <v>1992.94</v>
      </c>
      <c r="R1775">
        <f>4039.95</f>
        <v>4039.95</v>
      </c>
      <c r="S1775">
        <f>1896.81</f>
        <v>1896.81</v>
      </c>
      <c r="T1775">
        <f>3832.17</f>
        <v>3832.17</v>
      </c>
      <c r="U1775">
        <f>53347.3</f>
        <v>53347.3</v>
      </c>
      <c r="V1775">
        <f>329.5</f>
        <v>329.5</v>
      </c>
    </row>
    <row r="1776" spans="1:22" x14ac:dyDescent="0.2">
      <c r="A1776" s="1">
        <v>42621</v>
      </c>
      <c r="B1776">
        <f>2894.47</f>
        <v>2894.47</v>
      </c>
      <c r="C1776">
        <f>8291.38</f>
        <v>8291.3799999999992</v>
      </c>
      <c r="D1776">
        <f>5549.11</f>
        <v>5549.11</v>
      </c>
      <c r="E1776">
        <f>1956.948</f>
        <v>1956.9480000000001</v>
      </c>
      <c r="F1776">
        <f>1692.31</f>
        <v>1692.31</v>
      </c>
      <c r="G1776">
        <f>7465.384</f>
        <v>7465.384</v>
      </c>
      <c r="H1776">
        <f>2873.95</f>
        <v>2873.95</v>
      </c>
      <c r="I1776">
        <f>8393.318</f>
        <v>8393.3179999999993</v>
      </c>
      <c r="J1776">
        <f>3195.38</f>
        <v>3195.38</v>
      </c>
      <c r="K1776">
        <f>8608.35</f>
        <v>8608.35</v>
      </c>
      <c r="L1776">
        <f>1715.7</f>
        <v>1715.7</v>
      </c>
      <c r="M1776">
        <f>6807.2</f>
        <v>6807.2</v>
      </c>
      <c r="N1776">
        <f>309.217</f>
        <v>309.21699999999998</v>
      </c>
      <c r="O1776">
        <f>2518.79</f>
        <v>2518.79</v>
      </c>
      <c r="P1776">
        <f>200.53</f>
        <v>200.53</v>
      </c>
      <c r="Q1776">
        <f>2050.97</f>
        <v>2050.9699999999998</v>
      </c>
      <c r="R1776">
        <f>4141.46</f>
        <v>4141.46</v>
      </c>
      <c r="S1776">
        <f>1899.76</f>
        <v>1899.76</v>
      </c>
      <c r="T1776">
        <f>3841.042</f>
        <v>3841.0419999999999</v>
      </c>
      <c r="U1776">
        <f>53250.25</f>
        <v>53250.25</v>
      </c>
      <c r="V1776">
        <f>329.72</f>
        <v>329.72</v>
      </c>
    </row>
    <row r="1777" spans="1:22" x14ac:dyDescent="0.2">
      <c r="A1777" s="1">
        <v>42620</v>
      </c>
      <c r="B1777">
        <f>2877.69</f>
        <v>2877.69</v>
      </c>
      <c r="C1777">
        <f>8289.08</f>
        <v>8289.08</v>
      </c>
      <c r="D1777">
        <f>5537.65</f>
        <v>5537.65</v>
      </c>
      <c r="E1777">
        <f>1953.999</f>
        <v>1953.999</v>
      </c>
      <c r="F1777">
        <f>1689.9</f>
        <v>1689.9</v>
      </c>
      <c r="G1777">
        <f>7467.133</f>
        <v>7467.1329999999998</v>
      </c>
      <c r="H1777">
        <f>2875.46</f>
        <v>2875.46</v>
      </c>
      <c r="I1777">
        <f>8397.987</f>
        <v>8397.9869999999992</v>
      </c>
      <c r="J1777">
        <f>3200.87</f>
        <v>3200.87</v>
      </c>
      <c r="K1777">
        <f>8628.36</f>
        <v>8628.36</v>
      </c>
      <c r="L1777">
        <f>1717.42</f>
        <v>1717.42</v>
      </c>
      <c r="M1777">
        <f>6818.59</f>
        <v>6818.59</v>
      </c>
      <c r="N1777">
        <f>311.441</f>
        <v>311.44099999999997</v>
      </c>
      <c r="O1777">
        <f>2527.62</f>
        <v>2527.62</v>
      </c>
      <c r="P1777">
        <f>200.63</f>
        <v>200.63</v>
      </c>
      <c r="Q1777">
        <f>2061.83</f>
        <v>2061.83</v>
      </c>
      <c r="R1777">
        <f>4150.51</f>
        <v>4150.51</v>
      </c>
      <c r="S1777">
        <f>1904.81</f>
        <v>1904.81</v>
      </c>
      <c r="T1777">
        <f>3869.623</f>
        <v>3869.623</v>
      </c>
      <c r="U1777">
        <f>53456.43</f>
        <v>53456.43</v>
      </c>
      <c r="V1777">
        <f>329.72</f>
        <v>329.72</v>
      </c>
    </row>
    <row r="1778" spans="1:22" x14ac:dyDescent="0.2">
      <c r="A1778" s="1">
        <v>42619</v>
      </c>
      <c r="B1778">
        <f>2871.47</f>
        <v>2871.47</v>
      </c>
      <c r="C1778">
        <f>8264.08</f>
        <v>8264.08</v>
      </c>
      <c r="D1778">
        <f>5521.04</f>
        <v>5521.04</v>
      </c>
      <c r="E1778">
        <f>1948.275</f>
        <v>1948.2750000000001</v>
      </c>
      <c r="F1778">
        <f>1700.23</f>
        <v>1700.23</v>
      </c>
      <c r="G1778">
        <f>7492.855</f>
        <v>7492.8549999999996</v>
      </c>
      <c r="H1778">
        <f>2880.59</f>
        <v>2880.59</v>
      </c>
      <c r="I1778">
        <f>8343.089</f>
        <v>8343.0889999999999</v>
      </c>
      <c r="J1778">
        <f>3207.27</f>
        <v>3207.27</v>
      </c>
      <c r="K1778">
        <f>8626.9</f>
        <v>8626.9</v>
      </c>
      <c r="L1778">
        <f>1716.85</f>
        <v>1716.85</v>
      </c>
      <c r="M1778">
        <f>6811.26</f>
        <v>6811.26</v>
      </c>
      <c r="N1778">
        <f>311.501</f>
        <v>311.50099999999998</v>
      </c>
      <c r="O1778">
        <f>2519.54</f>
        <v>2519.54</v>
      </c>
      <c r="P1778">
        <f>200.88</f>
        <v>200.88</v>
      </c>
      <c r="Q1778">
        <f>2067.75</f>
        <v>2067.75</v>
      </c>
      <c r="R1778">
        <f>4150.11</f>
        <v>4150.1099999999997</v>
      </c>
      <c r="S1778">
        <f>1909.12</f>
        <v>1909.12</v>
      </c>
      <c r="T1778">
        <f>3864.329</f>
        <v>3864.3290000000002</v>
      </c>
      <c r="U1778">
        <f>53680.43</f>
        <v>53680.43</v>
      </c>
      <c r="V1778">
        <f>328.45</f>
        <v>328.45</v>
      </c>
    </row>
    <row r="1779" spans="1:22" x14ac:dyDescent="0.2">
      <c r="A1779" s="1">
        <v>42618</v>
      </c>
      <c r="B1779">
        <f>2891.97</f>
        <v>2891.97</v>
      </c>
      <c r="C1779">
        <f>8139.06</f>
        <v>8139.06</v>
      </c>
      <c r="D1779">
        <f>5564.21</f>
        <v>5564.21</v>
      </c>
      <c r="E1779">
        <f>1919.035</f>
        <v>1919.0350000000001</v>
      </c>
      <c r="F1779">
        <f>1693.53</f>
        <v>1693.53</v>
      </c>
      <c r="G1779">
        <f>7474.888</f>
        <v>7474.8879999999999</v>
      </c>
      <c r="H1779">
        <f>2838.11</f>
        <v>2838.11</v>
      </c>
      <c r="I1779">
        <f>8297.871</f>
        <v>8297.8709999999992</v>
      </c>
      <c r="J1779">
        <f>3194.59</f>
        <v>3194.59</v>
      </c>
      <c r="K1779">
        <f>8600.72</f>
        <v>8600.7199999999993</v>
      </c>
      <c r="L1779">
        <f>1705.78</f>
        <v>1705.78</v>
      </c>
      <c r="M1779">
        <f>6777.82</f>
        <v>6777.82</v>
      </c>
      <c r="N1779">
        <f>311.684</f>
        <v>311.68400000000003</v>
      </c>
      <c r="O1779">
        <f>2529.61</f>
        <v>2529.61</v>
      </c>
      <c r="P1779">
        <f>199.33</f>
        <v>199.33</v>
      </c>
      <c r="Q1779" t="e">
        <f>NA()</f>
        <v>#N/A</v>
      </c>
      <c r="R1779" t="e">
        <f>NA()</f>
        <v>#N/A</v>
      </c>
      <c r="S1779">
        <f>1896.8</f>
        <v>1896.8</v>
      </c>
      <c r="T1779">
        <f>3827.62</f>
        <v>3827.62</v>
      </c>
      <c r="U1779">
        <f>53622</f>
        <v>53622</v>
      </c>
      <c r="V1779">
        <f>326.21</f>
        <v>326.20999999999998</v>
      </c>
    </row>
    <row r="1780" spans="1:22" x14ac:dyDescent="0.2">
      <c r="A1780" s="1">
        <v>42615</v>
      </c>
      <c r="B1780">
        <f>2894.57</f>
        <v>2894.57</v>
      </c>
      <c r="C1780">
        <f>8033.83</f>
        <v>8033.83</v>
      </c>
      <c r="D1780">
        <f>5576.49</f>
        <v>5576.49</v>
      </c>
      <c r="E1780">
        <f>1897.886</f>
        <v>1897.886</v>
      </c>
      <c r="F1780">
        <f>1697.99</f>
        <v>1697.99</v>
      </c>
      <c r="G1780">
        <f>7500.914</f>
        <v>7500.9139999999998</v>
      </c>
      <c r="H1780">
        <f>2803.05</f>
        <v>2803.05</v>
      </c>
      <c r="I1780">
        <f>8297.84</f>
        <v>8297.84</v>
      </c>
      <c r="J1780">
        <f>3194.59</f>
        <v>3194.59</v>
      </c>
      <c r="K1780">
        <f>8600.72</f>
        <v>8600.7199999999993</v>
      </c>
      <c r="L1780">
        <f>1704.02</f>
        <v>1704.02</v>
      </c>
      <c r="M1780">
        <f>6766.88</f>
        <v>6766.88</v>
      </c>
      <c r="N1780">
        <f>311.318</f>
        <v>311.31799999999998</v>
      </c>
      <c r="O1780">
        <f>2527.14</f>
        <v>2527.14</v>
      </c>
      <c r="P1780">
        <f>198.81</f>
        <v>198.81</v>
      </c>
      <c r="Q1780">
        <f>2065.03</f>
        <v>2065.0300000000002</v>
      </c>
      <c r="R1780">
        <f>4137.7</f>
        <v>4137.7</v>
      </c>
      <c r="S1780">
        <f>1892.45</f>
        <v>1892.45</v>
      </c>
      <c r="T1780">
        <f>3826.842</f>
        <v>3826.8420000000001</v>
      </c>
      <c r="U1780">
        <f>53500.07</f>
        <v>53500.07</v>
      </c>
      <c r="V1780">
        <f>325.36</f>
        <v>325.36</v>
      </c>
    </row>
    <row r="1781" spans="1:22" x14ac:dyDescent="0.2">
      <c r="A1781" s="1">
        <v>42614</v>
      </c>
      <c r="B1781">
        <f>2837.96</f>
        <v>2837.96</v>
      </c>
      <c r="C1781">
        <f>7953.02</f>
        <v>7953.02</v>
      </c>
      <c r="D1781">
        <f>5456.28</f>
        <v>5456.28</v>
      </c>
      <c r="E1781">
        <f>1878.957</f>
        <v>1878.9570000000001</v>
      </c>
      <c r="F1781">
        <f>1659.9</f>
        <v>1659.9</v>
      </c>
      <c r="G1781">
        <f>7332.536</f>
        <v>7332.5360000000001</v>
      </c>
      <c r="H1781">
        <f>2824.99</f>
        <v>2824.99</v>
      </c>
      <c r="I1781">
        <f>8176.018</f>
        <v>8176.018</v>
      </c>
      <c r="J1781">
        <f>3180.68</f>
        <v>3180.68</v>
      </c>
      <c r="K1781">
        <f>8562.86</f>
        <v>8562.86</v>
      </c>
      <c r="L1781">
        <f>1686.45</f>
        <v>1686.45</v>
      </c>
      <c r="M1781">
        <f>6723.5</f>
        <v>6723.5</v>
      </c>
      <c r="N1781">
        <f>304.127</f>
        <v>304.12700000000001</v>
      </c>
      <c r="O1781">
        <f>2475.17</f>
        <v>2475.17</v>
      </c>
      <c r="P1781">
        <f>198.7</f>
        <v>198.7</v>
      </c>
      <c r="Q1781">
        <f>2055.45</f>
        <v>2055.4499999999998</v>
      </c>
      <c r="R1781">
        <f>4120.17</f>
        <v>4120.17</v>
      </c>
      <c r="S1781">
        <f>1887.67</f>
        <v>1887.67</v>
      </c>
      <c r="T1781">
        <f>3747.844</f>
        <v>3747.8440000000001</v>
      </c>
      <c r="U1781">
        <f>52631.33</f>
        <v>52631.33</v>
      </c>
      <c r="V1781">
        <f>318.04</f>
        <v>318.04000000000002</v>
      </c>
    </row>
    <row r="1782" spans="1:22" x14ac:dyDescent="0.2">
      <c r="A1782" s="1">
        <v>42613</v>
      </c>
      <c r="B1782">
        <f>2843.13</f>
        <v>2843.13</v>
      </c>
      <c r="C1782">
        <f>7972.32</f>
        <v>7972.32</v>
      </c>
      <c r="D1782">
        <f>5483.94</f>
        <v>5483.94</v>
      </c>
      <c r="E1782">
        <f>1883.798</f>
        <v>1883.798</v>
      </c>
      <c r="F1782">
        <f>1648.29</f>
        <v>1648.29</v>
      </c>
      <c r="G1782">
        <f>7255.053</f>
        <v>7255.0529999999999</v>
      </c>
      <c r="H1782">
        <f>2805.92</f>
        <v>2805.92</v>
      </c>
      <c r="I1782">
        <f>8157.603</f>
        <v>8157.6030000000001</v>
      </c>
      <c r="J1782">
        <f>3176.87</f>
        <v>3176.87</v>
      </c>
      <c r="K1782">
        <f>8560.96</f>
        <v>8560.9599999999991</v>
      </c>
      <c r="L1782">
        <f>1683.57</f>
        <v>1683.57</v>
      </c>
      <c r="M1782">
        <f>6707.42</f>
        <v>6707.42</v>
      </c>
      <c r="N1782">
        <f>303.428</f>
        <v>303.428</v>
      </c>
      <c r="O1782">
        <f>2477.7</f>
        <v>2477.6999999999998</v>
      </c>
      <c r="P1782">
        <f>195.95</f>
        <v>195.95</v>
      </c>
      <c r="Q1782">
        <f>2056.61</f>
        <v>2056.61</v>
      </c>
      <c r="R1782">
        <f>4120.29</f>
        <v>4120.29</v>
      </c>
      <c r="S1782">
        <f>1876.6</f>
        <v>1876.6</v>
      </c>
      <c r="T1782">
        <f>3787.522</f>
        <v>3787.5219999999999</v>
      </c>
      <c r="U1782">
        <f>52733.12</f>
        <v>52733.120000000003</v>
      </c>
      <c r="V1782">
        <f>320.71</f>
        <v>320.70999999999998</v>
      </c>
    </row>
    <row r="1783" spans="1:22" x14ac:dyDescent="0.2">
      <c r="A1783" s="1">
        <v>42612</v>
      </c>
      <c r="B1783">
        <f>2858.69</f>
        <v>2858.69</v>
      </c>
      <c r="C1783">
        <f>8041.76</f>
        <v>8041.76</v>
      </c>
      <c r="D1783">
        <f>5515.7</f>
        <v>5515.7</v>
      </c>
      <c r="E1783">
        <f>1894.608</f>
        <v>1894.6079999999999</v>
      </c>
      <c r="F1783">
        <f>1667.69</f>
        <v>1667.69</v>
      </c>
      <c r="G1783">
        <f>7297.262</f>
        <v>7297.2619999999997</v>
      </c>
      <c r="H1783">
        <f>2793.97</f>
        <v>2793.97</v>
      </c>
      <c r="I1783">
        <f>8193.08</f>
        <v>8193.08</v>
      </c>
      <c r="J1783">
        <f>3181.83</f>
        <v>3181.83</v>
      </c>
      <c r="K1783">
        <f>8578.75</f>
        <v>8578.75</v>
      </c>
      <c r="L1783">
        <f>1689.06</f>
        <v>1689.06</v>
      </c>
      <c r="M1783">
        <f>6722.66</f>
        <v>6722.66</v>
      </c>
      <c r="N1783">
        <f>304.883</f>
        <v>304.88299999999998</v>
      </c>
      <c r="O1783">
        <f>2485.66</f>
        <v>2485.66</v>
      </c>
      <c r="P1783">
        <f>194.39</f>
        <v>194.39</v>
      </c>
      <c r="Q1783">
        <f>2062.9</f>
        <v>2062.9</v>
      </c>
      <c r="R1783">
        <f>4129.34</f>
        <v>4129.34</v>
      </c>
      <c r="S1783">
        <f>1852.99</f>
        <v>1852.99</v>
      </c>
      <c r="T1783">
        <f>3862.562</f>
        <v>3862.5619999999999</v>
      </c>
      <c r="U1783">
        <f>53448.69</f>
        <v>53448.69</v>
      </c>
      <c r="V1783">
        <f>326.77</f>
        <v>326.77</v>
      </c>
    </row>
    <row r="1784" spans="1:22" x14ac:dyDescent="0.2">
      <c r="A1784" s="1">
        <v>42611</v>
      </c>
      <c r="B1784">
        <f>2877.27</f>
        <v>2877.27</v>
      </c>
      <c r="C1784">
        <f>8025.99</f>
        <v>8025.99</v>
      </c>
      <c r="D1784">
        <f>5529.66</f>
        <v>5529.66</v>
      </c>
      <c r="E1784">
        <f>1888.322</f>
        <v>1888.3219999999999</v>
      </c>
      <c r="F1784">
        <f>1685.1</f>
        <v>1685.1</v>
      </c>
      <c r="G1784">
        <f>7306.295</f>
        <v>7306.2950000000001</v>
      </c>
      <c r="H1784">
        <f>2811.23</f>
        <v>2811.23</v>
      </c>
      <c r="I1784">
        <f>8150.932</f>
        <v>8150.9319999999998</v>
      </c>
      <c r="J1784">
        <f>3194.07</f>
        <v>3194.07</v>
      </c>
      <c r="K1784">
        <f>8594.44</f>
        <v>8594.44</v>
      </c>
      <c r="L1784">
        <f>1692.47</f>
        <v>1692.47</v>
      </c>
      <c r="M1784">
        <f>6729.49</f>
        <v>6729.49</v>
      </c>
      <c r="N1784">
        <f>305.166</f>
        <v>305.166</v>
      </c>
      <c r="O1784">
        <f>2474.22</f>
        <v>2474.2199999999998</v>
      </c>
      <c r="P1784">
        <f>193.85</f>
        <v>193.85</v>
      </c>
      <c r="Q1784">
        <f>2068.7</f>
        <v>2068.6999999999998</v>
      </c>
      <c r="R1784">
        <f>4136.75</f>
        <v>4136.75</v>
      </c>
      <c r="S1784">
        <f>1853.6</f>
        <v>1853.6</v>
      </c>
      <c r="T1784">
        <f>3871.652</f>
        <v>3871.652</v>
      </c>
      <c r="U1784">
        <f>53563.93</f>
        <v>53563.93</v>
      </c>
      <c r="V1784">
        <f>328.09</f>
        <v>328.09</v>
      </c>
    </row>
    <row r="1785" spans="1:22" x14ac:dyDescent="0.2">
      <c r="A1785" s="1">
        <v>42608</v>
      </c>
      <c r="B1785">
        <f>2877.27</f>
        <v>2877.27</v>
      </c>
      <c r="C1785">
        <f>8107.57</f>
        <v>8107.57</v>
      </c>
      <c r="D1785">
        <f>5529.66</f>
        <v>5529.66</v>
      </c>
      <c r="E1785">
        <f>1899.705</f>
        <v>1899.7049999999999</v>
      </c>
      <c r="F1785">
        <f>1701.73</f>
        <v>1701.73</v>
      </c>
      <c r="G1785">
        <f>7378.38</f>
        <v>7378.38</v>
      </c>
      <c r="H1785">
        <f>2787.81</f>
        <v>2787.81</v>
      </c>
      <c r="I1785">
        <f>8251.946</f>
        <v>8251.9459999999999</v>
      </c>
      <c r="J1785">
        <f>3173.35</f>
        <v>3173.35</v>
      </c>
      <c r="K1785">
        <f>8549</f>
        <v>8549</v>
      </c>
      <c r="L1785">
        <f>1695.46</f>
        <v>1695.46</v>
      </c>
      <c r="M1785">
        <f>6730.35</f>
        <v>6730.35</v>
      </c>
      <c r="N1785">
        <f>305.195</f>
        <v>305.19499999999999</v>
      </c>
      <c r="O1785">
        <f>2479.34</f>
        <v>2479.34</v>
      </c>
      <c r="P1785">
        <f>191.12</f>
        <v>191.12</v>
      </c>
      <c r="Q1785">
        <f>2052.5</f>
        <v>2052.5</v>
      </c>
      <c r="R1785">
        <f>4114.68</f>
        <v>4114.68</v>
      </c>
      <c r="S1785">
        <f>1817.31</f>
        <v>1817.31</v>
      </c>
      <c r="T1785">
        <f>3890.399</f>
        <v>3890.3989999999999</v>
      </c>
      <c r="U1785">
        <f>53506.62</f>
        <v>53506.62</v>
      </c>
      <c r="V1785">
        <f>329.67</f>
        <v>329.67</v>
      </c>
    </row>
    <row r="1786" spans="1:22" x14ac:dyDescent="0.2">
      <c r="A1786" s="1">
        <v>42607</v>
      </c>
      <c r="B1786">
        <f>2868.36</f>
        <v>2868.36</v>
      </c>
      <c r="C1786">
        <f>8070.35</f>
        <v>8070.35</v>
      </c>
      <c r="D1786">
        <f>5512.56</f>
        <v>5512.56</v>
      </c>
      <c r="E1786">
        <f>1892.627</f>
        <v>1892.627</v>
      </c>
      <c r="F1786">
        <f>1688.99</f>
        <v>1688.99</v>
      </c>
      <c r="G1786">
        <f>7347.274</f>
        <v>7347.2740000000003</v>
      </c>
      <c r="H1786">
        <f>2823.78</f>
        <v>2823.78</v>
      </c>
      <c r="I1786">
        <f>8207.511</f>
        <v>8207.5110000000004</v>
      </c>
      <c r="J1786">
        <f>3185.15</f>
        <v>3185.15</v>
      </c>
      <c r="K1786">
        <f>8562.2</f>
        <v>8562.2000000000007</v>
      </c>
      <c r="L1786">
        <f>1697.21</f>
        <v>1697.21</v>
      </c>
      <c r="M1786">
        <f>6734.95</f>
        <v>6734.95</v>
      </c>
      <c r="N1786">
        <f>303.615</f>
        <v>303.61500000000001</v>
      </c>
      <c r="O1786">
        <f>2464.84</f>
        <v>2464.84</v>
      </c>
      <c r="P1786">
        <f>193.2</f>
        <v>193.2</v>
      </c>
      <c r="Q1786">
        <f>2059.51</f>
        <v>2059.5100000000002</v>
      </c>
      <c r="R1786">
        <f>4121.09</f>
        <v>4121.09</v>
      </c>
      <c r="S1786">
        <f>1840.41</f>
        <v>1840.41</v>
      </c>
      <c r="T1786">
        <f>3881.439</f>
        <v>3881.4389999999999</v>
      </c>
      <c r="U1786">
        <f>53482.88</f>
        <v>53482.879999999997</v>
      </c>
      <c r="V1786">
        <f>328.92</f>
        <v>328.92</v>
      </c>
    </row>
    <row r="1787" spans="1:22" x14ac:dyDescent="0.2">
      <c r="A1787" s="1">
        <v>42606</v>
      </c>
      <c r="B1787">
        <f>2882.26</f>
        <v>2882.26</v>
      </c>
      <c r="C1787">
        <f>8052.59</f>
        <v>8052.59</v>
      </c>
      <c r="D1787">
        <f>5526.03</f>
        <v>5526.03</v>
      </c>
      <c r="E1787">
        <f>1889.782</f>
        <v>1889.7819999999999</v>
      </c>
      <c r="F1787">
        <f>1706.1</f>
        <v>1706.1</v>
      </c>
      <c r="G1787">
        <f>7401.332</f>
        <v>7401.3320000000003</v>
      </c>
      <c r="H1787">
        <f>2823.35</f>
        <v>2823.35</v>
      </c>
      <c r="I1787">
        <f>8244.033</f>
        <v>8244.0329999999994</v>
      </c>
      <c r="J1787">
        <f>3184.94</f>
        <v>3184.94</v>
      </c>
      <c r="K1787">
        <f>8572.91</f>
        <v>8572.91</v>
      </c>
      <c r="L1787">
        <f>1700.1</f>
        <v>1700.1</v>
      </c>
      <c r="M1787">
        <f>6749.75</f>
        <v>6749.75</v>
      </c>
      <c r="N1787">
        <f>305.996</f>
        <v>305.99599999999998</v>
      </c>
      <c r="O1787">
        <f>2484.41</f>
        <v>2484.41</v>
      </c>
      <c r="P1787">
        <f>192.43</f>
        <v>192.43</v>
      </c>
      <c r="Q1787">
        <f>2061.76</f>
        <v>2061.7600000000002</v>
      </c>
      <c r="R1787">
        <f>4126.65</f>
        <v>4126.6499999999996</v>
      </c>
      <c r="S1787">
        <f>1843.85</f>
        <v>1843.85</v>
      </c>
      <c r="T1787">
        <f>3890.295</f>
        <v>3890.2950000000001</v>
      </c>
      <c r="U1787">
        <f>53562.8</f>
        <v>53562.8</v>
      </c>
      <c r="V1787">
        <f>329.61</f>
        <v>329.61</v>
      </c>
    </row>
    <row r="1788" spans="1:22" x14ac:dyDescent="0.2">
      <c r="A1788" s="1">
        <v>42605</v>
      </c>
      <c r="B1788">
        <f>2894.95</f>
        <v>2894.95</v>
      </c>
      <c r="C1788">
        <f>8172.1</f>
        <v>8172.1</v>
      </c>
      <c r="D1788">
        <f>5552.49</f>
        <v>5552.49</v>
      </c>
      <c r="E1788">
        <f>1909.99</f>
        <v>1909.99</v>
      </c>
      <c r="F1788">
        <f>1707.32</f>
        <v>1707.32</v>
      </c>
      <c r="G1788">
        <f>7401.486</f>
        <v>7401.4859999999999</v>
      </c>
      <c r="H1788">
        <f>2811.03</f>
        <v>2811.03</v>
      </c>
      <c r="I1788">
        <f>8276.309</f>
        <v>8276.3089999999993</v>
      </c>
      <c r="J1788">
        <f>3193.98</f>
        <v>3193.98</v>
      </c>
      <c r="K1788">
        <f>8619.06</f>
        <v>8619.06</v>
      </c>
      <c r="L1788">
        <f>1706.47</f>
        <v>1706.47</v>
      </c>
      <c r="M1788">
        <f>6778.11</f>
        <v>6778.11</v>
      </c>
      <c r="N1788">
        <f>305.257</f>
        <v>305.25700000000001</v>
      </c>
      <c r="O1788">
        <f>2476.64</f>
        <v>2476.64</v>
      </c>
      <c r="P1788">
        <f>191.25</f>
        <v>191.25</v>
      </c>
      <c r="Q1788">
        <f>2071.55</f>
        <v>2071.5500000000002</v>
      </c>
      <c r="R1788">
        <f>4148.16</f>
        <v>4148.16</v>
      </c>
      <c r="S1788">
        <f>1830.94</f>
        <v>1830.94</v>
      </c>
      <c r="T1788">
        <f>3962.444</f>
        <v>3962.444</v>
      </c>
      <c r="U1788">
        <f>52957.8</f>
        <v>52957.8</v>
      </c>
      <c r="V1788">
        <f>335.29</f>
        <v>335.29</v>
      </c>
    </row>
    <row r="1789" spans="1:22" x14ac:dyDescent="0.2">
      <c r="A1789" s="1">
        <v>42604</v>
      </c>
      <c r="B1789">
        <f>2868.61</f>
        <v>2868.61</v>
      </c>
      <c r="C1789">
        <f>8144.79</f>
        <v>8144.79</v>
      </c>
      <c r="D1789">
        <f>5520.18</f>
        <v>5520.18</v>
      </c>
      <c r="E1789">
        <f>1905.086</f>
        <v>1905.086</v>
      </c>
      <c r="F1789">
        <f>1682.24</f>
        <v>1682.24</v>
      </c>
      <c r="G1789">
        <f>7336.745</f>
        <v>7336.7449999999999</v>
      </c>
      <c r="H1789">
        <f>2834.2</f>
        <v>2834.2</v>
      </c>
      <c r="I1789">
        <f>8208.072</f>
        <v>8208.0720000000001</v>
      </c>
      <c r="J1789">
        <f>3188.55</f>
        <v>3188.55</v>
      </c>
      <c r="K1789">
        <f>8601.67</f>
        <v>8601.67</v>
      </c>
      <c r="L1789">
        <f>1700.19</f>
        <v>1700.19</v>
      </c>
      <c r="M1789">
        <f>6754.72</f>
        <v>6754.72</v>
      </c>
      <c r="N1789">
        <f>303.006</f>
        <v>303.00599999999997</v>
      </c>
      <c r="O1789">
        <f>2453.5</f>
        <v>2453.5</v>
      </c>
      <c r="P1789">
        <f>191.77</f>
        <v>191.77</v>
      </c>
      <c r="Q1789">
        <f>2068.23</f>
        <v>2068.23</v>
      </c>
      <c r="R1789">
        <f>4139.97</f>
        <v>4139.97</v>
      </c>
      <c r="S1789">
        <f>1839.58</f>
        <v>1839.58</v>
      </c>
      <c r="T1789">
        <f>3955.472</f>
        <v>3955.4720000000002</v>
      </c>
      <c r="U1789">
        <f>52828.93</f>
        <v>52828.93</v>
      </c>
      <c r="V1789">
        <f>334.06</f>
        <v>334.06</v>
      </c>
    </row>
    <row r="1790" spans="1:22" x14ac:dyDescent="0.2">
      <c r="A1790" s="1">
        <v>42601</v>
      </c>
      <c r="B1790">
        <f>2874.73</f>
        <v>2874.73</v>
      </c>
      <c r="C1790">
        <f>8188.17</f>
        <v>8188.17</v>
      </c>
      <c r="D1790">
        <f>5544.76</f>
        <v>5544.76</v>
      </c>
      <c r="E1790">
        <f>1917.926</f>
        <v>1917.9259999999999</v>
      </c>
      <c r="F1790">
        <f>1678.97</f>
        <v>1678.97</v>
      </c>
      <c r="G1790">
        <f>7316.591</f>
        <v>7316.5910000000003</v>
      </c>
      <c r="H1790">
        <f>2822.55</f>
        <v>2822.55</v>
      </c>
      <c r="I1790">
        <f>8208.235</f>
        <v>8208.2350000000006</v>
      </c>
      <c r="J1790">
        <f>3191.03</f>
        <v>3191.03</v>
      </c>
      <c r="K1790">
        <f>8604.11</f>
        <v>8604.11</v>
      </c>
      <c r="L1790">
        <f>1700.04</f>
        <v>1700.04</v>
      </c>
      <c r="M1790">
        <f>6751.59</f>
        <v>6751.59</v>
      </c>
      <c r="N1790">
        <f>302.23</f>
        <v>302.23</v>
      </c>
      <c r="O1790">
        <f>2453.08</f>
        <v>2453.08</v>
      </c>
      <c r="P1790">
        <f>190</f>
        <v>190</v>
      </c>
      <c r="Q1790">
        <f>2068.19</f>
        <v>2068.19</v>
      </c>
      <c r="R1790">
        <f>4142.23</f>
        <v>4142.2299999999996</v>
      </c>
      <c r="S1790">
        <f>1828.27</f>
        <v>1828.27</v>
      </c>
      <c r="T1790">
        <f>3961.862</f>
        <v>3961.8620000000001</v>
      </c>
      <c r="U1790">
        <f>52771.95</f>
        <v>52771.95</v>
      </c>
      <c r="V1790">
        <f>336.22</f>
        <v>336.22</v>
      </c>
    </row>
    <row r="1791" spans="1:22" x14ac:dyDescent="0.2">
      <c r="A1791" s="1">
        <v>42600</v>
      </c>
      <c r="B1791">
        <f>2880.85</f>
        <v>2880.85</v>
      </c>
      <c r="C1791">
        <f>8263.31</f>
        <v>8263.31</v>
      </c>
      <c r="D1791">
        <f>5552.85</f>
        <v>5552.85</v>
      </c>
      <c r="E1791">
        <f>1930.696</f>
        <v>1930.6959999999999</v>
      </c>
      <c r="F1791">
        <f>1701.71</f>
        <v>1701.71</v>
      </c>
      <c r="G1791">
        <f>7387.827</f>
        <v>7387.8270000000002</v>
      </c>
      <c r="H1791">
        <f>2794.25</f>
        <v>2794.25</v>
      </c>
      <c r="I1791">
        <f>8271.611</f>
        <v>8271.6110000000008</v>
      </c>
      <c r="J1791">
        <f>3203.66</f>
        <v>3203.66</v>
      </c>
      <c r="K1791">
        <f>8614.95</f>
        <v>8614.9500000000007</v>
      </c>
      <c r="L1791">
        <f>1709.79</f>
        <v>1709.79</v>
      </c>
      <c r="M1791">
        <f>6770.36</f>
        <v>6770.36</v>
      </c>
      <c r="N1791">
        <f>304.131</f>
        <v>304.13099999999997</v>
      </c>
      <c r="O1791">
        <f>2471.48</f>
        <v>2471.48</v>
      </c>
      <c r="P1791">
        <f>190.39</f>
        <v>190.39</v>
      </c>
      <c r="Q1791">
        <f>2069.76</f>
        <v>2069.7600000000002</v>
      </c>
      <c r="R1791">
        <f>4147.64</f>
        <v>4147.6400000000003</v>
      </c>
      <c r="S1791">
        <f>1821.39</f>
        <v>1821.39</v>
      </c>
      <c r="T1791">
        <f>3982.869</f>
        <v>3982.8690000000001</v>
      </c>
      <c r="U1791">
        <f>52989.66</f>
        <v>52989.66</v>
      </c>
      <c r="V1791">
        <f>339.14</f>
        <v>339.14</v>
      </c>
    </row>
    <row r="1792" spans="1:22" x14ac:dyDescent="0.2">
      <c r="A1792" s="1">
        <v>42599</v>
      </c>
      <c r="B1792">
        <f>2865.05</f>
        <v>2865.05</v>
      </c>
      <c r="C1792">
        <f>8208.1</f>
        <v>8208.1</v>
      </c>
      <c r="D1792">
        <f>5538.61</f>
        <v>5538.61</v>
      </c>
      <c r="E1792">
        <f>1916.177</f>
        <v>1916.1769999999999</v>
      </c>
      <c r="F1792">
        <f>1669.4</f>
        <v>1669.4</v>
      </c>
      <c r="G1792">
        <f>7283.192</f>
        <v>7283.192</v>
      </c>
      <c r="H1792">
        <f>2832.58</f>
        <v>2832.58</v>
      </c>
      <c r="I1792">
        <f>8183.348</f>
        <v>8183.348</v>
      </c>
      <c r="J1792">
        <f>3192.73</f>
        <v>3192.73</v>
      </c>
      <c r="K1792">
        <f>8595.28</f>
        <v>8595.2800000000007</v>
      </c>
      <c r="L1792">
        <f>1699.83</f>
        <v>1699.83</v>
      </c>
      <c r="M1792">
        <f>6749.46</f>
        <v>6749.46</v>
      </c>
      <c r="N1792">
        <f>302.51</f>
        <v>302.51</v>
      </c>
      <c r="O1792">
        <f>2455.87</f>
        <v>2455.87</v>
      </c>
      <c r="P1792">
        <f>192.62</f>
        <v>192.62</v>
      </c>
      <c r="Q1792">
        <f>2065.72</f>
        <v>2065.7199999999998</v>
      </c>
      <c r="R1792">
        <f>4138.42</f>
        <v>4138.42</v>
      </c>
      <c r="S1792">
        <f>1850.08</f>
        <v>1850.08</v>
      </c>
      <c r="T1792">
        <f>3955.759</f>
        <v>3955.759</v>
      </c>
      <c r="U1792">
        <f>52309.7</f>
        <v>52309.7</v>
      </c>
      <c r="V1792">
        <f>335.85</f>
        <v>335.85</v>
      </c>
    </row>
    <row r="1793" spans="1:22" x14ac:dyDescent="0.2">
      <c r="A1793" s="1">
        <v>42598</v>
      </c>
      <c r="B1793">
        <f>2884.03</f>
        <v>2884.03</v>
      </c>
      <c r="C1793">
        <f>8268.42</f>
        <v>8268.42</v>
      </c>
      <c r="D1793">
        <f>5566.69</f>
        <v>5566.69</v>
      </c>
      <c r="E1793">
        <f>1928.64</f>
        <v>1928.64</v>
      </c>
      <c r="F1793">
        <f>1677.4</f>
        <v>1677.4</v>
      </c>
      <c r="G1793">
        <f>7295.241</f>
        <v>7295.241</v>
      </c>
      <c r="H1793">
        <f>2780.57</f>
        <v>2780.57</v>
      </c>
      <c r="I1793">
        <f>8257.14</f>
        <v>8257.14</v>
      </c>
      <c r="J1793">
        <f>3183.62</f>
        <v>3183.62</v>
      </c>
      <c r="K1793">
        <f>8579.38</f>
        <v>8579.3799999999992</v>
      </c>
      <c r="L1793">
        <f>1699.45</f>
        <v>1699.45</v>
      </c>
      <c r="M1793">
        <f>6745.1</f>
        <v>6745.1</v>
      </c>
      <c r="N1793">
        <f>304.191</f>
        <v>304.19099999999997</v>
      </c>
      <c r="O1793">
        <f>2477.32</f>
        <v>2477.3200000000002</v>
      </c>
      <c r="P1793">
        <f>190.1</f>
        <v>190.1</v>
      </c>
      <c r="Q1793">
        <f>2065.52</f>
        <v>2065.52</v>
      </c>
      <c r="R1793">
        <f>4129.68</f>
        <v>4129.68</v>
      </c>
      <c r="S1793">
        <f>1832.2</f>
        <v>1832.2</v>
      </c>
      <c r="T1793">
        <f>3994.482</f>
        <v>3994.482</v>
      </c>
      <c r="U1793">
        <f>52396.4</f>
        <v>52396.4</v>
      </c>
      <c r="V1793">
        <f>340.54</f>
        <v>340.54</v>
      </c>
    </row>
    <row r="1794" spans="1:22" x14ac:dyDescent="0.2">
      <c r="A1794" s="1">
        <v>42597</v>
      </c>
      <c r="B1794">
        <f>2903.8</f>
        <v>2903.8</v>
      </c>
      <c r="C1794">
        <f>8293.01</f>
        <v>8293.01</v>
      </c>
      <c r="D1794">
        <f>5604.85</f>
        <v>5604.85</v>
      </c>
      <c r="E1794">
        <f>1929.198</f>
        <v>1929.1980000000001</v>
      </c>
      <c r="F1794">
        <f>1673.21</f>
        <v>1673.21</v>
      </c>
      <c r="G1794">
        <f>7295.816</f>
        <v>7295.8159999999998</v>
      </c>
      <c r="H1794">
        <f>2797.31</f>
        <v>2797.31</v>
      </c>
      <c r="I1794">
        <f>8284.316</f>
        <v>8284.3160000000007</v>
      </c>
      <c r="J1794">
        <f>3204.47</f>
        <v>3204.47</v>
      </c>
      <c r="K1794">
        <f>8626.68</f>
        <v>8626.68</v>
      </c>
      <c r="L1794">
        <f>1707.69</f>
        <v>1707.69</v>
      </c>
      <c r="M1794">
        <f>6777.43</f>
        <v>6777.43</v>
      </c>
      <c r="N1794">
        <f>306.51</f>
        <v>306.51</v>
      </c>
      <c r="O1794">
        <f>2494.7</f>
        <v>2494.6999999999998</v>
      </c>
      <c r="P1794">
        <f>192.4</f>
        <v>192.4</v>
      </c>
      <c r="Q1794">
        <f>2076.29</f>
        <v>2076.29</v>
      </c>
      <c r="R1794">
        <f>4151.69</f>
        <v>4151.6899999999996</v>
      </c>
      <c r="S1794">
        <f>1857.82</f>
        <v>1857.82</v>
      </c>
      <c r="T1794">
        <f>4039.568</f>
        <v>4039.5680000000002</v>
      </c>
      <c r="U1794">
        <f>52397.97</f>
        <v>52397.97</v>
      </c>
      <c r="V1794">
        <f>343.24</f>
        <v>343.24</v>
      </c>
    </row>
    <row r="1795" spans="1:22" x14ac:dyDescent="0.2">
      <c r="A1795" s="1">
        <v>42594</v>
      </c>
      <c r="B1795">
        <f>2900.03</f>
        <v>2900.03</v>
      </c>
      <c r="C1795">
        <f>8222.5</f>
        <v>8222.5</v>
      </c>
      <c r="D1795">
        <f>5584.53</f>
        <v>5584.53</v>
      </c>
      <c r="E1795">
        <f>1916.306</f>
        <v>1916.306</v>
      </c>
      <c r="F1795">
        <f>1669.66</f>
        <v>1669.66</v>
      </c>
      <c r="G1795">
        <f>7302.864</f>
        <v>7302.8639999999996</v>
      </c>
      <c r="H1795">
        <f>2810.83</f>
        <v>2810.83</v>
      </c>
      <c r="I1795">
        <f>8259.255</f>
        <v>8259.2549999999992</v>
      </c>
      <c r="J1795">
        <f>3201.85</f>
        <v>3201.85</v>
      </c>
      <c r="K1795">
        <f>8600.48</f>
        <v>8600.48</v>
      </c>
      <c r="L1795">
        <f>1705.97</f>
        <v>1705.97</v>
      </c>
      <c r="M1795">
        <f>6763.84</f>
        <v>6763.84</v>
      </c>
      <c r="N1795">
        <f>306.928</f>
        <v>306.928</v>
      </c>
      <c r="O1795">
        <f>2495.1</f>
        <v>2495.1</v>
      </c>
      <c r="P1795">
        <f>193.36</f>
        <v>193.36</v>
      </c>
      <c r="Q1795">
        <f>2073.41</f>
        <v>2073.41</v>
      </c>
      <c r="R1795">
        <f>4139.63</f>
        <v>4139.63</v>
      </c>
      <c r="S1795">
        <f>1867.11</f>
        <v>1867.11</v>
      </c>
      <c r="T1795">
        <f>4052.133</f>
        <v>4052.1329999999998</v>
      </c>
      <c r="U1795">
        <f>52806.5</f>
        <v>52806.5</v>
      </c>
      <c r="V1795">
        <f>343.66</f>
        <v>343.66</v>
      </c>
    </row>
    <row r="1796" spans="1:22" x14ac:dyDescent="0.2">
      <c r="A1796" s="1">
        <v>42593</v>
      </c>
      <c r="B1796">
        <f>2885.99</f>
        <v>2885.99</v>
      </c>
      <c r="C1796">
        <f>8214.32</f>
        <v>8214.32</v>
      </c>
      <c r="D1796">
        <f>5583.47</f>
        <v>5583.47</v>
      </c>
      <c r="E1796">
        <f>1910.983</f>
        <v>1910.9829999999999</v>
      </c>
      <c r="F1796">
        <f>1682.83</f>
        <v>1682.83</v>
      </c>
      <c r="G1796">
        <f>7323.193</f>
        <v>7323.1930000000002</v>
      </c>
      <c r="H1796">
        <f>2794.89</f>
        <v>2794.89</v>
      </c>
      <c r="I1796">
        <f>8270.269</f>
        <v>8270.2690000000002</v>
      </c>
      <c r="J1796">
        <f>3203.68</f>
        <v>3203.68</v>
      </c>
      <c r="K1796">
        <f>8606.33</f>
        <v>8606.33</v>
      </c>
      <c r="L1796">
        <f>1706.73</f>
        <v>1706.73</v>
      </c>
      <c r="M1796">
        <f>6761.99</f>
        <v>6761.99</v>
      </c>
      <c r="N1796">
        <f>306.788</f>
        <v>306.78800000000001</v>
      </c>
      <c r="O1796">
        <f>2499.34</f>
        <v>2499.34</v>
      </c>
      <c r="P1796" t="e">
        <f>NA()</f>
        <v>#N/A</v>
      </c>
      <c r="Q1796">
        <f>2073.73</f>
        <v>2073.73</v>
      </c>
      <c r="R1796">
        <f>4142.72</f>
        <v>4142.72</v>
      </c>
      <c r="S1796" t="e">
        <f>NA()</f>
        <v>#N/A</v>
      </c>
      <c r="T1796">
        <f>4010.209</f>
        <v>4010.2089999999998</v>
      </c>
      <c r="U1796">
        <f>52321.78</f>
        <v>52321.78</v>
      </c>
      <c r="V1796">
        <f>340.35</f>
        <v>340.35</v>
      </c>
    </row>
    <row r="1797" spans="1:22" x14ac:dyDescent="0.2">
      <c r="A1797" s="1">
        <v>42592</v>
      </c>
      <c r="B1797">
        <f>2864.41</f>
        <v>2864.41</v>
      </c>
      <c r="C1797">
        <f>8177.69</f>
        <v>8177.69</v>
      </c>
      <c r="D1797">
        <f>5515.79</f>
        <v>5515.79</v>
      </c>
      <c r="E1797">
        <f>1901.137</f>
        <v>1901.1369999999999</v>
      </c>
      <c r="F1797">
        <f>1672.43</f>
        <v>1672.43</v>
      </c>
      <c r="G1797">
        <f>7259.784</f>
        <v>7259.7839999999997</v>
      </c>
      <c r="H1797">
        <f>2796.55</f>
        <v>2796.55</v>
      </c>
      <c r="I1797">
        <f>8174.355</f>
        <v>8174.3549999999996</v>
      </c>
      <c r="J1797">
        <f>3187.39</f>
        <v>3187.39</v>
      </c>
      <c r="K1797">
        <f>8565.25</f>
        <v>8565.25</v>
      </c>
      <c r="L1797">
        <f>1693.47</f>
        <v>1693.47</v>
      </c>
      <c r="M1797">
        <f>6726.42</f>
        <v>6726.42</v>
      </c>
      <c r="N1797">
        <f>304.367</f>
        <v>304.36700000000002</v>
      </c>
      <c r="O1797">
        <f>2473.89</f>
        <v>2473.89</v>
      </c>
      <c r="P1797">
        <f>192.14</f>
        <v>192.14</v>
      </c>
      <c r="Q1797">
        <f>2064.78</f>
        <v>2064.7800000000002</v>
      </c>
      <c r="R1797">
        <f>4122.65</f>
        <v>4122.6499999999996</v>
      </c>
      <c r="S1797">
        <f>1855.27</f>
        <v>1855.27</v>
      </c>
      <c r="T1797">
        <f>4003.653</f>
        <v>4003.6529999999998</v>
      </c>
      <c r="U1797">
        <f>52218.61</f>
        <v>52218.61</v>
      </c>
      <c r="V1797">
        <f>339.46</f>
        <v>339.46</v>
      </c>
    </row>
    <row r="1798" spans="1:22" x14ac:dyDescent="0.2">
      <c r="A1798" s="1">
        <v>42591</v>
      </c>
      <c r="B1798">
        <f>2856.68</f>
        <v>2856.68</v>
      </c>
      <c r="C1798">
        <f>8138.75</f>
        <v>8138.75</v>
      </c>
      <c r="D1798">
        <f>5503.65</f>
        <v>5503.65</v>
      </c>
      <c r="E1798">
        <f>1894.206</f>
        <v>1894.2059999999999</v>
      </c>
      <c r="F1798">
        <f>1670.8</f>
        <v>1670.8</v>
      </c>
      <c r="G1798">
        <f>7231.11</f>
        <v>7231.11</v>
      </c>
      <c r="H1798">
        <f>2793.32</f>
        <v>2793.32</v>
      </c>
      <c r="I1798">
        <f>8158</f>
        <v>8158</v>
      </c>
      <c r="J1798">
        <f>3189.6</f>
        <v>3189.6</v>
      </c>
      <c r="K1798">
        <f>8587.01</f>
        <v>8587.01</v>
      </c>
      <c r="L1798">
        <f>1693.13</f>
        <v>1693.13</v>
      </c>
      <c r="M1798">
        <f>6728.96</f>
        <v>6728.96</v>
      </c>
      <c r="N1798">
        <f>306.949</f>
        <v>306.94900000000001</v>
      </c>
      <c r="O1798">
        <f>2482.26</f>
        <v>2482.2600000000002</v>
      </c>
      <c r="P1798">
        <f>192.81</f>
        <v>192.81</v>
      </c>
      <c r="Q1798">
        <f>2062.58</f>
        <v>2062.58</v>
      </c>
      <c r="R1798">
        <f>4132.96</f>
        <v>4132.96</v>
      </c>
      <c r="S1798">
        <f>1859.02</f>
        <v>1859.02</v>
      </c>
      <c r="T1798" t="e">
        <f>NA()</f>
        <v>#N/A</v>
      </c>
      <c r="U1798" t="e">
        <f>NA()</f>
        <v>#N/A</v>
      </c>
      <c r="V1798" t="e">
        <f>NA()</f>
        <v>#N/A</v>
      </c>
    </row>
    <row r="1799" spans="1:22" x14ac:dyDescent="0.2">
      <c r="A1799" s="1">
        <v>42590</v>
      </c>
      <c r="B1799">
        <f>2834.12</f>
        <v>2834.12</v>
      </c>
      <c r="C1799">
        <f>8092.16</f>
        <v>8092.16</v>
      </c>
      <c r="D1799">
        <f>5469.77</f>
        <v>5469.77</v>
      </c>
      <c r="E1799">
        <f>1885.087</f>
        <v>1885.087</v>
      </c>
      <c r="F1799">
        <f>1682.71</f>
        <v>1682.71</v>
      </c>
      <c r="G1799">
        <f>7212.523</f>
        <v>7212.5230000000001</v>
      </c>
      <c r="H1799">
        <f>2750.32</f>
        <v>2750.32</v>
      </c>
      <c r="I1799">
        <f>8022.119</f>
        <v>8022.1189999999997</v>
      </c>
      <c r="J1799">
        <f>3191.1</f>
        <v>3191.1</v>
      </c>
      <c r="K1799">
        <f>8581.63</f>
        <v>8581.6299999999992</v>
      </c>
      <c r="L1799">
        <f>1684.82</f>
        <v>1684.82</v>
      </c>
      <c r="M1799">
        <f>6695.29</f>
        <v>6695.29</v>
      </c>
      <c r="N1799">
        <f>305.453</f>
        <v>305.45299999999997</v>
      </c>
      <c r="O1799">
        <f>2458.67</f>
        <v>2458.67</v>
      </c>
      <c r="P1799">
        <f>192.71</f>
        <v>192.71</v>
      </c>
      <c r="Q1799">
        <f>2063.16</f>
        <v>2063.16</v>
      </c>
      <c r="R1799">
        <f>4131.19</f>
        <v>4131.1899999999996</v>
      </c>
      <c r="S1799">
        <f>1842.15</f>
        <v>1842.15</v>
      </c>
      <c r="T1799">
        <f>3981.308</f>
        <v>3981.308</v>
      </c>
      <c r="U1799">
        <f>52486.65</f>
        <v>52486.65</v>
      </c>
      <c r="V1799">
        <f>337.03</f>
        <v>337.03</v>
      </c>
    </row>
    <row r="1800" spans="1:22" x14ac:dyDescent="0.2">
      <c r="A1800" s="1">
        <v>42587</v>
      </c>
      <c r="B1800">
        <f>2819.93</f>
        <v>2819.93</v>
      </c>
      <c r="C1800">
        <f>7991.12</f>
        <v>7991.12</v>
      </c>
      <c r="D1800">
        <f>5457.19</f>
        <v>5457.19</v>
      </c>
      <c r="E1800">
        <f>1863.977</f>
        <v>1863.9770000000001</v>
      </c>
      <c r="F1800">
        <f>1673.55</f>
        <v>1673.55</v>
      </c>
      <c r="G1800">
        <f>7206.339</f>
        <v>7206.3389999999999</v>
      </c>
      <c r="H1800">
        <f>2702.82</f>
        <v>2702.82</v>
      </c>
      <c r="I1800">
        <f>8015.396</f>
        <v>8015.3959999999997</v>
      </c>
      <c r="J1800">
        <f>3194.31</f>
        <v>3194.31</v>
      </c>
      <c r="K1800">
        <f>8588.17</f>
        <v>8588.17</v>
      </c>
      <c r="L1800">
        <f>1682.87</f>
        <v>1682.87</v>
      </c>
      <c r="M1800">
        <f>6682.22</f>
        <v>6682.22</v>
      </c>
      <c r="N1800">
        <f>306.115</f>
        <v>306.11500000000001</v>
      </c>
      <c r="O1800">
        <f>2457.67</f>
        <v>2457.67</v>
      </c>
      <c r="P1800">
        <f>188.97</f>
        <v>188.97</v>
      </c>
      <c r="Q1800">
        <f>2063.99</f>
        <v>2063.9899999999998</v>
      </c>
      <c r="R1800">
        <f>4134.56</f>
        <v>4134.5600000000004</v>
      </c>
      <c r="S1800">
        <f>1805.99</f>
        <v>1805.99</v>
      </c>
      <c r="T1800">
        <f>3949.211</f>
        <v>3949.2109999999998</v>
      </c>
      <c r="U1800">
        <f>52348.36</f>
        <v>52348.36</v>
      </c>
      <c r="V1800">
        <f>334.77</f>
        <v>334.77</v>
      </c>
    </row>
    <row r="1801" spans="1:22" x14ac:dyDescent="0.2">
      <c r="A1801" s="1">
        <v>42586</v>
      </c>
      <c r="B1801">
        <f>2787.32</f>
        <v>2787.32</v>
      </c>
      <c r="C1801">
        <f>7911.77</f>
        <v>7911.77</v>
      </c>
      <c r="D1801">
        <f>5414.37</f>
        <v>5414.37</v>
      </c>
      <c r="E1801">
        <f>1843.718</f>
        <v>1843.7180000000001</v>
      </c>
      <c r="F1801">
        <f>1663.05</f>
        <v>1663.05</v>
      </c>
      <c r="G1801">
        <f>7186.697</f>
        <v>7186.6970000000001</v>
      </c>
      <c r="H1801">
        <f>2738.41</f>
        <v>2738.41</v>
      </c>
      <c r="I1801">
        <f>7975.47</f>
        <v>7975.47</v>
      </c>
      <c r="J1801">
        <f>3172.15</f>
        <v>3172.15</v>
      </c>
      <c r="K1801">
        <f>8518.42</f>
        <v>8518.42</v>
      </c>
      <c r="L1801">
        <f>1675.79</f>
        <v>1675.79</v>
      </c>
      <c r="M1801">
        <f>6647.05</f>
        <v>6647.05</v>
      </c>
      <c r="N1801">
        <f>304.832</f>
        <v>304.83199999999999</v>
      </c>
      <c r="O1801">
        <f>2433.69</f>
        <v>2433.69</v>
      </c>
      <c r="P1801">
        <f>189.07</f>
        <v>189.07</v>
      </c>
      <c r="Q1801">
        <f>2051.25</f>
        <v>2051.25</v>
      </c>
      <c r="R1801">
        <f>4099.21</f>
        <v>4099.21</v>
      </c>
      <c r="S1801">
        <f>1810.28</f>
        <v>1810.28</v>
      </c>
      <c r="T1801">
        <f>3953.429</f>
        <v>3953.4290000000001</v>
      </c>
      <c r="U1801">
        <f>52543.37</f>
        <v>52543.37</v>
      </c>
      <c r="V1801">
        <f>334.76</f>
        <v>334.76</v>
      </c>
    </row>
    <row r="1802" spans="1:22" x14ac:dyDescent="0.2">
      <c r="A1802" s="1">
        <v>42585</v>
      </c>
      <c r="B1802">
        <f>2736.64</f>
        <v>2736.64</v>
      </c>
      <c r="C1802">
        <f>7817.16</f>
        <v>7817.16</v>
      </c>
      <c r="D1802">
        <f>5321.66</f>
        <v>5321.66</v>
      </c>
      <c r="E1802">
        <f>1826.91</f>
        <v>1826.91</v>
      </c>
      <c r="F1802">
        <f>1657.82</f>
        <v>1657.82</v>
      </c>
      <c r="G1802">
        <f>7171.474</f>
        <v>7171.4740000000002</v>
      </c>
      <c r="H1802">
        <f>2684.26</f>
        <v>2684.26</v>
      </c>
      <c r="I1802">
        <f>7933.263</f>
        <v>7933.2629999999999</v>
      </c>
      <c r="J1802">
        <f>3167.65</f>
        <v>3167.65</v>
      </c>
      <c r="K1802">
        <f>8513.97</f>
        <v>8513.9699999999993</v>
      </c>
      <c r="L1802">
        <f>1670.5</f>
        <v>1670.5</v>
      </c>
      <c r="M1802">
        <f>6628.67</f>
        <v>6628.67</v>
      </c>
      <c r="N1802">
        <f>303.688</f>
        <v>303.68799999999999</v>
      </c>
      <c r="O1802">
        <f>2414.89</f>
        <v>2414.89</v>
      </c>
      <c r="P1802">
        <f>186</f>
        <v>186</v>
      </c>
      <c r="Q1802">
        <f>2049.6</f>
        <v>2049.6</v>
      </c>
      <c r="R1802">
        <f>4097.3</f>
        <v>4097.3</v>
      </c>
      <c r="S1802">
        <f>1794.74</f>
        <v>1794.74</v>
      </c>
      <c r="T1802" t="e">
        <f>NA()</f>
        <v>#N/A</v>
      </c>
      <c r="U1802" t="e">
        <f>NA()</f>
        <v>#N/A</v>
      </c>
      <c r="V1802" t="e">
        <f>NA()</f>
        <v>#N/A</v>
      </c>
    </row>
    <row r="1803" spans="1:22" x14ac:dyDescent="0.2">
      <c r="A1803" s="1">
        <v>42584</v>
      </c>
      <c r="B1803">
        <f>2743.37</f>
        <v>2743.37</v>
      </c>
      <c r="C1803">
        <f>7889.72</f>
        <v>7889.72</v>
      </c>
      <c r="D1803">
        <f>5330.48</f>
        <v>5330.48</v>
      </c>
      <c r="E1803">
        <f>1844.891</f>
        <v>1844.8910000000001</v>
      </c>
      <c r="F1803">
        <f>1661.4</f>
        <v>1661.4</v>
      </c>
      <c r="G1803">
        <f>7177.455</f>
        <v>7177.4549999999999</v>
      </c>
      <c r="H1803">
        <f>2746.4</f>
        <v>2746.4</v>
      </c>
      <c r="I1803">
        <f>7975.667</f>
        <v>7975.6670000000004</v>
      </c>
      <c r="J1803">
        <f>3169.57</f>
        <v>3169.57</v>
      </c>
      <c r="K1803">
        <f>8482.86</f>
        <v>8482.86</v>
      </c>
      <c r="L1803">
        <f>1678.83</f>
        <v>1678.83</v>
      </c>
      <c r="M1803">
        <f>6639.37</f>
        <v>6639.37</v>
      </c>
      <c r="N1803">
        <f>304.32</f>
        <v>304.32</v>
      </c>
      <c r="O1803">
        <f>2413.08</f>
        <v>2413.08</v>
      </c>
      <c r="P1803">
        <f>189.59</f>
        <v>189.59</v>
      </c>
      <c r="Q1803">
        <f>2049.81</f>
        <v>2049.81</v>
      </c>
      <c r="R1803">
        <f>4083.25</f>
        <v>4083.25</v>
      </c>
      <c r="S1803">
        <f>1834.56</f>
        <v>1834.56</v>
      </c>
      <c r="T1803">
        <f>3918.305</f>
        <v>3918.3049999999998</v>
      </c>
      <c r="U1803">
        <f>52532.76</f>
        <v>52532.76</v>
      </c>
      <c r="V1803">
        <f>331.8</f>
        <v>331.8</v>
      </c>
    </row>
    <row r="1804" spans="1:22" x14ac:dyDescent="0.2">
      <c r="A1804" s="1">
        <v>42583</v>
      </c>
      <c r="B1804">
        <f>2754.69</f>
        <v>2754.69</v>
      </c>
      <c r="C1804">
        <f>7947.52</f>
        <v>7947.52</v>
      </c>
      <c r="D1804">
        <f>5369.43</f>
        <v>5369.43</v>
      </c>
      <c r="E1804">
        <f>1856.835</f>
        <v>1856.835</v>
      </c>
      <c r="F1804">
        <f>1659.29</f>
        <v>1659.29</v>
      </c>
      <c r="G1804">
        <f>7170.083</f>
        <v>7170.0829999999996</v>
      </c>
      <c r="H1804">
        <f>2751.42</f>
        <v>2751.42</v>
      </c>
      <c r="I1804">
        <f>8081.342</f>
        <v>8081.3419999999996</v>
      </c>
      <c r="J1804">
        <f>3185.39</f>
        <v>3185.39</v>
      </c>
      <c r="K1804">
        <f>8537.4</f>
        <v>8537.4</v>
      </c>
      <c r="L1804">
        <f>1686.24</f>
        <v>1686.24</v>
      </c>
      <c r="M1804">
        <f>6682.45</f>
        <v>6682.45</v>
      </c>
      <c r="N1804">
        <f>306.131</f>
        <v>306.13099999999997</v>
      </c>
      <c r="O1804">
        <f>2445.51</f>
        <v>2445.5100000000002</v>
      </c>
      <c r="P1804">
        <f>192.62</f>
        <v>192.62</v>
      </c>
      <c r="Q1804">
        <f>2061.77</f>
        <v>2061.77</v>
      </c>
      <c r="R1804">
        <f>4109.28</f>
        <v>4109.28</v>
      </c>
      <c r="S1804">
        <f>1865.09</f>
        <v>1865.09</v>
      </c>
      <c r="T1804">
        <f>3992.798</f>
        <v>3992.7979999999998</v>
      </c>
      <c r="U1804">
        <f>53126.8</f>
        <v>53126.8</v>
      </c>
      <c r="V1804">
        <f>335.75</f>
        <v>335.75</v>
      </c>
    </row>
    <row r="1805" spans="1:22" x14ac:dyDescent="0.2">
      <c r="A1805" s="1">
        <v>42580</v>
      </c>
      <c r="B1805">
        <f>2773.61</f>
        <v>2773.61</v>
      </c>
      <c r="C1805">
        <f>7856.61</f>
        <v>7856.61</v>
      </c>
      <c r="D1805">
        <f>5393.88</f>
        <v>5393.88</v>
      </c>
      <c r="E1805">
        <f>1837.521</f>
        <v>1837.521</v>
      </c>
      <c r="F1805">
        <f>1670.4</f>
        <v>1670.4</v>
      </c>
      <c r="G1805">
        <f>7242.33</f>
        <v>7242.33</v>
      </c>
      <c r="H1805">
        <f>2752.83</f>
        <v>2752.83</v>
      </c>
      <c r="I1805">
        <f>8127.789</f>
        <v>8127.7889999999998</v>
      </c>
      <c r="J1805">
        <f>3192.54</f>
        <v>3192.54</v>
      </c>
      <c r="K1805">
        <f>8548.02</f>
        <v>8548.02</v>
      </c>
      <c r="L1805">
        <f>1691.7</f>
        <v>1691.7</v>
      </c>
      <c r="M1805">
        <f>6698.47</f>
        <v>6698.47</v>
      </c>
      <c r="N1805">
        <f>307.467</f>
        <v>307.46699999999998</v>
      </c>
      <c r="O1805">
        <f>2461.12</f>
        <v>2461.12</v>
      </c>
      <c r="P1805">
        <f>192.7</f>
        <v>192.7</v>
      </c>
      <c r="Q1805">
        <f>2066.483</f>
        <v>2066.4830000000002</v>
      </c>
      <c r="R1805">
        <f>4114.51</f>
        <v>4114.51</v>
      </c>
      <c r="S1805">
        <f>1866.36</f>
        <v>1866.36</v>
      </c>
      <c r="T1805">
        <f>3947.488</f>
        <v>3947.4879999999998</v>
      </c>
      <c r="U1805">
        <f>52797.58</f>
        <v>52797.58</v>
      </c>
      <c r="V1805">
        <f>330.7</f>
        <v>330.7</v>
      </c>
    </row>
    <row r="1806" spans="1:22" x14ac:dyDescent="0.2">
      <c r="A1806" s="1">
        <v>42579</v>
      </c>
      <c r="B1806">
        <f>2768.02</f>
        <v>2768.02</v>
      </c>
      <c r="C1806">
        <f>7888.69</f>
        <v>7888.69</v>
      </c>
      <c r="D1806">
        <f>5391.17</f>
        <v>5391.17</v>
      </c>
      <c r="E1806">
        <f>1841.607</f>
        <v>1841.607</v>
      </c>
      <c r="F1806">
        <f>1660.38</f>
        <v>1660.38</v>
      </c>
      <c r="G1806">
        <f>7154.411</f>
        <v>7154.4110000000001</v>
      </c>
      <c r="H1806">
        <f>2688.58</f>
        <v>2688.58</v>
      </c>
      <c r="I1806">
        <f>7987.195</f>
        <v>7987.1949999999997</v>
      </c>
      <c r="J1806">
        <f>3184.06</f>
        <v>3184.06</v>
      </c>
      <c r="K1806">
        <f>8532.84</f>
        <v>8532.84</v>
      </c>
      <c r="L1806">
        <f>1678.86</f>
        <v>1678.86</v>
      </c>
      <c r="M1806">
        <f>6643.15</f>
        <v>6643.15</v>
      </c>
      <c r="N1806">
        <f>307.333</f>
        <v>307.33300000000003</v>
      </c>
      <c r="O1806">
        <f>2444.97</f>
        <v>2444.9699999999998</v>
      </c>
      <c r="P1806">
        <f>191.34</f>
        <v>191.34</v>
      </c>
      <c r="Q1806">
        <f>2064.97</f>
        <v>2064.9699999999998</v>
      </c>
      <c r="R1806">
        <f>4107.75</f>
        <v>4107.75</v>
      </c>
      <c r="S1806">
        <f>1844.16</f>
        <v>1844.16</v>
      </c>
      <c r="T1806">
        <f>3953.519</f>
        <v>3953.5189999999998</v>
      </c>
      <c r="U1806">
        <f>53282.16</f>
        <v>53282.16</v>
      </c>
      <c r="V1806">
        <f>331.62</f>
        <v>331.62</v>
      </c>
    </row>
    <row r="1807" spans="1:22" x14ac:dyDescent="0.2">
      <c r="A1807" s="1">
        <v>42578</v>
      </c>
      <c r="B1807">
        <f>2791.52</f>
        <v>2791.52</v>
      </c>
      <c r="C1807">
        <f>7882.54</f>
        <v>7882.54</v>
      </c>
      <c r="D1807">
        <f>5412.79</f>
        <v>5412.79</v>
      </c>
      <c r="E1807">
        <f>1838.385</f>
        <v>1838.385</v>
      </c>
      <c r="F1807">
        <f>1657.28</f>
        <v>1657.28</v>
      </c>
      <c r="G1807">
        <f>7177.34</f>
        <v>7177.34</v>
      </c>
      <c r="H1807">
        <f>2684.41</f>
        <v>2684.41</v>
      </c>
      <c r="I1807">
        <f>7994.032</f>
        <v>7994.0320000000002</v>
      </c>
      <c r="J1807">
        <f>3183.84</f>
        <v>3183.84</v>
      </c>
      <c r="K1807">
        <f>8516.49</f>
        <v>8516.49</v>
      </c>
      <c r="L1807">
        <f>1677.87</f>
        <v>1677.87</v>
      </c>
      <c r="M1807">
        <f>6637.8</f>
        <v>6637.8</v>
      </c>
      <c r="N1807">
        <f>310.148</f>
        <v>310.14800000000002</v>
      </c>
      <c r="O1807">
        <f>2467.67</f>
        <v>2467.67</v>
      </c>
      <c r="P1807">
        <f>192.16</f>
        <v>192.16</v>
      </c>
      <c r="Q1807">
        <f>2059.21</f>
        <v>2059.21</v>
      </c>
      <c r="R1807">
        <f>4100.81</f>
        <v>4100.8100000000004</v>
      </c>
      <c r="S1807">
        <f>1864.86</f>
        <v>1864.86</v>
      </c>
      <c r="T1807">
        <f>3999.737</f>
        <v>3999.7370000000001</v>
      </c>
      <c r="U1807">
        <f>53764.26</f>
        <v>53764.26</v>
      </c>
      <c r="V1807">
        <f>336.86</f>
        <v>336.86</v>
      </c>
    </row>
    <row r="1808" spans="1:22" x14ac:dyDescent="0.2">
      <c r="A1808" s="1">
        <v>42577</v>
      </c>
      <c r="B1808">
        <f>2764.93</f>
        <v>2764.93</v>
      </c>
      <c r="C1808">
        <f>7862.55</f>
        <v>7862.55</v>
      </c>
      <c r="D1808">
        <f>5391.62</f>
        <v>5391.62</v>
      </c>
      <c r="E1808">
        <f>1831.367</f>
        <v>1831.367</v>
      </c>
      <c r="F1808">
        <f>1635.56</f>
        <v>1635.56</v>
      </c>
      <c r="G1808">
        <f>7150.787</f>
        <v>7150.7870000000003</v>
      </c>
      <c r="H1808">
        <f>2679.76</f>
        <v>2679.76</v>
      </c>
      <c r="I1808">
        <f>7954.934</f>
        <v>7954.9340000000002</v>
      </c>
      <c r="J1808">
        <f>3202.27</f>
        <v>3202.27</v>
      </c>
      <c r="K1808">
        <f>8527.53</f>
        <v>8527.5300000000007</v>
      </c>
      <c r="L1808">
        <f>1682.8</f>
        <v>1682.8</v>
      </c>
      <c r="M1808">
        <f>6635.89</f>
        <v>6635.89</v>
      </c>
      <c r="N1808">
        <f>310.31</f>
        <v>310.31</v>
      </c>
      <c r="O1808">
        <f>2460.01</f>
        <v>2460.0100000000002</v>
      </c>
      <c r="P1808">
        <f>191.37</f>
        <v>191.37</v>
      </c>
      <c r="Q1808">
        <f>2071.61</f>
        <v>2071.61</v>
      </c>
      <c r="R1808">
        <f>4105.57</f>
        <v>4105.57</v>
      </c>
      <c r="S1808">
        <f>1843.92</f>
        <v>1843.92</v>
      </c>
      <c r="T1808">
        <f>3995.517</f>
        <v>3995.5169999999998</v>
      </c>
      <c r="U1808">
        <f>53638.04</f>
        <v>53638.04</v>
      </c>
      <c r="V1808">
        <f>336.57</f>
        <v>336.57</v>
      </c>
    </row>
    <row r="1809" spans="1:22" x14ac:dyDescent="0.2">
      <c r="A1809" s="1">
        <v>42576</v>
      </c>
      <c r="B1809">
        <f>2771.3</f>
        <v>2771.3</v>
      </c>
      <c r="C1809">
        <f>7872.66</f>
        <v>7872.66</v>
      </c>
      <c r="D1809">
        <f>5380.48</f>
        <v>5380.48</v>
      </c>
      <c r="E1809">
        <f>1827.747</f>
        <v>1827.7470000000001</v>
      </c>
      <c r="F1809">
        <f>1629.82</f>
        <v>1629.82</v>
      </c>
      <c r="G1809">
        <f>7139.952</f>
        <v>7139.9520000000002</v>
      </c>
      <c r="H1809">
        <f>2693.17</f>
        <v>2693.17</v>
      </c>
      <c r="I1809">
        <f>7934.978</f>
        <v>7934.9780000000001</v>
      </c>
      <c r="J1809">
        <f>3202.07</f>
        <v>3202.07</v>
      </c>
      <c r="K1809">
        <f>8523.65</f>
        <v>8523.65</v>
      </c>
      <c r="L1809">
        <f>1683.99</f>
        <v>1683.99</v>
      </c>
      <c r="M1809">
        <f>6627.76</f>
        <v>6627.76</v>
      </c>
      <c r="N1809">
        <f>309.994</f>
        <v>309.99400000000003</v>
      </c>
      <c r="O1809">
        <f>2456.29</f>
        <v>2456.29</v>
      </c>
      <c r="P1809">
        <f>192.5</f>
        <v>192.5</v>
      </c>
      <c r="Q1809">
        <f>2072.46</f>
        <v>2072.46</v>
      </c>
      <c r="R1809">
        <f>4104.13</f>
        <v>4104.13</v>
      </c>
      <c r="S1809">
        <f>1869.91</f>
        <v>1869.91</v>
      </c>
      <c r="T1809">
        <f>3969.417</f>
        <v>3969.4169999999999</v>
      </c>
      <c r="U1809">
        <f>53292.52</f>
        <v>53292.52</v>
      </c>
      <c r="V1809">
        <f>335</f>
        <v>335</v>
      </c>
    </row>
    <row r="1810" spans="1:22" x14ac:dyDescent="0.2">
      <c r="A1810" s="1">
        <v>42573</v>
      </c>
      <c r="B1810">
        <f>2770.14</f>
        <v>2770.14</v>
      </c>
      <c r="C1810">
        <f>7879.95</f>
        <v>7879.95</v>
      </c>
      <c r="D1810">
        <f>5396.8</f>
        <v>5396.8</v>
      </c>
      <c r="E1810">
        <f>1828.059</f>
        <v>1828.059</v>
      </c>
      <c r="F1810">
        <f>1624.94</f>
        <v>1624.94</v>
      </c>
      <c r="G1810">
        <f>7137.544</f>
        <v>7137.5439999999999</v>
      </c>
      <c r="H1810">
        <f>2685.84</f>
        <v>2685.84</v>
      </c>
      <c r="I1810">
        <f>7927.463</f>
        <v>7927.4629999999997</v>
      </c>
      <c r="J1810">
        <f>3209.28</f>
        <v>3209.28</v>
      </c>
      <c r="K1810">
        <f>8548.37</f>
        <v>8548.3700000000008</v>
      </c>
      <c r="L1810">
        <f>1685.45</f>
        <v>1685.45</v>
      </c>
      <c r="M1810">
        <f>6639.47</f>
        <v>6639.47</v>
      </c>
      <c r="N1810">
        <f>309.212</f>
        <v>309.21199999999999</v>
      </c>
      <c r="O1810">
        <f>2455.44</f>
        <v>2455.44</v>
      </c>
      <c r="P1810">
        <f>193.18</f>
        <v>193.18</v>
      </c>
      <c r="Q1810">
        <f>2076.59</f>
        <v>2076.59</v>
      </c>
      <c r="R1810">
        <f>4116.5</f>
        <v>4116.5</v>
      </c>
      <c r="S1810">
        <f>1872.95</f>
        <v>1872.95</v>
      </c>
      <c r="T1810">
        <f>3922.075</f>
        <v>3922.0749999999998</v>
      </c>
      <c r="U1810">
        <f>53005.22</f>
        <v>53005.22</v>
      </c>
      <c r="V1810">
        <f>330.27</f>
        <v>330.27</v>
      </c>
    </row>
    <row r="1811" spans="1:22" x14ac:dyDescent="0.2">
      <c r="A1811" s="1">
        <v>42572</v>
      </c>
      <c r="B1811">
        <f>2775.9</f>
        <v>2775.9</v>
      </c>
      <c r="C1811">
        <f>7911.36</f>
        <v>7911.36</v>
      </c>
      <c r="D1811">
        <f>5372.26</f>
        <v>5372.26</v>
      </c>
      <c r="E1811">
        <f>1831.985</f>
        <v>1831.9849999999999</v>
      </c>
      <c r="F1811">
        <f>1632.78</f>
        <v>1632.78</v>
      </c>
      <c r="G1811">
        <f>7180.274</f>
        <v>7180.2740000000003</v>
      </c>
      <c r="H1811">
        <f>2711.63</f>
        <v>2711.63</v>
      </c>
      <c r="I1811">
        <f>7932.592</f>
        <v>7932.5919999999996</v>
      </c>
      <c r="J1811">
        <f>3187.91</f>
        <v>3187.91</v>
      </c>
      <c r="K1811">
        <f>8509.58</f>
        <v>8509.58</v>
      </c>
      <c r="L1811">
        <f>1682.14</f>
        <v>1682.14</v>
      </c>
      <c r="M1811">
        <f>6633.2</f>
        <v>6633.2</v>
      </c>
      <c r="N1811">
        <f>309.777</f>
        <v>309.77699999999999</v>
      </c>
      <c r="O1811">
        <f>2454.04</f>
        <v>2454.04</v>
      </c>
      <c r="P1811">
        <f>194.43</f>
        <v>194.43</v>
      </c>
      <c r="Q1811">
        <f>2066</f>
        <v>2066</v>
      </c>
      <c r="R1811">
        <f>4097.82</f>
        <v>4097.82</v>
      </c>
      <c r="S1811">
        <f>1889.7</f>
        <v>1889.7</v>
      </c>
      <c r="T1811">
        <f>3917.534</f>
        <v>3917.5340000000001</v>
      </c>
      <c r="U1811">
        <f>52974.03</f>
        <v>52974.03</v>
      </c>
      <c r="V1811">
        <f>329.37</f>
        <v>329.37</v>
      </c>
    </row>
    <row r="1812" spans="1:22" x14ac:dyDescent="0.2">
      <c r="A1812" s="1">
        <v>42571</v>
      </c>
      <c r="B1812">
        <f>2776.58</f>
        <v>2776.58</v>
      </c>
      <c r="C1812">
        <f>7898.3</f>
        <v>7898.3</v>
      </c>
      <c r="D1812">
        <f>5395.6</f>
        <v>5395.6</v>
      </c>
      <c r="E1812">
        <f>1830.639</f>
        <v>1830.6389999999999</v>
      </c>
      <c r="F1812">
        <f>1630.69</f>
        <v>1630.69</v>
      </c>
      <c r="G1812">
        <f>7185.331</f>
        <v>7185.3310000000001</v>
      </c>
      <c r="H1812">
        <f>2669.38</f>
        <v>2669.38</v>
      </c>
      <c r="I1812">
        <f>7949.672</f>
        <v>7949.6719999999996</v>
      </c>
      <c r="J1812">
        <f>3194.84</f>
        <v>3194.84</v>
      </c>
      <c r="K1812">
        <f>8536.92</f>
        <v>8536.92</v>
      </c>
      <c r="L1812">
        <f>1683.92</f>
        <v>1683.92</v>
      </c>
      <c r="M1812">
        <f>6640.57</f>
        <v>6640.57</v>
      </c>
      <c r="N1812">
        <f>309.157</f>
        <v>309.15699999999998</v>
      </c>
      <c r="O1812">
        <f>2456.05</f>
        <v>2456.0500000000002</v>
      </c>
      <c r="P1812">
        <f>194.09</f>
        <v>194.09</v>
      </c>
      <c r="Q1812">
        <f>2078.3</f>
        <v>2078.3000000000002</v>
      </c>
      <c r="R1812">
        <f>4112.61</f>
        <v>4112.6099999999997</v>
      </c>
      <c r="S1812">
        <f>1877.52</f>
        <v>1877.52</v>
      </c>
      <c r="T1812">
        <f>3899.874</f>
        <v>3899.8739999999998</v>
      </c>
      <c r="U1812">
        <f>52837.86</f>
        <v>52837.86</v>
      </c>
      <c r="V1812">
        <f>327.62</f>
        <v>327.62</v>
      </c>
    </row>
    <row r="1813" spans="1:22" x14ac:dyDescent="0.2">
      <c r="A1813" s="1">
        <v>42570</v>
      </c>
      <c r="B1813">
        <f>2765.77</f>
        <v>2765.77</v>
      </c>
      <c r="C1813">
        <f>7871.48</f>
        <v>7871.48</v>
      </c>
      <c r="D1813">
        <f>5370.25</f>
        <v>5370.25</v>
      </c>
      <c r="E1813">
        <f>1825.062</f>
        <v>1825.0619999999999</v>
      </c>
      <c r="F1813">
        <f>1621.04</f>
        <v>1621.04</v>
      </c>
      <c r="G1813">
        <f>7127.671</f>
        <v>7127.6710000000003</v>
      </c>
      <c r="H1813">
        <f>2683.65</f>
        <v>2683.65</v>
      </c>
      <c r="I1813">
        <f>7864.752</f>
        <v>7864.7520000000004</v>
      </c>
      <c r="J1813">
        <f>3183.93</f>
        <v>3183.93</v>
      </c>
      <c r="K1813">
        <f>8497.23</f>
        <v>8497.23</v>
      </c>
      <c r="L1813">
        <f>1677.45</f>
        <v>1677.45</v>
      </c>
      <c r="M1813">
        <f>6606.64</f>
        <v>6606.64</v>
      </c>
      <c r="N1813">
        <f>306.027</f>
        <v>306.02699999999999</v>
      </c>
      <c r="O1813">
        <f>2430.37</f>
        <v>2430.37</v>
      </c>
      <c r="P1813">
        <f>194.18</f>
        <v>194.18</v>
      </c>
      <c r="Q1813">
        <f>2072.2</f>
        <v>2072.1999999999998</v>
      </c>
      <c r="R1813">
        <f>4094.61</f>
        <v>4094.61</v>
      </c>
      <c r="S1813">
        <f>1878.43</f>
        <v>1878.43</v>
      </c>
      <c r="T1813">
        <f>3876.57</f>
        <v>3876.57</v>
      </c>
      <c r="U1813">
        <f>52892.92</f>
        <v>52892.92</v>
      </c>
      <c r="V1813">
        <f>326.77</f>
        <v>326.77</v>
      </c>
    </row>
    <row r="1814" spans="1:22" x14ac:dyDescent="0.2">
      <c r="A1814" s="1">
        <v>42569</v>
      </c>
      <c r="B1814">
        <f>2762.32</f>
        <v>2762.32</v>
      </c>
      <c r="C1814">
        <f>7884.27</f>
        <v>7884.27</v>
      </c>
      <c r="D1814">
        <f>5368.68</f>
        <v>5368.68</v>
      </c>
      <c r="E1814">
        <f>1828.339</f>
        <v>1828.3389999999999</v>
      </c>
      <c r="F1814">
        <f>1648.57</f>
        <v>1648.57</v>
      </c>
      <c r="G1814">
        <f>7206.955</f>
        <v>7206.9549999999999</v>
      </c>
      <c r="H1814">
        <f>2671.81</f>
        <v>2671.81</v>
      </c>
      <c r="I1814">
        <f>7929.742</f>
        <v>7929.7420000000002</v>
      </c>
      <c r="J1814">
        <f>3187.81</f>
        <v>3187.81</v>
      </c>
      <c r="K1814">
        <f>8509.8</f>
        <v>8509.7999999999993</v>
      </c>
      <c r="L1814">
        <f>1685.35</f>
        <v>1685.35</v>
      </c>
      <c r="M1814">
        <f>6626.8</f>
        <v>6626.8</v>
      </c>
      <c r="N1814">
        <f>307.706</f>
        <v>307.70600000000002</v>
      </c>
      <c r="O1814">
        <f>2441.93</f>
        <v>2441.9299999999998</v>
      </c>
      <c r="P1814" t="e">
        <f>NA()</f>
        <v>#N/A</v>
      </c>
      <c r="Q1814">
        <f>2076.12</f>
        <v>2076.12</v>
      </c>
      <c r="R1814">
        <f>4100.4</f>
        <v>4100.3999999999996</v>
      </c>
      <c r="S1814" t="e">
        <f>NA()</f>
        <v>#N/A</v>
      </c>
      <c r="T1814">
        <f>3881.992</f>
        <v>3881.9920000000002</v>
      </c>
      <c r="U1814">
        <f>53046.31</f>
        <v>53046.31</v>
      </c>
      <c r="V1814">
        <f>325.59</f>
        <v>325.58999999999997</v>
      </c>
    </row>
    <row r="1815" spans="1:22" x14ac:dyDescent="0.2">
      <c r="A1815" s="1">
        <v>42566</v>
      </c>
      <c r="B1815">
        <f>2752.97</f>
        <v>2752.97</v>
      </c>
      <c r="C1815">
        <f>7843.95</f>
        <v>7843.95</v>
      </c>
      <c r="D1815">
        <f>5347.69</f>
        <v>5347.69</v>
      </c>
      <c r="E1815">
        <f>1823.424</f>
        <v>1823.424</v>
      </c>
      <c r="F1815">
        <f>1641.67</f>
        <v>1641.67</v>
      </c>
      <c r="G1815">
        <f>7152.6</f>
        <v>7152.6</v>
      </c>
      <c r="H1815">
        <f>2673.33</f>
        <v>2673.33</v>
      </c>
      <c r="I1815">
        <f>7938.465</f>
        <v>7938.4650000000001</v>
      </c>
      <c r="J1815">
        <f>3187.94</f>
        <v>3187.94</v>
      </c>
      <c r="K1815">
        <f>8489.19</f>
        <v>8489.19</v>
      </c>
      <c r="L1815">
        <f>1686.39</f>
        <v>1686.39</v>
      </c>
      <c r="M1815">
        <f>6613.57</f>
        <v>6613.57</v>
      </c>
      <c r="N1815">
        <f>303.141</f>
        <v>303.14100000000002</v>
      </c>
      <c r="O1815">
        <f>2436.99</f>
        <v>2436.9899999999998</v>
      </c>
      <c r="P1815">
        <f>190.81</f>
        <v>190.81</v>
      </c>
      <c r="Q1815">
        <f>2076.86</f>
        <v>2076.86</v>
      </c>
      <c r="R1815">
        <f>4090.49</f>
        <v>4090.49</v>
      </c>
      <c r="S1815">
        <f>1858.25</f>
        <v>1858.25</v>
      </c>
      <c r="T1815">
        <f>3877.277</f>
        <v>3877.277</v>
      </c>
      <c r="U1815">
        <f>53088.46</f>
        <v>53088.46</v>
      </c>
      <c r="V1815">
        <f>325.28</f>
        <v>325.27999999999997</v>
      </c>
    </row>
    <row r="1816" spans="1:22" x14ac:dyDescent="0.2">
      <c r="A1816" s="1">
        <v>42565</v>
      </c>
      <c r="B1816">
        <f>2753.3</f>
        <v>2753.3</v>
      </c>
      <c r="C1816">
        <f>7811.72</f>
        <v>7811.72</v>
      </c>
      <c r="D1816">
        <f>5335.85</f>
        <v>5335.85</v>
      </c>
      <c r="E1816">
        <f>1818.563</f>
        <v>1818.5630000000001</v>
      </c>
      <c r="F1816">
        <f>1651.16</f>
        <v>1651.16</v>
      </c>
      <c r="G1816">
        <f>7185.933</f>
        <v>7185.933</v>
      </c>
      <c r="H1816">
        <f>2670.01</f>
        <v>2670.01</v>
      </c>
      <c r="I1816">
        <f>7974.74</f>
        <v>7974.74</v>
      </c>
      <c r="J1816">
        <f>3186.49</f>
        <v>3186.49</v>
      </c>
      <c r="K1816">
        <f>8496.7</f>
        <v>8496.7000000000007</v>
      </c>
      <c r="L1816">
        <f>1687.52</f>
        <v>1687.52</v>
      </c>
      <c r="M1816">
        <f>6623.9</f>
        <v>6623.9</v>
      </c>
      <c r="N1816">
        <f>303.763</f>
        <v>303.76299999999998</v>
      </c>
      <c r="O1816">
        <f>2441.92</f>
        <v>2441.92</v>
      </c>
      <c r="P1816">
        <f>192.13</f>
        <v>192.13</v>
      </c>
      <c r="Q1816">
        <f>2079.05</f>
        <v>2079.0500000000002</v>
      </c>
      <c r="R1816">
        <f>4094.28</f>
        <v>4094.28</v>
      </c>
      <c r="S1816">
        <f>1849.87</f>
        <v>1849.87</v>
      </c>
      <c r="T1816">
        <f>3850.102</f>
        <v>3850.1019999999999</v>
      </c>
      <c r="U1816">
        <f>52837.03</f>
        <v>52837.03</v>
      </c>
      <c r="V1816">
        <f>322.43</f>
        <v>322.43</v>
      </c>
    </row>
    <row r="1817" spans="1:22" x14ac:dyDescent="0.2">
      <c r="A1817" s="1">
        <v>42564</v>
      </c>
      <c r="B1817">
        <f>2745.9</f>
        <v>2745.9</v>
      </c>
      <c r="C1817">
        <f>7715.41</f>
        <v>7715.41</v>
      </c>
      <c r="D1817">
        <f>5348.62</f>
        <v>5348.62</v>
      </c>
      <c r="E1817">
        <f>1798.181</f>
        <v>1798.181</v>
      </c>
      <c r="F1817">
        <f>1636</f>
        <v>1636</v>
      </c>
      <c r="G1817">
        <f>7146.591</f>
        <v>7146.5910000000003</v>
      </c>
      <c r="H1817">
        <f>2672.18</f>
        <v>2672.18</v>
      </c>
      <c r="I1817">
        <f>7904.365</f>
        <v>7904.3649999999998</v>
      </c>
      <c r="J1817">
        <f>3176.43</f>
        <v>3176.43</v>
      </c>
      <c r="K1817">
        <f>8453.03</f>
        <v>8453.0300000000007</v>
      </c>
      <c r="L1817">
        <f>1681.18</f>
        <v>1681.18</v>
      </c>
      <c r="M1817">
        <f>6589.39</f>
        <v>6589.39</v>
      </c>
      <c r="N1817">
        <f>301.505</f>
        <v>301.505</v>
      </c>
      <c r="O1817">
        <f>2418.98</f>
        <v>2418.98</v>
      </c>
      <c r="P1817">
        <f>190.57</f>
        <v>190.57</v>
      </c>
      <c r="Q1817">
        <f>2073.31</f>
        <v>2073.31</v>
      </c>
      <c r="R1817">
        <f>4072.77</f>
        <v>4072.77</v>
      </c>
      <c r="S1817">
        <f>1834.5</f>
        <v>1834.5</v>
      </c>
      <c r="T1817">
        <f>3845.307</f>
        <v>3845.3069999999998</v>
      </c>
      <c r="U1817">
        <f>52814.88</f>
        <v>52814.879999999997</v>
      </c>
      <c r="V1817">
        <f>322.83</f>
        <v>322.83</v>
      </c>
    </row>
    <row r="1818" spans="1:22" x14ac:dyDescent="0.2">
      <c r="A1818" s="1">
        <v>42563</v>
      </c>
      <c r="B1818">
        <f>2752.04</f>
        <v>2752.04</v>
      </c>
      <c r="C1818">
        <f>7697.87</f>
        <v>7697.87</v>
      </c>
      <c r="D1818">
        <f>5356.87</f>
        <v>5356.87</v>
      </c>
      <c r="E1818">
        <f>1793.032</f>
        <v>1793.0319999999999</v>
      </c>
      <c r="F1818">
        <f>1634.88</f>
        <v>1634.88</v>
      </c>
      <c r="G1818">
        <f>7139.154</f>
        <v>7139.1540000000005</v>
      </c>
      <c r="H1818">
        <f>2628.4</f>
        <v>2628.4</v>
      </c>
      <c r="I1818">
        <f>7887.837</f>
        <v>7887.8370000000004</v>
      </c>
      <c r="J1818">
        <f>3168.61</f>
        <v>3168.61</v>
      </c>
      <c r="K1818">
        <f>8452.09</f>
        <v>8452.09</v>
      </c>
      <c r="L1818">
        <f>1675.25</f>
        <v>1675.25</v>
      </c>
      <c r="M1818">
        <f>6574.64</f>
        <v>6574.64</v>
      </c>
      <c r="N1818">
        <f>302.623</f>
        <v>302.62299999999999</v>
      </c>
      <c r="O1818">
        <f>2427.9</f>
        <v>2427.9</v>
      </c>
      <c r="P1818">
        <f>190.11</f>
        <v>190.11</v>
      </c>
      <c r="Q1818">
        <f>2069.65</f>
        <v>2069.65</v>
      </c>
      <c r="R1818">
        <f>4071.85</f>
        <v>4071.85</v>
      </c>
      <c r="S1818">
        <f>1814</f>
        <v>1814</v>
      </c>
      <c r="T1818">
        <f>3830.498</f>
        <v>3830.498</v>
      </c>
      <c r="U1818">
        <f>52547.52</f>
        <v>52547.519999999997</v>
      </c>
      <c r="V1818">
        <f>321.66</f>
        <v>321.66000000000003</v>
      </c>
    </row>
    <row r="1819" spans="1:22" x14ac:dyDescent="0.2">
      <c r="A1819" s="1">
        <v>42562</v>
      </c>
      <c r="B1819">
        <f>2733.68</f>
        <v>2733.68</v>
      </c>
      <c r="C1819">
        <f>7619.67</f>
        <v>7619.67</v>
      </c>
      <c r="D1819">
        <f>5358.61</f>
        <v>5358.61</v>
      </c>
      <c r="E1819">
        <f>1777.081</f>
        <v>1777.0809999999999</v>
      </c>
      <c r="F1819">
        <f>1606.96</f>
        <v>1606.96</v>
      </c>
      <c r="G1819">
        <f>7035.596</f>
        <v>7035.5959999999995</v>
      </c>
      <c r="H1819">
        <f>2623.44</f>
        <v>2623.44</v>
      </c>
      <c r="I1819">
        <f>7795.806</f>
        <v>7795.8059999999996</v>
      </c>
      <c r="J1819">
        <f>3155.97</f>
        <v>3155.97</v>
      </c>
      <c r="K1819">
        <f>8395.19</f>
        <v>8395.19</v>
      </c>
      <c r="L1819">
        <f>1665.97</f>
        <v>1665.97</v>
      </c>
      <c r="M1819">
        <f>6518.09</f>
        <v>6518.09</v>
      </c>
      <c r="N1819">
        <f>299.441</f>
        <v>299.44099999999997</v>
      </c>
      <c r="O1819">
        <f>2399.16</f>
        <v>2399.16</v>
      </c>
      <c r="P1819">
        <f>188.29</f>
        <v>188.29</v>
      </c>
      <c r="Q1819">
        <f>2061.15</f>
        <v>2061.15</v>
      </c>
      <c r="R1819">
        <f>4043.49</f>
        <v>4043.49</v>
      </c>
      <c r="S1819">
        <f>1771.76</f>
        <v>1771.76</v>
      </c>
      <c r="T1819">
        <f>3794.232</f>
        <v>3794.232</v>
      </c>
      <c r="U1819">
        <f>52170.37</f>
        <v>52170.37</v>
      </c>
      <c r="V1819">
        <f>318.65</f>
        <v>318.64999999999998</v>
      </c>
    </row>
    <row r="1820" spans="1:22" x14ac:dyDescent="0.2">
      <c r="A1820" s="1">
        <v>42559</v>
      </c>
      <c r="B1820">
        <f>2673.56</f>
        <v>2673.56</v>
      </c>
      <c r="C1820">
        <f>7473.92</f>
        <v>7473.92</v>
      </c>
      <c r="D1820">
        <f>5284.66</f>
        <v>5284.66</v>
      </c>
      <c r="E1820">
        <f>1739.012</f>
        <v>1739.0119999999999</v>
      </c>
      <c r="F1820">
        <f>1572.65</f>
        <v>1572.65</v>
      </c>
      <c r="G1820">
        <f>6921.934</f>
        <v>6921.9340000000002</v>
      </c>
      <c r="H1820">
        <f>2586.02</f>
        <v>2586.02</v>
      </c>
      <c r="I1820">
        <f>7665.288</f>
        <v>7665.2879999999996</v>
      </c>
      <c r="J1820">
        <f>3145.73</f>
        <v>3145.73</v>
      </c>
      <c r="K1820">
        <f>8366.48</f>
        <v>8366.48</v>
      </c>
      <c r="L1820">
        <f>1652.36</f>
        <v>1652.36</v>
      </c>
      <c r="M1820">
        <f>6463.98</f>
        <v>6463.98</v>
      </c>
      <c r="N1820">
        <f>294.16</f>
        <v>294.16000000000003</v>
      </c>
      <c r="O1820">
        <f>2360.68</f>
        <v>2360.6799999999998</v>
      </c>
      <c r="P1820">
        <f>183.23</f>
        <v>183.23</v>
      </c>
      <c r="Q1820">
        <f>2054.45</f>
        <v>2054.4499999999998</v>
      </c>
      <c r="R1820">
        <f>4029.75</f>
        <v>4029.75</v>
      </c>
      <c r="S1820">
        <f>1706.98</f>
        <v>1706.98</v>
      </c>
      <c r="T1820">
        <f>3725.678</f>
        <v>3725.6779999999999</v>
      </c>
      <c r="U1820">
        <f>51276.4</f>
        <v>51276.4</v>
      </c>
      <c r="V1820">
        <f>312.77</f>
        <v>312.77</v>
      </c>
    </row>
    <row r="1821" spans="1:22" x14ac:dyDescent="0.2">
      <c r="A1821" s="1">
        <v>42558</v>
      </c>
      <c r="B1821">
        <f>2635.81</f>
        <v>2635.81</v>
      </c>
      <c r="C1821">
        <f>7452.32</f>
        <v>7452.32</v>
      </c>
      <c r="D1821">
        <f>5239.08</f>
        <v>5239.08</v>
      </c>
      <c r="E1821">
        <f>1735.08</f>
        <v>1735.08</v>
      </c>
      <c r="F1821">
        <f>1552.4</f>
        <v>1552.4</v>
      </c>
      <c r="G1821">
        <f>6848.737</f>
        <v>6848.7370000000001</v>
      </c>
      <c r="H1821">
        <f>2597.92</f>
        <v>2597.92</v>
      </c>
      <c r="I1821">
        <f>7567.791</f>
        <v>7567.7910000000002</v>
      </c>
      <c r="J1821">
        <f>3105.46</f>
        <v>3105.46</v>
      </c>
      <c r="K1821">
        <f>8240.08</f>
        <v>8240.08</v>
      </c>
      <c r="L1821">
        <f>1638.53</f>
        <v>1638.53</v>
      </c>
      <c r="M1821">
        <f>6392.44</f>
        <v>6392.44</v>
      </c>
      <c r="N1821">
        <f>291.123</f>
        <v>291.12299999999999</v>
      </c>
      <c r="O1821">
        <f>2326.09</f>
        <v>2326.09</v>
      </c>
      <c r="P1821">
        <f>185.81</f>
        <v>185.81</v>
      </c>
      <c r="Q1821">
        <f>2023.42</f>
        <v>2023.42</v>
      </c>
      <c r="R1821">
        <f>3969.19</f>
        <v>3969.19</v>
      </c>
      <c r="S1821">
        <f>1729.85</f>
        <v>1729.85</v>
      </c>
      <c r="T1821">
        <f>3709.329</f>
        <v>3709.3290000000002</v>
      </c>
      <c r="U1821">
        <f>51097.48</f>
        <v>51097.48</v>
      </c>
      <c r="V1821">
        <f>310.41</f>
        <v>310.41000000000003</v>
      </c>
    </row>
    <row r="1822" spans="1:22" x14ac:dyDescent="0.2">
      <c r="A1822" s="1">
        <v>42557</v>
      </c>
      <c r="B1822">
        <f>2605.64</f>
        <v>2605.64</v>
      </c>
      <c r="C1822">
        <f>7376.36</f>
        <v>7376.36</v>
      </c>
      <c r="D1822">
        <f>5181.96</f>
        <v>5181.96</v>
      </c>
      <c r="E1822">
        <f>1718.157</f>
        <v>1718.1569999999999</v>
      </c>
      <c r="F1822">
        <f>1530.44</f>
        <v>1530.44</v>
      </c>
      <c r="G1822">
        <f>6746.551</f>
        <v>6746.5510000000004</v>
      </c>
      <c r="H1822">
        <f>2607</f>
        <v>2607</v>
      </c>
      <c r="I1822">
        <f>7503.225</f>
        <v>7503.2250000000004</v>
      </c>
      <c r="J1822">
        <f>3116.8</f>
        <v>3116.8</v>
      </c>
      <c r="K1822">
        <f>8243.78</f>
        <v>8243.7800000000007</v>
      </c>
      <c r="L1822">
        <f>1637.58</f>
        <v>1637.58</v>
      </c>
      <c r="M1822">
        <f>6379.59</f>
        <v>6379.59</v>
      </c>
      <c r="N1822">
        <f>287.982</f>
        <v>287.98200000000003</v>
      </c>
      <c r="O1822">
        <f>2303.47</f>
        <v>2303.4699999999998</v>
      </c>
      <c r="P1822">
        <f>186.33</f>
        <v>186.33</v>
      </c>
      <c r="Q1822">
        <f>2024.91</f>
        <v>2024.91</v>
      </c>
      <c r="R1822">
        <f>3972.26</f>
        <v>3972.26</v>
      </c>
      <c r="S1822">
        <f>1741.29</f>
        <v>1741.29</v>
      </c>
      <c r="T1822">
        <f>3685.574</f>
        <v>3685.5740000000001</v>
      </c>
      <c r="U1822">
        <f>50811.66</f>
        <v>50811.66</v>
      </c>
      <c r="V1822">
        <f>306.07</f>
        <v>306.07</v>
      </c>
    </row>
    <row r="1823" spans="1:22" x14ac:dyDescent="0.2">
      <c r="A1823" s="1">
        <v>42556</v>
      </c>
      <c r="B1823">
        <f>2638.12</f>
        <v>2638.12</v>
      </c>
      <c r="C1823">
        <f>7491.83</f>
        <v>7491.83</v>
      </c>
      <c r="D1823">
        <f>5247.52</f>
        <v>5247.52</v>
      </c>
      <c r="E1823">
        <f>1744.192</f>
        <v>1744.192</v>
      </c>
      <c r="F1823">
        <f>1565.68</f>
        <v>1565.68</v>
      </c>
      <c r="G1823">
        <f>6917.103</f>
        <v>6917.1030000000001</v>
      </c>
      <c r="H1823">
        <f>2641.22</f>
        <v>2641.22</v>
      </c>
      <c r="I1823">
        <f>7641.381</f>
        <v>7641.3810000000003</v>
      </c>
      <c r="J1823">
        <f>3105.83</f>
        <v>3105.83</v>
      </c>
      <c r="K1823">
        <f>8196.64</f>
        <v>8196.64</v>
      </c>
      <c r="L1823">
        <f>1645.11</f>
        <v>1645.11</v>
      </c>
      <c r="M1823">
        <f>6396.63</f>
        <v>6396.63</v>
      </c>
      <c r="N1823">
        <f>292.189</f>
        <v>292.18900000000002</v>
      </c>
      <c r="O1823">
        <f>2342.02</f>
        <v>2342.02</v>
      </c>
      <c r="P1823">
        <f>188.38</f>
        <v>188.38</v>
      </c>
      <c r="Q1823">
        <f>2014.5</f>
        <v>2014.5</v>
      </c>
      <c r="R1823">
        <f>3949.72</f>
        <v>3949.72</v>
      </c>
      <c r="S1823">
        <f>1772.95</f>
        <v>1772.95</v>
      </c>
      <c r="T1823">
        <f>3767.348</f>
        <v>3767.348</v>
      </c>
      <c r="U1823">
        <f>51670.16</f>
        <v>51670.16</v>
      </c>
      <c r="V1823">
        <f>312.5</f>
        <v>312.5</v>
      </c>
    </row>
    <row r="1824" spans="1:22" x14ac:dyDescent="0.2">
      <c r="A1824" s="1">
        <v>42555</v>
      </c>
      <c r="B1824">
        <f>2683.67</f>
        <v>2683.67</v>
      </c>
      <c r="C1824">
        <f>7601.3</f>
        <v>7601.3</v>
      </c>
      <c r="D1824">
        <f>5228.99</f>
        <v>5228.99</v>
      </c>
      <c r="E1824">
        <f>1768.314</f>
        <v>1768.3140000000001</v>
      </c>
      <c r="F1824">
        <f>1602.9</f>
        <v>1602.9</v>
      </c>
      <c r="G1824">
        <f>7024.851</f>
        <v>7024.8509999999997</v>
      </c>
      <c r="H1824">
        <f>2626.16</f>
        <v>2626.16</v>
      </c>
      <c r="I1824">
        <f>7794.595</f>
        <v>7794.5950000000003</v>
      </c>
      <c r="J1824">
        <f>3112.61</f>
        <v>3112.61</v>
      </c>
      <c r="K1824">
        <f>8253.94</f>
        <v>8253.94</v>
      </c>
      <c r="L1824">
        <f>1658.38</f>
        <v>1658.38</v>
      </c>
      <c r="M1824">
        <f>6455.95</f>
        <v>6455.95</v>
      </c>
      <c r="N1824">
        <f>296.565</f>
        <v>296.565</v>
      </c>
      <c r="O1824">
        <f>2378.52</f>
        <v>2378.52</v>
      </c>
      <c r="P1824">
        <f>188.45</f>
        <v>188.45</v>
      </c>
      <c r="Q1824" t="e">
        <f>NA()</f>
        <v>#N/A</v>
      </c>
      <c r="R1824" t="e">
        <f>NA()</f>
        <v>#N/A</v>
      </c>
      <c r="S1824">
        <f>1780.47</f>
        <v>1780.47</v>
      </c>
      <c r="T1824">
        <f>3823.733</f>
        <v>3823.7330000000002</v>
      </c>
      <c r="U1824">
        <f>52454.24</f>
        <v>52454.239999999998</v>
      </c>
      <c r="V1824">
        <f>317.8</f>
        <v>317.8</v>
      </c>
    </row>
    <row r="1825" spans="1:22" x14ac:dyDescent="0.2">
      <c r="A1825" s="1">
        <v>42552</v>
      </c>
      <c r="B1825">
        <f>2731.99</f>
        <v>2731.99</v>
      </c>
      <c r="C1825">
        <f>7559.19</f>
        <v>7559.19</v>
      </c>
      <c r="D1825">
        <f>5273.54</f>
        <v>5273.54</v>
      </c>
      <c r="E1825">
        <f>1759.421</f>
        <v>1759.421</v>
      </c>
      <c r="F1825">
        <f>1615.58</f>
        <v>1615.58</v>
      </c>
      <c r="G1825">
        <f>7071.866</f>
        <v>7071.866</v>
      </c>
      <c r="H1825">
        <f>2598.39</f>
        <v>2598.39</v>
      </c>
      <c r="I1825">
        <f>7842.697</f>
        <v>7842.6970000000001</v>
      </c>
      <c r="J1825">
        <f>3112.61</f>
        <v>3112.61</v>
      </c>
      <c r="K1825">
        <f>8253.94</f>
        <v>8253.94</v>
      </c>
      <c r="L1825">
        <f>1658.02</f>
        <v>1658.02</v>
      </c>
      <c r="M1825">
        <f>6453.42</f>
        <v>6453.42</v>
      </c>
      <c r="N1825">
        <f>297.554</f>
        <v>297.55399999999997</v>
      </c>
      <c r="O1825">
        <f>2394.2</f>
        <v>2394.1999999999998</v>
      </c>
      <c r="P1825">
        <f>186.55</f>
        <v>186.55</v>
      </c>
      <c r="Q1825">
        <f>2020.66</f>
        <v>2020.66</v>
      </c>
      <c r="R1825">
        <f>3976.68</f>
        <v>3976.68</v>
      </c>
      <c r="S1825">
        <f>1769.84</f>
        <v>1769.84</v>
      </c>
      <c r="T1825">
        <f>3822.25</f>
        <v>3822.25</v>
      </c>
      <c r="U1825">
        <f>52357.5</f>
        <v>52357.5</v>
      </c>
      <c r="V1825">
        <f>318.47</f>
        <v>318.47000000000003</v>
      </c>
    </row>
    <row r="1826" spans="1:22" x14ac:dyDescent="0.2">
      <c r="A1826" s="1">
        <v>42551</v>
      </c>
      <c r="B1826">
        <f>2691.97</f>
        <v>2691.97</v>
      </c>
      <c r="C1826">
        <f>7542.32</f>
        <v>7542.32</v>
      </c>
      <c r="D1826">
        <f>5214.61</f>
        <v>5214.6099999999997</v>
      </c>
      <c r="E1826">
        <f>1748.524</f>
        <v>1748.5239999999999</v>
      </c>
      <c r="F1826">
        <f>1609.96</f>
        <v>1609.96</v>
      </c>
      <c r="G1826">
        <f>7047.361</f>
        <v>7047.3609999999999</v>
      </c>
      <c r="H1826">
        <f>2590.22</f>
        <v>2590.2199999999998</v>
      </c>
      <c r="I1826">
        <f>7753.217</f>
        <v>7753.2169999999996</v>
      </c>
      <c r="J1826">
        <f>3111.16</f>
        <v>3111.16</v>
      </c>
      <c r="K1826">
        <f>8235.48</f>
        <v>8235.48</v>
      </c>
      <c r="L1826">
        <f>1651.04</f>
        <v>1651.04</v>
      </c>
      <c r="M1826">
        <f>6425.28</f>
        <v>6425.28</v>
      </c>
      <c r="N1826">
        <f>296.137</f>
        <v>296.137</v>
      </c>
      <c r="O1826">
        <f>2377.14</f>
        <v>2377.14</v>
      </c>
      <c r="P1826">
        <f>184.76</f>
        <v>184.76</v>
      </c>
      <c r="Q1826">
        <f>2019.01</f>
        <v>2019.01</v>
      </c>
      <c r="R1826">
        <f>3968.21</f>
        <v>3968.21</v>
      </c>
      <c r="S1826">
        <f>1757.69</f>
        <v>1757.69</v>
      </c>
      <c r="T1826">
        <f>3809.103</f>
        <v>3809.1030000000001</v>
      </c>
      <c r="U1826">
        <f>52217.72</f>
        <v>52217.72</v>
      </c>
      <c r="V1826">
        <f>317.16</f>
        <v>317.16000000000003</v>
      </c>
    </row>
    <row r="1827" spans="1:22" x14ac:dyDescent="0.2">
      <c r="A1827" s="1">
        <v>42550</v>
      </c>
      <c r="B1827">
        <f>2630.37</f>
        <v>2630.37</v>
      </c>
      <c r="C1827">
        <f>7440.85</f>
        <v>7440.85</v>
      </c>
      <c r="D1827">
        <f>5097.8</f>
        <v>5097.8</v>
      </c>
      <c r="E1827">
        <f>1722.305</f>
        <v>1722.3050000000001</v>
      </c>
      <c r="F1827">
        <f>1589.79</f>
        <v>1589.79</v>
      </c>
      <c r="G1827">
        <f>6970.515</f>
        <v>6970.5150000000003</v>
      </c>
      <c r="H1827">
        <f>2594.04</f>
        <v>2594.04</v>
      </c>
      <c r="I1827">
        <f>7665.319</f>
        <v>7665.3190000000004</v>
      </c>
      <c r="J1827">
        <f>3059.02</f>
        <v>3059.02</v>
      </c>
      <c r="K1827">
        <f>8126.3</f>
        <v>8126.3</v>
      </c>
      <c r="L1827">
        <f>1628.55</f>
        <v>1628.55</v>
      </c>
      <c r="M1827">
        <f>6351.73</f>
        <v>6351.73</v>
      </c>
      <c r="N1827">
        <f>293.122</f>
        <v>293.12200000000001</v>
      </c>
      <c r="O1827">
        <f>2350.62</f>
        <v>2350.62</v>
      </c>
      <c r="P1827">
        <f>185.32</f>
        <v>185.32</v>
      </c>
      <c r="Q1827">
        <f>1981.446</f>
        <v>1981.4459999999999</v>
      </c>
      <c r="R1827">
        <f>3915.1</f>
        <v>3915.1</v>
      </c>
      <c r="S1827">
        <f>1760.32</f>
        <v>1760.32</v>
      </c>
      <c r="T1827">
        <f>3779.309</f>
        <v>3779.3090000000002</v>
      </c>
      <c r="U1827">
        <f>51890.42</f>
        <v>51890.42</v>
      </c>
      <c r="V1827">
        <f>313.88</f>
        <v>313.88</v>
      </c>
    </row>
    <row r="1828" spans="1:22" x14ac:dyDescent="0.2">
      <c r="A1828" s="1">
        <v>42549</v>
      </c>
      <c r="B1828">
        <f>2532.16</f>
        <v>2532.16</v>
      </c>
      <c r="C1828">
        <f>7285.48</f>
        <v>7285.48</v>
      </c>
      <c r="D1828">
        <f>4921.51</f>
        <v>4921.51</v>
      </c>
      <c r="E1828">
        <f>1685.249</f>
        <v>1685.249</v>
      </c>
      <c r="F1828">
        <f>1506.9</f>
        <v>1506.9</v>
      </c>
      <c r="G1828">
        <f>6626.42</f>
        <v>6626.42</v>
      </c>
      <c r="H1828">
        <f>2540.72</f>
        <v>2540.7199999999998</v>
      </c>
      <c r="I1828">
        <f>7446.021</f>
        <v>7446.0209999999997</v>
      </c>
      <c r="J1828">
        <f>3013.9</f>
        <v>3013.9</v>
      </c>
      <c r="K1828">
        <f>7988.59</f>
        <v>7988.59</v>
      </c>
      <c r="L1828">
        <f>1593.54</f>
        <v>1593.54</v>
      </c>
      <c r="M1828">
        <f>6213.76</f>
        <v>6213.76</v>
      </c>
      <c r="N1828">
        <f>281.379</f>
        <v>281.37900000000002</v>
      </c>
      <c r="O1828">
        <f>2278.55</f>
        <v>2278.5500000000002</v>
      </c>
      <c r="P1828">
        <f>182.32</f>
        <v>182.32</v>
      </c>
      <c r="Q1828">
        <f>1949.27</f>
        <v>1949.27</v>
      </c>
      <c r="R1828">
        <f>3849.05</f>
        <v>3849.05</v>
      </c>
      <c r="S1828">
        <f>1727.77</f>
        <v>1727.77</v>
      </c>
      <c r="T1828">
        <f>3720.145</f>
        <v>3720.145</v>
      </c>
      <c r="U1828">
        <f>51141.14</f>
        <v>51141.14</v>
      </c>
      <c r="V1828">
        <f>310.37</f>
        <v>310.37</v>
      </c>
    </row>
    <row r="1829" spans="1:22" x14ac:dyDescent="0.2">
      <c r="A1829" s="1">
        <v>42548</v>
      </c>
      <c r="B1829">
        <f>2452.78</f>
        <v>2452.7800000000002</v>
      </c>
      <c r="C1829">
        <f>7194.93</f>
        <v>7194.93</v>
      </c>
      <c r="D1829">
        <f>4794.72</f>
        <v>4794.72</v>
      </c>
      <c r="E1829">
        <f>1662.705</f>
        <v>1662.7049999999999</v>
      </c>
      <c r="F1829">
        <f>1440.21</f>
        <v>1440.21</v>
      </c>
      <c r="G1829">
        <f>6370.161</f>
        <v>6370.1610000000001</v>
      </c>
      <c r="H1829">
        <f>2572.41</f>
        <v>2572.41</v>
      </c>
      <c r="I1829">
        <f>7239.402</f>
        <v>7239.402</v>
      </c>
      <c r="J1829">
        <f>2978.88</f>
        <v>2978.88</v>
      </c>
      <c r="K1829">
        <f>7846.01</f>
        <v>7846.01</v>
      </c>
      <c r="L1829">
        <f>1565.85</f>
        <v>1565.85</v>
      </c>
      <c r="M1829">
        <f>6105.5</f>
        <v>6105.5</v>
      </c>
      <c r="N1829">
        <f>272.277</f>
        <v>272.27699999999999</v>
      </c>
      <c r="O1829">
        <f>2224.39</f>
        <v>2224.39</v>
      </c>
      <c r="P1829">
        <f>181.91</f>
        <v>181.91</v>
      </c>
      <c r="Q1829">
        <f>1921.85</f>
        <v>1921.85</v>
      </c>
      <c r="R1829">
        <f>3781.02</f>
        <v>3781.02</v>
      </c>
      <c r="S1829">
        <f>1727.01</f>
        <v>1727.01</v>
      </c>
      <c r="T1829">
        <f>3623.674</f>
        <v>3623.674</v>
      </c>
      <c r="U1829">
        <f>50086.68</f>
        <v>50086.68</v>
      </c>
      <c r="V1829">
        <f>301.15</f>
        <v>301.14999999999998</v>
      </c>
    </row>
    <row r="1830" spans="1:22" x14ac:dyDescent="0.2">
      <c r="A1830" s="1">
        <v>42545</v>
      </c>
      <c r="B1830">
        <f>2582.68</f>
        <v>2582.6799999999998</v>
      </c>
      <c r="C1830">
        <f>7286.74</f>
        <v>7286.74</v>
      </c>
      <c r="D1830">
        <f>4920.14</f>
        <v>4920.1400000000003</v>
      </c>
      <c r="E1830">
        <f>1683.593</f>
        <v>1683.5930000000001</v>
      </c>
      <c r="F1830">
        <f>1538.34</f>
        <v>1538.34</v>
      </c>
      <c r="G1830">
        <f>6773.445</f>
        <v>6773.4449999999997</v>
      </c>
      <c r="H1830">
        <f>2526.26</f>
        <v>2526.2600000000002</v>
      </c>
      <c r="I1830">
        <f>7597.639</f>
        <v>7597.6390000000001</v>
      </c>
      <c r="J1830">
        <f>3012.63</f>
        <v>3012.63</v>
      </c>
      <c r="K1830">
        <f>7994.11</f>
        <v>7994.11</v>
      </c>
      <c r="L1830">
        <f>1599.77</f>
        <v>1599.77</v>
      </c>
      <c r="M1830">
        <f>6249.3</f>
        <v>6249.3</v>
      </c>
      <c r="N1830">
        <f>285.543</f>
        <v>285.54300000000001</v>
      </c>
      <c r="O1830">
        <f>2311.42</f>
        <v>2311.42</v>
      </c>
      <c r="P1830">
        <f>175.56</f>
        <v>175.56</v>
      </c>
      <c r="Q1830">
        <f>1950.98</f>
        <v>1950.98</v>
      </c>
      <c r="R1830">
        <f>3850.7</f>
        <v>3850.7</v>
      </c>
      <c r="S1830">
        <f>1697.03</f>
        <v>1697.03</v>
      </c>
      <c r="T1830">
        <f>3758.701</f>
        <v>3758.701</v>
      </c>
      <c r="U1830">
        <f>51679.66</f>
        <v>51679.66</v>
      </c>
      <c r="V1830">
        <f>313.68</f>
        <v>313.68</v>
      </c>
    </row>
    <row r="1831" spans="1:22" x14ac:dyDescent="0.2">
      <c r="A1831" s="1">
        <v>42544</v>
      </c>
      <c r="B1831">
        <f>2757.69</f>
        <v>2757.69</v>
      </c>
      <c r="C1831">
        <f>7515.8</f>
        <v>7515.8</v>
      </c>
      <c r="D1831">
        <f>5079.97</f>
        <v>5079.97</v>
      </c>
      <c r="E1831">
        <f>1745.193</f>
        <v>1745.193</v>
      </c>
      <c r="F1831">
        <f>1752.78</f>
        <v>1752.78</v>
      </c>
      <c r="G1831">
        <f>7596.478</f>
        <v>7596.4780000000001</v>
      </c>
      <c r="H1831">
        <f>2620.64</f>
        <v>2620.64</v>
      </c>
      <c r="I1831">
        <f>8244.261</f>
        <v>8244.2610000000004</v>
      </c>
      <c r="J1831">
        <f>3097.82</f>
        <v>3097.82</v>
      </c>
      <c r="K1831">
        <f>8293.83</f>
        <v>8293.83</v>
      </c>
      <c r="L1831">
        <f>1671.71</f>
        <v>1671.71</v>
      </c>
      <c r="M1831">
        <f>6571.5</f>
        <v>6571.5</v>
      </c>
      <c r="N1831">
        <f>304.986</f>
        <v>304.98599999999999</v>
      </c>
      <c r="O1831">
        <f>2481.02</f>
        <v>2481.02</v>
      </c>
      <c r="P1831">
        <f>186.89</f>
        <v>186.89</v>
      </c>
      <c r="Q1831">
        <f>2012.17</f>
        <v>2012.17</v>
      </c>
      <c r="R1831">
        <f>3994.18</f>
        <v>3994.18</v>
      </c>
      <c r="S1831">
        <f>1829.79</f>
        <v>1829.79</v>
      </c>
      <c r="T1831">
        <f>3899.349</f>
        <v>3899.3490000000002</v>
      </c>
      <c r="U1831">
        <f>53585.53</f>
        <v>53585.53</v>
      </c>
      <c r="V1831">
        <f>325</f>
        <v>325</v>
      </c>
    </row>
    <row r="1832" spans="1:22" x14ac:dyDescent="0.2">
      <c r="A1832" s="1">
        <v>42543</v>
      </c>
      <c r="B1832">
        <f>2716.74</f>
        <v>2716.74</v>
      </c>
      <c r="C1832">
        <f>7459.3</f>
        <v>7459.3</v>
      </c>
      <c r="D1832">
        <f>5016.43</f>
        <v>5016.43</v>
      </c>
      <c r="E1832">
        <f>1732.105</f>
        <v>1732.105</v>
      </c>
      <c r="F1832">
        <f>1715.12</f>
        <v>1715.12</v>
      </c>
      <c r="G1832">
        <f>7439.048</f>
        <v>7439.0479999999998</v>
      </c>
      <c r="H1832">
        <f>2607.43</f>
        <v>2607.4299999999998</v>
      </c>
      <c r="I1832">
        <f>8073.62</f>
        <v>8073.62</v>
      </c>
      <c r="J1832">
        <f>3062.28</f>
        <v>3062.28</v>
      </c>
      <c r="K1832">
        <f>8182.71</f>
        <v>8182.71</v>
      </c>
      <c r="L1832">
        <f>1650.97</f>
        <v>1650.97</v>
      </c>
      <c r="M1832">
        <f>6478.57</f>
        <v>6478.57</v>
      </c>
      <c r="N1832">
        <f>301.451</f>
        <v>301.45100000000002</v>
      </c>
      <c r="O1832">
        <f>2446.56</f>
        <v>2446.56</v>
      </c>
      <c r="P1832">
        <f>186.3</f>
        <v>186.3</v>
      </c>
      <c r="Q1832">
        <f>1987.87</f>
        <v>1987.87</v>
      </c>
      <c r="R1832">
        <f>3941.45</f>
        <v>3941.45</v>
      </c>
      <c r="S1832">
        <f>1809.93</f>
        <v>1809.93</v>
      </c>
      <c r="T1832">
        <f>3877.862</f>
        <v>3877.8620000000001</v>
      </c>
      <c r="U1832">
        <f>53557.2</f>
        <v>53557.2</v>
      </c>
      <c r="V1832">
        <f>324.5</f>
        <v>324.5</v>
      </c>
    </row>
    <row r="1833" spans="1:22" x14ac:dyDescent="0.2">
      <c r="A1833" s="1">
        <v>42542</v>
      </c>
      <c r="B1833">
        <f>2695.08</f>
        <v>2695.08</v>
      </c>
      <c r="C1833">
        <f>7402.37</f>
        <v>7402.37</v>
      </c>
      <c r="D1833">
        <f>4988.68</f>
        <v>4988.68</v>
      </c>
      <c r="E1833">
        <f>1721.913</f>
        <v>1721.913</v>
      </c>
      <c r="F1833">
        <f>1697.35</f>
        <v>1697.35</v>
      </c>
      <c r="G1833">
        <f>7390.795</f>
        <v>7390.7950000000001</v>
      </c>
      <c r="H1833">
        <f>2631.59</f>
        <v>2631.59</v>
      </c>
      <c r="I1833">
        <f>8041.889</f>
        <v>8041.8890000000001</v>
      </c>
      <c r="J1833">
        <f>3065.8</f>
        <v>3065.8</v>
      </c>
      <c r="K1833">
        <f>8197.24</f>
        <v>8197.24</v>
      </c>
      <c r="L1833">
        <f>1650.3</f>
        <v>1650.3</v>
      </c>
      <c r="M1833">
        <f>6481.84</f>
        <v>6481.84</v>
      </c>
      <c r="N1833">
        <f>300.171</f>
        <v>300.17099999999999</v>
      </c>
      <c r="O1833">
        <f>2437.9</f>
        <v>2437.9</v>
      </c>
      <c r="P1833">
        <f>187.41</f>
        <v>187.41</v>
      </c>
      <c r="Q1833">
        <f>1990.14</f>
        <v>1990.14</v>
      </c>
      <c r="R1833">
        <f>3947.94</f>
        <v>3947.94</v>
      </c>
      <c r="S1833">
        <f>1823.02</f>
        <v>1823.02</v>
      </c>
      <c r="T1833">
        <f>3820.797</f>
        <v>3820.797</v>
      </c>
      <c r="U1833">
        <f>52955.18</f>
        <v>52955.18</v>
      </c>
      <c r="V1833">
        <f>319.3</f>
        <v>319.3</v>
      </c>
    </row>
    <row r="1834" spans="1:22" x14ac:dyDescent="0.2">
      <c r="A1834" s="1">
        <v>42541</v>
      </c>
      <c r="B1834">
        <f>2679.5</f>
        <v>2679.5</v>
      </c>
      <c r="C1834">
        <f>7355.23</f>
        <v>7355.23</v>
      </c>
      <c r="D1834">
        <f>4970.62</f>
        <v>4970.62</v>
      </c>
      <c r="E1834">
        <f>1712.832</f>
        <v>1712.8320000000001</v>
      </c>
      <c r="F1834">
        <f>1696.61</f>
        <v>1696.61</v>
      </c>
      <c r="G1834">
        <f>7374.091</f>
        <v>7374.0910000000003</v>
      </c>
      <c r="H1834">
        <f>2606.92</f>
        <v>2606.92</v>
      </c>
      <c r="I1834">
        <f>8032.838</f>
        <v>8032.8379999999997</v>
      </c>
      <c r="J1834">
        <f>3056.45</f>
        <v>3056.45</v>
      </c>
      <c r="K1834">
        <f>8175.86</f>
        <v>8175.86</v>
      </c>
      <c r="L1834">
        <f>1646.17</f>
        <v>1646.17</v>
      </c>
      <c r="M1834">
        <f>6463.28</f>
        <v>6463.28</v>
      </c>
      <c r="N1834">
        <f>298.142</f>
        <v>298.142</v>
      </c>
      <c r="O1834">
        <f>2420.62</f>
        <v>2420.62</v>
      </c>
      <c r="P1834">
        <f>186</f>
        <v>186</v>
      </c>
      <c r="Q1834">
        <f>1988.96</f>
        <v>1988.96</v>
      </c>
      <c r="R1834">
        <f>3936.91</f>
        <v>3936.91</v>
      </c>
      <c r="S1834">
        <f>1802.29</f>
        <v>1802.29</v>
      </c>
      <c r="T1834">
        <f>3812.354</f>
        <v>3812.3539999999998</v>
      </c>
      <c r="U1834">
        <f>53032.14</f>
        <v>53032.14</v>
      </c>
      <c r="V1834">
        <f>317.76</f>
        <v>317.76</v>
      </c>
    </row>
    <row r="1835" spans="1:22" x14ac:dyDescent="0.2">
      <c r="A1835" s="1">
        <v>42538</v>
      </c>
      <c r="B1835">
        <f>2584.18</f>
        <v>2584.1799999999998</v>
      </c>
      <c r="C1835">
        <f>7199.22</f>
        <v>7199.22</v>
      </c>
      <c r="D1835">
        <f>4824.07</f>
        <v>4824.07</v>
      </c>
      <c r="E1835">
        <f>1681.323</f>
        <v>1681.3230000000001</v>
      </c>
      <c r="F1835">
        <f>1599.55</f>
        <v>1599.55</v>
      </c>
      <c r="G1835">
        <f>6962.572</f>
        <v>6962.5720000000001</v>
      </c>
      <c r="H1835">
        <f>2554.15</f>
        <v>2554.15</v>
      </c>
      <c r="I1835">
        <f>7738.672</f>
        <v>7738.6719999999996</v>
      </c>
      <c r="J1835">
        <f>3042.1</f>
        <v>3042.1</v>
      </c>
      <c r="K1835">
        <f>8127.61</f>
        <v>8127.61</v>
      </c>
      <c r="L1835">
        <f>1615.06</f>
        <v>1615.06</v>
      </c>
      <c r="M1835">
        <f>6352.61</f>
        <v>6352.61</v>
      </c>
      <c r="N1835">
        <f>285.792</f>
        <v>285.79199999999997</v>
      </c>
      <c r="O1835">
        <f>2333.53</f>
        <v>2333.5300000000002</v>
      </c>
      <c r="P1835">
        <f>182.06</f>
        <v>182.06</v>
      </c>
      <c r="Q1835">
        <f>1975.75</f>
        <v>1975.75</v>
      </c>
      <c r="R1835">
        <f>3914.15</f>
        <v>3914.15</v>
      </c>
      <c r="S1835">
        <f>1762.33</f>
        <v>1762.33</v>
      </c>
      <c r="T1835">
        <f>3742.467</f>
        <v>3742.4670000000001</v>
      </c>
      <c r="U1835">
        <f>52140.61</f>
        <v>52140.61</v>
      </c>
      <c r="V1835">
        <f>311.99</f>
        <v>311.99</v>
      </c>
    </row>
    <row r="1836" spans="1:22" x14ac:dyDescent="0.2">
      <c r="A1836" s="1">
        <v>42537</v>
      </c>
      <c r="B1836">
        <f>2533.67</f>
        <v>2533.67</v>
      </c>
      <c r="C1836">
        <f>7112.38</f>
        <v>7112.38</v>
      </c>
      <c r="D1836">
        <f>4767.49</f>
        <v>4767.49</v>
      </c>
      <c r="E1836">
        <f>1667.874</f>
        <v>1667.874</v>
      </c>
      <c r="F1836">
        <f>1548.55</f>
        <v>1548.55</v>
      </c>
      <c r="G1836">
        <f>6767.725</f>
        <v>6767.7250000000004</v>
      </c>
      <c r="H1836">
        <f>2537.1</f>
        <v>2537.1</v>
      </c>
      <c r="I1836">
        <f>7585.255</f>
        <v>7585.2550000000001</v>
      </c>
      <c r="J1836">
        <f>3047.93</f>
        <v>3047.93</v>
      </c>
      <c r="K1836">
        <f>8153.94</f>
        <v>8153.94</v>
      </c>
      <c r="L1836">
        <f>1604.06</f>
        <v>1604.06</v>
      </c>
      <c r="M1836">
        <f>6322.55</f>
        <v>6322.55</v>
      </c>
      <c r="N1836">
        <f>282.09</f>
        <v>282.08999999999997</v>
      </c>
      <c r="O1836">
        <f>2302.72</f>
        <v>2302.7199999999998</v>
      </c>
      <c r="P1836">
        <f>181.54</f>
        <v>181.54</v>
      </c>
      <c r="Q1836">
        <f>1978.22</f>
        <v>1978.22</v>
      </c>
      <c r="R1836">
        <f>3926.93</f>
        <v>3926.93</v>
      </c>
      <c r="S1836">
        <f>1749.27</f>
        <v>1749.27</v>
      </c>
      <c r="T1836" t="e">
        <f>NA()</f>
        <v>#N/A</v>
      </c>
      <c r="U1836" t="e">
        <f>NA()</f>
        <v>#N/A</v>
      </c>
      <c r="V1836" t="e">
        <f>NA()</f>
        <v>#N/A</v>
      </c>
    </row>
    <row r="1837" spans="1:22" x14ac:dyDescent="0.2">
      <c r="A1837" s="1">
        <v>42536</v>
      </c>
      <c r="B1837">
        <f>2554.48</f>
        <v>2554.48</v>
      </c>
      <c r="C1837">
        <f>7216.27</f>
        <v>7216.27</v>
      </c>
      <c r="D1837">
        <f>4779.69</f>
        <v>4779.6899999999996</v>
      </c>
      <c r="E1837">
        <f>1684.303</f>
        <v>1684.3030000000001</v>
      </c>
      <c r="F1837">
        <f>1570.72</f>
        <v>1570.72</v>
      </c>
      <c r="G1837">
        <f>6846.922</f>
        <v>6846.9219999999996</v>
      </c>
      <c r="H1837">
        <f>2565.53</f>
        <v>2565.5300000000002</v>
      </c>
      <c r="I1837">
        <f>7702.788</f>
        <v>7702.7879999999996</v>
      </c>
      <c r="J1837">
        <f>3029.38</f>
        <v>3029.38</v>
      </c>
      <c r="K1837">
        <f>8128.58</f>
        <v>8128.58</v>
      </c>
      <c r="L1837">
        <f>1607.82</f>
        <v>1607.82</v>
      </c>
      <c r="M1837">
        <f>6343.8</f>
        <v>6343.8</v>
      </c>
      <c r="N1837">
        <f>284.133</f>
        <v>284.13299999999998</v>
      </c>
      <c r="O1837">
        <f>2315.59</f>
        <v>2315.59</v>
      </c>
      <c r="P1837">
        <f>186.2</f>
        <v>186.2</v>
      </c>
      <c r="Q1837">
        <f>1968.34</f>
        <v>1968.34</v>
      </c>
      <c r="R1837">
        <f>3914.02</f>
        <v>3914.02</v>
      </c>
      <c r="S1837">
        <f>1799.34</f>
        <v>1799.34</v>
      </c>
      <c r="T1837">
        <f>3702.026</f>
        <v>3702.0259999999998</v>
      </c>
      <c r="U1837">
        <f>52026.71</f>
        <v>52026.71</v>
      </c>
      <c r="V1837">
        <f>310.16</f>
        <v>310.16000000000003</v>
      </c>
    </row>
    <row r="1838" spans="1:22" x14ac:dyDescent="0.2">
      <c r="A1838" s="1">
        <v>42535</v>
      </c>
      <c r="B1838">
        <f>2539.67</f>
        <v>2539.67</v>
      </c>
      <c r="C1838">
        <f>7177.39</f>
        <v>7177.39</v>
      </c>
      <c r="D1838">
        <f>4745.02</f>
        <v>4745.0200000000004</v>
      </c>
      <c r="E1838">
        <f>1673.533</f>
        <v>1673.5329999999999</v>
      </c>
      <c r="F1838">
        <f>1540.21</f>
        <v>1540.21</v>
      </c>
      <c r="G1838">
        <f>6757.068</f>
        <v>6757.0680000000002</v>
      </c>
      <c r="H1838">
        <f>2550.78</f>
        <v>2550.7800000000002</v>
      </c>
      <c r="I1838">
        <f>7617.364</f>
        <v>7617.3639999999996</v>
      </c>
      <c r="J1838">
        <f>3038.03</f>
        <v>3038.03</v>
      </c>
      <c r="K1838">
        <f>8141.09</f>
        <v>8141.09</v>
      </c>
      <c r="L1838">
        <f>1604.28</f>
        <v>1604.28</v>
      </c>
      <c r="M1838">
        <f>6330.42</f>
        <v>6330.42</v>
      </c>
      <c r="N1838">
        <f>281.598</f>
        <v>281.59800000000001</v>
      </c>
      <c r="O1838">
        <f>2295.86</f>
        <v>2295.86</v>
      </c>
      <c r="P1838">
        <f>186.07</f>
        <v>186.07</v>
      </c>
      <c r="Q1838">
        <f>1970.25</f>
        <v>1970.25</v>
      </c>
      <c r="R1838">
        <f>3920.93</f>
        <v>3920.93</v>
      </c>
      <c r="S1838">
        <f>1792.05</f>
        <v>1792.05</v>
      </c>
      <c r="T1838">
        <f>3660.617</f>
        <v>3660.6170000000002</v>
      </c>
      <c r="U1838">
        <f>51394.31</f>
        <v>51394.31</v>
      </c>
      <c r="V1838">
        <f>307.74</f>
        <v>307.74</v>
      </c>
    </row>
    <row r="1839" spans="1:22" x14ac:dyDescent="0.2">
      <c r="A1839" s="1">
        <v>42534</v>
      </c>
      <c r="B1839">
        <f>2599.38</f>
        <v>2599.38</v>
      </c>
      <c r="C1839">
        <f>7230.27</f>
        <v>7230.27</v>
      </c>
      <c r="D1839">
        <f>4842.3</f>
        <v>4842.3</v>
      </c>
      <c r="E1839">
        <f>1686.801</f>
        <v>1686.8009999999999</v>
      </c>
      <c r="F1839">
        <f>1595.11</f>
        <v>1595.11</v>
      </c>
      <c r="G1839">
        <f>6977.142</f>
        <v>6977.1419999999998</v>
      </c>
      <c r="H1839">
        <f>2562.45</f>
        <v>2562.4499999999998</v>
      </c>
      <c r="I1839">
        <f>7811.561</f>
        <v>7811.5609999999997</v>
      </c>
      <c r="J1839">
        <f>3035.67</f>
        <v>3035.67</v>
      </c>
      <c r="K1839">
        <f>8154.07</f>
        <v>8154.07</v>
      </c>
      <c r="L1839">
        <f>1619.78</f>
        <v>1619.78</v>
      </c>
      <c r="M1839">
        <f>6389.11</f>
        <v>6389.11</v>
      </c>
      <c r="N1839">
        <f>286.446</f>
        <v>286.44600000000003</v>
      </c>
      <c r="O1839">
        <f>2338.89</f>
        <v>2338.89</v>
      </c>
      <c r="P1839">
        <f>187.87</f>
        <v>187.87</v>
      </c>
      <c r="Q1839">
        <f>1969.25</f>
        <v>1969.25</v>
      </c>
      <c r="R1839">
        <f>3927.73</f>
        <v>3927.73</v>
      </c>
      <c r="S1839">
        <f>1809.8</f>
        <v>1809.8</v>
      </c>
      <c r="T1839">
        <f>3751.271</f>
        <v>3751.2710000000002</v>
      </c>
      <c r="U1839">
        <f>52511.52</f>
        <v>52511.519999999997</v>
      </c>
      <c r="V1839">
        <f>314.87</f>
        <v>314.87</v>
      </c>
    </row>
    <row r="1840" spans="1:22" x14ac:dyDescent="0.2">
      <c r="A1840" s="1">
        <v>42531</v>
      </c>
      <c r="B1840">
        <f>2636.31</f>
        <v>2636.31</v>
      </c>
      <c r="C1840">
        <f>7353.06</f>
        <v>7353.06</v>
      </c>
      <c r="D1840">
        <f>4899.01</f>
        <v>4899.01</v>
      </c>
      <c r="E1840">
        <f>1716.536</f>
        <v>1716.5360000000001</v>
      </c>
      <c r="F1840">
        <f>1613.96</f>
        <v>1613.96</v>
      </c>
      <c r="G1840">
        <f>7085.425</f>
        <v>7085.4250000000002</v>
      </c>
      <c r="H1840">
        <f>2644.42</f>
        <v>2644.42</v>
      </c>
      <c r="I1840">
        <f>7959.733</f>
        <v>7959.7330000000002</v>
      </c>
      <c r="J1840">
        <f>3058.62</f>
        <v>3058.62</v>
      </c>
      <c r="K1840">
        <f>8214.98</f>
        <v>8214.98</v>
      </c>
      <c r="L1840">
        <f>1638.2</f>
        <v>1638.2</v>
      </c>
      <c r="M1840">
        <f>6463.93</f>
        <v>6463.93</v>
      </c>
      <c r="N1840">
        <f>291.681</f>
        <v>291.68099999999998</v>
      </c>
      <c r="O1840">
        <f>2384.93</f>
        <v>2384.9299999999998</v>
      </c>
      <c r="P1840">
        <f>194.11</f>
        <v>194.11</v>
      </c>
      <c r="Q1840">
        <f>1983.42</f>
        <v>1983.42</v>
      </c>
      <c r="R1840">
        <f>3958.68</f>
        <v>3958.68</v>
      </c>
      <c r="S1840">
        <f>1874.87</f>
        <v>1874.87</v>
      </c>
      <c r="T1840">
        <f>3785.159</f>
        <v>3785.1590000000001</v>
      </c>
      <c r="U1840">
        <f>53175.15</f>
        <v>53175.15</v>
      </c>
      <c r="V1840">
        <f>317.39</f>
        <v>317.39</v>
      </c>
    </row>
    <row r="1841" spans="1:22" x14ac:dyDescent="0.2">
      <c r="A1841" s="1">
        <v>42530</v>
      </c>
      <c r="B1841">
        <f>2686.84</f>
        <v>2686.84</v>
      </c>
      <c r="C1841">
        <f>7448.28</f>
        <v>7448.28</v>
      </c>
      <c r="D1841">
        <f>4992.03</f>
        <v>4992.03</v>
      </c>
      <c r="E1841">
        <f>1743.621</f>
        <v>1743.6210000000001</v>
      </c>
      <c r="F1841">
        <f>1666.24</f>
        <v>1666.24</v>
      </c>
      <c r="G1841">
        <f>7288.778</f>
        <v>7288.7780000000002</v>
      </c>
      <c r="H1841">
        <f>2661.79</f>
        <v>2661.79</v>
      </c>
      <c r="I1841">
        <f>8170.956</f>
        <v>8170.9560000000001</v>
      </c>
      <c r="J1841">
        <f>3071.71</f>
        <v>3071.71</v>
      </c>
      <c r="K1841">
        <f>8294.27</f>
        <v>8294.27</v>
      </c>
      <c r="L1841">
        <f>1657.73</f>
        <v>1657.73</v>
      </c>
      <c r="M1841">
        <f>6554.8</f>
        <v>6554.8</v>
      </c>
      <c r="N1841">
        <f>298.477</f>
        <v>298.47699999999998</v>
      </c>
      <c r="O1841">
        <f>2441.45</f>
        <v>2441.4499999999998</v>
      </c>
      <c r="P1841">
        <f>194.7</f>
        <v>194.7</v>
      </c>
      <c r="Q1841">
        <f>1993.87</f>
        <v>1993.87</v>
      </c>
      <c r="R1841">
        <f>3995.28</f>
        <v>3995.28</v>
      </c>
      <c r="S1841">
        <f>1884.3</f>
        <v>1884.3</v>
      </c>
      <c r="T1841">
        <f>3816.029</f>
        <v>3816.029</v>
      </c>
      <c r="U1841">
        <f>53353.87</f>
        <v>53353.87</v>
      </c>
      <c r="V1841">
        <f>318.98</f>
        <v>318.98</v>
      </c>
    </row>
    <row r="1842" spans="1:22" x14ac:dyDescent="0.2">
      <c r="A1842" s="1">
        <v>42529</v>
      </c>
      <c r="B1842">
        <f>2719.25</f>
        <v>2719.25</v>
      </c>
      <c r="C1842">
        <f>7503.34</f>
        <v>7503.34</v>
      </c>
      <c r="D1842">
        <f>5039.98</f>
        <v>5039.9799999999996</v>
      </c>
      <c r="E1842">
        <f>1754.563</f>
        <v>1754.5630000000001</v>
      </c>
      <c r="F1842">
        <f>1707.39</f>
        <v>1707.39</v>
      </c>
      <c r="G1842">
        <f>7401.775</f>
        <v>7401.7749999999996</v>
      </c>
      <c r="H1842">
        <f>2691.12</f>
        <v>2691.12</v>
      </c>
      <c r="I1842">
        <f>8295.723</f>
        <v>8295.723</v>
      </c>
      <c r="J1842">
        <f>3069.94</f>
        <v>3069.94</v>
      </c>
      <c r="K1842">
        <f>8309.66</f>
        <v>8309.66</v>
      </c>
      <c r="L1842">
        <f>1667.91</f>
        <v>1667.91</v>
      </c>
      <c r="M1842">
        <f>6594.91</f>
        <v>6594.91</v>
      </c>
      <c r="N1842">
        <f>300.863</f>
        <v>300.863</v>
      </c>
      <c r="O1842">
        <f>2463.52</f>
        <v>2463.52</v>
      </c>
      <c r="P1842">
        <f>196.21</f>
        <v>196.21</v>
      </c>
      <c r="Q1842">
        <f>1995.57</f>
        <v>1995.57</v>
      </c>
      <c r="R1842">
        <f>4001.98</f>
        <v>4001.98</v>
      </c>
      <c r="S1842">
        <f>1903.41</f>
        <v>1903.41</v>
      </c>
      <c r="T1842">
        <f>3863.595</f>
        <v>3863.5949999999998</v>
      </c>
      <c r="U1842">
        <f>53960.18</f>
        <v>53960.18</v>
      </c>
      <c r="V1842">
        <f>324.49</f>
        <v>324.49</v>
      </c>
    </row>
    <row r="1843" spans="1:22" x14ac:dyDescent="0.2">
      <c r="A1843" s="1">
        <v>42528</v>
      </c>
      <c r="B1843">
        <f>2710.59</f>
        <v>2710.59</v>
      </c>
      <c r="C1843">
        <f>7438.89</f>
        <v>7438.89</v>
      </c>
      <c r="D1843">
        <f>5026.39</f>
        <v>5026.3900000000003</v>
      </c>
      <c r="E1843">
        <f>1740.466</f>
        <v>1740.4659999999999</v>
      </c>
      <c r="F1843">
        <f>1697.48</f>
        <v>1697.48</v>
      </c>
      <c r="G1843">
        <f>7381.671</f>
        <v>7381.6710000000003</v>
      </c>
      <c r="H1843">
        <f>2649.68</f>
        <v>2649.68</v>
      </c>
      <c r="I1843">
        <f>8317.492</f>
        <v>8317.4920000000002</v>
      </c>
      <c r="J1843">
        <f>3057.23</f>
        <v>3057.23</v>
      </c>
      <c r="K1843">
        <f>8280.91</f>
        <v>8280.91</v>
      </c>
      <c r="L1843">
        <f>1664.7</f>
        <v>1664.7</v>
      </c>
      <c r="M1843">
        <f>6574.61</f>
        <v>6574.61</v>
      </c>
      <c r="N1843">
        <f>302.336</f>
        <v>302.33600000000001</v>
      </c>
      <c r="O1843">
        <f>2476.52</f>
        <v>2476.52</v>
      </c>
      <c r="P1843">
        <f>194.67</f>
        <v>194.67</v>
      </c>
      <c r="Q1843">
        <f>1984.66</f>
        <v>1984.66</v>
      </c>
      <c r="R1843">
        <f>3987.96</f>
        <v>3987.96</v>
      </c>
      <c r="S1843">
        <f>1889.03</f>
        <v>1889.03</v>
      </c>
      <c r="T1843">
        <f>3896.38</f>
        <v>3896.38</v>
      </c>
      <c r="U1843">
        <f>54305.73</f>
        <v>54305.73</v>
      </c>
      <c r="V1843">
        <f>327.8</f>
        <v>327.8</v>
      </c>
    </row>
    <row r="1844" spans="1:22" x14ac:dyDescent="0.2">
      <c r="A1844" s="1">
        <v>42527</v>
      </c>
      <c r="B1844">
        <f>2706.22</f>
        <v>2706.22</v>
      </c>
      <c r="C1844">
        <f>7345.51</f>
        <v>7345.51</v>
      </c>
      <c r="D1844">
        <f>5017.48</f>
        <v>5017.4799999999996</v>
      </c>
      <c r="E1844">
        <f>1713.83</f>
        <v>1713.83</v>
      </c>
      <c r="F1844">
        <f>1686.23</f>
        <v>1686.23</v>
      </c>
      <c r="G1844">
        <f>7322.083</f>
        <v>7322.0829999999996</v>
      </c>
      <c r="H1844">
        <f>2637.12</f>
        <v>2637.12</v>
      </c>
      <c r="I1844">
        <f>8222.574</f>
        <v>8222.5740000000005</v>
      </c>
      <c r="J1844">
        <f>3050.48</f>
        <v>3050.48</v>
      </c>
      <c r="K1844">
        <f>8270.21</f>
        <v>8270.2099999999991</v>
      </c>
      <c r="L1844">
        <f>1653.52</f>
        <v>1653.52</v>
      </c>
      <c r="M1844">
        <f>6543.71</f>
        <v>6543.71</v>
      </c>
      <c r="N1844">
        <f>298.7</f>
        <v>298.7</v>
      </c>
      <c r="O1844">
        <f>2447.05</f>
        <v>2447.0500000000002</v>
      </c>
      <c r="P1844">
        <f>194.27</f>
        <v>194.27</v>
      </c>
      <c r="Q1844">
        <f>1981.53</f>
        <v>1981.53</v>
      </c>
      <c r="R1844">
        <f>3982.74</f>
        <v>3982.74</v>
      </c>
      <c r="S1844">
        <f>1877.32</f>
        <v>1877.32</v>
      </c>
      <c r="T1844">
        <f>3875.359</f>
        <v>3875.3589999999999</v>
      </c>
      <c r="U1844">
        <f>53990.76</f>
        <v>53990.76</v>
      </c>
      <c r="V1844">
        <f>323.45</f>
        <v>323.45</v>
      </c>
    </row>
    <row r="1845" spans="1:22" x14ac:dyDescent="0.2">
      <c r="A1845" s="1">
        <v>42524</v>
      </c>
      <c r="B1845">
        <f>2671.6</f>
        <v>2671.6</v>
      </c>
      <c r="C1845">
        <f>7260.43</f>
        <v>7260.43</v>
      </c>
      <c r="D1845">
        <f>4966.48</f>
        <v>4966.4799999999996</v>
      </c>
      <c r="E1845">
        <f>1698.759</f>
        <v>1698.759</v>
      </c>
      <c r="F1845">
        <f>1661.54</f>
        <v>1661.54</v>
      </c>
      <c r="G1845">
        <f>7271.474</f>
        <v>7271.4740000000002</v>
      </c>
      <c r="H1845">
        <f>2659.99</f>
        <v>2659.99</v>
      </c>
      <c r="I1845">
        <f>8167.847</f>
        <v>8167.8469999999998</v>
      </c>
      <c r="J1845">
        <f>3036.88</f>
        <v>3036.88</v>
      </c>
      <c r="K1845">
        <f>8230.08</f>
        <v>8230.08</v>
      </c>
      <c r="L1845">
        <f>1644.22</f>
        <v>1644.22</v>
      </c>
      <c r="M1845">
        <f>6512.78</f>
        <v>6512.78</v>
      </c>
      <c r="N1845">
        <f>297.258</f>
        <v>297.25799999999998</v>
      </c>
      <c r="O1845">
        <f>2437.49</f>
        <v>2437.4899999999998</v>
      </c>
      <c r="P1845">
        <f>194.25</f>
        <v>194.25</v>
      </c>
      <c r="Q1845">
        <f>1974.5</f>
        <v>1974.5</v>
      </c>
      <c r="R1845">
        <f>3963.23</f>
        <v>3963.23</v>
      </c>
      <c r="S1845">
        <f>1884.08</f>
        <v>1884.08</v>
      </c>
      <c r="T1845">
        <f>3863.065</f>
        <v>3863.0650000000001</v>
      </c>
      <c r="U1845">
        <f>54259.36</f>
        <v>54259.360000000001</v>
      </c>
      <c r="V1845">
        <f>322.59</f>
        <v>322.58999999999997</v>
      </c>
    </row>
    <row r="1846" spans="1:22" x14ac:dyDescent="0.2">
      <c r="A1846" s="1">
        <v>42523</v>
      </c>
      <c r="B1846">
        <f>2666.59</f>
        <v>2666.59</v>
      </c>
      <c r="C1846">
        <f>7163.06</f>
        <v>7163.06</v>
      </c>
      <c r="D1846">
        <f>4947.27</f>
        <v>4947.2700000000004</v>
      </c>
      <c r="E1846">
        <f>1684.263</f>
        <v>1684.2629999999999</v>
      </c>
      <c r="F1846">
        <f>1643.53</f>
        <v>1643.53</v>
      </c>
      <c r="G1846">
        <f>7207.41</f>
        <v>7207.41</v>
      </c>
      <c r="H1846">
        <f>2610.74</f>
        <v>2610.7399999999998</v>
      </c>
      <c r="I1846">
        <f>8123.442</f>
        <v>8123.442</v>
      </c>
      <c r="J1846">
        <f>3030.93</f>
        <v>3030.93</v>
      </c>
      <c r="K1846">
        <f>8254.14</f>
        <v>8254.14</v>
      </c>
      <c r="L1846">
        <f>1632.89</f>
        <v>1632.89</v>
      </c>
      <c r="M1846">
        <f>6494</f>
        <v>6494</v>
      </c>
      <c r="N1846">
        <f>299.16</f>
        <v>299.16000000000003</v>
      </c>
      <c r="O1846">
        <f>2457.69</f>
        <v>2457.69</v>
      </c>
      <c r="P1846">
        <f>193.19</f>
        <v>193.19</v>
      </c>
      <c r="Q1846">
        <f>1974.78</f>
        <v>1974.78</v>
      </c>
      <c r="R1846">
        <f>3974.76</f>
        <v>3974.76</v>
      </c>
      <c r="S1846">
        <f>1876.45</f>
        <v>1876.45</v>
      </c>
      <c r="T1846">
        <f>3814.046</f>
        <v>3814.0459999999998</v>
      </c>
      <c r="U1846">
        <f>53716.91</f>
        <v>53716.91</v>
      </c>
      <c r="V1846">
        <f>317.42</f>
        <v>317.42</v>
      </c>
    </row>
    <row r="1847" spans="1:22" x14ac:dyDescent="0.2">
      <c r="A1847" s="1">
        <v>42522</v>
      </c>
      <c r="B1847">
        <f>2674.03</f>
        <v>2674.03</v>
      </c>
      <c r="C1847">
        <f>7154.52</f>
        <v>7154.52</v>
      </c>
      <c r="D1847">
        <f>4948.29</f>
        <v>4948.29</v>
      </c>
      <c r="E1847">
        <f>1679.326</f>
        <v>1679.326</v>
      </c>
      <c r="F1847">
        <f>1639.37</f>
        <v>1639.37</v>
      </c>
      <c r="G1847">
        <f>7192.203</f>
        <v>7192.2030000000004</v>
      </c>
      <c r="H1847">
        <f>2653.14</f>
        <v>2653.14</v>
      </c>
      <c r="I1847">
        <f>8128.507</f>
        <v>8128.5069999999996</v>
      </c>
      <c r="J1847">
        <f>3024.71</f>
        <v>3024.71</v>
      </c>
      <c r="K1847">
        <f>8226.32</f>
        <v>8226.32</v>
      </c>
      <c r="L1847">
        <f>1632.76</f>
        <v>1632.76</v>
      </c>
      <c r="M1847">
        <f>6488.96</f>
        <v>6488.96</v>
      </c>
      <c r="N1847">
        <f>298.259</f>
        <v>298.25900000000001</v>
      </c>
      <c r="O1847">
        <f>2455.23</f>
        <v>2455.23</v>
      </c>
      <c r="P1847">
        <f>195.11</f>
        <v>195.11</v>
      </c>
      <c r="Q1847">
        <f>1967.05</f>
        <v>1967.05</v>
      </c>
      <c r="R1847">
        <f>3963.1</f>
        <v>3963.1</v>
      </c>
      <c r="S1847">
        <f>1919.08</f>
        <v>1919.08</v>
      </c>
      <c r="T1847">
        <f>3794.989</f>
        <v>3794.989</v>
      </c>
      <c r="U1847">
        <f>53518.36</f>
        <v>53518.36</v>
      </c>
      <c r="V1847">
        <f>315.06</f>
        <v>315.06</v>
      </c>
    </row>
    <row r="1848" spans="1:22" x14ac:dyDescent="0.2">
      <c r="A1848" s="1">
        <v>42521</v>
      </c>
      <c r="B1848">
        <f>2703.15</f>
        <v>2703.15</v>
      </c>
      <c r="C1848">
        <f>7129.97</f>
        <v>7129.97</v>
      </c>
      <c r="D1848">
        <f>4979.35</f>
        <v>4979.3500000000004</v>
      </c>
      <c r="E1848">
        <f>1679.738</f>
        <v>1679.7380000000001</v>
      </c>
      <c r="F1848">
        <f>1674.43</f>
        <v>1674.43</v>
      </c>
      <c r="G1848">
        <f>7309.667</f>
        <v>7309.6670000000004</v>
      </c>
      <c r="H1848">
        <f>2655.53</f>
        <v>2655.53</v>
      </c>
      <c r="I1848">
        <f>8140.489</f>
        <v>8140.4889999999996</v>
      </c>
      <c r="J1848">
        <f>3018.14</f>
        <v>3018.14</v>
      </c>
      <c r="K1848">
        <f>8214.23</f>
        <v>8214.23</v>
      </c>
      <c r="L1848">
        <f>1634.67</f>
        <v>1634.67</v>
      </c>
      <c r="M1848">
        <f>6494.94</f>
        <v>6494.94</v>
      </c>
      <c r="N1848">
        <f>301.999</f>
        <v>301.99900000000002</v>
      </c>
      <c r="O1848">
        <f>2477.87</f>
        <v>2477.87</v>
      </c>
      <c r="P1848">
        <f>196.59</f>
        <v>196.59</v>
      </c>
      <c r="Q1848">
        <f>1962.95</f>
        <v>1962.95</v>
      </c>
      <c r="R1848">
        <f>3957.95</f>
        <v>3957.95</v>
      </c>
      <c r="S1848">
        <f>1944.06</f>
        <v>1944.06</v>
      </c>
      <c r="T1848">
        <f>3785.743</f>
        <v>3785.7429999999999</v>
      </c>
      <c r="U1848">
        <f>53905.21</f>
        <v>53905.21</v>
      </c>
      <c r="V1848">
        <f>314.71</f>
        <v>314.70999999999998</v>
      </c>
    </row>
    <row r="1849" spans="1:22" x14ac:dyDescent="0.2">
      <c r="A1849" s="1">
        <v>42520</v>
      </c>
      <c r="B1849">
        <f>2721.66</f>
        <v>2721.66</v>
      </c>
      <c r="C1849">
        <f>7159.72</f>
        <v>7159.72</v>
      </c>
      <c r="D1849">
        <f>5011.32</f>
        <v>5011.32</v>
      </c>
      <c r="E1849">
        <f>1680.028</f>
        <v>1680.028</v>
      </c>
      <c r="F1849">
        <f>1691.78</f>
        <v>1691.78</v>
      </c>
      <c r="G1849">
        <f>7392.555</f>
        <v>7392.5550000000003</v>
      </c>
      <c r="H1849">
        <f>2625.1</f>
        <v>2625.1</v>
      </c>
      <c r="I1849">
        <f>8198.01</f>
        <v>8198.01</v>
      </c>
      <c r="J1849">
        <f>3022.84</f>
        <v>3022.84</v>
      </c>
      <c r="K1849">
        <f>8219.32</f>
        <v>8219.32</v>
      </c>
      <c r="L1849">
        <f>1642.01</f>
        <v>1642.01</v>
      </c>
      <c r="M1849">
        <f>6503.16</f>
        <v>6503.16</v>
      </c>
      <c r="N1849">
        <f>304.47</f>
        <v>304.47000000000003</v>
      </c>
      <c r="O1849">
        <f>2499.6</f>
        <v>2499.6</v>
      </c>
      <c r="P1849">
        <f>195.03</f>
        <v>195.03</v>
      </c>
      <c r="Q1849" t="e">
        <f>NA()</f>
        <v>#N/A</v>
      </c>
      <c r="R1849" t="e">
        <f>NA()</f>
        <v>#N/A</v>
      </c>
      <c r="S1849">
        <f>1924.64</f>
        <v>1924.64</v>
      </c>
      <c r="T1849">
        <f>3852.227</f>
        <v>3852.2269999999999</v>
      </c>
      <c r="U1849">
        <f>54474.09</f>
        <v>54474.09</v>
      </c>
      <c r="V1849">
        <f>320.23</f>
        <v>320.23</v>
      </c>
    </row>
    <row r="1850" spans="1:22" x14ac:dyDescent="0.2">
      <c r="A1850" s="1">
        <v>42517</v>
      </c>
      <c r="B1850">
        <f>2721.66</f>
        <v>2721.66</v>
      </c>
      <c r="C1850">
        <f>7146.1</f>
        <v>7146.1</v>
      </c>
      <c r="D1850">
        <f>5011.32</f>
        <v>5011.32</v>
      </c>
      <c r="E1850">
        <f>1680.91</f>
        <v>1680.91</v>
      </c>
      <c r="F1850">
        <f>1691.03</f>
        <v>1691.03</v>
      </c>
      <c r="G1850">
        <f>7389.269</f>
        <v>7389.2690000000002</v>
      </c>
      <c r="H1850">
        <f>2620.14</f>
        <v>2620.14</v>
      </c>
      <c r="I1850">
        <f>8174.598</f>
        <v>8174.598</v>
      </c>
      <c r="J1850">
        <f>3022.84</f>
        <v>3022.84</v>
      </c>
      <c r="K1850">
        <f>8219.32</f>
        <v>8219.32</v>
      </c>
      <c r="L1850">
        <f>1641.72</f>
        <v>1641.72</v>
      </c>
      <c r="M1850">
        <f>6499.99</f>
        <v>6499.99</v>
      </c>
      <c r="N1850">
        <f>304.22</f>
        <v>304.22000000000003</v>
      </c>
      <c r="O1850">
        <f>2496.61</f>
        <v>2496.61</v>
      </c>
      <c r="P1850">
        <f>192.97</f>
        <v>192.97</v>
      </c>
      <c r="Q1850">
        <f>1967.85</f>
        <v>1967.85</v>
      </c>
      <c r="R1850">
        <f>3961.67</f>
        <v>3961.67</v>
      </c>
      <c r="S1850">
        <f>1901.98</f>
        <v>1901.98</v>
      </c>
      <c r="T1850">
        <f>3828.1</f>
        <v>3828.1</v>
      </c>
      <c r="U1850">
        <f>54105.37</f>
        <v>54105.37</v>
      </c>
      <c r="V1850">
        <f>319.96</f>
        <v>319.95999999999998</v>
      </c>
    </row>
    <row r="1851" spans="1:22" x14ac:dyDescent="0.2">
      <c r="A1851" s="1">
        <v>42516</v>
      </c>
      <c r="B1851">
        <f>2715.64</f>
        <v>2715.64</v>
      </c>
      <c r="C1851">
        <f>7117.68</f>
        <v>7117.68</v>
      </c>
      <c r="D1851">
        <f>5007.21</f>
        <v>5007.21</v>
      </c>
      <c r="E1851">
        <f>1669.682</f>
        <v>1669.682</v>
      </c>
      <c r="F1851">
        <f>1701.18</f>
        <v>1701.18</v>
      </c>
      <c r="G1851">
        <f>7415.362</f>
        <v>7415.3620000000001</v>
      </c>
      <c r="H1851">
        <f>2620.54</f>
        <v>2620.54</v>
      </c>
      <c r="I1851">
        <f>8191.858</f>
        <v>8191.8580000000002</v>
      </c>
      <c r="J1851">
        <f>3014.25</f>
        <v>3014.25</v>
      </c>
      <c r="K1851">
        <f>8182.27</f>
        <v>8182.27</v>
      </c>
      <c r="L1851">
        <f>1640.06</f>
        <v>1640.06</v>
      </c>
      <c r="M1851">
        <f>6483.6</f>
        <v>6483.6</v>
      </c>
      <c r="N1851">
        <f>303.936</f>
        <v>303.93599999999998</v>
      </c>
      <c r="O1851">
        <f>2489.59</f>
        <v>2489.59</v>
      </c>
      <c r="P1851">
        <f>192.19</f>
        <v>192.19</v>
      </c>
      <c r="Q1851">
        <f>1960.96</f>
        <v>1960.96</v>
      </c>
      <c r="R1851">
        <f>3944.05</f>
        <v>3944.05</v>
      </c>
      <c r="S1851">
        <f>1891.97</f>
        <v>1891.97</v>
      </c>
      <c r="T1851">
        <f>3830.24</f>
        <v>3830.24</v>
      </c>
      <c r="U1851">
        <f>53921</f>
        <v>53921</v>
      </c>
      <c r="V1851">
        <f>322.58</f>
        <v>322.58</v>
      </c>
    </row>
    <row r="1852" spans="1:22" x14ac:dyDescent="0.2">
      <c r="A1852" s="1">
        <v>42515</v>
      </c>
      <c r="B1852">
        <f>2721.11</f>
        <v>2721.11</v>
      </c>
      <c r="C1852">
        <f>7085.55</f>
        <v>7085.55</v>
      </c>
      <c r="D1852">
        <f>5004.31</f>
        <v>5004.3100000000004</v>
      </c>
      <c r="E1852">
        <f>1662.889</f>
        <v>1662.8889999999999</v>
      </c>
      <c r="F1852">
        <f>1701.23</f>
        <v>1701.23</v>
      </c>
      <c r="G1852">
        <f>7428.29</f>
        <v>7428.29</v>
      </c>
      <c r="H1852">
        <f>2613.16</f>
        <v>2613.16</v>
      </c>
      <c r="I1852">
        <f>8125.762</f>
        <v>8125.7619999999997</v>
      </c>
      <c r="J1852">
        <f>3011.88</f>
        <v>3011.88</v>
      </c>
      <c r="K1852">
        <f>8183.37</f>
        <v>8183.37</v>
      </c>
      <c r="L1852">
        <f>1634.51</f>
        <v>1634.51</v>
      </c>
      <c r="M1852">
        <f>6469.93</f>
        <v>6469.93</v>
      </c>
      <c r="N1852">
        <f>304.215</f>
        <v>304.21499999999997</v>
      </c>
      <c r="O1852">
        <f>2483.74</f>
        <v>2483.7399999999998</v>
      </c>
      <c r="P1852">
        <f>192.78</f>
        <v>192.78</v>
      </c>
      <c r="Q1852">
        <f>1960.26</f>
        <v>1960.26</v>
      </c>
      <c r="R1852">
        <f>3944.33</f>
        <v>3944.33</v>
      </c>
      <c r="S1852">
        <f>1891.98</f>
        <v>1891.98</v>
      </c>
      <c r="T1852">
        <f>3809.684</f>
        <v>3809.6840000000002</v>
      </c>
      <c r="U1852">
        <f>53721.88</f>
        <v>53721.88</v>
      </c>
      <c r="V1852">
        <f>319.1</f>
        <v>319.10000000000002</v>
      </c>
    </row>
    <row r="1853" spans="1:22" x14ac:dyDescent="0.2">
      <c r="A1853" s="1">
        <v>42514</v>
      </c>
      <c r="B1853">
        <f>2701.57</f>
        <v>2701.57</v>
      </c>
      <c r="C1853">
        <f>6968.32</f>
        <v>6968.32</v>
      </c>
      <c r="D1853">
        <f>4969.48</f>
        <v>4969.4799999999996</v>
      </c>
      <c r="E1853">
        <f>1638.469</f>
        <v>1638.4690000000001</v>
      </c>
      <c r="F1853">
        <f>1671.34</f>
        <v>1671.34</v>
      </c>
      <c r="G1853">
        <f>7324.093</f>
        <v>7324.0929999999998</v>
      </c>
      <c r="H1853">
        <f>2580.39</f>
        <v>2580.39</v>
      </c>
      <c r="I1853">
        <f>8034.883</f>
        <v>8034.8829999999998</v>
      </c>
      <c r="J1853">
        <f>2995.02</f>
        <v>2995.02</v>
      </c>
      <c r="K1853">
        <f>8126.69</f>
        <v>8126.69</v>
      </c>
      <c r="L1853">
        <f>1619.87</f>
        <v>1619.87</v>
      </c>
      <c r="M1853">
        <f>6413.04</f>
        <v>6413.04</v>
      </c>
      <c r="N1853">
        <f>302.848</f>
        <v>302.84800000000001</v>
      </c>
      <c r="O1853">
        <f>2453.63</f>
        <v>2453.63</v>
      </c>
      <c r="P1853">
        <f>192.06</f>
        <v>192.06</v>
      </c>
      <c r="Q1853">
        <f>1952.75</f>
        <v>1952.75</v>
      </c>
      <c r="R1853">
        <f>3916.77</f>
        <v>3916.77</v>
      </c>
      <c r="S1853">
        <f>1868.9</f>
        <v>1868.9</v>
      </c>
      <c r="T1853">
        <f>3760.33</f>
        <v>3760.33</v>
      </c>
      <c r="U1853">
        <f>53050.76</f>
        <v>53050.76</v>
      </c>
      <c r="V1853">
        <f>314.39</f>
        <v>314.39</v>
      </c>
    </row>
    <row r="1854" spans="1:22" x14ac:dyDescent="0.2">
      <c r="A1854" s="1">
        <v>42513</v>
      </c>
      <c r="B1854">
        <f>2667.51</f>
        <v>2667.51</v>
      </c>
      <c r="C1854">
        <f>6953.61</f>
        <v>6953.61</v>
      </c>
      <c r="D1854">
        <f>4903.3</f>
        <v>4903.3</v>
      </c>
      <c r="E1854">
        <f>1640.189</f>
        <v>1640.1890000000001</v>
      </c>
      <c r="F1854">
        <f>1636.04</f>
        <v>1636.04</v>
      </c>
      <c r="G1854">
        <f>7155.559</f>
        <v>7155.5590000000002</v>
      </c>
      <c r="H1854">
        <f>2611.33</f>
        <v>2611.33</v>
      </c>
      <c r="I1854">
        <f>7903.386</f>
        <v>7903.3860000000004</v>
      </c>
      <c r="J1854">
        <f>2960.28</f>
        <v>2960.28</v>
      </c>
      <c r="K1854">
        <f>8016.98</f>
        <v>8016.98</v>
      </c>
      <c r="L1854">
        <f>1602.14</f>
        <v>1602.14</v>
      </c>
      <c r="M1854">
        <f>6340.11</f>
        <v>6340.11</v>
      </c>
      <c r="N1854">
        <f>295.861</f>
        <v>295.86099999999999</v>
      </c>
      <c r="O1854">
        <f>2397.11</f>
        <v>2397.11</v>
      </c>
      <c r="P1854">
        <f>193.18</f>
        <v>193.18</v>
      </c>
      <c r="Q1854">
        <f>1928.93</f>
        <v>1928.93</v>
      </c>
      <c r="R1854">
        <f>3863.82</f>
        <v>3863.82</v>
      </c>
      <c r="S1854">
        <f>1886.07</f>
        <v>1886.07</v>
      </c>
      <c r="T1854">
        <f>3734.655</f>
        <v>3734.6550000000002</v>
      </c>
      <c r="U1854">
        <f>52628.62</f>
        <v>52628.62</v>
      </c>
      <c r="V1854">
        <f>312.1</f>
        <v>312.10000000000002</v>
      </c>
    </row>
    <row r="1855" spans="1:22" x14ac:dyDescent="0.2">
      <c r="A1855" s="1">
        <v>42510</v>
      </c>
      <c r="B1855">
        <f>2668.68</f>
        <v>2668.68</v>
      </c>
      <c r="C1855">
        <f>6925.6</f>
        <v>6925.6</v>
      </c>
      <c r="D1855">
        <f>4919.19</f>
        <v>4919.1899999999996</v>
      </c>
      <c r="E1855">
        <f>1632.432</f>
        <v>1632.432</v>
      </c>
      <c r="F1855">
        <f>1650.64</f>
        <v>1650.64</v>
      </c>
      <c r="G1855">
        <f>7205</f>
        <v>7205</v>
      </c>
      <c r="H1855">
        <f>2592.34</f>
        <v>2592.34</v>
      </c>
      <c r="I1855">
        <f>7935.698</f>
        <v>7935.6980000000003</v>
      </c>
      <c r="J1855">
        <f>2965.98</f>
        <v>2965.98</v>
      </c>
      <c r="K1855">
        <f>8033.95</f>
        <v>8033.95</v>
      </c>
      <c r="L1855">
        <f>1606.5</f>
        <v>1606.5</v>
      </c>
      <c r="M1855">
        <f>6354.85</f>
        <v>6354.85</v>
      </c>
      <c r="N1855">
        <f>296.413</f>
        <v>296.41300000000001</v>
      </c>
      <c r="O1855">
        <f>2407.15</f>
        <v>2407.15</v>
      </c>
      <c r="P1855">
        <f>194.52</f>
        <v>194.52</v>
      </c>
      <c r="Q1855">
        <f>1929.79</f>
        <v>1929.79</v>
      </c>
      <c r="R1855">
        <f>3871.75</f>
        <v>3871.75</v>
      </c>
      <c r="S1855">
        <f>1892.71</f>
        <v>1892.71</v>
      </c>
      <c r="T1855">
        <f>3735.124</f>
        <v>3735.1239999999998</v>
      </c>
      <c r="U1855">
        <f>52638.25</f>
        <v>52638.25</v>
      </c>
      <c r="V1855">
        <f>315.36</f>
        <v>315.36</v>
      </c>
    </row>
    <row r="1856" spans="1:22" x14ac:dyDescent="0.2">
      <c r="A1856" s="1">
        <v>42509</v>
      </c>
      <c r="B1856">
        <f>2623.03</f>
        <v>2623.03</v>
      </c>
      <c r="C1856">
        <f>6884.65</f>
        <v>6884.65</v>
      </c>
      <c r="D1856">
        <f>4836.91</f>
        <v>4836.91</v>
      </c>
      <c r="E1856">
        <f>1625.083</f>
        <v>1625.0830000000001</v>
      </c>
      <c r="F1856">
        <f>1633.78</f>
        <v>1633.78</v>
      </c>
      <c r="G1856">
        <f>7119.795</f>
        <v>7119.7950000000001</v>
      </c>
      <c r="H1856">
        <f>2609.93</f>
        <v>2609.9299999999998</v>
      </c>
      <c r="I1856">
        <f>7830.366</f>
        <v>7830.366</v>
      </c>
      <c r="J1856">
        <f>2953.3</f>
        <v>2953.3</v>
      </c>
      <c r="K1856">
        <f>7981.44</f>
        <v>7981.44</v>
      </c>
      <c r="L1856">
        <f>1595.4</f>
        <v>1595.4</v>
      </c>
      <c r="M1856">
        <f>6306.7</f>
        <v>6306.7</v>
      </c>
      <c r="N1856">
        <f>292.689</f>
        <v>292.68900000000002</v>
      </c>
      <c r="O1856">
        <f>2377.86</f>
        <v>2377.86</v>
      </c>
      <c r="P1856">
        <f>193.62</f>
        <v>193.62</v>
      </c>
      <c r="Q1856">
        <f>1923.6</f>
        <v>1923.6</v>
      </c>
      <c r="R1856">
        <f>3847.97</f>
        <v>3847.97</v>
      </c>
      <c r="S1856">
        <f>1883.08</f>
        <v>1883.08</v>
      </c>
      <c r="T1856">
        <f>3694.009</f>
        <v>3694.009</v>
      </c>
      <c r="U1856">
        <f>52370.1</f>
        <v>52370.1</v>
      </c>
      <c r="V1856">
        <f>312.41</f>
        <v>312.41000000000003</v>
      </c>
    </row>
    <row r="1857" spans="1:22" x14ac:dyDescent="0.2">
      <c r="A1857" s="1">
        <v>42508</v>
      </c>
      <c r="B1857">
        <f>2666.43</f>
        <v>2666.43</v>
      </c>
      <c r="C1857">
        <f>7004.23</f>
        <v>7004.23</v>
      </c>
      <c r="D1857">
        <f>4913.8</f>
        <v>4913.8</v>
      </c>
      <c r="E1857">
        <f>1650.73</f>
        <v>1650.73</v>
      </c>
      <c r="F1857">
        <f>1669.51</f>
        <v>1669.51</v>
      </c>
      <c r="G1857">
        <f>7248.246</f>
        <v>7248.2460000000001</v>
      </c>
      <c r="H1857">
        <f>2624.17</f>
        <v>2624.17</v>
      </c>
      <c r="I1857">
        <f>7962.532</f>
        <v>7962.5320000000002</v>
      </c>
      <c r="J1857">
        <f>2951.2</f>
        <v>2951.2</v>
      </c>
      <c r="K1857">
        <f>8011.4</f>
        <v>8011.4</v>
      </c>
      <c r="L1857">
        <f>1609.66</f>
        <v>1609.66</v>
      </c>
      <c r="M1857">
        <f>6357.27</f>
        <v>6357.27</v>
      </c>
      <c r="N1857">
        <f>295.168</f>
        <v>295.16800000000001</v>
      </c>
      <c r="O1857">
        <f>2402.45</f>
        <v>2402.4499999999998</v>
      </c>
      <c r="P1857">
        <f>193.86</f>
        <v>193.86</v>
      </c>
      <c r="Q1857">
        <f>1924.64</f>
        <v>1924.64</v>
      </c>
      <c r="R1857">
        <f>3862.25</f>
        <v>3862.25</v>
      </c>
      <c r="S1857">
        <f>1885.64</f>
        <v>1885.64</v>
      </c>
      <c r="T1857">
        <f>3719.852</f>
        <v>3719.8519999999999</v>
      </c>
      <c r="U1857">
        <f>52797.23</f>
        <v>52797.23</v>
      </c>
      <c r="V1857">
        <f>315.85</f>
        <v>315.85000000000002</v>
      </c>
    </row>
    <row r="1858" spans="1:22" x14ac:dyDescent="0.2">
      <c r="A1858" s="1">
        <v>42507</v>
      </c>
      <c r="B1858">
        <f>2664.65</f>
        <v>2664.65</v>
      </c>
      <c r="C1858">
        <f>7043.95</f>
        <v>7043.95</v>
      </c>
      <c r="D1858">
        <f>4915.37</f>
        <v>4915.37</v>
      </c>
      <c r="E1858">
        <f>1665.961</f>
        <v>1665.961</v>
      </c>
      <c r="F1858">
        <f>1660.72</f>
        <v>1660.72</v>
      </c>
      <c r="G1858">
        <f>7176.629</f>
        <v>7176.6289999999999</v>
      </c>
      <c r="H1858">
        <f>2643.44</f>
        <v>2643.44</v>
      </c>
      <c r="I1858">
        <f>7958.488</f>
        <v>7958.4880000000003</v>
      </c>
      <c r="J1858">
        <f>2968.23</f>
        <v>2968.23</v>
      </c>
      <c r="K1858">
        <f>8008.54</f>
        <v>8008.54</v>
      </c>
      <c r="L1858">
        <f>1615.6</f>
        <v>1615.6</v>
      </c>
      <c r="M1858">
        <f>6358.24</f>
        <v>6358.24</v>
      </c>
      <c r="N1858">
        <f>292.123</f>
        <v>292.12299999999999</v>
      </c>
      <c r="O1858">
        <f>2383.3</f>
        <v>2383.3000000000002</v>
      </c>
      <c r="P1858">
        <f>194.16</f>
        <v>194.16</v>
      </c>
      <c r="Q1858">
        <f>1938.3</f>
        <v>1938.3</v>
      </c>
      <c r="R1858">
        <f>3860.88</f>
        <v>3860.88</v>
      </c>
      <c r="S1858">
        <f>1882.07</f>
        <v>1882.07</v>
      </c>
      <c r="T1858">
        <f>3708.741</f>
        <v>3708.741</v>
      </c>
      <c r="U1858">
        <f>52528.84</f>
        <v>52528.84</v>
      </c>
      <c r="V1858">
        <f>313.96</f>
        <v>313.95999999999998</v>
      </c>
    </row>
    <row r="1859" spans="1:22" x14ac:dyDescent="0.2">
      <c r="A1859" s="1">
        <v>42506</v>
      </c>
      <c r="B1859">
        <f>2652.87</f>
        <v>2652.87</v>
      </c>
      <c r="C1859">
        <f>7001.09</f>
        <v>7001.09</v>
      </c>
      <c r="D1859">
        <f>4902.33</f>
        <v>4902.33</v>
      </c>
      <c r="E1859">
        <f>1657.113</f>
        <v>1657.1130000000001</v>
      </c>
      <c r="F1859">
        <f>1641.14</f>
        <v>1641.14</v>
      </c>
      <c r="G1859">
        <f>7124.324</f>
        <v>7124.3239999999996</v>
      </c>
      <c r="H1859">
        <f>2636.67</f>
        <v>2636.67</v>
      </c>
      <c r="I1859">
        <f>7977.856</f>
        <v>7977.8559999999998</v>
      </c>
      <c r="J1859">
        <f>3000.36</f>
        <v>3000.36</v>
      </c>
      <c r="K1859">
        <f>8082.53</f>
        <v>8082.53</v>
      </c>
      <c r="L1859">
        <f>1621.9</f>
        <v>1621.9</v>
      </c>
      <c r="M1859">
        <f>6382.58</f>
        <v>6382.58</v>
      </c>
      <c r="N1859">
        <f>290.069</f>
        <v>290.06900000000002</v>
      </c>
      <c r="O1859">
        <f>2383.18</f>
        <v>2383.1799999999998</v>
      </c>
      <c r="P1859">
        <f>193.02</f>
        <v>193.02</v>
      </c>
      <c r="Q1859">
        <f>1964.97</f>
        <v>1964.97</v>
      </c>
      <c r="R1859">
        <f>3896.36</f>
        <v>3896.36</v>
      </c>
      <c r="S1859">
        <f>1862.07</f>
        <v>1862.07</v>
      </c>
      <c r="T1859">
        <f>3715.849</f>
        <v>3715.8490000000002</v>
      </c>
      <c r="U1859">
        <f>52412.68</f>
        <v>52412.68</v>
      </c>
      <c r="V1859">
        <f>315.51</f>
        <v>315.51</v>
      </c>
    </row>
    <row r="1860" spans="1:22" x14ac:dyDescent="0.2">
      <c r="A1860" s="1">
        <v>42503</v>
      </c>
      <c r="B1860">
        <f>2651.01</f>
        <v>2651.01</v>
      </c>
      <c r="C1860">
        <f>7030.99</f>
        <v>7030.99</v>
      </c>
      <c r="D1860">
        <f>4892.04</f>
        <v>4892.04</v>
      </c>
      <c r="E1860">
        <f>1654.258</f>
        <v>1654.258</v>
      </c>
      <c r="F1860">
        <f>1628.65</f>
        <v>1628.65</v>
      </c>
      <c r="G1860">
        <f>7083.526</f>
        <v>7083.5259999999998</v>
      </c>
      <c r="H1860">
        <f>2619.99</f>
        <v>2619.9899999999998</v>
      </c>
      <c r="I1860">
        <f>7957.047</f>
        <v>7957.0469999999996</v>
      </c>
      <c r="J1860">
        <f>2972.52</f>
        <v>2972.52</v>
      </c>
      <c r="K1860">
        <f>8003.33</f>
        <v>8003.33</v>
      </c>
      <c r="L1860">
        <f>1611.25</f>
        <v>1611.25</v>
      </c>
      <c r="M1860">
        <f>6332.82</f>
        <v>6332.82</v>
      </c>
      <c r="N1860">
        <f>289.822</f>
        <v>289.822</v>
      </c>
      <c r="O1860">
        <f>2382.39</f>
        <v>2382.39</v>
      </c>
      <c r="P1860">
        <f>192.65</f>
        <v>192.65</v>
      </c>
      <c r="Q1860">
        <f>1945.84</f>
        <v>1945.84</v>
      </c>
      <c r="R1860">
        <f>3858.17</f>
        <v>3858.17</v>
      </c>
      <c r="S1860">
        <f>1860</f>
        <v>1860</v>
      </c>
      <c r="T1860">
        <f>3710.753</f>
        <v>3710.7530000000002</v>
      </c>
      <c r="U1860">
        <f>51602.55</f>
        <v>51602.55</v>
      </c>
      <c r="V1860">
        <f>316.71</f>
        <v>316.70999999999998</v>
      </c>
    </row>
    <row r="1861" spans="1:22" x14ac:dyDescent="0.2">
      <c r="A1861" s="1">
        <v>42502</v>
      </c>
      <c r="B1861">
        <f>2646.43</f>
        <v>2646.43</v>
      </c>
      <c r="C1861">
        <f>7109.98</f>
        <v>7109.98</v>
      </c>
      <c r="D1861">
        <f>4864.7</f>
        <v>4864.7</v>
      </c>
      <c r="E1861">
        <f>1676.222</f>
        <v>1676.222</v>
      </c>
      <c r="F1861">
        <f>1635.23</f>
        <v>1635.23</v>
      </c>
      <c r="G1861">
        <f>7117.29</f>
        <v>7117.29</v>
      </c>
      <c r="H1861">
        <f>2668.57</f>
        <v>2668.57</v>
      </c>
      <c r="I1861">
        <f>7984.946</f>
        <v>7984.9459999999999</v>
      </c>
      <c r="J1861">
        <f>2998.99</f>
        <v>2998.99</v>
      </c>
      <c r="K1861">
        <f>8069.86</f>
        <v>8069.86</v>
      </c>
      <c r="L1861">
        <f>1624.03</f>
        <v>1624.03</v>
      </c>
      <c r="M1861">
        <f>6385.73</f>
        <v>6385.73</v>
      </c>
      <c r="N1861">
        <f>288.647</f>
        <v>288.64699999999999</v>
      </c>
      <c r="O1861">
        <f>2366.12</f>
        <v>2366.12</v>
      </c>
      <c r="P1861">
        <f>194.29</f>
        <v>194.29</v>
      </c>
      <c r="Q1861">
        <f>1967.08</f>
        <v>1967.08</v>
      </c>
      <c r="R1861">
        <f>3890.85</f>
        <v>3890.85</v>
      </c>
      <c r="S1861">
        <f>1884.07</f>
        <v>1884.07</v>
      </c>
      <c r="T1861">
        <f>3738.162</f>
        <v>3738.1619999999998</v>
      </c>
      <c r="U1861">
        <f>51458.48</f>
        <v>51458.48</v>
      </c>
      <c r="V1861">
        <f>318.31</f>
        <v>318.31</v>
      </c>
    </row>
    <row r="1862" spans="1:22" x14ac:dyDescent="0.2">
      <c r="A1862" s="1">
        <v>42501</v>
      </c>
      <c r="B1862">
        <f>2669.19</f>
        <v>2669.19</v>
      </c>
      <c r="C1862">
        <f>7120.15</f>
        <v>7120.15</v>
      </c>
      <c r="D1862">
        <f>4905.72</f>
        <v>4905.72</v>
      </c>
      <c r="E1862">
        <f>1678.813</f>
        <v>1678.8130000000001</v>
      </c>
      <c r="F1862">
        <f>1648.37</f>
        <v>1648.37</v>
      </c>
      <c r="G1862">
        <f>7160.715</f>
        <v>7160.7150000000001</v>
      </c>
      <c r="H1862">
        <f>2683.1</f>
        <v>2683.1</v>
      </c>
      <c r="I1862">
        <f>8041.733</f>
        <v>8041.7330000000002</v>
      </c>
      <c r="J1862">
        <f>2989.64</f>
        <v>2989.64</v>
      </c>
      <c r="K1862">
        <f>8070.89</f>
        <v>8070.89</v>
      </c>
      <c r="L1862">
        <f>1624.08</f>
        <v>1624.08</v>
      </c>
      <c r="M1862">
        <f>6396.63</f>
        <v>6396.63</v>
      </c>
      <c r="N1862">
        <f>290.115</f>
        <v>290.11500000000001</v>
      </c>
      <c r="O1862">
        <f>2377</f>
        <v>2377</v>
      </c>
      <c r="P1862">
        <f>195.11</f>
        <v>195.11</v>
      </c>
      <c r="Q1862">
        <f>1958.91</f>
        <v>1958.91</v>
      </c>
      <c r="R1862">
        <f>3891.13</f>
        <v>3891.13</v>
      </c>
      <c r="S1862">
        <f>1879.89</f>
        <v>1879.89</v>
      </c>
      <c r="T1862">
        <f>3783.322</f>
        <v>3783.3220000000001</v>
      </c>
      <c r="U1862">
        <f>52130.34</f>
        <v>52130.34</v>
      </c>
      <c r="V1862">
        <f>322.69</f>
        <v>322.69</v>
      </c>
    </row>
    <row r="1863" spans="1:22" x14ac:dyDescent="0.2">
      <c r="A1863" s="1">
        <v>42500</v>
      </c>
      <c r="B1863">
        <f>2676.52</f>
        <v>2676.52</v>
      </c>
      <c r="C1863">
        <f>7110.07</f>
        <v>7110.07</v>
      </c>
      <c r="D1863">
        <f>4901.08</f>
        <v>4901.08</v>
      </c>
      <c r="E1863">
        <f>1676.608</f>
        <v>1676.6079999999999</v>
      </c>
      <c r="F1863">
        <f>1642.05</f>
        <v>1642.05</v>
      </c>
      <c r="G1863">
        <f>7155.316</f>
        <v>7155.3159999999998</v>
      </c>
      <c r="H1863">
        <f>2666.46</f>
        <v>2666.46</v>
      </c>
      <c r="I1863">
        <f>8055.452</f>
        <v>8055.4520000000002</v>
      </c>
      <c r="J1863">
        <f>3008.23</f>
        <v>3008.23</v>
      </c>
      <c r="K1863">
        <f>8143.94</f>
        <v>8143.94</v>
      </c>
      <c r="L1863">
        <f>1626.46</f>
        <v>1626.46</v>
      </c>
      <c r="M1863">
        <f>6428.95</f>
        <v>6428.95</v>
      </c>
      <c r="N1863">
        <f>290.945</f>
        <v>290.94499999999999</v>
      </c>
      <c r="O1863">
        <f>2387.1</f>
        <v>2387.1</v>
      </c>
      <c r="P1863">
        <f>194.98</f>
        <v>194.98</v>
      </c>
      <c r="Q1863">
        <f>1977.68</f>
        <v>1977.68</v>
      </c>
      <c r="R1863">
        <f>3926.63</f>
        <v>3926.63</v>
      </c>
      <c r="S1863">
        <f>1880.72</f>
        <v>1880.72</v>
      </c>
      <c r="T1863">
        <f>3751.817</f>
        <v>3751.817</v>
      </c>
      <c r="U1863">
        <f>51875.26</f>
        <v>51875.26</v>
      </c>
      <c r="V1863">
        <f>319.11</f>
        <v>319.11</v>
      </c>
    </row>
    <row r="1864" spans="1:22" x14ac:dyDescent="0.2">
      <c r="A1864" s="1">
        <v>42499</v>
      </c>
      <c r="B1864">
        <f>2659.75</f>
        <v>2659.75</v>
      </c>
      <c r="C1864">
        <f>7084.48</f>
        <v>7084.48</v>
      </c>
      <c r="D1864">
        <f>4867.77</f>
        <v>4867.7700000000004</v>
      </c>
      <c r="E1864">
        <f>1663.895</f>
        <v>1663.895</v>
      </c>
      <c r="F1864">
        <f>1621.84</f>
        <v>1621.84</v>
      </c>
      <c r="G1864">
        <f>7073.586</f>
        <v>7073.5860000000002</v>
      </c>
      <c r="H1864">
        <f>2631.39</f>
        <v>2631.39</v>
      </c>
      <c r="I1864">
        <f>7986.72</f>
        <v>7986.72</v>
      </c>
      <c r="J1864">
        <f>2976.67</f>
        <v>2976.67</v>
      </c>
      <c r="K1864">
        <f>8042.83</f>
        <v>8042.83</v>
      </c>
      <c r="L1864">
        <f>1611.02</f>
        <v>1611.02</v>
      </c>
      <c r="M1864">
        <f>6352.75</f>
        <v>6352.75</v>
      </c>
      <c r="N1864">
        <f>288.33</f>
        <v>288.33</v>
      </c>
      <c r="O1864">
        <f>2363.7</f>
        <v>2363.6999999999998</v>
      </c>
      <c r="P1864">
        <f>190.66</f>
        <v>190.66</v>
      </c>
      <c r="Q1864">
        <f>1959.9</f>
        <v>1959.9</v>
      </c>
      <c r="R1864">
        <f>3878.14</f>
        <v>3878.14</v>
      </c>
      <c r="S1864">
        <f>1840.94</f>
        <v>1840.94</v>
      </c>
      <c r="T1864">
        <f>3723.455</f>
        <v>3723.4549999999999</v>
      </c>
      <c r="U1864">
        <f>51348.72</f>
        <v>51348.72</v>
      </c>
      <c r="V1864">
        <f>316.75</f>
        <v>316.75</v>
      </c>
    </row>
    <row r="1865" spans="1:22" x14ac:dyDescent="0.2">
      <c r="A1865" s="1">
        <v>42496</v>
      </c>
      <c r="B1865">
        <f>2656.12</f>
        <v>2656.12</v>
      </c>
      <c r="C1865">
        <f>7105.7</f>
        <v>7105.7</v>
      </c>
      <c r="D1865">
        <f>4876.44</f>
        <v>4876.4399999999996</v>
      </c>
      <c r="E1865">
        <f>1672.942</f>
        <v>1672.942</v>
      </c>
      <c r="F1865">
        <f>1642.29</f>
        <v>1642.29</v>
      </c>
      <c r="G1865">
        <f>7105.128</f>
        <v>7105.1279999999997</v>
      </c>
      <c r="H1865">
        <f>2660.05</f>
        <v>2660.05</v>
      </c>
      <c r="I1865">
        <f>7946.124</f>
        <v>7946.1239999999998</v>
      </c>
      <c r="J1865">
        <f>2974.33</f>
        <v>2974.33</v>
      </c>
      <c r="K1865">
        <f>8035.42</f>
        <v>8035.42</v>
      </c>
      <c r="L1865">
        <f>1609.5</f>
        <v>1609.5</v>
      </c>
      <c r="M1865">
        <f>6353.35</f>
        <v>6353.35</v>
      </c>
      <c r="N1865">
        <f>286.641</f>
        <v>286.64100000000002</v>
      </c>
      <c r="O1865">
        <f>2354.06</f>
        <v>2354.06</v>
      </c>
      <c r="P1865">
        <f>189.45</f>
        <v>189.45</v>
      </c>
      <c r="Q1865">
        <f>1955.52</f>
        <v>1955.52</v>
      </c>
      <c r="R1865">
        <f>3875.18</f>
        <v>3875.18</v>
      </c>
      <c r="S1865">
        <f>1829.19</f>
        <v>1829.19</v>
      </c>
      <c r="T1865">
        <f>3763.01</f>
        <v>3763.01</v>
      </c>
      <c r="U1865">
        <f>51417.38</f>
        <v>51417.38</v>
      </c>
      <c r="V1865">
        <f>317.79</f>
        <v>317.79000000000002</v>
      </c>
    </row>
    <row r="1866" spans="1:22" x14ac:dyDescent="0.2">
      <c r="A1866" s="1">
        <v>42495</v>
      </c>
      <c r="B1866">
        <f>2661.99</f>
        <v>2661.99</v>
      </c>
      <c r="C1866">
        <f>7178.08</f>
        <v>7178.08</v>
      </c>
      <c r="D1866">
        <f>4869.71</f>
        <v>4869.71</v>
      </c>
      <c r="E1866">
        <f>1681.448</f>
        <v>1681.4480000000001</v>
      </c>
      <c r="F1866">
        <f>1642.2</f>
        <v>1642.2</v>
      </c>
      <c r="G1866">
        <f>7127.111</f>
        <v>7127.1109999999999</v>
      </c>
      <c r="H1866">
        <f>2636.25</f>
        <v>2636.25</v>
      </c>
      <c r="I1866">
        <f>7946.079</f>
        <v>7946.0789999999997</v>
      </c>
      <c r="J1866">
        <f>2963.2</f>
        <v>2963.2</v>
      </c>
      <c r="K1866">
        <f>8009.43</f>
        <v>8009.43</v>
      </c>
      <c r="L1866">
        <f>1608.78</f>
        <v>1608.78</v>
      </c>
      <c r="M1866">
        <f>6344.36</f>
        <v>6344.36</v>
      </c>
      <c r="N1866">
        <f>287.345</f>
        <v>287.34500000000003</v>
      </c>
      <c r="O1866">
        <f>2359.49</f>
        <v>2359.4899999999998</v>
      </c>
      <c r="P1866" t="e">
        <f>NA()</f>
        <v>#N/A</v>
      </c>
      <c r="Q1866">
        <f>1946.36</f>
        <v>1946.36</v>
      </c>
      <c r="R1866">
        <f>3862.4</f>
        <v>3862.4</v>
      </c>
      <c r="S1866" t="e">
        <f>NA()</f>
        <v>#N/A</v>
      </c>
      <c r="T1866">
        <f>3815.201</f>
        <v>3815.201</v>
      </c>
      <c r="U1866">
        <f>51933.8</f>
        <v>51933.8</v>
      </c>
      <c r="V1866">
        <f>321.58</f>
        <v>321.58</v>
      </c>
    </row>
    <row r="1867" spans="1:22" x14ac:dyDescent="0.2">
      <c r="A1867" s="1">
        <v>42494</v>
      </c>
      <c r="B1867">
        <f>2669.12</f>
        <v>2669.12</v>
      </c>
      <c r="C1867">
        <f>7225.11</f>
        <v>7225.11</v>
      </c>
      <c r="D1867">
        <f>4860.87</f>
        <v>4860.87</v>
      </c>
      <c r="E1867">
        <f>1689.838</f>
        <v>1689.838</v>
      </c>
      <c r="F1867">
        <f>1646.76</f>
        <v>1646.76</v>
      </c>
      <c r="G1867">
        <f>7105.936</f>
        <v>7105.9359999999997</v>
      </c>
      <c r="H1867">
        <f>2648.08</f>
        <v>2648.08</v>
      </c>
      <c r="I1867">
        <f>7996.375</f>
        <v>7996.375</v>
      </c>
      <c r="J1867">
        <f>2963.14</f>
        <v>2963.14</v>
      </c>
      <c r="K1867">
        <f>8011.06</f>
        <v>8011.06</v>
      </c>
      <c r="L1867">
        <f>1611.08</f>
        <v>1611.08</v>
      </c>
      <c r="M1867">
        <f>6352.48</f>
        <v>6352.48</v>
      </c>
      <c r="N1867">
        <f>285.127</f>
        <v>285.12700000000001</v>
      </c>
      <c r="O1867">
        <f>2349.44</f>
        <v>2349.44</v>
      </c>
      <c r="P1867" t="e">
        <f>NA()</f>
        <v>#N/A</v>
      </c>
      <c r="Q1867">
        <f>1946.61</f>
        <v>1946.61</v>
      </c>
      <c r="R1867">
        <f>3862.4</f>
        <v>3862.4</v>
      </c>
      <c r="S1867" t="e">
        <f>NA()</f>
        <v>#N/A</v>
      </c>
      <c r="T1867">
        <f>3812.132</f>
        <v>3812.1320000000001</v>
      </c>
      <c r="U1867">
        <f>51873.5</f>
        <v>51873.5</v>
      </c>
      <c r="V1867">
        <f>323.76</f>
        <v>323.76</v>
      </c>
    </row>
    <row r="1868" spans="1:22" x14ac:dyDescent="0.2">
      <c r="A1868" s="1">
        <v>42493</v>
      </c>
      <c r="B1868">
        <f>2700.92</f>
        <v>2700.92</v>
      </c>
      <c r="C1868">
        <f>7339.54</f>
        <v>7339.54</v>
      </c>
      <c r="D1868">
        <f>4919.39</f>
        <v>4919.3900000000003</v>
      </c>
      <c r="E1868">
        <f>1705.321</f>
        <v>1705.3209999999999</v>
      </c>
      <c r="F1868">
        <f>1682.27</f>
        <v>1682.27</v>
      </c>
      <c r="G1868">
        <f>7226.568</f>
        <v>7226.5680000000002</v>
      </c>
      <c r="H1868">
        <f>2665.53</f>
        <v>2665.53</v>
      </c>
      <c r="I1868">
        <f>8095.863</f>
        <v>8095.8630000000003</v>
      </c>
      <c r="J1868">
        <f>2972.12</f>
        <v>2972.12</v>
      </c>
      <c r="K1868">
        <f>8057.28</f>
        <v>8057.28</v>
      </c>
      <c r="L1868">
        <f>1625.7</f>
        <v>1625.7</v>
      </c>
      <c r="M1868">
        <f>6407.66</f>
        <v>6407.66</v>
      </c>
      <c r="N1868">
        <f>287.154</f>
        <v>287.154</v>
      </c>
      <c r="O1868">
        <f>2377.24</f>
        <v>2377.2399999999998</v>
      </c>
      <c r="P1868" t="e">
        <f>NA()</f>
        <v>#N/A</v>
      </c>
      <c r="Q1868">
        <f>1952.36</f>
        <v>1952.36</v>
      </c>
      <c r="R1868">
        <f>3884.63</f>
        <v>3884.63</v>
      </c>
      <c r="S1868" t="e">
        <f>NA()</f>
        <v>#N/A</v>
      </c>
      <c r="T1868">
        <f>3834.769</f>
        <v>3834.7689999999998</v>
      </c>
      <c r="U1868">
        <f>51912.11</f>
        <v>51912.11</v>
      </c>
      <c r="V1868">
        <f>327.8</f>
        <v>327.8</v>
      </c>
    </row>
    <row r="1869" spans="1:22" x14ac:dyDescent="0.2">
      <c r="A1869" s="1">
        <v>42492</v>
      </c>
      <c r="B1869">
        <f>2737.58</f>
        <v>2737.58</v>
      </c>
      <c r="C1869">
        <f>7512.4</f>
        <v>7512.4</v>
      </c>
      <c r="D1869">
        <f>4964.16</f>
        <v>4964.16</v>
      </c>
      <c r="E1869">
        <f>1735.282</f>
        <v>1735.2819999999999</v>
      </c>
      <c r="F1869">
        <f>1728.44</f>
        <v>1728.44</v>
      </c>
      <c r="G1869">
        <f>7356.339</f>
        <v>7356.3389999999999</v>
      </c>
      <c r="H1869">
        <f>2657.4</f>
        <v>2657.4</v>
      </c>
      <c r="I1869">
        <f>8228.32</f>
        <v>8228.32</v>
      </c>
      <c r="J1869">
        <f>2991.05</f>
        <v>2991.05</v>
      </c>
      <c r="K1869">
        <f>8130.43</f>
        <v>8130.43</v>
      </c>
      <c r="L1869">
        <f>1640.05</f>
        <v>1640.05</v>
      </c>
      <c r="M1869">
        <f>6472.8</f>
        <v>6472.8</v>
      </c>
      <c r="N1869">
        <f>291.035</f>
        <v>291.03500000000003</v>
      </c>
      <c r="O1869">
        <f>2418.18</f>
        <v>2418.1799999999998</v>
      </c>
      <c r="P1869">
        <f>188.6</f>
        <v>188.6</v>
      </c>
      <c r="Q1869">
        <f>1963.53</f>
        <v>1963.53</v>
      </c>
      <c r="R1869">
        <f>3918.53</f>
        <v>3918.53</v>
      </c>
      <c r="S1869">
        <f>1831.49</f>
        <v>1831.49</v>
      </c>
      <c r="T1869" t="e">
        <f>NA()</f>
        <v>#N/A</v>
      </c>
      <c r="U1869" t="e">
        <f>NA()</f>
        <v>#N/A</v>
      </c>
      <c r="V1869" t="e">
        <f>NA()</f>
        <v>#N/A</v>
      </c>
    </row>
    <row r="1870" spans="1:22" x14ac:dyDescent="0.2">
      <c r="A1870" s="1">
        <v>42489</v>
      </c>
      <c r="B1870">
        <f>2737.58</f>
        <v>2737.58</v>
      </c>
      <c r="C1870">
        <f>7539.48</f>
        <v>7539.48</v>
      </c>
      <c r="D1870">
        <f>4964.16</f>
        <v>4964.16</v>
      </c>
      <c r="E1870">
        <f>1744.466</f>
        <v>1744.4659999999999</v>
      </c>
      <c r="F1870">
        <f>1725.62</f>
        <v>1725.62</v>
      </c>
      <c r="G1870">
        <f>7344.307</f>
        <v>7344.3069999999998</v>
      </c>
      <c r="H1870">
        <f>2709.22</f>
        <v>2709.22</v>
      </c>
      <c r="I1870">
        <f>8170.051</f>
        <v>8170.0510000000004</v>
      </c>
      <c r="J1870">
        <f>2969.9</f>
        <v>2969.9</v>
      </c>
      <c r="K1870">
        <f>8066.67</f>
        <v>8066.67</v>
      </c>
      <c r="L1870">
        <f>1632.22</f>
        <v>1632.22</v>
      </c>
      <c r="M1870">
        <f>6452.78</f>
        <v>6452.78</v>
      </c>
      <c r="N1870">
        <f>291.124</f>
        <v>291.12400000000002</v>
      </c>
      <c r="O1870">
        <f>2418.15</f>
        <v>2418.15</v>
      </c>
      <c r="P1870" t="e">
        <f>NA()</f>
        <v>#N/A</v>
      </c>
      <c r="Q1870">
        <f>1947.432</f>
        <v>1947.432</v>
      </c>
      <c r="R1870">
        <f>3888.13</f>
        <v>3888.13</v>
      </c>
      <c r="S1870" t="e">
        <f>NA()</f>
        <v>#N/A</v>
      </c>
      <c r="T1870">
        <f>3923.143</f>
        <v>3923.143</v>
      </c>
      <c r="U1870">
        <f>52957.32</f>
        <v>52957.32</v>
      </c>
      <c r="V1870">
        <f>336.41</f>
        <v>336.41</v>
      </c>
    </row>
    <row r="1871" spans="1:22" x14ac:dyDescent="0.2">
      <c r="A1871" s="1">
        <v>42488</v>
      </c>
      <c r="B1871">
        <f>2777.2</f>
        <v>2777.2</v>
      </c>
      <c r="C1871">
        <f>7588.69</f>
        <v>7588.69</v>
      </c>
      <c r="D1871">
        <f>5028.19</f>
        <v>5028.1899999999996</v>
      </c>
      <c r="E1871">
        <f>1752.389</f>
        <v>1752.3889999999999</v>
      </c>
      <c r="F1871">
        <f>1741.84</f>
        <v>1741.84</v>
      </c>
      <c r="G1871">
        <f>7401.605</f>
        <v>7401.6049999999996</v>
      </c>
      <c r="H1871">
        <f>2670.17</f>
        <v>2670.17</v>
      </c>
      <c r="I1871">
        <f>8251.176</f>
        <v>8251.1759999999995</v>
      </c>
      <c r="J1871">
        <f>2986.37</f>
        <v>2986.37</v>
      </c>
      <c r="K1871">
        <f>8107.31</f>
        <v>8107.31</v>
      </c>
      <c r="L1871">
        <f>1639.79</f>
        <v>1639.79</v>
      </c>
      <c r="M1871">
        <f>6477.1</f>
        <v>6477.1</v>
      </c>
      <c r="N1871">
        <f>296.465</f>
        <v>296.46499999999997</v>
      </c>
      <c r="O1871">
        <f>2471.9</f>
        <v>2471.9</v>
      </c>
      <c r="P1871">
        <f>193.38</f>
        <v>193.38</v>
      </c>
      <c r="Q1871">
        <f>1956.14</f>
        <v>1956.14</v>
      </c>
      <c r="R1871">
        <f>3907.88</f>
        <v>3907.88</v>
      </c>
      <c r="S1871">
        <f>1888.68</f>
        <v>1888.68</v>
      </c>
      <c r="T1871">
        <f>3933.893</f>
        <v>3933.893</v>
      </c>
      <c r="U1871">
        <f>53223.98</f>
        <v>53223.98</v>
      </c>
      <c r="V1871">
        <f>339.07</f>
        <v>339.07</v>
      </c>
    </row>
    <row r="1872" spans="1:22" x14ac:dyDescent="0.2">
      <c r="A1872" s="1">
        <v>42487</v>
      </c>
      <c r="B1872">
        <f>2776.6</f>
        <v>2776.6</v>
      </c>
      <c r="C1872">
        <f>7525.91</f>
        <v>7525.91</v>
      </c>
      <c r="D1872">
        <f>5021.42</f>
        <v>5021.42</v>
      </c>
      <c r="E1872">
        <f>1750.339</f>
        <v>1750.3389999999999</v>
      </c>
      <c r="F1872">
        <f>1728.95</f>
        <v>1728.95</v>
      </c>
      <c r="G1872">
        <f>7369.599</f>
        <v>7369.5990000000002</v>
      </c>
      <c r="H1872">
        <f>2689.47</f>
        <v>2689.47</v>
      </c>
      <c r="I1872">
        <f>8229.071</f>
        <v>8229.0709999999999</v>
      </c>
      <c r="J1872">
        <f>3007.24</f>
        <v>3007.24</v>
      </c>
      <c r="K1872">
        <f>8182.17</f>
        <v>8182.17</v>
      </c>
      <c r="L1872">
        <f>1640.51</f>
        <v>1640.51</v>
      </c>
      <c r="M1872">
        <f>6508.15</f>
        <v>6508.15</v>
      </c>
      <c r="N1872">
        <f>294.666</f>
        <v>294.666</v>
      </c>
      <c r="O1872">
        <f>2465.01</f>
        <v>2465.0100000000002</v>
      </c>
      <c r="P1872">
        <f>198.76</f>
        <v>198.76</v>
      </c>
      <c r="Q1872">
        <f>1974.47</f>
        <v>1974.47</v>
      </c>
      <c r="R1872">
        <f>3944.02</f>
        <v>3944.02</v>
      </c>
      <c r="S1872">
        <f>1950.31</f>
        <v>1950.31</v>
      </c>
      <c r="T1872" t="e">
        <f>NA()</f>
        <v>#N/A</v>
      </c>
      <c r="U1872" t="e">
        <f>NA()</f>
        <v>#N/A</v>
      </c>
      <c r="V1872" t="e">
        <f>NA()</f>
        <v>#N/A</v>
      </c>
    </row>
    <row r="1873" spans="1:22" x14ac:dyDescent="0.2">
      <c r="A1873" s="1">
        <v>42486</v>
      </c>
      <c r="B1873">
        <f>2753.19</f>
        <v>2753.19</v>
      </c>
      <c r="C1873">
        <f>7539.58</f>
        <v>7539.58</v>
      </c>
      <c r="D1873">
        <f>4993.3</f>
        <v>4993.3</v>
      </c>
      <c r="E1873">
        <f>1749.139</f>
        <v>1749.1389999999999</v>
      </c>
      <c r="F1873">
        <f>1720.96</f>
        <v>1720.96</v>
      </c>
      <c r="G1873">
        <f>7355.008</f>
        <v>7355.0079999999998</v>
      </c>
      <c r="H1873">
        <f>2714.84</f>
        <v>2714.84</v>
      </c>
      <c r="I1873">
        <f>8193.343</f>
        <v>8193.3430000000008</v>
      </c>
      <c r="J1873">
        <f>2991.23</f>
        <v>2991.23</v>
      </c>
      <c r="K1873">
        <f>8169.3</f>
        <v>8169.3</v>
      </c>
      <c r="L1873">
        <f>1634.81</f>
        <v>1634.81</v>
      </c>
      <c r="M1873">
        <f>6505.99</f>
        <v>6505.99</v>
      </c>
      <c r="N1873">
        <f>294.673</f>
        <v>294.673</v>
      </c>
      <c r="O1873">
        <f>2456.61</f>
        <v>2456.61</v>
      </c>
      <c r="P1873">
        <f>199.23</f>
        <v>199.23</v>
      </c>
      <c r="Q1873">
        <f>1961.69</f>
        <v>1961.69</v>
      </c>
      <c r="R1873">
        <f>3937.23</f>
        <v>3937.23</v>
      </c>
      <c r="S1873">
        <f>1960.73</f>
        <v>1960.73</v>
      </c>
      <c r="T1873">
        <f>3915.131</f>
        <v>3915.1309999999999</v>
      </c>
      <c r="U1873">
        <f>53062.95</f>
        <v>53062.95</v>
      </c>
      <c r="V1873">
        <f>336.51</f>
        <v>336.51</v>
      </c>
    </row>
    <row r="1874" spans="1:22" x14ac:dyDescent="0.2">
      <c r="A1874" s="1">
        <v>42485</v>
      </c>
      <c r="B1874">
        <f>2746.16</f>
        <v>2746.16</v>
      </c>
      <c r="C1874">
        <f>7518.91</f>
        <v>7518.91</v>
      </c>
      <c r="D1874">
        <f>4974.54</f>
        <v>4974.54</v>
      </c>
      <c r="E1874">
        <f>1741.953</f>
        <v>1741.953</v>
      </c>
      <c r="F1874">
        <f>1721.06</f>
        <v>1721.06</v>
      </c>
      <c r="G1874">
        <f>7291.73</f>
        <v>7291.73</v>
      </c>
      <c r="H1874">
        <f>2735.62</f>
        <v>2735.62</v>
      </c>
      <c r="I1874">
        <f>8155.591</f>
        <v>8155.5910000000003</v>
      </c>
      <c r="J1874">
        <f>2987.61</f>
        <v>2987.61</v>
      </c>
      <c r="K1874">
        <f>8152.67</f>
        <v>8152.67</v>
      </c>
      <c r="L1874">
        <f>1632.64</f>
        <v>1632.64</v>
      </c>
      <c r="M1874">
        <f>6493.52</f>
        <v>6493.52</v>
      </c>
      <c r="N1874">
        <f>296.516</f>
        <v>296.51600000000002</v>
      </c>
      <c r="O1874">
        <f>2449.26</f>
        <v>2449.2600000000002</v>
      </c>
      <c r="P1874">
        <f>199.62</f>
        <v>199.62</v>
      </c>
      <c r="Q1874">
        <f>1955.16</f>
        <v>1955.16</v>
      </c>
      <c r="R1874">
        <f>3929.88</f>
        <v>3929.88</v>
      </c>
      <c r="S1874">
        <f>1974.98</f>
        <v>1974.98</v>
      </c>
      <c r="T1874">
        <f>3908.044</f>
        <v>3908.0439999999999</v>
      </c>
      <c r="U1874">
        <f>52985.31</f>
        <v>52985.31</v>
      </c>
      <c r="V1874">
        <f>337.01</f>
        <v>337.01</v>
      </c>
    </row>
    <row r="1875" spans="1:22" x14ac:dyDescent="0.2">
      <c r="A1875" s="1">
        <v>42482</v>
      </c>
      <c r="B1875">
        <f>2752.48</f>
        <v>2752.48</v>
      </c>
      <c r="C1875">
        <f>7572.31</f>
        <v>7572.31</v>
      </c>
      <c r="D1875">
        <f>5013.89</f>
        <v>5013.8900000000003</v>
      </c>
      <c r="E1875">
        <f>1754.365</f>
        <v>1754.365</v>
      </c>
      <c r="F1875">
        <f>1739.76</f>
        <v>1739.76</v>
      </c>
      <c r="G1875">
        <f>7306.366</f>
        <v>7306.366</v>
      </c>
      <c r="H1875">
        <f>2742.23</f>
        <v>2742.23</v>
      </c>
      <c r="I1875">
        <f>8187.596</f>
        <v>8187.5959999999995</v>
      </c>
      <c r="J1875">
        <f>2986.39</f>
        <v>2986.39</v>
      </c>
      <c r="K1875">
        <f>8167.29</f>
        <v>8167.29</v>
      </c>
      <c r="L1875">
        <f>1635.01</f>
        <v>1635.01</v>
      </c>
      <c r="M1875">
        <f>6506.66</f>
        <v>6506.66</v>
      </c>
      <c r="N1875">
        <f>297.037</f>
        <v>297.03699999999998</v>
      </c>
      <c r="O1875">
        <f>2463.98</f>
        <v>2463.98</v>
      </c>
      <c r="P1875">
        <f>201.23</f>
        <v>201.23</v>
      </c>
      <c r="Q1875">
        <f>1955.14</f>
        <v>1955.14</v>
      </c>
      <c r="R1875">
        <f>3937</f>
        <v>3937</v>
      </c>
      <c r="S1875">
        <f>1982.97</f>
        <v>1982.97</v>
      </c>
      <c r="T1875">
        <f>3918.575</f>
        <v>3918.5749999999998</v>
      </c>
      <c r="U1875">
        <f>52925.75</f>
        <v>52925.75</v>
      </c>
      <c r="V1875">
        <f>337.18</f>
        <v>337.18</v>
      </c>
    </row>
    <row r="1876" spans="1:22" x14ac:dyDescent="0.2">
      <c r="A1876" s="1">
        <v>42481</v>
      </c>
      <c r="B1876">
        <f>2779.38</f>
        <v>2779.38</v>
      </c>
      <c r="C1876">
        <f>7641.51</f>
        <v>7641.51</v>
      </c>
      <c r="D1876">
        <f>5070.3</f>
        <v>5070.3</v>
      </c>
      <c r="E1876">
        <f>1771.852</f>
        <v>1771.8520000000001</v>
      </c>
      <c r="F1876">
        <f>1750.7</f>
        <v>1750.7</v>
      </c>
      <c r="G1876">
        <f>7350.451</f>
        <v>7350.451</v>
      </c>
      <c r="H1876">
        <f>2768.46</f>
        <v>2768.46</v>
      </c>
      <c r="I1876">
        <f>8254.486</f>
        <v>8254.4860000000008</v>
      </c>
      <c r="J1876">
        <f>2981.92</f>
        <v>2981.92</v>
      </c>
      <c r="K1876">
        <f>8164.29</f>
        <v>8164.29</v>
      </c>
      <c r="L1876">
        <f>1638.45</f>
        <v>1638.45</v>
      </c>
      <c r="M1876">
        <f>6522.74</f>
        <v>6522.74</v>
      </c>
      <c r="N1876">
        <f>298.053</f>
        <v>298.053</v>
      </c>
      <c r="O1876">
        <f>2471.89</f>
        <v>2471.89</v>
      </c>
      <c r="P1876">
        <f>200.14</f>
        <v>200.14</v>
      </c>
      <c r="Q1876">
        <f>1946.71</f>
        <v>1946.71</v>
      </c>
      <c r="R1876">
        <f>3936.8</f>
        <v>3936.8</v>
      </c>
      <c r="S1876">
        <f>1963.5</f>
        <v>1963.5</v>
      </c>
      <c r="T1876">
        <f>3958.823</f>
        <v>3958.8229999999999</v>
      </c>
      <c r="U1876">
        <f>53323.58</f>
        <v>53323.58</v>
      </c>
      <c r="V1876">
        <f>341.64</f>
        <v>341.64</v>
      </c>
    </row>
    <row r="1877" spans="1:22" x14ac:dyDescent="0.2">
      <c r="A1877" s="1">
        <v>42480</v>
      </c>
      <c r="B1877">
        <f>2793.63</f>
        <v>2793.63</v>
      </c>
      <c r="C1877">
        <f>7589.87</f>
        <v>7589.87</v>
      </c>
      <c r="D1877">
        <f>5090.59</f>
        <v>5090.59</v>
      </c>
      <c r="E1877">
        <f>1762.908</f>
        <v>1762.9079999999999</v>
      </c>
      <c r="F1877">
        <f>1759.78</f>
        <v>1759.78</v>
      </c>
      <c r="G1877">
        <f>7410.207</f>
        <v>7410.2070000000003</v>
      </c>
      <c r="H1877">
        <f>2712.27</f>
        <v>2712.27</v>
      </c>
      <c r="I1877">
        <f>8304.241</f>
        <v>8304.241</v>
      </c>
      <c r="J1877">
        <f>3004.86</f>
        <v>3004.86</v>
      </c>
      <c r="K1877">
        <f>8203.67</f>
        <v>8203.67</v>
      </c>
      <c r="L1877">
        <f>1650.48</f>
        <v>1650.48</v>
      </c>
      <c r="M1877">
        <f>6539.68</f>
        <v>6539.68</v>
      </c>
      <c r="N1877">
        <f>299.188</f>
        <v>299.18799999999999</v>
      </c>
      <c r="O1877">
        <f>2478.23</f>
        <v>2478.23</v>
      </c>
      <c r="P1877">
        <f>197.38</f>
        <v>197.38</v>
      </c>
      <c r="Q1877">
        <f>1967.63</f>
        <v>1967.63</v>
      </c>
      <c r="R1877">
        <f>3957.25</f>
        <v>3957.25</v>
      </c>
      <c r="S1877">
        <f>1924.19</f>
        <v>1924.19</v>
      </c>
      <c r="T1877">
        <f>3992.127</f>
        <v>3992.127</v>
      </c>
      <c r="U1877">
        <f>53789.75</f>
        <v>53789.75</v>
      </c>
      <c r="V1877">
        <f>343.49</f>
        <v>343.49</v>
      </c>
    </row>
    <row r="1878" spans="1:22" x14ac:dyDescent="0.2">
      <c r="A1878" s="1">
        <v>42479</v>
      </c>
      <c r="B1878">
        <f>2793.35</f>
        <v>2793.35</v>
      </c>
      <c r="C1878">
        <f>7574.45</f>
        <v>7574.45</v>
      </c>
      <c r="D1878">
        <f>5086.7</f>
        <v>5086.7</v>
      </c>
      <c r="E1878">
        <f>1769.714</f>
        <v>1769.7139999999999</v>
      </c>
      <c r="F1878">
        <f>1749.15</f>
        <v>1749.15</v>
      </c>
      <c r="G1878">
        <f>7400.611</f>
        <v>7400.6109999999999</v>
      </c>
      <c r="H1878">
        <f>2716.65</f>
        <v>2716.65</v>
      </c>
      <c r="I1878">
        <f>8294.709</f>
        <v>8294.7090000000007</v>
      </c>
      <c r="J1878">
        <f>3019.11</f>
        <v>3019.11</v>
      </c>
      <c r="K1878">
        <f>8196.12</f>
        <v>8196.1200000000008</v>
      </c>
      <c r="L1878">
        <f>1652.91</f>
        <v>1652.91</v>
      </c>
      <c r="M1878">
        <f>6531.22</f>
        <v>6531.22</v>
      </c>
      <c r="N1878">
        <f>299.115</f>
        <v>299.11500000000001</v>
      </c>
      <c r="O1878">
        <f>2467.32</f>
        <v>2467.3200000000002</v>
      </c>
      <c r="P1878">
        <f>197.21</f>
        <v>197.21</v>
      </c>
      <c r="Q1878">
        <f>1974.85</f>
        <v>1974.85</v>
      </c>
      <c r="R1878">
        <f>3954.01</f>
        <v>3954.01</v>
      </c>
      <c r="S1878">
        <f>1920.32</f>
        <v>1920.32</v>
      </c>
      <c r="T1878">
        <f>3904.707</f>
        <v>3904.7069999999999</v>
      </c>
      <c r="U1878">
        <f>53380.94</f>
        <v>53380.94</v>
      </c>
      <c r="V1878">
        <f>335.26</f>
        <v>335.26</v>
      </c>
    </row>
    <row r="1879" spans="1:22" x14ac:dyDescent="0.2">
      <c r="A1879" s="1">
        <v>42478</v>
      </c>
      <c r="B1879">
        <f>2767.03</f>
        <v>2767.03</v>
      </c>
      <c r="C1879">
        <f>7465.94</f>
        <v>7465.94</v>
      </c>
      <c r="D1879">
        <f>5045.54</f>
        <v>5045.54</v>
      </c>
      <c r="E1879">
        <f>1750.88</f>
        <v>1750.88</v>
      </c>
      <c r="F1879">
        <f>1711.58</f>
        <v>1711.58</v>
      </c>
      <c r="G1879">
        <f>7269.566</f>
        <v>7269.5659999999998</v>
      </c>
      <c r="H1879">
        <f>2651.53</f>
        <v>2651.53</v>
      </c>
      <c r="I1879">
        <f>8132.523</f>
        <v>8132.5230000000001</v>
      </c>
      <c r="J1879">
        <f>3009.18</f>
        <v>3009.18</v>
      </c>
      <c r="K1879">
        <f>8172.1</f>
        <v>8172.1</v>
      </c>
      <c r="L1879">
        <f>1633.58</f>
        <v>1633.58</v>
      </c>
      <c r="M1879">
        <f>6463.16</f>
        <v>6463.16</v>
      </c>
      <c r="N1879">
        <f>293.607</f>
        <v>293.60700000000003</v>
      </c>
      <c r="O1879">
        <f>2431.34</f>
        <v>2431.34</v>
      </c>
      <c r="P1879">
        <f>192.49</f>
        <v>192.49</v>
      </c>
      <c r="Q1879">
        <f>1965.55</f>
        <v>1965.55</v>
      </c>
      <c r="R1879">
        <f>3941.86</f>
        <v>3941.86</v>
      </c>
      <c r="S1879">
        <f>1859.91</f>
        <v>1859.91</v>
      </c>
      <c r="T1879">
        <f>3850.983</f>
        <v>3850.9830000000002</v>
      </c>
      <c r="U1879">
        <f>53166.59</f>
        <v>53166.59</v>
      </c>
      <c r="V1879">
        <f>332.5</f>
        <v>332.5</v>
      </c>
    </row>
    <row r="1880" spans="1:22" x14ac:dyDescent="0.2">
      <c r="A1880" s="1">
        <v>42475</v>
      </c>
      <c r="B1880">
        <f>2765.16</f>
        <v>2765.16</v>
      </c>
      <c r="C1880">
        <f>7499.73</f>
        <v>7499.73</v>
      </c>
      <c r="D1880">
        <f>5037.78</f>
        <v>5037.78</v>
      </c>
      <c r="E1880">
        <f>1756.773</f>
        <v>1756.7729999999999</v>
      </c>
      <c r="F1880">
        <f>1697.05</f>
        <v>1697.05</v>
      </c>
      <c r="G1880">
        <f>7207.685</f>
        <v>7207.6850000000004</v>
      </c>
      <c r="H1880">
        <f>2727.75</f>
        <v>2727.75</v>
      </c>
      <c r="I1880">
        <f>8082.08</f>
        <v>8082.08</v>
      </c>
      <c r="J1880">
        <f>2988.15</f>
        <v>2988.15</v>
      </c>
      <c r="K1880">
        <f>8119.63</f>
        <v>8119.63</v>
      </c>
      <c r="L1880">
        <f>1624.8</f>
        <v>1624.8</v>
      </c>
      <c r="M1880">
        <f>6444.17</f>
        <v>6444.17</v>
      </c>
      <c r="N1880">
        <f>292.499</f>
        <v>292.49900000000002</v>
      </c>
      <c r="O1880">
        <f>2422.77</f>
        <v>2422.77</v>
      </c>
      <c r="P1880">
        <f>197.14</f>
        <v>197.14</v>
      </c>
      <c r="Q1880">
        <f>1957.31</f>
        <v>1957.31</v>
      </c>
      <c r="R1880">
        <f>3916.17</f>
        <v>3916.17</v>
      </c>
      <c r="S1880">
        <f>1918.02</f>
        <v>1918.02</v>
      </c>
      <c r="T1880">
        <f>3832.244</f>
        <v>3832.2440000000001</v>
      </c>
      <c r="U1880">
        <f>53038.91</f>
        <v>53038.91</v>
      </c>
      <c r="V1880">
        <f>330.79</f>
        <v>330.79</v>
      </c>
    </row>
    <row r="1881" spans="1:22" x14ac:dyDescent="0.2">
      <c r="A1881" s="1">
        <v>42474</v>
      </c>
      <c r="B1881">
        <f>2777.15</f>
        <v>2777.15</v>
      </c>
      <c r="C1881">
        <f>7494.57</f>
        <v>7494.57</v>
      </c>
      <c r="D1881">
        <f>5054.73</f>
        <v>5054.7299999999996</v>
      </c>
      <c r="E1881">
        <f>1754.137</f>
        <v>1754.1369999999999</v>
      </c>
      <c r="F1881">
        <f>1691.88</f>
        <v>1691.88</v>
      </c>
      <c r="G1881">
        <f>7212.258</f>
        <v>7212.2579999999998</v>
      </c>
      <c r="H1881">
        <f>2736.4</f>
        <v>2736.4</v>
      </c>
      <c r="I1881">
        <f>8081.894</f>
        <v>8081.8940000000002</v>
      </c>
      <c r="J1881">
        <f>2988.12</f>
        <v>2988.12</v>
      </c>
      <c r="K1881">
        <f>8126.57</f>
        <v>8126.57</v>
      </c>
      <c r="L1881">
        <f>1624.86</f>
        <v>1624.86</v>
      </c>
      <c r="M1881">
        <f>6449.68</f>
        <v>6449.68</v>
      </c>
      <c r="N1881">
        <f>293.328</f>
        <v>293.32799999999997</v>
      </c>
      <c r="O1881">
        <f>2428.37</f>
        <v>2428.37</v>
      </c>
      <c r="P1881">
        <f>198.18</f>
        <v>198.18</v>
      </c>
      <c r="Q1881">
        <f>1953.4</f>
        <v>1953.4</v>
      </c>
      <c r="R1881">
        <f>3920.03</f>
        <v>3920.03</v>
      </c>
      <c r="S1881">
        <f>1932.05</f>
        <v>1932.05</v>
      </c>
      <c r="T1881">
        <f>3831.885</f>
        <v>3831.8850000000002</v>
      </c>
      <c r="U1881">
        <f>52848</f>
        <v>52848</v>
      </c>
      <c r="V1881">
        <f>329.98</f>
        <v>329.98</v>
      </c>
    </row>
    <row r="1882" spans="1:22" x14ac:dyDescent="0.2">
      <c r="A1882" s="1">
        <v>42473</v>
      </c>
      <c r="B1882">
        <f>2781.72</f>
        <v>2781.72</v>
      </c>
      <c r="C1882">
        <f>7494.29</f>
        <v>7494.29</v>
      </c>
      <c r="D1882">
        <f>5050.25</f>
        <v>5050.25</v>
      </c>
      <c r="E1882">
        <f>1751.256</f>
        <v>1751.2560000000001</v>
      </c>
      <c r="F1882">
        <f>1694.39</f>
        <v>1694.39</v>
      </c>
      <c r="G1882">
        <f>7239.924</f>
        <v>7239.924</v>
      </c>
      <c r="H1882">
        <f>2659.17</f>
        <v>2659.17</v>
      </c>
      <c r="I1882">
        <f>8047.491</f>
        <v>8047.491</v>
      </c>
      <c r="J1882">
        <f>2990.71</f>
        <v>2990.71</v>
      </c>
      <c r="K1882">
        <f>8126.09</f>
        <v>8126.09</v>
      </c>
      <c r="L1882">
        <f>1620.41</f>
        <v>1620.41</v>
      </c>
      <c r="M1882">
        <f>6426.36</f>
        <v>6426.36</v>
      </c>
      <c r="N1882">
        <f>292.407</f>
        <v>292.40699999999998</v>
      </c>
      <c r="O1882">
        <f>2419.76</f>
        <v>2419.7600000000002</v>
      </c>
      <c r="P1882">
        <f>193.7</f>
        <v>193.7</v>
      </c>
      <c r="Q1882">
        <f>1954.66</f>
        <v>1954.66</v>
      </c>
      <c r="R1882">
        <f>3918.95</f>
        <v>3918.95</v>
      </c>
      <c r="S1882">
        <f>1877.22</f>
        <v>1877.22</v>
      </c>
      <c r="T1882">
        <f>3832.744</f>
        <v>3832.7440000000001</v>
      </c>
      <c r="U1882">
        <f>52938.24</f>
        <v>52938.239999999998</v>
      </c>
      <c r="V1882">
        <f>328.48</f>
        <v>328.48</v>
      </c>
    </row>
    <row r="1883" spans="1:22" x14ac:dyDescent="0.2">
      <c r="A1883" s="1">
        <v>42472</v>
      </c>
      <c r="B1883">
        <f>2726.52</f>
        <v>2726.52</v>
      </c>
      <c r="C1883">
        <f>7342.4</f>
        <v>7342.4</v>
      </c>
      <c r="D1883">
        <f>4954.61</f>
        <v>4954.6099999999997</v>
      </c>
      <c r="E1883">
        <f>1723.697</f>
        <v>1723.6969999999999</v>
      </c>
      <c r="F1883">
        <f>1651.02</f>
        <v>1651.02</v>
      </c>
      <c r="G1883">
        <f>7101.332</f>
        <v>7101.3320000000003</v>
      </c>
      <c r="H1883">
        <f>2610.62</f>
        <v>2610.62</v>
      </c>
      <c r="I1883">
        <f>7915.335</f>
        <v>7915.335</v>
      </c>
      <c r="J1883">
        <f>2980.38</f>
        <v>2980.38</v>
      </c>
      <c r="K1883">
        <f>8041.38</f>
        <v>8041.38</v>
      </c>
      <c r="L1883">
        <f>1608.02</f>
        <v>1608.02</v>
      </c>
      <c r="M1883">
        <f>6340.85</f>
        <v>6340.85</v>
      </c>
      <c r="N1883">
        <f>286.137</f>
        <v>286.137</v>
      </c>
      <c r="O1883">
        <f>2357.67</f>
        <v>2357.67</v>
      </c>
      <c r="P1883">
        <f>190.27</f>
        <v>190.27</v>
      </c>
      <c r="Q1883">
        <f>1943.34</f>
        <v>1943.34</v>
      </c>
      <c r="R1883">
        <f>3879.42</f>
        <v>3879.42</v>
      </c>
      <c r="S1883">
        <f>1830.6</f>
        <v>1830.6</v>
      </c>
      <c r="T1883">
        <f>3743.02</f>
        <v>3743.02</v>
      </c>
      <c r="U1883">
        <f>52059.76</f>
        <v>52059.76</v>
      </c>
      <c r="V1883">
        <f>321.65</f>
        <v>321.64999999999998</v>
      </c>
    </row>
    <row r="1884" spans="1:22" x14ac:dyDescent="0.2">
      <c r="A1884" s="1">
        <v>42471</v>
      </c>
      <c r="B1884">
        <f>2704.79</f>
        <v>2704.79</v>
      </c>
      <c r="C1884">
        <f>7288.17</f>
        <v>7288.17</v>
      </c>
      <c r="D1884">
        <f>4921.06</f>
        <v>4921.0600000000004</v>
      </c>
      <c r="E1884">
        <f>1709.355</f>
        <v>1709.355</v>
      </c>
      <c r="F1884">
        <f>1638.55</f>
        <v>1638.55</v>
      </c>
      <c r="G1884">
        <f>7077.858</f>
        <v>7077.8580000000002</v>
      </c>
      <c r="H1884">
        <f>2589.19</f>
        <v>2589.19</v>
      </c>
      <c r="I1884">
        <f>7928.365</f>
        <v>7928.3649999999998</v>
      </c>
      <c r="J1884">
        <f>2954.82</f>
        <v>2954.82</v>
      </c>
      <c r="K1884">
        <f>7965.44</f>
        <v>7965.44</v>
      </c>
      <c r="L1884">
        <f>1598.14</f>
        <v>1598.14</v>
      </c>
      <c r="M1884">
        <f>6294.07</f>
        <v>6294.07</v>
      </c>
      <c r="N1884">
        <f>285.297</f>
        <v>285.29700000000003</v>
      </c>
      <c r="O1884">
        <f>2344.2</f>
        <v>2344.1999999999998</v>
      </c>
      <c r="P1884">
        <f>188.91</f>
        <v>188.91</v>
      </c>
      <c r="Q1884">
        <f>1924.14</f>
        <v>1924.14</v>
      </c>
      <c r="R1884">
        <f>3842.17</f>
        <v>3842.17</v>
      </c>
      <c r="S1884">
        <f>1803.05</f>
        <v>1803.05</v>
      </c>
      <c r="T1884">
        <f>3694.561</f>
        <v>3694.5610000000001</v>
      </c>
      <c r="U1884">
        <f>51428.08</f>
        <v>51428.08</v>
      </c>
      <c r="V1884">
        <f>316.81</f>
        <v>316.81</v>
      </c>
    </row>
    <row r="1885" spans="1:22" x14ac:dyDescent="0.2">
      <c r="A1885" s="1">
        <v>42468</v>
      </c>
      <c r="B1885">
        <f>2711.21</f>
        <v>2711.21</v>
      </c>
      <c r="C1885">
        <f>7229.15</f>
        <v>7229.15</v>
      </c>
      <c r="D1885">
        <f>4924.47</f>
        <v>4924.47</v>
      </c>
      <c r="E1885">
        <f>1694.309</f>
        <v>1694.309</v>
      </c>
      <c r="F1885">
        <f>1620.18</f>
        <v>1620.18</v>
      </c>
      <c r="G1885">
        <f>7003.235</f>
        <v>7003.2349999999997</v>
      </c>
      <c r="H1885">
        <f>2586.57</f>
        <v>2586.5700000000002</v>
      </c>
      <c r="I1885">
        <f>7881.962</f>
        <v>7881.9620000000004</v>
      </c>
      <c r="J1885">
        <f>2966.27</f>
        <v>2966.27</v>
      </c>
      <c r="K1885">
        <f>7988.82</f>
        <v>7988.82</v>
      </c>
      <c r="L1885">
        <f>1596.61</f>
        <v>1596.61</v>
      </c>
      <c r="M1885">
        <f>6292.79</f>
        <v>6292.79</v>
      </c>
      <c r="N1885">
        <f>284.226</f>
        <v>284.226</v>
      </c>
      <c r="O1885">
        <f>2333.07</f>
        <v>2333.0700000000002</v>
      </c>
      <c r="P1885">
        <f>189.29</f>
        <v>189.29</v>
      </c>
      <c r="Q1885">
        <f>1929.32</f>
        <v>1929.32</v>
      </c>
      <c r="R1885">
        <f>3852.72</f>
        <v>3852.72</v>
      </c>
      <c r="S1885">
        <f>1814.18</f>
        <v>1814.18</v>
      </c>
      <c r="T1885">
        <f>3676.535</f>
        <v>3676.5349999999999</v>
      </c>
      <c r="U1885">
        <f>51424.48</f>
        <v>51424.480000000003</v>
      </c>
      <c r="V1885">
        <f>314.26</f>
        <v>314.26</v>
      </c>
    </row>
    <row r="1886" spans="1:22" x14ac:dyDescent="0.2">
      <c r="A1886" s="1">
        <v>42467</v>
      </c>
      <c r="B1886">
        <f>2673.31</f>
        <v>2673.31</v>
      </c>
      <c r="C1886">
        <f>7113.19</f>
        <v>7113.19</v>
      </c>
      <c r="D1886">
        <f>4870.87</f>
        <v>4870.87</v>
      </c>
      <c r="E1886">
        <f>1678.687</f>
        <v>1678.6869999999999</v>
      </c>
      <c r="F1886">
        <f>1587.88</f>
        <v>1587.88</v>
      </c>
      <c r="G1886">
        <f>6921.668</f>
        <v>6921.6679999999997</v>
      </c>
      <c r="H1886">
        <f>2565.92</f>
        <v>2565.92</v>
      </c>
      <c r="I1886">
        <f>7763.395</f>
        <v>7763.3950000000004</v>
      </c>
      <c r="J1886">
        <f>2955.55</f>
        <v>2955.55</v>
      </c>
      <c r="K1886">
        <f>7966.74</f>
        <v>7966.74</v>
      </c>
      <c r="L1886">
        <f>1583.13</f>
        <v>1583.13</v>
      </c>
      <c r="M1886">
        <f>6251.74</f>
        <v>6251.74</v>
      </c>
      <c r="N1886">
        <f>282.107</f>
        <v>282.10700000000003</v>
      </c>
      <c r="O1886">
        <f>2304.58</f>
        <v>2304.58</v>
      </c>
      <c r="P1886">
        <f>187.48</f>
        <v>187.48</v>
      </c>
      <c r="Q1886">
        <f>1921.83</f>
        <v>1921.83</v>
      </c>
      <c r="R1886">
        <f>3841.98</f>
        <v>3841.98</v>
      </c>
      <c r="S1886">
        <f>1792.98</f>
        <v>1792.98</v>
      </c>
      <c r="T1886">
        <f>3632.045</f>
        <v>3632.0450000000001</v>
      </c>
      <c r="U1886">
        <f>51146.82</f>
        <v>51146.82</v>
      </c>
      <c r="V1886">
        <f>309.24</f>
        <v>309.24</v>
      </c>
    </row>
    <row r="1887" spans="1:22" x14ac:dyDescent="0.2">
      <c r="A1887" s="1">
        <v>42466</v>
      </c>
      <c r="B1887">
        <f>2699.23</f>
        <v>2699.23</v>
      </c>
      <c r="C1887">
        <f>7117.95</f>
        <v>7117.95</v>
      </c>
      <c r="D1887">
        <f>4883.99</f>
        <v>4883.99</v>
      </c>
      <c r="E1887">
        <f>1678.11</f>
        <v>1678.11</v>
      </c>
      <c r="F1887">
        <f>1590.5</f>
        <v>1590.5</v>
      </c>
      <c r="G1887">
        <f>6936.862</f>
        <v>6936.8620000000001</v>
      </c>
      <c r="H1887">
        <f>2503.09</f>
        <v>2503.09</v>
      </c>
      <c r="I1887">
        <f>7819.011</f>
        <v>7819.0110000000004</v>
      </c>
      <c r="J1887">
        <f>2977.83</f>
        <v>2977.83</v>
      </c>
      <c r="K1887">
        <f>8063.24</f>
        <v>8063.24</v>
      </c>
      <c r="L1887">
        <f>1588.63</f>
        <v>1588.63</v>
      </c>
      <c r="M1887">
        <f>6295.17</f>
        <v>6295.17</v>
      </c>
      <c r="N1887">
        <f>283.314</f>
        <v>283.31400000000002</v>
      </c>
      <c r="O1887">
        <f>2319.67</f>
        <v>2319.67</v>
      </c>
      <c r="P1887">
        <f>186.18</f>
        <v>186.18</v>
      </c>
      <c r="Q1887">
        <f>1937.3</f>
        <v>1937.3</v>
      </c>
      <c r="R1887">
        <f>3888.41</f>
        <v>3888.41</v>
      </c>
      <c r="S1887">
        <f>1786.09</f>
        <v>1786.09</v>
      </c>
      <c r="T1887">
        <f>3647.137</f>
        <v>3647.1370000000002</v>
      </c>
      <c r="U1887">
        <f>51184.32</f>
        <v>51184.32</v>
      </c>
      <c r="V1887">
        <f>310.35</f>
        <v>310.35000000000002</v>
      </c>
    </row>
    <row r="1888" spans="1:22" x14ac:dyDescent="0.2">
      <c r="A1888" s="1">
        <v>42465</v>
      </c>
      <c r="B1888">
        <f>2671.75</f>
        <v>2671.75</v>
      </c>
      <c r="C1888">
        <f>7184.06</f>
        <v>7184.06</v>
      </c>
      <c r="D1888">
        <f>4828.18</f>
        <v>4828.18</v>
      </c>
      <c r="E1888">
        <f>1686.119</f>
        <v>1686.1189999999999</v>
      </c>
      <c r="F1888">
        <f>1573.69</f>
        <v>1573.69</v>
      </c>
      <c r="G1888">
        <f>6879.649</f>
        <v>6879.6490000000003</v>
      </c>
      <c r="H1888">
        <f>2491.42</f>
        <v>2491.42</v>
      </c>
      <c r="I1888">
        <f>7760.555</f>
        <v>7760.5550000000003</v>
      </c>
      <c r="J1888">
        <f>2950.46</f>
        <v>2950.46</v>
      </c>
      <c r="K1888">
        <f>7973.39</f>
        <v>7973.39</v>
      </c>
      <c r="L1888">
        <f>1573.2</f>
        <v>1573.2</v>
      </c>
      <c r="M1888">
        <f>6236.07</f>
        <v>6236.07</v>
      </c>
      <c r="N1888">
        <f>281.469</f>
        <v>281.46899999999999</v>
      </c>
      <c r="O1888">
        <f>2302.72</f>
        <v>2302.7199999999998</v>
      </c>
      <c r="P1888">
        <f>186.57</f>
        <v>186.57</v>
      </c>
      <c r="Q1888">
        <f>1920.71</f>
        <v>1920.71</v>
      </c>
      <c r="R1888">
        <f>3846.59</f>
        <v>3846.59</v>
      </c>
      <c r="S1888">
        <f>1786.96</f>
        <v>1786.96</v>
      </c>
      <c r="T1888">
        <f>3674.624</f>
        <v>3674.6239999999998</v>
      </c>
      <c r="U1888">
        <f>51226.09</f>
        <v>51226.09</v>
      </c>
      <c r="V1888">
        <f>315.12</f>
        <v>315.12</v>
      </c>
    </row>
    <row r="1889" spans="1:22" x14ac:dyDescent="0.2">
      <c r="A1889" s="1">
        <v>42464</v>
      </c>
      <c r="B1889">
        <f>2712.32</f>
        <v>2712.32</v>
      </c>
      <c r="C1889">
        <f>7337.48</f>
        <v>7337.48</v>
      </c>
      <c r="D1889">
        <f>4886.44</f>
        <v>4886.4399999999996</v>
      </c>
      <c r="E1889">
        <f>1714.578</f>
        <v>1714.578</v>
      </c>
      <c r="F1889">
        <f>1618.06</f>
        <v>1618.06</v>
      </c>
      <c r="G1889">
        <f>7041.652</f>
        <v>7041.652</v>
      </c>
      <c r="H1889">
        <f>2537.85</f>
        <v>2537.85</v>
      </c>
      <c r="I1889">
        <f>7903.861</f>
        <v>7903.8609999999999</v>
      </c>
      <c r="J1889">
        <f>2972.12</f>
        <v>2972.12</v>
      </c>
      <c r="K1889">
        <f>8054.62</f>
        <v>8054.62</v>
      </c>
      <c r="L1889">
        <f>1592.06</f>
        <v>1592.06</v>
      </c>
      <c r="M1889">
        <f>6321.63</f>
        <v>6321.63</v>
      </c>
      <c r="N1889">
        <f>286.071</f>
        <v>286.07100000000003</v>
      </c>
      <c r="O1889">
        <f>2346.18</f>
        <v>2346.1799999999998</v>
      </c>
      <c r="P1889">
        <f>191.11</f>
        <v>191.11</v>
      </c>
      <c r="Q1889">
        <f>1936.49</f>
        <v>1936.49</v>
      </c>
      <c r="R1889">
        <f>3886</f>
        <v>3886</v>
      </c>
      <c r="S1889">
        <f>1835.34</f>
        <v>1835.34</v>
      </c>
      <c r="T1889">
        <f>3748.88</f>
        <v>3748.88</v>
      </c>
      <c r="U1889">
        <f>51895.14</f>
        <v>51895.14</v>
      </c>
      <c r="V1889">
        <f>320.98</f>
        <v>320.98</v>
      </c>
    </row>
    <row r="1890" spans="1:22" x14ac:dyDescent="0.2">
      <c r="A1890" s="1">
        <v>42461</v>
      </c>
      <c r="B1890">
        <f>2706.87</f>
        <v>2706.87</v>
      </c>
      <c r="C1890">
        <f>7332.55</f>
        <v>7332.55</v>
      </c>
      <c r="D1890">
        <f>4871.63</f>
        <v>4871.63</v>
      </c>
      <c r="E1890">
        <f>1712.883</f>
        <v>1712.883</v>
      </c>
      <c r="F1890">
        <f>1598.56</f>
        <v>1598.56</v>
      </c>
      <c r="G1890">
        <f>6970.915</f>
        <v>6970.915</v>
      </c>
      <c r="H1890">
        <f>2516.43</f>
        <v>2516.4299999999998</v>
      </c>
      <c r="I1890">
        <f>7855.171</f>
        <v>7855.1710000000003</v>
      </c>
      <c r="J1890">
        <f>2976.25</f>
        <v>2976.25</v>
      </c>
      <c r="K1890">
        <f>8079.04</f>
        <v>8079.04</v>
      </c>
      <c r="L1890">
        <f>1587.02</f>
        <v>1587.02</v>
      </c>
      <c r="M1890">
        <f>6318.48</f>
        <v>6318.48</v>
      </c>
      <c r="N1890">
        <f>283.399</f>
        <v>283.399</v>
      </c>
      <c r="O1890">
        <f>2334.71</f>
        <v>2334.71</v>
      </c>
      <c r="P1890">
        <f>190.81</f>
        <v>190.81</v>
      </c>
      <c r="Q1890">
        <f>1945.07</f>
        <v>1945.07</v>
      </c>
      <c r="R1890">
        <f>3897.66</f>
        <v>3897.66</v>
      </c>
      <c r="S1890">
        <f>1833.49</f>
        <v>1833.49</v>
      </c>
      <c r="T1890">
        <f>3711.844</f>
        <v>3711.8440000000001</v>
      </c>
      <c r="U1890">
        <f>51584.13</f>
        <v>51584.13</v>
      </c>
      <c r="V1890">
        <f>318.13</f>
        <v>318.13</v>
      </c>
    </row>
    <row r="1891" spans="1:22" x14ac:dyDescent="0.2">
      <c r="A1891" s="1">
        <v>42460</v>
      </c>
      <c r="B1891">
        <f>2731.5</f>
        <v>2731.5</v>
      </c>
      <c r="C1891">
        <f>7442.09</f>
        <v>7442.09</v>
      </c>
      <c r="D1891">
        <f>4894.5</f>
        <v>4894.5</v>
      </c>
      <c r="E1891">
        <f>1734.692</f>
        <v>1734.692</v>
      </c>
      <c r="F1891">
        <f>1632.68</f>
        <v>1632.68</v>
      </c>
      <c r="G1891">
        <f>7098.466</f>
        <v>7098.4660000000003</v>
      </c>
      <c r="H1891">
        <f>2595.48</f>
        <v>2595.48</v>
      </c>
      <c r="I1891">
        <f>7990.423</f>
        <v>7990.4229999999998</v>
      </c>
      <c r="J1891">
        <f>2960.01</f>
        <v>2960.01</v>
      </c>
      <c r="K1891">
        <f>8027.01</f>
        <v>8027.01</v>
      </c>
      <c r="L1891">
        <f>1597.86</f>
        <v>1597.86</v>
      </c>
      <c r="M1891">
        <f>6348.3</f>
        <v>6348.3</v>
      </c>
      <c r="N1891">
        <f>287.656</f>
        <v>287.65600000000001</v>
      </c>
      <c r="O1891">
        <f>2368.55</f>
        <v>2368.5500000000002</v>
      </c>
      <c r="P1891">
        <f>196.2</f>
        <v>196.2</v>
      </c>
      <c r="Q1891">
        <f>1931.75</f>
        <v>1931.75</v>
      </c>
      <c r="R1891">
        <f>3873.11</f>
        <v>3873.11</v>
      </c>
      <c r="S1891">
        <f>1898.02</f>
        <v>1898.02</v>
      </c>
      <c r="T1891">
        <f>3746.87</f>
        <v>3746.87</v>
      </c>
      <c r="U1891">
        <f>52250.28</f>
        <v>52250.28</v>
      </c>
      <c r="V1891">
        <f>322.97</f>
        <v>322.97000000000003</v>
      </c>
    </row>
    <row r="1892" spans="1:22" x14ac:dyDescent="0.2">
      <c r="A1892" s="1">
        <v>42459</v>
      </c>
      <c r="B1892">
        <f>2744.68</f>
        <v>2744.68</v>
      </c>
      <c r="C1892">
        <f>7412.03</f>
        <v>7412.03</v>
      </c>
      <c r="D1892">
        <f>4915.2</f>
        <v>4915.2</v>
      </c>
      <c r="E1892">
        <f>1728.746</f>
        <v>1728.7460000000001</v>
      </c>
      <c r="F1892">
        <f>1653.63</f>
        <v>1653.63</v>
      </c>
      <c r="G1892">
        <f>7165.388</f>
        <v>7165.3879999999999</v>
      </c>
      <c r="H1892">
        <f>2607.62</f>
        <v>2607.62</v>
      </c>
      <c r="I1892">
        <f>8042.657</f>
        <v>8042.6570000000002</v>
      </c>
      <c r="J1892">
        <f>2967.15</f>
        <v>2967.15</v>
      </c>
      <c r="K1892">
        <f>8039.49</f>
        <v>8039.49</v>
      </c>
      <c r="L1892">
        <f>1603.83</f>
        <v>1603.83</v>
      </c>
      <c r="M1892">
        <f>6366.36</f>
        <v>6366.36</v>
      </c>
      <c r="N1892">
        <f>290.696</f>
        <v>290.69600000000003</v>
      </c>
      <c r="O1892">
        <f>2393.34</f>
        <v>2393.34</v>
      </c>
      <c r="P1892">
        <f>199.21</f>
        <v>199.21</v>
      </c>
      <c r="Q1892">
        <f>1937.85</f>
        <v>1937.85</v>
      </c>
      <c r="R1892">
        <f>3881.01</f>
        <v>3881.01</v>
      </c>
      <c r="S1892">
        <f>1910.81</f>
        <v>1910.81</v>
      </c>
      <c r="T1892">
        <f>3722.028</f>
        <v>3722.0279999999998</v>
      </c>
      <c r="U1892">
        <f>52495.46</f>
        <v>52495.46</v>
      </c>
      <c r="V1892">
        <f>320.15</f>
        <v>320.14999999999998</v>
      </c>
    </row>
    <row r="1893" spans="1:22" x14ac:dyDescent="0.2">
      <c r="A1893" s="1">
        <v>42458</v>
      </c>
      <c r="B1893">
        <f>2693.36</f>
        <v>2693.36</v>
      </c>
      <c r="C1893">
        <f>7194.69</f>
        <v>7194.69</v>
      </c>
      <c r="D1893">
        <f>4838.12</f>
        <v>4838.12</v>
      </c>
      <c r="E1893">
        <f>1688.875</f>
        <v>1688.875</v>
      </c>
      <c r="F1893">
        <f>1594.46</f>
        <v>1594.46</v>
      </c>
      <c r="G1893">
        <f>6959.979</f>
        <v>6959.9790000000003</v>
      </c>
      <c r="H1893">
        <f>2629.12</f>
        <v>2629.12</v>
      </c>
      <c r="I1893">
        <f>7820.721</f>
        <v>7820.7209999999995</v>
      </c>
      <c r="J1893">
        <f>2958.72</f>
        <v>2958.72</v>
      </c>
      <c r="K1893">
        <f>8004.41</f>
        <v>8004.41</v>
      </c>
      <c r="L1893">
        <f>1582.33</f>
        <v>1582.33</v>
      </c>
      <c r="M1893">
        <f>6300.42</f>
        <v>6300.42</v>
      </c>
      <c r="N1893">
        <f>287.322</f>
        <v>287.322</v>
      </c>
      <c r="O1893">
        <f>2362.59</f>
        <v>2362.59</v>
      </c>
      <c r="P1893">
        <f>200.77</f>
        <v>200.77</v>
      </c>
      <c r="Q1893">
        <f>1931.47</f>
        <v>1931.47</v>
      </c>
      <c r="R1893">
        <f>3863.8</f>
        <v>3863.8</v>
      </c>
      <c r="S1893">
        <f>1940.84</f>
        <v>1940.84</v>
      </c>
      <c r="T1893">
        <f>3616.967</f>
        <v>3616.9670000000001</v>
      </c>
      <c r="U1893">
        <f>51787.2</f>
        <v>51787.199999999997</v>
      </c>
      <c r="V1893">
        <f>311.14</f>
        <v>311.14</v>
      </c>
    </row>
    <row r="1894" spans="1:22" x14ac:dyDescent="0.2">
      <c r="A1894" s="1">
        <v>42457</v>
      </c>
      <c r="B1894">
        <f>2689.46</f>
        <v>2689.46</v>
      </c>
      <c r="C1894">
        <f>7184.79</f>
        <v>7184.79</v>
      </c>
      <c r="D1894">
        <f>4838.58</f>
        <v>4838.58</v>
      </c>
      <c r="E1894">
        <f>1685.156</f>
        <v>1685.1559999999999</v>
      </c>
      <c r="F1894">
        <f>1599.9</f>
        <v>1599.9</v>
      </c>
      <c r="G1894">
        <f>6958.21</f>
        <v>6958.21</v>
      </c>
      <c r="H1894">
        <f>2618.07</f>
        <v>2618.0700000000002</v>
      </c>
      <c r="I1894">
        <f>7806.758</f>
        <v>7806.7579999999998</v>
      </c>
      <c r="J1894">
        <f>2933.36</f>
        <v>2933.36</v>
      </c>
      <c r="K1894">
        <f>7930.67</f>
        <v>7930.67</v>
      </c>
      <c r="L1894">
        <f>1574.85</f>
        <v>1574.85</v>
      </c>
      <c r="M1894">
        <f>6262.51</f>
        <v>6262.51</v>
      </c>
      <c r="N1894" t="e">
        <f>NA()</f>
        <v>#N/A</v>
      </c>
      <c r="O1894" t="e">
        <f>NA()</f>
        <v>#N/A</v>
      </c>
      <c r="P1894">
        <f>199.66</f>
        <v>199.66</v>
      </c>
      <c r="Q1894">
        <f>1911.79</f>
        <v>1911.79</v>
      </c>
      <c r="R1894">
        <f>3829.26</f>
        <v>3829.26</v>
      </c>
      <c r="S1894">
        <f>1927.97</f>
        <v>1927.97</v>
      </c>
      <c r="T1894" t="e">
        <f>NA()</f>
        <v>#N/A</v>
      </c>
      <c r="U1894" t="e">
        <f>NA()</f>
        <v>#N/A</v>
      </c>
      <c r="V1894" t="e">
        <f>NA()</f>
        <v>#N/A</v>
      </c>
    </row>
    <row r="1895" spans="1:22" x14ac:dyDescent="0.2">
      <c r="A1895" s="1">
        <v>42454</v>
      </c>
      <c r="B1895">
        <f>2689.46</f>
        <v>2689.46</v>
      </c>
      <c r="C1895">
        <f>7175.95</f>
        <v>7175.95</v>
      </c>
      <c r="D1895">
        <f>4838.58</f>
        <v>4838.58</v>
      </c>
      <c r="E1895">
        <f>1683.552</f>
        <v>1683.5519999999999</v>
      </c>
      <c r="F1895">
        <f>1587.28</f>
        <v>1587.28</v>
      </c>
      <c r="G1895">
        <f>6903.306</f>
        <v>6903.3059999999996</v>
      </c>
      <c r="H1895">
        <f>2602.76</f>
        <v>2602.7600000000002</v>
      </c>
      <c r="I1895">
        <f>7772.892</f>
        <v>7772.8919999999998</v>
      </c>
      <c r="J1895">
        <f>2934.31</f>
        <v>2934.31</v>
      </c>
      <c r="K1895">
        <f>7927.02</f>
        <v>7927.02</v>
      </c>
      <c r="L1895">
        <f>1570.28</f>
        <v>1570.28</v>
      </c>
      <c r="M1895">
        <f>6247.41</f>
        <v>6247.41</v>
      </c>
      <c r="N1895" t="e">
        <f>NA()</f>
        <v>#N/A</v>
      </c>
      <c r="O1895" t="e">
        <f>NA()</f>
        <v>#N/A</v>
      </c>
      <c r="P1895">
        <f>197.06</f>
        <v>197.06</v>
      </c>
      <c r="Q1895" t="e">
        <f>NA()</f>
        <v>#N/A</v>
      </c>
      <c r="R1895" t="e">
        <f>NA()</f>
        <v>#N/A</v>
      </c>
      <c r="S1895">
        <f>1905.92</f>
        <v>1905.92</v>
      </c>
      <c r="T1895" t="e">
        <f>NA()</f>
        <v>#N/A</v>
      </c>
      <c r="U1895" t="e">
        <f>NA()</f>
        <v>#N/A</v>
      </c>
      <c r="V1895" t="e">
        <f>NA()</f>
        <v>#N/A</v>
      </c>
    </row>
    <row r="1896" spans="1:22" x14ac:dyDescent="0.2">
      <c r="A1896" s="1">
        <v>42453</v>
      </c>
      <c r="B1896">
        <f>2689.46</f>
        <v>2689.46</v>
      </c>
      <c r="C1896">
        <f>7188.79</f>
        <v>7188.79</v>
      </c>
      <c r="D1896">
        <f>4838.58</f>
        <v>4838.58</v>
      </c>
      <c r="E1896">
        <f>1686.233</f>
        <v>1686.2329999999999</v>
      </c>
      <c r="F1896">
        <f>1587.28</f>
        <v>1587.28</v>
      </c>
      <c r="G1896">
        <f>6903.306</f>
        <v>6903.3059999999996</v>
      </c>
      <c r="H1896">
        <f>2574.62</f>
        <v>2574.62</v>
      </c>
      <c r="I1896">
        <f>7772.892</f>
        <v>7772.8919999999998</v>
      </c>
      <c r="J1896">
        <f>2934.31</f>
        <v>2934.31</v>
      </c>
      <c r="K1896">
        <f>7927.02</f>
        <v>7927.02</v>
      </c>
      <c r="L1896">
        <f>1569.76</f>
        <v>1569.76</v>
      </c>
      <c r="M1896">
        <f>6241.63</f>
        <v>6241.63</v>
      </c>
      <c r="N1896">
        <f>284.056</f>
        <v>284.05599999999998</v>
      </c>
      <c r="O1896">
        <f>2351.74</f>
        <v>2351.7399999999998</v>
      </c>
      <c r="P1896">
        <f>197.58</f>
        <v>197.58</v>
      </c>
      <c r="Q1896">
        <f>1905.41</f>
        <v>1905.41</v>
      </c>
      <c r="R1896">
        <f>3827.14</f>
        <v>3827.14</v>
      </c>
      <c r="S1896">
        <f>1889.95</f>
        <v>1889.95</v>
      </c>
      <c r="T1896">
        <f>3653.846</f>
        <v>3653.846</v>
      </c>
      <c r="U1896">
        <f>52323.78</f>
        <v>52323.78</v>
      </c>
      <c r="V1896">
        <f>314.63</f>
        <v>314.63</v>
      </c>
    </row>
    <row r="1897" spans="1:22" x14ac:dyDescent="0.2">
      <c r="A1897" s="1">
        <v>42452</v>
      </c>
      <c r="B1897">
        <f>2735.1</f>
        <v>2735.1</v>
      </c>
      <c r="C1897">
        <f>7295.35</f>
        <v>7295.35</v>
      </c>
      <c r="D1897">
        <f>4909.3</f>
        <v>4909.3</v>
      </c>
      <c r="E1897">
        <f>1702.114</f>
        <v>1702.114</v>
      </c>
      <c r="F1897">
        <f>1608</f>
        <v>1608</v>
      </c>
      <c r="G1897">
        <f>6989.136</f>
        <v>6989.1360000000004</v>
      </c>
      <c r="H1897">
        <f>2599.66</f>
        <v>2599.66</v>
      </c>
      <c r="I1897">
        <f>7908.773</f>
        <v>7908.7730000000001</v>
      </c>
      <c r="J1897">
        <f>2930.82</f>
        <v>2930.82</v>
      </c>
      <c r="K1897">
        <f>7928.56</f>
        <v>7928.56</v>
      </c>
      <c r="L1897">
        <f>1579.76</f>
        <v>1579.76</v>
      </c>
      <c r="M1897">
        <f>6276.04</f>
        <v>6276.04</v>
      </c>
      <c r="N1897">
        <f>288.539</f>
        <v>288.53899999999999</v>
      </c>
      <c r="O1897">
        <f>2386.51</f>
        <v>2386.5100000000002</v>
      </c>
      <c r="P1897">
        <f>197.63</f>
        <v>197.63</v>
      </c>
      <c r="Q1897">
        <f>1907.14</f>
        <v>1907.14</v>
      </c>
      <c r="R1897">
        <f>3828.58</f>
        <v>3828.58</v>
      </c>
      <c r="S1897">
        <f>1903.33</f>
        <v>1903.33</v>
      </c>
      <c r="T1897">
        <f>3668.647</f>
        <v>3668.6469999999999</v>
      </c>
      <c r="U1897">
        <f>52569.55</f>
        <v>52569.55</v>
      </c>
      <c r="V1897">
        <f>316.51</f>
        <v>316.51</v>
      </c>
    </row>
    <row r="1898" spans="1:22" x14ac:dyDescent="0.2">
      <c r="A1898" s="1">
        <v>42451</v>
      </c>
      <c r="B1898">
        <f>2742.94</f>
        <v>2742.94</v>
      </c>
      <c r="C1898">
        <f>7387.51</f>
        <v>7387.51</v>
      </c>
      <c r="D1898">
        <f>4904.25</f>
        <v>4904.25</v>
      </c>
      <c r="E1898">
        <f>1720.313</f>
        <v>1720.3130000000001</v>
      </c>
      <c r="F1898">
        <f>1621.8</f>
        <v>1621.8</v>
      </c>
      <c r="G1898">
        <f>7038.42</f>
        <v>7038.42</v>
      </c>
      <c r="H1898">
        <f>2631.84</f>
        <v>2631.84</v>
      </c>
      <c r="I1898">
        <f>7944.103</f>
        <v>7944.1030000000001</v>
      </c>
      <c r="J1898">
        <f>2942.88</f>
        <v>2942.88</v>
      </c>
      <c r="K1898">
        <f>7982.33</f>
        <v>7982.33</v>
      </c>
      <c r="L1898">
        <f>1586.97</f>
        <v>1586.97</v>
      </c>
      <c r="M1898">
        <f>6322.87</f>
        <v>6322.87</v>
      </c>
      <c r="N1898">
        <f>288.506</f>
        <v>288.50599999999997</v>
      </c>
      <c r="O1898">
        <f>2389.33</f>
        <v>2389.33</v>
      </c>
      <c r="P1898">
        <f>197.7</f>
        <v>197.7</v>
      </c>
      <c r="Q1898">
        <f>1915.46</f>
        <v>1915.46</v>
      </c>
      <c r="R1898">
        <f>3853.18</f>
        <v>3853.18</v>
      </c>
      <c r="S1898">
        <f>1911.34</f>
        <v>1911.34</v>
      </c>
      <c r="T1898">
        <f>3715.186</f>
        <v>3715.1860000000001</v>
      </c>
      <c r="U1898">
        <f>53392.86</f>
        <v>53392.86</v>
      </c>
      <c r="V1898">
        <f>323.96</f>
        <v>323.95999999999998</v>
      </c>
    </row>
    <row r="1899" spans="1:22" x14ac:dyDescent="0.2">
      <c r="A1899" s="1">
        <v>42450</v>
      </c>
      <c r="B1899">
        <f>2739.54</f>
        <v>2739.54</v>
      </c>
      <c r="C1899">
        <f>7383.13</f>
        <v>7383.13</v>
      </c>
      <c r="D1899">
        <f>4897.79</f>
        <v>4897.79</v>
      </c>
      <c r="E1899">
        <f>1717.227</f>
        <v>1717.2270000000001</v>
      </c>
      <c r="F1899">
        <f>1642.41</f>
        <v>1642.41</v>
      </c>
      <c r="G1899">
        <f>7122.542</f>
        <v>7122.5420000000004</v>
      </c>
      <c r="H1899">
        <f>2586.01</f>
        <v>2586.0100000000002</v>
      </c>
      <c r="I1899">
        <f>7955.726</f>
        <v>7955.7259999999997</v>
      </c>
      <c r="J1899">
        <f>2948.81</f>
        <v>2948.81</v>
      </c>
      <c r="K1899">
        <f>7985.71</f>
        <v>7985.71</v>
      </c>
      <c r="L1899">
        <f>1591.23</f>
        <v>1591.23</v>
      </c>
      <c r="M1899">
        <f>6322.65</f>
        <v>6322.65</v>
      </c>
      <c r="N1899">
        <f>290</f>
        <v>290</v>
      </c>
      <c r="O1899">
        <f>2392.62</f>
        <v>2392.62</v>
      </c>
      <c r="P1899" t="e">
        <f>NA()</f>
        <v>#N/A</v>
      </c>
      <c r="Q1899">
        <f>1915.21</f>
        <v>1915.21</v>
      </c>
      <c r="R1899">
        <f>3855.97</f>
        <v>3855.97</v>
      </c>
      <c r="S1899" t="e">
        <f>NA()</f>
        <v>#N/A</v>
      </c>
      <c r="T1899" t="e">
        <f>NA()</f>
        <v>#N/A</v>
      </c>
      <c r="U1899" t="e">
        <f>NA()</f>
        <v>#N/A</v>
      </c>
      <c r="V1899" t="e">
        <f>NA()</f>
        <v>#N/A</v>
      </c>
    </row>
    <row r="1900" spans="1:22" x14ac:dyDescent="0.2">
      <c r="A1900" s="1">
        <v>42447</v>
      </c>
      <c r="B1900">
        <f>2744.15</f>
        <v>2744.15</v>
      </c>
      <c r="C1900">
        <f>7377.92</f>
        <v>7377.92</v>
      </c>
      <c r="D1900">
        <f>4901.79</f>
        <v>4901.79</v>
      </c>
      <c r="E1900">
        <f>1712.39</f>
        <v>1712.39</v>
      </c>
      <c r="F1900">
        <f>1656.75</f>
        <v>1656.75</v>
      </c>
      <c r="G1900">
        <f>7183.553</f>
        <v>7183.5529999999999</v>
      </c>
      <c r="H1900">
        <f>2591.11</f>
        <v>2591.11</v>
      </c>
      <c r="I1900">
        <f>7982.322</f>
        <v>7982.3220000000001</v>
      </c>
      <c r="J1900">
        <f>2946.58</f>
        <v>2946.58</v>
      </c>
      <c r="K1900">
        <f>7977.13</f>
        <v>7977.13</v>
      </c>
      <c r="L1900">
        <f>1594.7</f>
        <v>1594.7</v>
      </c>
      <c r="M1900">
        <f>6329.09</f>
        <v>6329.09</v>
      </c>
      <c r="N1900">
        <f>291.215</f>
        <v>291.21499999999997</v>
      </c>
      <c r="O1900">
        <f>2398.39</f>
        <v>2398.39</v>
      </c>
      <c r="P1900">
        <f>194.37</f>
        <v>194.37</v>
      </c>
      <c r="Q1900">
        <f>1920.21</f>
        <v>1920.21</v>
      </c>
      <c r="R1900">
        <f>3852.15</f>
        <v>3852.15</v>
      </c>
      <c r="S1900">
        <f>1876.62</f>
        <v>1876.62</v>
      </c>
      <c r="T1900">
        <f>3715.291</f>
        <v>3715.2910000000002</v>
      </c>
      <c r="U1900">
        <f>53824.28</f>
        <v>53824.28</v>
      </c>
      <c r="V1900">
        <f>325.3</f>
        <v>325.3</v>
      </c>
    </row>
    <row r="1901" spans="1:22" x14ac:dyDescent="0.2">
      <c r="A1901" s="1">
        <v>42446</v>
      </c>
      <c r="B1901">
        <f>2750.14</f>
        <v>2750.14</v>
      </c>
      <c r="C1901">
        <f>7297.52</f>
        <v>7297.52</v>
      </c>
      <c r="D1901">
        <f>4910.88</f>
        <v>4910.88</v>
      </c>
      <c r="E1901">
        <f>1691.901</f>
        <v>1691.9010000000001</v>
      </c>
      <c r="F1901">
        <f>1665.75</f>
        <v>1665.75</v>
      </c>
      <c r="G1901">
        <f>7184.616</f>
        <v>7184.616</v>
      </c>
      <c r="H1901">
        <f>2607.99</f>
        <v>2607.9899999999998</v>
      </c>
      <c r="I1901">
        <f>7971.85</f>
        <v>7971.85</v>
      </c>
      <c r="J1901">
        <f>2942.23</f>
        <v>2942.23</v>
      </c>
      <c r="K1901">
        <f>7941.53</f>
        <v>7941.53</v>
      </c>
      <c r="L1901">
        <f>1595.73</f>
        <v>1595.73</v>
      </c>
      <c r="M1901">
        <f>6318.51</f>
        <v>6318.51</v>
      </c>
      <c r="N1901">
        <f>288.875</f>
        <v>288.875</v>
      </c>
      <c r="O1901">
        <f>2390.38</f>
        <v>2390.38</v>
      </c>
      <c r="P1901">
        <f>195.36</f>
        <v>195.36</v>
      </c>
      <c r="Q1901">
        <f>1914.54</f>
        <v>1914.54</v>
      </c>
      <c r="R1901">
        <f>3835.26</f>
        <v>3835.26</v>
      </c>
      <c r="S1901">
        <f>1896.04</f>
        <v>1896.04</v>
      </c>
      <c r="T1901">
        <f>3661.36</f>
        <v>3661.36</v>
      </c>
      <c r="U1901">
        <f>53190.56</f>
        <v>53190.559999999998</v>
      </c>
      <c r="V1901">
        <f>320.99</f>
        <v>320.99</v>
      </c>
    </row>
    <row r="1902" spans="1:22" x14ac:dyDescent="0.2">
      <c r="A1902" s="1">
        <v>42445</v>
      </c>
      <c r="B1902">
        <f>2720.24</f>
        <v>2720.24</v>
      </c>
      <c r="C1902">
        <f>7047.58</f>
        <v>7047.58</v>
      </c>
      <c r="D1902">
        <f>4884.12</f>
        <v>4884.12</v>
      </c>
      <c r="E1902">
        <f>1638.408</f>
        <v>1638.4079999999999</v>
      </c>
      <c r="F1902">
        <f>1595.16</f>
        <v>1595.16</v>
      </c>
      <c r="G1902">
        <f>6949.553</f>
        <v>6949.5529999999999</v>
      </c>
      <c r="H1902">
        <f>2554.22</f>
        <v>2554.2199999999998</v>
      </c>
      <c r="I1902">
        <f>7842.638</f>
        <v>7842.6379999999999</v>
      </c>
      <c r="J1902">
        <f>2915.73</f>
        <v>2915.73</v>
      </c>
      <c r="K1902">
        <f>7890.05</f>
        <v>7890.05</v>
      </c>
      <c r="L1902">
        <f>1567</f>
        <v>1567</v>
      </c>
      <c r="M1902">
        <f>6234.75</f>
        <v>6234.75</v>
      </c>
      <c r="N1902">
        <f>287.08</f>
        <v>287.08</v>
      </c>
      <c r="O1902">
        <f>2391.55</f>
        <v>2391.5500000000002</v>
      </c>
      <c r="P1902">
        <f>196.09</f>
        <v>196.09</v>
      </c>
      <c r="Q1902">
        <f>1889.91</f>
        <v>1889.91</v>
      </c>
      <c r="R1902">
        <f>3810.09</f>
        <v>3810.09</v>
      </c>
      <c r="S1902">
        <f>1898.18</f>
        <v>1898.18</v>
      </c>
      <c r="T1902">
        <f>3567.615</f>
        <v>3567.6149999999998</v>
      </c>
      <c r="U1902">
        <f>52685.7</f>
        <v>52685.7</v>
      </c>
      <c r="V1902">
        <f>309.85</f>
        <v>309.85000000000002</v>
      </c>
    </row>
    <row r="1903" spans="1:22" x14ac:dyDescent="0.2">
      <c r="A1903" s="1">
        <v>42444</v>
      </c>
      <c r="B1903">
        <f>2700.36</f>
        <v>2700.36</v>
      </c>
      <c r="C1903">
        <f>7035.02</f>
        <v>7035.02</v>
      </c>
      <c r="D1903">
        <f>4856.03</f>
        <v>4856.03</v>
      </c>
      <c r="E1903">
        <f>1637.285</f>
        <v>1637.2850000000001</v>
      </c>
      <c r="F1903">
        <f>1588.59</f>
        <v>1588.59</v>
      </c>
      <c r="G1903">
        <f>6944.29</f>
        <v>6944.29</v>
      </c>
      <c r="H1903">
        <f>2592.54</f>
        <v>2592.54</v>
      </c>
      <c r="I1903">
        <f>7876.494</f>
        <v>7876.4939999999997</v>
      </c>
      <c r="J1903">
        <f>2901.55</f>
        <v>2901.55</v>
      </c>
      <c r="K1903">
        <f>7844.07</f>
        <v>7844.07</v>
      </c>
      <c r="L1903">
        <f>1564.44</f>
        <v>1564.44</v>
      </c>
      <c r="M1903">
        <f>6225.4</f>
        <v>6225.4</v>
      </c>
      <c r="N1903">
        <f>287.353</f>
        <v>287.35300000000001</v>
      </c>
      <c r="O1903">
        <f>2390.5</f>
        <v>2390.5</v>
      </c>
      <c r="P1903">
        <f>197.73</f>
        <v>197.73</v>
      </c>
      <c r="Q1903">
        <f>1875.17</f>
        <v>1875.17</v>
      </c>
      <c r="R1903">
        <f>3788.62</f>
        <v>3788.62</v>
      </c>
      <c r="S1903">
        <f>1914.28</f>
        <v>1914.28</v>
      </c>
      <c r="T1903">
        <f>3578.157</f>
        <v>3578.1570000000002</v>
      </c>
      <c r="U1903">
        <f>52253.79</f>
        <v>52253.79</v>
      </c>
      <c r="V1903">
        <f>308.47</f>
        <v>308.47000000000003</v>
      </c>
    </row>
    <row r="1904" spans="1:22" x14ac:dyDescent="0.2">
      <c r="A1904" s="1">
        <v>42443</v>
      </c>
      <c r="B1904">
        <f>2724</f>
        <v>2724</v>
      </c>
      <c r="C1904">
        <f>7164.2</f>
        <v>7164.2</v>
      </c>
      <c r="D1904">
        <f>4883.39</f>
        <v>4883.3900000000003</v>
      </c>
      <c r="E1904">
        <f>1663.547</f>
        <v>1663.547</v>
      </c>
      <c r="F1904">
        <f>1636.68</f>
        <v>1636.68</v>
      </c>
      <c r="G1904">
        <f>7063.453</f>
        <v>7063.4530000000004</v>
      </c>
      <c r="H1904">
        <f>2595.95</f>
        <v>2595.9499999999998</v>
      </c>
      <c r="I1904">
        <f>7942.867</f>
        <v>7942.8670000000002</v>
      </c>
      <c r="J1904">
        <f>2904.51</f>
        <v>2904.51</v>
      </c>
      <c r="K1904">
        <f>7861.62</f>
        <v>7861.62</v>
      </c>
      <c r="L1904">
        <f>1572.14</f>
        <v>1572.14</v>
      </c>
      <c r="M1904">
        <f>6257.35</f>
        <v>6257.35</v>
      </c>
      <c r="N1904">
        <f>291.674</f>
        <v>291.67399999999998</v>
      </c>
      <c r="O1904">
        <f>2419.16</f>
        <v>2419.16</v>
      </c>
      <c r="P1904">
        <f>198.31</f>
        <v>198.31</v>
      </c>
      <c r="Q1904">
        <f>1882.11</f>
        <v>1882.11</v>
      </c>
      <c r="R1904">
        <f>3795.53</f>
        <v>3795.53</v>
      </c>
      <c r="S1904">
        <f>1925.26</f>
        <v>1925.26</v>
      </c>
      <c r="T1904">
        <f>3651.284</f>
        <v>3651.2840000000001</v>
      </c>
      <c r="U1904">
        <f>52471.72</f>
        <v>52471.72</v>
      </c>
      <c r="V1904">
        <f>313.13</f>
        <v>313.13</v>
      </c>
    </row>
    <row r="1905" spans="1:22" x14ac:dyDescent="0.2">
      <c r="A1905" s="1">
        <v>42440</v>
      </c>
      <c r="B1905">
        <f>2710.43</f>
        <v>2710.43</v>
      </c>
      <c r="C1905">
        <f>7161.16</f>
        <v>7161.16</v>
      </c>
      <c r="D1905">
        <f>4855.88</f>
        <v>4855.88</v>
      </c>
      <c r="E1905">
        <f>1658.044</f>
        <v>1658.0440000000001</v>
      </c>
      <c r="F1905">
        <f>1638.26</f>
        <v>1638.26</v>
      </c>
      <c r="G1905">
        <f>7058.57</f>
        <v>7058.57</v>
      </c>
      <c r="H1905">
        <f>2579.34</f>
        <v>2579.34</v>
      </c>
      <c r="I1905">
        <f>7919.408</f>
        <v>7919.4080000000004</v>
      </c>
      <c r="J1905">
        <f>2911.37</f>
        <v>2911.37</v>
      </c>
      <c r="K1905">
        <f>7871.61</f>
        <v>7871.61</v>
      </c>
      <c r="L1905">
        <f>1572.48</f>
        <v>1572.48</v>
      </c>
      <c r="M1905">
        <f>6251.99</f>
        <v>6251.99</v>
      </c>
      <c r="N1905">
        <f>288.595</f>
        <v>288.59500000000003</v>
      </c>
      <c r="O1905">
        <f>2402.65</f>
        <v>2402.65</v>
      </c>
      <c r="P1905">
        <f>196.53</f>
        <v>196.53</v>
      </c>
      <c r="Q1905">
        <f>1885.09</f>
        <v>1885.09</v>
      </c>
      <c r="R1905">
        <f>3800.07</f>
        <v>3800.07</v>
      </c>
      <c r="S1905">
        <f>1896.48</f>
        <v>1896.48</v>
      </c>
      <c r="T1905">
        <f>3625.518</f>
        <v>3625.518</v>
      </c>
      <c r="U1905">
        <f>51739.83</f>
        <v>51739.83</v>
      </c>
      <c r="V1905">
        <f>310.19</f>
        <v>310.19</v>
      </c>
    </row>
    <row r="1906" spans="1:22" x14ac:dyDescent="0.2">
      <c r="A1906" s="1">
        <v>42439</v>
      </c>
      <c r="B1906">
        <f>2664.02</f>
        <v>2664.02</v>
      </c>
      <c r="C1906">
        <f>7102.76</f>
        <v>7102.76</v>
      </c>
      <c r="D1906">
        <f>4774.35</f>
        <v>4774.3500000000004</v>
      </c>
      <c r="E1906">
        <f>1636.994</f>
        <v>1636.9939999999999</v>
      </c>
      <c r="F1906">
        <f>1599.07</f>
        <v>1599.07</v>
      </c>
      <c r="G1906">
        <f>6899.853</f>
        <v>6899.8530000000001</v>
      </c>
      <c r="H1906">
        <f>2574.76</f>
        <v>2574.7600000000002</v>
      </c>
      <c r="I1906">
        <f>7694.075</f>
        <v>7694.0749999999998</v>
      </c>
      <c r="J1906">
        <f>2881.84</f>
        <v>2881.84</v>
      </c>
      <c r="K1906">
        <f>7739.47</f>
        <v>7739.47</v>
      </c>
      <c r="L1906">
        <f>1550.21</f>
        <v>1550.21</v>
      </c>
      <c r="M1906">
        <f>6139.04</f>
        <v>6139.04</v>
      </c>
      <c r="N1906">
        <f>282.885</f>
        <v>282.88499999999999</v>
      </c>
      <c r="O1906">
        <f>2339.7</f>
        <v>2339.6999999999998</v>
      </c>
      <c r="P1906">
        <f>195.69</f>
        <v>195.69</v>
      </c>
      <c r="Q1906">
        <f>1860.37</f>
        <v>1860.37</v>
      </c>
      <c r="R1906">
        <f>3737.74</f>
        <v>3737.74</v>
      </c>
      <c r="S1906">
        <f>1886.5</f>
        <v>1886.5</v>
      </c>
      <c r="T1906">
        <f>3643.095</f>
        <v>3643.0949999999998</v>
      </c>
      <c r="U1906">
        <f>51533.78</f>
        <v>51533.78</v>
      </c>
      <c r="V1906">
        <f>312.34</f>
        <v>312.33999999999997</v>
      </c>
    </row>
    <row r="1907" spans="1:22" x14ac:dyDescent="0.2">
      <c r="A1907" s="1">
        <v>42438</v>
      </c>
      <c r="B1907">
        <f>2711.7</f>
        <v>2711.7</v>
      </c>
      <c r="C1907">
        <f>7121.05</f>
        <v>7121.05</v>
      </c>
      <c r="D1907">
        <f>4856.79</f>
        <v>4856.79</v>
      </c>
      <c r="E1907">
        <f>1630.479</f>
        <v>1630.479</v>
      </c>
      <c r="F1907">
        <f>1620.57</f>
        <v>1620.57</v>
      </c>
      <c r="G1907">
        <f>6979.131</f>
        <v>6979.1310000000003</v>
      </c>
      <c r="H1907">
        <f>2558.41</f>
        <v>2558.41</v>
      </c>
      <c r="I1907">
        <f>7709.336</f>
        <v>7709.3360000000002</v>
      </c>
      <c r="J1907">
        <f>2879.79</f>
        <v>2879.79</v>
      </c>
      <c r="K1907">
        <f>7739.98</f>
        <v>7739.98</v>
      </c>
      <c r="L1907">
        <f>1553.8</f>
        <v>1553.8</v>
      </c>
      <c r="M1907">
        <f>6143.44</f>
        <v>6143.44</v>
      </c>
      <c r="N1907">
        <f>288.604</f>
        <v>288.60399999999998</v>
      </c>
      <c r="O1907">
        <f>2380.94</f>
        <v>2380.94</v>
      </c>
      <c r="P1907">
        <f>192.89</f>
        <v>192.89</v>
      </c>
      <c r="Q1907">
        <f>1859.93</f>
        <v>1859.93</v>
      </c>
      <c r="R1907">
        <f>3736.92</f>
        <v>3736.92</v>
      </c>
      <c r="S1907">
        <f>1858.83</f>
        <v>1858.83</v>
      </c>
      <c r="T1907">
        <f>3629.853</f>
        <v>3629.8530000000001</v>
      </c>
      <c r="U1907">
        <f>51484.46</f>
        <v>51484.46</v>
      </c>
      <c r="V1907">
        <f>312.25</f>
        <v>312.25</v>
      </c>
    </row>
    <row r="1908" spans="1:22" x14ac:dyDescent="0.2">
      <c r="A1908" s="1">
        <v>42437</v>
      </c>
      <c r="B1908">
        <f>2712.34</f>
        <v>2712.34</v>
      </c>
      <c r="C1908">
        <f>7134.27</f>
        <v>7134.27</v>
      </c>
      <c r="D1908">
        <f>4840.29</f>
        <v>4840.29</v>
      </c>
      <c r="E1908">
        <f>1631.222</f>
        <v>1631.222</v>
      </c>
      <c r="F1908">
        <f>1610.81</f>
        <v>1610.81</v>
      </c>
      <c r="G1908">
        <f>6950.661</f>
        <v>6950.6610000000001</v>
      </c>
      <c r="H1908">
        <f>2583.93</f>
        <v>2583.9299999999998</v>
      </c>
      <c r="I1908">
        <f>7708.832</f>
        <v>7708.8320000000003</v>
      </c>
      <c r="J1908">
        <f>2857.64</f>
        <v>2857.64</v>
      </c>
      <c r="K1908">
        <f>7700.75</f>
        <v>7700.75</v>
      </c>
      <c r="L1908">
        <f>1544.72</f>
        <v>1544.72</v>
      </c>
      <c r="M1908">
        <f>6124.25</f>
        <v>6124.25</v>
      </c>
      <c r="N1908">
        <f>287.707</f>
        <v>287.70699999999999</v>
      </c>
      <c r="O1908">
        <f>2371.26</f>
        <v>2371.2600000000002</v>
      </c>
      <c r="P1908">
        <f>194.52</f>
        <v>194.52</v>
      </c>
      <c r="Q1908">
        <f>1858.22</f>
        <v>1858.22</v>
      </c>
      <c r="R1908">
        <f>3717.49</f>
        <v>3717.49</v>
      </c>
      <c r="S1908">
        <f>1880.3</f>
        <v>1880.3</v>
      </c>
      <c r="T1908">
        <f>3705.746</f>
        <v>3705.7460000000001</v>
      </c>
      <c r="U1908">
        <f>52247.84</f>
        <v>52247.839999999997</v>
      </c>
      <c r="V1908">
        <f>320.42</f>
        <v>320.42</v>
      </c>
    </row>
    <row r="1909" spans="1:22" x14ac:dyDescent="0.2">
      <c r="A1909" s="1">
        <v>42436</v>
      </c>
      <c r="B1909">
        <f>2751.73</f>
        <v>2751.73</v>
      </c>
      <c r="C1909">
        <f>7186.37</f>
        <v>7186.37</v>
      </c>
      <c r="D1909">
        <f>4885.3</f>
        <v>4885.3</v>
      </c>
      <c r="E1909">
        <f>1645.782</f>
        <v>1645.7819999999999</v>
      </c>
      <c r="F1909">
        <f>1642.09</f>
        <v>1642.09</v>
      </c>
      <c r="G1909">
        <f>7015.831</f>
        <v>7015.8310000000001</v>
      </c>
      <c r="H1909">
        <f>2580.25</f>
        <v>2580.25</v>
      </c>
      <c r="I1909">
        <f>7717.296</f>
        <v>7717.2960000000003</v>
      </c>
      <c r="J1909">
        <f>2875.58</f>
        <v>2875.58</v>
      </c>
      <c r="K1909">
        <f>7789.53</f>
        <v>7789.53</v>
      </c>
      <c r="L1909">
        <f>1552.97</f>
        <v>1552.97</v>
      </c>
      <c r="M1909">
        <f>6177.06</f>
        <v>6177.06</v>
      </c>
      <c r="N1909">
        <f>290.616</f>
        <v>290.61599999999999</v>
      </c>
      <c r="O1909">
        <f>2393.33</f>
        <v>2393.33</v>
      </c>
      <c r="P1909">
        <f>196.37</f>
        <v>196.37</v>
      </c>
      <c r="Q1909">
        <f>1869.42</f>
        <v>1869.42</v>
      </c>
      <c r="R1909">
        <f>3759.05</f>
        <v>3759.05</v>
      </c>
      <c r="S1909">
        <f>1900.08</f>
        <v>1900.08</v>
      </c>
      <c r="T1909">
        <f>3749.652</f>
        <v>3749.652</v>
      </c>
      <c r="U1909">
        <f>52673.79</f>
        <v>52673.79</v>
      </c>
      <c r="V1909">
        <f>323.78</f>
        <v>323.77999999999997</v>
      </c>
    </row>
    <row r="1910" spans="1:22" x14ac:dyDescent="0.2">
      <c r="A1910" s="1">
        <v>42433</v>
      </c>
      <c r="B1910">
        <f>2752.4</f>
        <v>2752.4</v>
      </c>
      <c r="C1910">
        <f>7093.48</f>
        <v>7093.48</v>
      </c>
      <c r="D1910">
        <f>4898.76</f>
        <v>4898.76</v>
      </c>
      <c r="E1910">
        <f>1636.914</f>
        <v>1636.914</v>
      </c>
      <c r="F1910">
        <f>1635.51</f>
        <v>1635.51</v>
      </c>
      <c r="G1910">
        <f>7038.76</f>
        <v>7038.76</v>
      </c>
      <c r="H1910">
        <f>2584.99</f>
        <v>2584.9899999999998</v>
      </c>
      <c r="I1910">
        <f>7757.313</f>
        <v>7757.3130000000001</v>
      </c>
      <c r="J1910">
        <f>2862.96</f>
        <v>2862.96</v>
      </c>
      <c r="K1910">
        <f>7781.84</f>
        <v>7781.84</v>
      </c>
      <c r="L1910">
        <f>1547.43</f>
        <v>1547.43</v>
      </c>
      <c r="M1910">
        <f>6178.27</f>
        <v>6178.27</v>
      </c>
      <c r="N1910">
        <f>290.595</f>
        <v>290.59500000000003</v>
      </c>
      <c r="O1910">
        <f>2398.77</f>
        <v>2398.77</v>
      </c>
      <c r="P1910">
        <f>197.83</f>
        <v>197.83</v>
      </c>
      <c r="Q1910">
        <f>1862.64</f>
        <v>1862.64</v>
      </c>
      <c r="R1910">
        <f>3755.47</f>
        <v>3755.47</v>
      </c>
      <c r="S1910">
        <f>1918.75</f>
        <v>1918.75</v>
      </c>
      <c r="T1910">
        <f>3639.146</f>
        <v>3639.1460000000002</v>
      </c>
      <c r="U1910">
        <f>52200.71</f>
        <v>52200.71</v>
      </c>
      <c r="V1910">
        <f>315.41</f>
        <v>315.41000000000003</v>
      </c>
    </row>
    <row r="1911" spans="1:22" x14ac:dyDescent="0.2">
      <c r="A1911" s="1">
        <v>42432</v>
      </c>
      <c r="B1911">
        <f>2715.73</f>
        <v>2715.73</v>
      </c>
      <c r="C1911">
        <f>6983.59</f>
        <v>6983.59</v>
      </c>
      <c r="D1911">
        <f>4844.26</f>
        <v>4844.26</v>
      </c>
      <c r="E1911">
        <f>1614.578</f>
        <v>1614.578</v>
      </c>
      <c r="F1911">
        <f>1595.11</f>
        <v>1595.11</v>
      </c>
      <c r="G1911">
        <f>6930.695</f>
        <v>6930.6949999999997</v>
      </c>
      <c r="H1911">
        <f>2594.12</f>
        <v>2594.12</v>
      </c>
      <c r="I1911">
        <f>7655.049</f>
        <v>7655.049</v>
      </c>
      <c r="J1911">
        <f>2852.92</f>
        <v>2852.92</v>
      </c>
      <c r="K1911">
        <f>7756.99</f>
        <v>7756.99</v>
      </c>
      <c r="L1911">
        <f>1535.15</f>
        <v>1535.15</v>
      </c>
      <c r="M1911">
        <f>6140.54</f>
        <v>6140.54</v>
      </c>
      <c r="N1911">
        <f>287.61</f>
        <v>287.61</v>
      </c>
      <c r="O1911">
        <f>2379.62</f>
        <v>2379.62</v>
      </c>
      <c r="P1911">
        <f>197.1</f>
        <v>197.1</v>
      </c>
      <c r="Q1911">
        <f>1852.85</f>
        <v>1852.85</v>
      </c>
      <c r="R1911">
        <f>3743.02</f>
        <v>3743.02</v>
      </c>
      <c r="S1911">
        <f>1909.96</f>
        <v>1909.96</v>
      </c>
      <c r="T1911">
        <f>3599.412</f>
        <v>3599.4119999999998</v>
      </c>
      <c r="U1911">
        <f>51787.01</f>
        <v>51787.01</v>
      </c>
      <c r="V1911">
        <f>312.3</f>
        <v>312.3</v>
      </c>
    </row>
    <row r="1912" spans="1:22" x14ac:dyDescent="0.2">
      <c r="A1912" s="1">
        <v>42431</v>
      </c>
      <c r="B1912">
        <f>2700.45</f>
        <v>2700.45</v>
      </c>
      <c r="C1912">
        <f>6864.49</f>
        <v>6864.49</v>
      </c>
      <c r="D1912">
        <f>4848.12</f>
        <v>4848.12</v>
      </c>
      <c r="E1912">
        <f>1591.557</f>
        <v>1591.557</v>
      </c>
      <c r="F1912">
        <f>1579.1</f>
        <v>1579.1</v>
      </c>
      <c r="G1912">
        <f>6891.001</f>
        <v>6891.0010000000002</v>
      </c>
      <c r="H1912">
        <f>2548.16</f>
        <v>2548.16</v>
      </c>
      <c r="I1912">
        <f>7602.908</f>
        <v>7602.9080000000004</v>
      </c>
      <c r="J1912">
        <f>2844.82</f>
        <v>2844.82</v>
      </c>
      <c r="K1912">
        <f>7726.95</f>
        <v>7726.95</v>
      </c>
      <c r="L1912">
        <f>1526</f>
        <v>1526</v>
      </c>
      <c r="M1912">
        <f>6098.99</f>
        <v>6098.99</v>
      </c>
      <c r="N1912">
        <f>288.838</f>
        <v>288.83800000000002</v>
      </c>
      <c r="O1912">
        <f>2386.47</f>
        <v>2386.4699999999998</v>
      </c>
      <c r="P1912">
        <f>195.61</f>
        <v>195.61</v>
      </c>
      <c r="Q1912">
        <f>1846.18</f>
        <v>1846.18</v>
      </c>
      <c r="R1912">
        <f>3729.59</f>
        <v>3729.59</v>
      </c>
      <c r="S1912">
        <f>1882.84</f>
        <v>1882.84</v>
      </c>
      <c r="T1912">
        <f>3515.06</f>
        <v>3515.06</v>
      </c>
      <c r="U1912">
        <f>50966.93</f>
        <v>50966.93</v>
      </c>
      <c r="V1912">
        <f>304.65</f>
        <v>304.64999999999998</v>
      </c>
    </row>
    <row r="1913" spans="1:22" x14ac:dyDescent="0.2">
      <c r="A1913" s="1">
        <v>42430</v>
      </c>
      <c r="B1913">
        <f>2691.09</f>
        <v>2691.09</v>
      </c>
      <c r="C1913">
        <f>6747.52</f>
        <v>6747.52</v>
      </c>
      <c r="D1913">
        <f>4852.71</f>
        <v>4852.71</v>
      </c>
      <c r="E1913">
        <f>1557.731</f>
        <v>1557.731</v>
      </c>
      <c r="F1913">
        <f>1558.08</f>
        <v>1558.08</v>
      </c>
      <c r="G1913">
        <f>6824.931</f>
        <v>6824.9309999999996</v>
      </c>
      <c r="H1913">
        <f>2458.8</f>
        <v>2458.8000000000002</v>
      </c>
      <c r="I1913">
        <f>7586.835</f>
        <v>7586.835</v>
      </c>
      <c r="J1913">
        <f>2828.29</f>
        <v>2828.29</v>
      </c>
      <c r="K1913">
        <f>7692.57</f>
        <v>7692.57</v>
      </c>
      <c r="L1913">
        <f>1515.58</f>
        <v>1515.58</v>
      </c>
      <c r="M1913">
        <f>6049.11</f>
        <v>6049.11</v>
      </c>
      <c r="N1913">
        <f>288.061</f>
        <v>288.06099999999998</v>
      </c>
      <c r="O1913">
        <f>2371.71</f>
        <v>2371.71</v>
      </c>
      <c r="P1913">
        <f>190.89</f>
        <v>190.89</v>
      </c>
      <c r="Q1913">
        <f>1841.49</f>
        <v>1841.49</v>
      </c>
      <c r="R1913">
        <f>3713.7</f>
        <v>3713.7</v>
      </c>
      <c r="S1913">
        <f>1814.79</f>
        <v>1814.79</v>
      </c>
      <c r="T1913">
        <f>3459.769</f>
        <v>3459.7689999999998</v>
      </c>
      <c r="U1913">
        <f>50315.09</f>
        <v>50315.09</v>
      </c>
      <c r="V1913">
        <f>301.05</f>
        <v>301.05</v>
      </c>
    </row>
    <row r="1914" spans="1:22" x14ac:dyDescent="0.2">
      <c r="A1914" s="1">
        <v>42429</v>
      </c>
      <c r="B1914">
        <f>2657.43</f>
        <v>2657.43</v>
      </c>
      <c r="C1914">
        <f>6625.75</f>
        <v>6625.75</v>
      </c>
      <c r="D1914">
        <f>4808.71</f>
        <v>4808.71</v>
      </c>
      <c r="E1914">
        <f>1531.634</f>
        <v>1531.634</v>
      </c>
      <c r="F1914">
        <f>1541.31</f>
        <v>1541.31</v>
      </c>
      <c r="G1914">
        <f>6770.562</f>
        <v>6770.5619999999999</v>
      </c>
      <c r="H1914">
        <f>2469.63</f>
        <v>2469.63</v>
      </c>
      <c r="I1914">
        <f>7467.123</f>
        <v>7467.1229999999996</v>
      </c>
      <c r="J1914">
        <f>2779.88</f>
        <v>2779.88</v>
      </c>
      <c r="K1914">
        <f>7512.5</f>
        <v>7512.5</v>
      </c>
      <c r="L1914">
        <f>1495.36</f>
        <v>1495.36</v>
      </c>
      <c r="M1914">
        <f>5940.8</f>
        <v>5940.8</v>
      </c>
      <c r="N1914">
        <f>283.88</f>
        <v>283.88</v>
      </c>
      <c r="O1914">
        <f>2335.52</f>
        <v>2335.52</v>
      </c>
      <c r="P1914">
        <f>189.87</f>
        <v>189.87</v>
      </c>
      <c r="Q1914">
        <f>1806.86</f>
        <v>1806.86</v>
      </c>
      <c r="R1914">
        <f>3627.06</f>
        <v>3627.06</v>
      </c>
      <c r="S1914">
        <f>1810.63</f>
        <v>1810.63</v>
      </c>
      <c r="T1914">
        <f>3376.521</f>
        <v>3376.5210000000002</v>
      </c>
      <c r="U1914">
        <f>49415.31</f>
        <v>49415.31</v>
      </c>
      <c r="V1914">
        <f>294.46</f>
        <v>294.45999999999998</v>
      </c>
    </row>
    <row r="1915" spans="1:22" x14ac:dyDescent="0.2">
      <c r="A1915" s="1">
        <v>42426</v>
      </c>
      <c r="B1915">
        <f>2640.07</f>
        <v>2640.07</v>
      </c>
      <c r="C1915">
        <f>6623.1</f>
        <v>6623.1</v>
      </c>
      <c r="D1915">
        <f>4807.86</f>
        <v>4807.8599999999997</v>
      </c>
      <c r="E1915">
        <f>1530.932</f>
        <v>1530.932</v>
      </c>
      <c r="F1915">
        <f>1530.74</f>
        <v>1530.74</v>
      </c>
      <c r="G1915">
        <f>6731.515</f>
        <v>6731.5150000000003</v>
      </c>
      <c r="H1915">
        <f>2464.99</f>
        <v>2464.9899999999998</v>
      </c>
      <c r="I1915">
        <f>7468.587</f>
        <v>7468.5870000000004</v>
      </c>
      <c r="J1915">
        <f>2797.47</f>
        <v>2797.47</v>
      </c>
      <c r="K1915">
        <f>7573.31</f>
        <v>7573.31</v>
      </c>
      <c r="L1915">
        <f>1500.41</f>
        <v>1500.41</v>
      </c>
      <c r="M1915">
        <f>5968.13</f>
        <v>5968.13</v>
      </c>
      <c r="N1915">
        <f>281.363</f>
        <v>281.363</v>
      </c>
      <c r="O1915">
        <f>2319.64</f>
        <v>2319.64</v>
      </c>
      <c r="P1915">
        <f>192.4</f>
        <v>192.4</v>
      </c>
      <c r="Q1915">
        <f>1823.18</f>
        <v>1823.18</v>
      </c>
      <c r="R1915">
        <f>3656.42</f>
        <v>3656.42</v>
      </c>
      <c r="S1915">
        <f>1829.35</f>
        <v>1829.35</v>
      </c>
      <c r="T1915">
        <f>3355.491</f>
        <v>3355.491</v>
      </c>
      <c r="U1915">
        <f>49429.4</f>
        <v>49429.4</v>
      </c>
      <c r="V1915">
        <f>292.89</f>
        <v>292.89</v>
      </c>
    </row>
    <row r="1916" spans="1:22" x14ac:dyDescent="0.2">
      <c r="A1916" s="1">
        <v>42425</v>
      </c>
      <c r="B1916">
        <f>2598.96</f>
        <v>2598.96</v>
      </c>
      <c r="C1916">
        <f>6585.33</f>
        <v>6585.33</v>
      </c>
      <c r="D1916">
        <f>4742.24</f>
        <v>4742.24</v>
      </c>
      <c r="E1916">
        <f>1521.278</f>
        <v>1521.278</v>
      </c>
      <c r="F1916">
        <f>1511.54</f>
        <v>1511.54</v>
      </c>
      <c r="G1916">
        <f>6676.38</f>
        <v>6676.38</v>
      </c>
      <c r="H1916">
        <f>2481.65</f>
        <v>2481.65</v>
      </c>
      <c r="I1916">
        <f>7431.313</f>
        <v>7431.3130000000001</v>
      </c>
      <c r="J1916">
        <f>2822.17</f>
        <v>2822.17</v>
      </c>
      <c r="K1916">
        <f>7583.29</f>
        <v>7583.29</v>
      </c>
      <c r="L1916">
        <f>1503.32</f>
        <v>1503.32</v>
      </c>
      <c r="M1916">
        <f>5965.43</f>
        <v>5965.43</v>
      </c>
      <c r="N1916">
        <f>277.142</f>
        <v>277.142</v>
      </c>
      <c r="O1916">
        <f>2282.76</f>
        <v>2282.7600000000002</v>
      </c>
      <c r="P1916">
        <f>191.76</f>
        <v>191.76</v>
      </c>
      <c r="Q1916">
        <f>1828.41</f>
        <v>1828.41</v>
      </c>
      <c r="R1916">
        <f>3662.84</f>
        <v>3662.84</v>
      </c>
      <c r="S1916">
        <f>1824.15</f>
        <v>1824.15</v>
      </c>
      <c r="T1916">
        <f>3310.43</f>
        <v>3310.43</v>
      </c>
      <c r="U1916">
        <f>48373.17</f>
        <v>48373.17</v>
      </c>
      <c r="V1916">
        <f>288.94</f>
        <v>288.94</v>
      </c>
    </row>
    <row r="1917" spans="1:22" x14ac:dyDescent="0.2">
      <c r="A1917" s="1">
        <v>42424</v>
      </c>
      <c r="B1917">
        <f>2546.45</f>
        <v>2546.4499999999998</v>
      </c>
      <c r="C1917">
        <f>6564.72</f>
        <v>6564.72</v>
      </c>
      <c r="D1917">
        <f>4622.4</f>
        <v>4622.3999999999996</v>
      </c>
      <c r="E1917">
        <f>1523.505</f>
        <v>1523.5050000000001</v>
      </c>
      <c r="F1917">
        <f>1475.13</f>
        <v>1475.13</v>
      </c>
      <c r="G1917">
        <f>6504.622</f>
        <v>6504.6220000000003</v>
      </c>
      <c r="H1917">
        <f>2488.55</f>
        <v>2488.5500000000002</v>
      </c>
      <c r="I1917">
        <f>7285.85</f>
        <v>7285.85</v>
      </c>
      <c r="J1917">
        <f>2792.3</f>
        <v>2792.3</v>
      </c>
      <c r="K1917">
        <f>7495.75</f>
        <v>7495.75</v>
      </c>
      <c r="L1917">
        <f>1483.99</f>
        <v>1483.99</v>
      </c>
      <c r="M1917">
        <f>5888.99</f>
        <v>5888.99</v>
      </c>
      <c r="N1917">
        <f>272.383</f>
        <v>272.38299999999998</v>
      </c>
      <c r="O1917">
        <f>2235.88</f>
        <v>2235.88</v>
      </c>
      <c r="P1917">
        <f>188.18</f>
        <v>188.18</v>
      </c>
      <c r="Q1917">
        <f>1807.05</f>
        <v>1807.05</v>
      </c>
      <c r="R1917">
        <f>3620.87</f>
        <v>3620.87</v>
      </c>
      <c r="S1917">
        <f>1791.48</f>
        <v>1791.48</v>
      </c>
      <c r="T1917">
        <f>3246.159</f>
        <v>3246.1590000000001</v>
      </c>
      <c r="U1917">
        <f>47995.82</f>
        <v>47995.82</v>
      </c>
      <c r="V1917">
        <f>282.22</f>
        <v>282.22000000000003</v>
      </c>
    </row>
    <row r="1918" spans="1:22" x14ac:dyDescent="0.2">
      <c r="A1918" s="1">
        <v>42423</v>
      </c>
      <c r="B1918">
        <f>2593.39</f>
        <v>2593.39</v>
      </c>
      <c r="C1918">
        <f>6680.73</f>
        <v>6680.73</v>
      </c>
      <c r="D1918">
        <f>4697.35</f>
        <v>4697.3500000000004</v>
      </c>
      <c r="E1918">
        <f>1540.28</f>
        <v>1540.28</v>
      </c>
      <c r="F1918">
        <f>1532.05</f>
        <v>1532.05</v>
      </c>
      <c r="G1918">
        <f>6690.626</f>
        <v>6690.6260000000002</v>
      </c>
      <c r="H1918">
        <f>2491.61</f>
        <v>2491.61</v>
      </c>
      <c r="I1918">
        <f>7447.116</f>
        <v>7447.116</v>
      </c>
      <c r="J1918">
        <f>2779.38</f>
        <v>2779.38</v>
      </c>
      <c r="K1918">
        <f>7462.12</f>
        <v>7462.12</v>
      </c>
      <c r="L1918">
        <f>1495.4</f>
        <v>1495.4</v>
      </c>
      <c r="M1918">
        <f>5911.76</f>
        <v>5911.76</v>
      </c>
      <c r="N1918">
        <f>277.316</f>
        <v>277.31599999999997</v>
      </c>
      <c r="O1918">
        <f>2286.14</f>
        <v>2286.14</v>
      </c>
      <c r="P1918">
        <f>188.05</f>
        <v>188.05</v>
      </c>
      <c r="Q1918">
        <f>1797.64</f>
        <v>1797.64</v>
      </c>
      <c r="R1918">
        <f>3604.68</f>
        <v>3604.68</v>
      </c>
      <c r="S1918">
        <f>1800.75</f>
        <v>1800.75</v>
      </c>
      <c r="T1918">
        <f>3299.754</f>
        <v>3299.7539999999999</v>
      </c>
      <c r="U1918">
        <f>48421.99</f>
        <v>48421.99</v>
      </c>
      <c r="V1918">
        <f>286.74</f>
        <v>286.74</v>
      </c>
    </row>
    <row r="1919" spans="1:22" x14ac:dyDescent="0.2">
      <c r="A1919" s="1">
        <v>42422</v>
      </c>
      <c r="B1919">
        <f>2628.93</f>
        <v>2628.93</v>
      </c>
      <c r="C1919">
        <f>6717.7</f>
        <v>6717.7</v>
      </c>
      <c r="D1919">
        <f>4756.77</f>
        <v>4756.7700000000004</v>
      </c>
      <c r="E1919">
        <f>1549.853</f>
        <v>1549.8530000000001</v>
      </c>
      <c r="F1919">
        <f>1566.09</f>
        <v>1566.09</v>
      </c>
      <c r="G1919">
        <f>6790.286</f>
        <v>6790.2860000000001</v>
      </c>
      <c r="H1919">
        <f>2491.32</f>
        <v>2491.3200000000002</v>
      </c>
      <c r="I1919">
        <f>7541.281</f>
        <v>7541.2809999999999</v>
      </c>
      <c r="J1919">
        <f>2807.67</f>
        <v>2807.67</v>
      </c>
      <c r="K1919">
        <f>7555.9</f>
        <v>7555.9</v>
      </c>
      <c r="L1919">
        <f>1511.27</f>
        <v>1511.27</v>
      </c>
      <c r="M1919">
        <f>5977.87</f>
        <v>5977.87</v>
      </c>
      <c r="N1919">
        <f>281.736</f>
        <v>281.73599999999999</v>
      </c>
      <c r="O1919">
        <f>2320.91</f>
        <v>2320.91</v>
      </c>
      <c r="P1919">
        <f>189.86</f>
        <v>189.86</v>
      </c>
      <c r="Q1919">
        <f>1812.78</f>
        <v>1812.78</v>
      </c>
      <c r="R1919">
        <f>3649.92</f>
        <v>3649.92</v>
      </c>
      <c r="S1919">
        <f>1813.06</f>
        <v>1813.06</v>
      </c>
      <c r="T1919">
        <f>3340.257</f>
        <v>3340.2570000000001</v>
      </c>
      <c r="U1919">
        <f>49112.8</f>
        <v>49112.800000000003</v>
      </c>
      <c r="V1919">
        <f>290.63</f>
        <v>290.63</v>
      </c>
    </row>
    <row r="1920" spans="1:22" x14ac:dyDescent="0.2">
      <c r="A1920" s="1">
        <v>42419</v>
      </c>
      <c r="B1920">
        <f>2579.27</f>
        <v>2579.27</v>
      </c>
      <c r="C1920">
        <f>6626.08</f>
        <v>6626.08</v>
      </c>
      <c r="D1920">
        <f>4687.84</f>
        <v>4687.84</v>
      </c>
      <c r="E1920">
        <f>1532.336</f>
        <v>1532.336</v>
      </c>
      <c r="F1920">
        <f>1539.31</f>
        <v>1539.31</v>
      </c>
      <c r="G1920">
        <f>6751.742</f>
        <v>6751.7420000000002</v>
      </c>
      <c r="H1920">
        <f>2475.82</f>
        <v>2475.8200000000002</v>
      </c>
      <c r="I1920">
        <f>7449.309</f>
        <v>7449.3090000000002</v>
      </c>
      <c r="J1920">
        <f>2778.55</f>
        <v>2778.55</v>
      </c>
      <c r="K1920">
        <f>7447.74</f>
        <v>7447.74</v>
      </c>
      <c r="L1920">
        <f>1494.91</f>
        <v>1494.91</v>
      </c>
      <c r="M1920">
        <f>5901.51</f>
        <v>5901.51</v>
      </c>
      <c r="N1920">
        <f>278.229</f>
        <v>278.22899999999998</v>
      </c>
      <c r="O1920">
        <f>2281.21</f>
        <v>2281.21</v>
      </c>
      <c r="P1920">
        <f>187.68</f>
        <v>187.68</v>
      </c>
      <c r="Q1920">
        <f>1794.11</f>
        <v>1794.11</v>
      </c>
      <c r="R1920">
        <f>3597.92</f>
        <v>3597.92</v>
      </c>
      <c r="S1920">
        <f>1801.65</f>
        <v>1801.65</v>
      </c>
      <c r="T1920">
        <f>3325.124</f>
        <v>3325.1239999999998</v>
      </c>
      <c r="U1920">
        <f>48940.43</f>
        <v>48940.43</v>
      </c>
      <c r="V1920">
        <f>289.76</f>
        <v>289.76</v>
      </c>
    </row>
    <row r="1921" spans="1:22" x14ac:dyDescent="0.2">
      <c r="A1921" s="1">
        <v>42418</v>
      </c>
      <c r="B1921">
        <f>2596.69</f>
        <v>2596.69</v>
      </c>
      <c r="C1921">
        <f>6731.43</f>
        <v>6731.43</v>
      </c>
      <c r="D1921">
        <f>4704.95</f>
        <v>4704.95</v>
      </c>
      <c r="E1921">
        <f>1542.859</f>
        <v>1542.8589999999999</v>
      </c>
      <c r="F1921">
        <f>1557.16</f>
        <v>1557.16</v>
      </c>
      <c r="G1921">
        <f>6823.676</f>
        <v>6823.6760000000004</v>
      </c>
      <c r="H1921">
        <f>2494.85</f>
        <v>2494.85</v>
      </c>
      <c r="I1921">
        <f>7494.118</f>
        <v>7494.1180000000004</v>
      </c>
      <c r="J1921">
        <f>2784.12</f>
        <v>2784.12</v>
      </c>
      <c r="K1921">
        <f>7446.52</f>
        <v>7446.52</v>
      </c>
      <c r="L1921">
        <f>1503.25</f>
        <v>1503.25</v>
      </c>
      <c r="M1921">
        <f>5921.41</f>
        <v>5921.41</v>
      </c>
      <c r="N1921">
        <f>279.943</f>
        <v>279.94299999999998</v>
      </c>
      <c r="O1921">
        <f>2295.84</f>
        <v>2295.84</v>
      </c>
      <c r="P1921">
        <f>189.13</f>
        <v>189.13</v>
      </c>
      <c r="Q1921">
        <f>1794.97</f>
        <v>1794.97</v>
      </c>
      <c r="R1921">
        <f>3597.49</f>
        <v>3597.49</v>
      </c>
      <c r="S1921">
        <f>1828.69</f>
        <v>1828.69</v>
      </c>
      <c r="T1921">
        <f>3394.551</f>
        <v>3394.5509999999999</v>
      </c>
      <c r="U1921">
        <f>49857.7</f>
        <v>49857.7</v>
      </c>
      <c r="V1921">
        <f>297.4</f>
        <v>297.39999999999998</v>
      </c>
    </row>
    <row r="1922" spans="1:22" x14ac:dyDescent="0.2">
      <c r="A1922" s="1">
        <v>42417</v>
      </c>
      <c r="B1922">
        <f>2607.85</f>
        <v>2607.85</v>
      </c>
      <c r="C1922">
        <f>6610.55</f>
        <v>6610.55</v>
      </c>
      <c r="D1922">
        <f>4734.93</f>
        <v>4734.93</v>
      </c>
      <c r="E1922">
        <f>1521.108</f>
        <v>1521.1079999999999</v>
      </c>
      <c r="F1922">
        <f>1554.84</f>
        <v>1554.84</v>
      </c>
      <c r="G1922">
        <f>6847.104</f>
        <v>6847.1040000000003</v>
      </c>
      <c r="H1922">
        <f>2429.59</f>
        <v>2429.59</v>
      </c>
      <c r="I1922">
        <f>7511.688</f>
        <v>7511.6880000000001</v>
      </c>
      <c r="J1922">
        <f>2780.9</f>
        <v>2780.9</v>
      </c>
      <c r="K1922">
        <f>7482.26</f>
        <v>7482.26</v>
      </c>
      <c r="L1922">
        <f>1497.45</f>
        <v>1497.45</v>
      </c>
      <c r="M1922">
        <f>5922.48</f>
        <v>5922.48</v>
      </c>
      <c r="N1922">
        <f>279.329</f>
        <v>279.32900000000001</v>
      </c>
      <c r="O1922">
        <f>2296.16</f>
        <v>2296.16</v>
      </c>
      <c r="P1922">
        <f>185.57</f>
        <v>185.57</v>
      </c>
      <c r="Q1922">
        <f>1798.62</f>
        <v>1798.62</v>
      </c>
      <c r="R1922">
        <f>3614.16</f>
        <v>3614.16</v>
      </c>
      <c r="S1922">
        <f>1788.52</f>
        <v>1788.52</v>
      </c>
      <c r="T1922">
        <f>3369.258</f>
        <v>3369.2579999999998</v>
      </c>
      <c r="U1922">
        <f>50039.31</f>
        <v>50039.31</v>
      </c>
      <c r="V1922">
        <f>294.41</f>
        <v>294.41000000000003</v>
      </c>
    </row>
    <row r="1923" spans="1:22" x14ac:dyDescent="0.2">
      <c r="A1923" s="1">
        <v>42416</v>
      </c>
      <c r="B1923">
        <f>2531.9</f>
        <v>2531.9</v>
      </c>
      <c r="C1923">
        <f>6577.23</f>
        <v>6577.23</v>
      </c>
      <c r="D1923">
        <f>4602.91</f>
        <v>4602.91</v>
      </c>
      <c r="E1923">
        <f>1512.006</f>
        <v>1512.0060000000001</v>
      </c>
      <c r="F1923">
        <f>1499.04</f>
        <v>1499.04</v>
      </c>
      <c r="G1923">
        <f>6651.185</f>
        <v>6651.1850000000004</v>
      </c>
      <c r="H1923">
        <f>2463.37</f>
        <v>2463.37</v>
      </c>
      <c r="I1923">
        <f>7336.993</f>
        <v>7336.9930000000004</v>
      </c>
      <c r="J1923">
        <f>2745.62</f>
        <v>2745.62</v>
      </c>
      <c r="K1923">
        <f>7358.11</f>
        <v>7358.11</v>
      </c>
      <c r="L1923">
        <f>1474.61</f>
        <v>1474.61</v>
      </c>
      <c r="M1923">
        <f>5828.48</f>
        <v>5828.48</v>
      </c>
      <c r="N1923">
        <f>272.184</f>
        <v>272.18400000000003</v>
      </c>
      <c r="O1923">
        <f>2237.02</f>
        <v>2237.02</v>
      </c>
      <c r="P1923">
        <f>187.54</f>
        <v>187.54</v>
      </c>
      <c r="Q1923">
        <f>1777.96</f>
        <v>1777.96</v>
      </c>
      <c r="R1923">
        <f>3555.2</f>
        <v>3555.2</v>
      </c>
      <c r="S1923">
        <f>1808.86</f>
        <v>1808.86</v>
      </c>
      <c r="T1923">
        <f>3300.254</f>
        <v>3300.2539999999999</v>
      </c>
      <c r="U1923">
        <f>49387.1</f>
        <v>49387.1</v>
      </c>
      <c r="V1923">
        <f>290.25</f>
        <v>290.25</v>
      </c>
    </row>
    <row r="1924" spans="1:22" x14ac:dyDescent="0.2">
      <c r="A1924" s="1">
        <v>42415</v>
      </c>
      <c r="B1924">
        <f>2526.38</f>
        <v>2526.38</v>
      </c>
      <c r="C1924">
        <f>6520.82</f>
        <v>6520.82</v>
      </c>
      <c r="D1924">
        <f>4573.16</f>
        <v>4573.16</v>
      </c>
      <c r="E1924">
        <f>1502.593</f>
        <v>1502.5930000000001</v>
      </c>
      <c r="F1924">
        <f>1507.05</f>
        <v>1507.05</v>
      </c>
      <c r="G1924">
        <f>6676.472</f>
        <v>6676.4719999999998</v>
      </c>
      <c r="H1924">
        <f>2444.6</f>
        <v>2444.6</v>
      </c>
      <c r="I1924">
        <f>7370.158</f>
        <v>7370.1580000000004</v>
      </c>
      <c r="J1924">
        <f>2712.73</f>
        <v>2712.73</v>
      </c>
      <c r="K1924">
        <f>7231.9</f>
        <v>7231.9</v>
      </c>
      <c r="L1924">
        <f>1466.12</f>
        <v>1466.12</v>
      </c>
      <c r="M1924">
        <f>5765.65</f>
        <v>5765.65</v>
      </c>
      <c r="N1924">
        <f>273.561</f>
        <v>273.56099999999998</v>
      </c>
      <c r="O1924">
        <f>2246.75</f>
        <v>2246.75</v>
      </c>
      <c r="P1924">
        <f>188.8</f>
        <v>188.8</v>
      </c>
      <c r="Q1924" t="e">
        <f>NA()</f>
        <v>#N/A</v>
      </c>
      <c r="R1924" t="e">
        <f>NA()</f>
        <v>#N/A</v>
      </c>
      <c r="S1924">
        <f>1802.19</f>
        <v>1802.19</v>
      </c>
      <c r="T1924">
        <f>3339.44</f>
        <v>3339.44</v>
      </c>
      <c r="U1924">
        <f>49851.95</f>
        <v>49851.95</v>
      </c>
      <c r="V1924">
        <f>293.5</f>
        <v>293.5</v>
      </c>
    </row>
    <row r="1925" spans="1:22" x14ac:dyDescent="0.2">
      <c r="A1925" s="1">
        <v>42412</v>
      </c>
      <c r="B1925">
        <f>2473.27</f>
        <v>2473.27</v>
      </c>
      <c r="C1925">
        <f>6356.7</f>
        <v>6356.7</v>
      </c>
      <c r="D1925">
        <f>4481.54</f>
        <v>4481.54</v>
      </c>
      <c r="E1925">
        <f>1470.307</f>
        <v>1470.307</v>
      </c>
      <c r="F1925">
        <f>1480.76</f>
        <v>1480.76</v>
      </c>
      <c r="G1925">
        <f>6545.963</f>
        <v>6545.9629999999997</v>
      </c>
      <c r="H1925">
        <f>2285.94</f>
        <v>2285.94</v>
      </c>
      <c r="I1925">
        <f>7220.055</f>
        <v>7220.0550000000003</v>
      </c>
      <c r="J1925">
        <f>2712.73</f>
        <v>2712.73</v>
      </c>
      <c r="K1925">
        <f>7231.9</f>
        <v>7231.9</v>
      </c>
      <c r="L1925">
        <f>1452.59</f>
        <v>1452.59</v>
      </c>
      <c r="M1925">
        <f>5698.51</f>
        <v>5698.51</v>
      </c>
      <c r="N1925">
        <f>265.599</f>
        <v>265.59899999999999</v>
      </c>
      <c r="O1925">
        <f>2183.51</f>
        <v>2183.5100000000002</v>
      </c>
      <c r="P1925">
        <f>176.38</f>
        <v>176.38</v>
      </c>
      <c r="Q1925">
        <f>1752.29</f>
        <v>1752.29</v>
      </c>
      <c r="R1925">
        <f>3496.28</f>
        <v>3496.28</v>
      </c>
      <c r="S1925">
        <f>1668.37</f>
        <v>1668.37</v>
      </c>
      <c r="T1925">
        <f>3235.492</f>
        <v>3235.4920000000002</v>
      </c>
      <c r="U1925">
        <f>48589.69</f>
        <v>48589.69</v>
      </c>
      <c r="V1925">
        <f>283.74</f>
        <v>283.74</v>
      </c>
    </row>
    <row r="1926" spans="1:22" x14ac:dyDescent="0.2">
      <c r="A1926" s="1">
        <v>42411</v>
      </c>
      <c r="B1926">
        <f>2400.96</f>
        <v>2400.96</v>
      </c>
      <c r="C1926">
        <f>6368.08</f>
        <v>6368.08</v>
      </c>
      <c r="D1926">
        <f>4347.56</f>
        <v>4347.5600000000004</v>
      </c>
      <c r="E1926">
        <f>1474.021</f>
        <v>1474.021</v>
      </c>
      <c r="F1926">
        <f>1423.18</f>
        <v>1423.18</v>
      </c>
      <c r="G1926">
        <f>6338.26</f>
        <v>6338.26</v>
      </c>
      <c r="H1926">
        <f>2430.67</f>
        <v>2430.67</v>
      </c>
      <c r="I1926">
        <f>7108.46</f>
        <v>7108.46</v>
      </c>
      <c r="J1926">
        <f>2674.42</f>
        <v>2674.42</v>
      </c>
      <c r="K1926">
        <f>7091.01</f>
        <v>7091.01</v>
      </c>
      <c r="L1926">
        <f>1433.43</f>
        <v>1433.43</v>
      </c>
      <c r="M1926">
        <f>5630.87</f>
        <v>5630.87</v>
      </c>
      <c r="N1926">
        <f>257.9</f>
        <v>257.89999999999998</v>
      </c>
      <c r="O1926">
        <f>2118.41</f>
        <v>2118.41</v>
      </c>
      <c r="P1926" t="e">
        <f>NA()</f>
        <v>#N/A</v>
      </c>
      <c r="Q1926">
        <f>1718.33</f>
        <v>1718.33</v>
      </c>
      <c r="R1926">
        <f>3428.99</f>
        <v>3428.99</v>
      </c>
      <c r="S1926" t="e">
        <f>NA()</f>
        <v>#N/A</v>
      </c>
      <c r="T1926">
        <f>3149.615</f>
        <v>3149.6149999999998</v>
      </c>
      <c r="U1926">
        <f>47411.57</f>
        <v>47411.57</v>
      </c>
      <c r="V1926">
        <f>275.27</f>
        <v>275.27</v>
      </c>
    </row>
    <row r="1927" spans="1:22" x14ac:dyDescent="0.2">
      <c r="A1927" s="1">
        <v>42410</v>
      </c>
      <c r="B1927">
        <f>2470.61</f>
        <v>2470.61</v>
      </c>
      <c r="C1927">
        <f>6502.59</f>
        <v>6502.59</v>
      </c>
      <c r="D1927">
        <f>4449.7</f>
        <v>4449.7</v>
      </c>
      <c r="E1927">
        <f>1510.167</f>
        <v>1510.1669999999999</v>
      </c>
      <c r="F1927">
        <f>1457.81</f>
        <v>1457.81</v>
      </c>
      <c r="G1927">
        <f>6496.085</f>
        <v>6496.085</v>
      </c>
      <c r="H1927">
        <f>2374.42</f>
        <v>2374.42</v>
      </c>
      <c r="I1927">
        <f>7284.134</f>
        <v>7284.134</v>
      </c>
      <c r="J1927">
        <f>2695.21</f>
        <v>2695.21</v>
      </c>
      <c r="K1927">
        <f>7179.02</f>
        <v>7179.02</v>
      </c>
      <c r="L1927">
        <f>1448.04</f>
        <v>1448.04</v>
      </c>
      <c r="M1927">
        <f>5698.08</f>
        <v>5698.08</v>
      </c>
      <c r="N1927">
        <f>266.907</f>
        <v>266.90699999999998</v>
      </c>
      <c r="O1927">
        <f>2198.41</f>
        <v>2198.41</v>
      </c>
      <c r="P1927">
        <f>185.67</f>
        <v>185.67</v>
      </c>
      <c r="Q1927">
        <f>1739.2</f>
        <v>1739.2</v>
      </c>
      <c r="R1927">
        <f>3471.04</f>
        <v>3471.04</v>
      </c>
      <c r="S1927">
        <f>1764.15</f>
        <v>1764.15</v>
      </c>
      <c r="T1927">
        <f>3224.533</f>
        <v>3224.5329999999999</v>
      </c>
      <c r="U1927">
        <f>48273.24</f>
        <v>48273.24</v>
      </c>
      <c r="V1927">
        <f>279.67</f>
        <v>279.67</v>
      </c>
    </row>
    <row r="1928" spans="1:22" x14ac:dyDescent="0.2">
      <c r="A1928" s="1">
        <v>42409</v>
      </c>
      <c r="B1928">
        <f>2450.87</f>
        <v>2450.87</v>
      </c>
      <c r="C1928">
        <f>6497.34</f>
        <v>6497.34</v>
      </c>
      <c r="D1928">
        <f>4417.61</f>
        <v>4417.6099999999997</v>
      </c>
      <c r="E1928">
        <f>1508.713</f>
        <v>1508.713</v>
      </c>
      <c r="F1928">
        <f>1452.35</f>
        <v>1452.35</v>
      </c>
      <c r="G1928">
        <f>6465.086</f>
        <v>6465.0860000000002</v>
      </c>
      <c r="H1928">
        <f>2445.11</f>
        <v>2445.11</v>
      </c>
      <c r="I1928">
        <f>7218.798</f>
        <v>7218.7979999999998</v>
      </c>
      <c r="J1928">
        <f>2707.98</f>
        <v>2707.98</v>
      </c>
      <c r="K1928">
        <f>7175.58</f>
        <v>7175.58</v>
      </c>
      <c r="L1928">
        <f>1455.38</f>
        <v>1455.38</v>
      </c>
      <c r="M1928">
        <f>5703.73</f>
        <v>5703.73</v>
      </c>
      <c r="N1928">
        <f>263.429</f>
        <v>263.42899999999997</v>
      </c>
      <c r="O1928">
        <f>2159.83</f>
        <v>2159.83</v>
      </c>
      <c r="P1928">
        <f>191.84</f>
        <v>191.84</v>
      </c>
      <c r="Q1928">
        <f>1743.36</f>
        <v>1743.36</v>
      </c>
      <c r="R1928">
        <f>3470.5</f>
        <v>3470.5</v>
      </c>
      <c r="S1928">
        <f>1819.07</f>
        <v>1819.07</v>
      </c>
      <c r="T1928">
        <f>3229.43</f>
        <v>3229.43</v>
      </c>
      <c r="U1928">
        <f>48344.75</f>
        <v>48344.75</v>
      </c>
      <c r="V1928">
        <f>282.7</f>
        <v>282.7</v>
      </c>
    </row>
    <row r="1929" spans="1:22" x14ac:dyDescent="0.2">
      <c r="A1929" s="1">
        <v>42408</v>
      </c>
      <c r="B1929">
        <f>2493.67</f>
        <v>2493.67</v>
      </c>
      <c r="C1929">
        <f>6519.11</f>
        <v>6519.11</v>
      </c>
      <c r="D1929">
        <f>4462.45</f>
        <v>4462.45</v>
      </c>
      <c r="E1929">
        <f>1517.443</f>
        <v>1517.443</v>
      </c>
      <c r="F1929">
        <f>1466.44</f>
        <v>1466.44</v>
      </c>
      <c r="G1929">
        <f>6485.116</f>
        <v>6485.116</v>
      </c>
      <c r="H1929">
        <f>2551</f>
        <v>2551</v>
      </c>
      <c r="I1929">
        <f>7228.95</f>
        <v>7228.95</v>
      </c>
      <c r="J1929">
        <f>2712.17</f>
        <v>2712.17</v>
      </c>
      <c r="K1929">
        <f>7181.57</f>
        <v>7181.57</v>
      </c>
      <c r="L1929">
        <f>1459.56</f>
        <v>1459.56</v>
      </c>
      <c r="M1929">
        <f>5741.36</f>
        <v>5741.36</v>
      </c>
      <c r="N1929">
        <f>266.689</f>
        <v>266.68900000000002</v>
      </c>
      <c r="O1929">
        <f>2197.03</f>
        <v>2197.0300000000002</v>
      </c>
      <c r="P1929">
        <f>202.12</f>
        <v>202.12</v>
      </c>
      <c r="Q1929">
        <f>1743.46</f>
        <v>1743.46</v>
      </c>
      <c r="R1929">
        <f>3472.08</f>
        <v>3472.08</v>
      </c>
      <c r="S1929">
        <f>1925.17</f>
        <v>1925.17</v>
      </c>
      <c r="T1929">
        <f>3284.814</f>
        <v>3284.8139999999999</v>
      </c>
      <c r="U1929">
        <f>49429.59</f>
        <v>49429.59</v>
      </c>
      <c r="V1929">
        <f>286.73</f>
        <v>286.73</v>
      </c>
    </row>
    <row r="1930" spans="1:22" x14ac:dyDescent="0.2">
      <c r="A1930" s="1">
        <v>42405</v>
      </c>
      <c r="B1930">
        <f>2569.67</f>
        <v>2569.67</v>
      </c>
      <c r="C1930">
        <f>6565.04</f>
        <v>6565.04</v>
      </c>
      <c r="D1930">
        <f>4586.93</f>
        <v>4586.93</v>
      </c>
      <c r="E1930">
        <f>1528.75</f>
        <v>1528.75</v>
      </c>
      <c r="F1930">
        <f>1513.95</f>
        <v>1513.95</v>
      </c>
      <c r="G1930">
        <f>6710.743</f>
        <v>6710.7430000000004</v>
      </c>
      <c r="H1930">
        <f>2494.7</f>
        <v>2494.6999999999998</v>
      </c>
      <c r="I1930">
        <f>7484.515</f>
        <v>7484.5150000000003</v>
      </c>
      <c r="J1930">
        <f>2710.33</f>
        <v>2710.33</v>
      </c>
      <c r="K1930">
        <f>7291.53</f>
        <v>7291.53</v>
      </c>
      <c r="L1930">
        <f>1471.97</f>
        <v>1471.97</v>
      </c>
      <c r="M1930">
        <f>5838.04</f>
        <v>5838.04</v>
      </c>
      <c r="N1930">
        <f>275.514</f>
        <v>275.51400000000001</v>
      </c>
      <c r="O1930">
        <f>2273.94</f>
        <v>2273.94</v>
      </c>
      <c r="P1930">
        <f>199.89</f>
        <v>199.89</v>
      </c>
      <c r="Q1930">
        <f>1755.15</f>
        <v>1755.15</v>
      </c>
      <c r="R1930">
        <f>3521.6</f>
        <v>3521.6</v>
      </c>
      <c r="S1930">
        <f>1909.21</f>
        <v>1909.21</v>
      </c>
      <c r="T1930">
        <f>3297.574</f>
        <v>3297.5740000000001</v>
      </c>
      <c r="U1930">
        <f>49753.29</f>
        <v>49753.29</v>
      </c>
      <c r="V1930">
        <f>287.15</f>
        <v>287.14999999999998</v>
      </c>
    </row>
    <row r="1931" spans="1:22" x14ac:dyDescent="0.2">
      <c r="A1931" s="1">
        <v>42404</v>
      </c>
      <c r="B1931">
        <f>2588.09</f>
        <v>2588.09</v>
      </c>
      <c r="C1931">
        <f>6550.5</f>
        <v>6550.5</v>
      </c>
      <c r="D1931">
        <f>4626.69</f>
        <v>4626.6899999999996</v>
      </c>
      <c r="E1931">
        <f>1528.449</f>
        <v>1528.4490000000001</v>
      </c>
      <c r="F1931">
        <f>1540.79</f>
        <v>1540.79</v>
      </c>
      <c r="G1931">
        <f>6808.798</f>
        <v>6808.7979999999998</v>
      </c>
      <c r="H1931">
        <f>2494.39</f>
        <v>2494.39</v>
      </c>
      <c r="I1931">
        <f>7550.765</f>
        <v>7550.7650000000003</v>
      </c>
      <c r="J1931">
        <f>2733.55</f>
        <v>2733.55</v>
      </c>
      <c r="K1931">
        <f>7437.06</f>
        <v>7437.06</v>
      </c>
      <c r="L1931">
        <f>1482.53</f>
        <v>1482.53</v>
      </c>
      <c r="M1931">
        <f>5933.6</f>
        <v>5933.6</v>
      </c>
      <c r="N1931">
        <f>278.845</f>
        <v>278.84500000000003</v>
      </c>
      <c r="O1931">
        <f>2290.85</f>
        <v>2290.85</v>
      </c>
      <c r="P1931">
        <f>200.59</f>
        <v>200.59</v>
      </c>
      <c r="Q1931">
        <f>1773.72</f>
        <v>1773.72</v>
      </c>
      <c r="R1931">
        <f>3587.71</f>
        <v>3587.71</v>
      </c>
      <c r="S1931">
        <f>1936.88</f>
        <v>1936.88</v>
      </c>
      <c r="T1931">
        <f>3261.498</f>
        <v>3261.498</v>
      </c>
      <c r="U1931">
        <f>49627.53</f>
        <v>49627.53</v>
      </c>
      <c r="V1931">
        <f>283.32</f>
        <v>283.32</v>
      </c>
    </row>
    <row r="1932" spans="1:22" x14ac:dyDescent="0.2">
      <c r="A1932" s="1">
        <v>42403</v>
      </c>
      <c r="B1932">
        <f>2554.97</f>
        <v>2554.9699999999998</v>
      </c>
      <c r="C1932">
        <f>6345.74</f>
        <v>6345.74</v>
      </c>
      <c r="D1932">
        <f>4576.08</f>
        <v>4576.08</v>
      </c>
      <c r="E1932">
        <f>1491.421</f>
        <v>1491.421</v>
      </c>
      <c r="F1932">
        <f>1517.17</f>
        <v>1517.17</v>
      </c>
      <c r="G1932">
        <f>6737.435</f>
        <v>6737.4350000000004</v>
      </c>
      <c r="H1932">
        <f>2494.95</f>
        <v>2494.9499999999998</v>
      </c>
      <c r="I1932">
        <f>7479.307</f>
        <v>7479.3069999999998</v>
      </c>
      <c r="J1932">
        <f>2735.97</f>
        <v>2735.97</v>
      </c>
      <c r="K1932">
        <f>7422.55</f>
        <v>7422.55</v>
      </c>
      <c r="L1932">
        <f>1475.65</f>
        <v>1475.65</v>
      </c>
      <c r="M1932">
        <f>5901.9</f>
        <v>5901.9</v>
      </c>
      <c r="N1932">
        <f>280.157</f>
        <v>280.15699999999998</v>
      </c>
      <c r="O1932">
        <f>2293.48</f>
        <v>2293.48</v>
      </c>
      <c r="P1932">
        <f>203.92</f>
        <v>203.92</v>
      </c>
      <c r="Q1932">
        <f>1763.53</f>
        <v>1763.53</v>
      </c>
      <c r="R1932">
        <f>3581.53</f>
        <v>3581.53</v>
      </c>
      <c r="S1932">
        <f>1961.24</f>
        <v>1961.24</v>
      </c>
      <c r="T1932">
        <f>3143.597</f>
        <v>3143.5970000000002</v>
      </c>
      <c r="U1932">
        <f>48535.48</f>
        <v>48535.48</v>
      </c>
      <c r="V1932">
        <f>270.64</f>
        <v>270.64</v>
      </c>
    </row>
    <row r="1933" spans="1:22" x14ac:dyDescent="0.2">
      <c r="A1933" s="1">
        <v>42402</v>
      </c>
      <c r="B1933">
        <f>2599.19</f>
        <v>2599.19</v>
      </c>
      <c r="C1933">
        <f>6405.47</f>
        <v>6405.47</v>
      </c>
      <c r="D1933">
        <f>4642.61</f>
        <v>4642.6099999999997</v>
      </c>
      <c r="E1933">
        <f>1506.017</f>
        <v>1506.0170000000001</v>
      </c>
      <c r="F1933">
        <f>1511.06</f>
        <v>1511.06</v>
      </c>
      <c r="G1933">
        <f>6732.331</f>
        <v>6732.3310000000001</v>
      </c>
      <c r="H1933">
        <f>2527.93</f>
        <v>2527.9299999999998</v>
      </c>
      <c r="I1933">
        <f>7501.25</f>
        <v>7501.25</v>
      </c>
      <c r="J1933">
        <f>2709.6</f>
        <v>2709.6</v>
      </c>
      <c r="K1933">
        <f>7383.77</f>
        <v>7383.77</v>
      </c>
      <c r="L1933">
        <f>1464.34</f>
        <v>1464.34</v>
      </c>
      <c r="M1933">
        <f>5893.31</f>
        <v>5893.31</v>
      </c>
      <c r="N1933">
        <f>284.909</f>
        <v>284.90899999999999</v>
      </c>
      <c r="O1933">
        <f>2330.9</f>
        <v>2330.9</v>
      </c>
      <c r="P1933">
        <f>206.81</f>
        <v>206.81</v>
      </c>
      <c r="Q1933">
        <f>1748.19</f>
        <v>1748.19</v>
      </c>
      <c r="R1933">
        <f>3562.52</f>
        <v>3562.52</v>
      </c>
      <c r="S1933">
        <f>2025.06</f>
        <v>2025.06</v>
      </c>
      <c r="T1933">
        <f>3123.62</f>
        <v>3123.62</v>
      </c>
      <c r="U1933">
        <f>48029.24</f>
        <v>48029.24</v>
      </c>
      <c r="V1933">
        <f>268.02</f>
        <v>268.02</v>
      </c>
    </row>
    <row r="1934" spans="1:22" x14ac:dyDescent="0.2">
      <c r="A1934" s="1">
        <v>42401</v>
      </c>
      <c r="B1934">
        <f>2656.18</f>
        <v>2656.18</v>
      </c>
      <c r="C1934">
        <f>6549.92</f>
        <v>6549.92</v>
      </c>
      <c r="D1934">
        <f>4750.87</f>
        <v>4750.87</v>
      </c>
      <c r="E1934">
        <f>1534.891</f>
        <v>1534.8910000000001</v>
      </c>
      <c r="F1934">
        <f>1553.67</f>
        <v>1553.67</v>
      </c>
      <c r="G1934">
        <f>6889.734</f>
        <v>6889.7340000000004</v>
      </c>
      <c r="H1934">
        <f>2543.52</f>
        <v>2543.52</v>
      </c>
      <c r="I1934">
        <f>7650.61</f>
        <v>7650.61</v>
      </c>
      <c r="J1934">
        <f>2749.99</f>
        <v>2749.99</v>
      </c>
      <c r="K1934">
        <f>7527.16</f>
        <v>7527.16</v>
      </c>
      <c r="L1934">
        <f>1485.68</f>
        <v>1485.68</v>
      </c>
      <c r="M1934">
        <f>5999</f>
        <v>5999</v>
      </c>
      <c r="N1934">
        <f>289.737</f>
        <v>289.73700000000002</v>
      </c>
      <c r="O1934">
        <f>2380.09</f>
        <v>2380.09</v>
      </c>
      <c r="P1934">
        <f>207.16</f>
        <v>207.16</v>
      </c>
      <c r="Q1934">
        <f>1774.82</f>
        <v>1774.82</v>
      </c>
      <c r="R1934">
        <f>3630.46</f>
        <v>3630.46</v>
      </c>
      <c r="S1934">
        <f>2039.89</f>
        <v>2039.89</v>
      </c>
      <c r="T1934">
        <f>3211.842</f>
        <v>3211.8420000000001</v>
      </c>
      <c r="U1934">
        <f>49055.54</f>
        <v>49055.54</v>
      </c>
      <c r="V1934">
        <f>276.91</f>
        <v>276.91000000000003</v>
      </c>
    </row>
    <row r="1935" spans="1:22" x14ac:dyDescent="0.2">
      <c r="A1935" s="1">
        <v>42398</v>
      </c>
      <c r="B1935">
        <f>2667.85</f>
        <v>2667.85</v>
      </c>
      <c r="C1935">
        <f>6573.52</f>
        <v>6573.52</v>
      </c>
      <c r="D1935">
        <f>4769.44</f>
        <v>4769.4399999999996</v>
      </c>
      <c r="E1935">
        <f>1533.975</f>
        <v>1533.9749999999999</v>
      </c>
      <c r="F1935">
        <f>1539.29</f>
        <v>1539.29</v>
      </c>
      <c r="G1935">
        <f>6828.775</f>
        <v>6828.7749999999996</v>
      </c>
      <c r="H1935">
        <f>2469.08</f>
        <v>2469.08</v>
      </c>
      <c r="I1935">
        <f>7629.643</f>
        <v>7629.643</v>
      </c>
      <c r="J1935">
        <f>2755.28</f>
        <v>2755.28</v>
      </c>
      <c r="K1935">
        <f>7528.37</f>
        <v>7528.37</v>
      </c>
      <c r="L1935">
        <f>1483.34</f>
        <v>1483.34</v>
      </c>
      <c r="M1935">
        <f>5981.67</f>
        <v>5981.67</v>
      </c>
      <c r="N1935">
        <f>288.355</f>
        <v>288.35500000000002</v>
      </c>
      <c r="O1935">
        <f>2384.92</f>
        <v>2384.92</v>
      </c>
      <c r="P1935">
        <f>203.42</f>
        <v>203.42</v>
      </c>
      <c r="Q1935">
        <f>1772.51</f>
        <v>1772.51</v>
      </c>
      <c r="R1935">
        <f>3631.96</f>
        <v>3631.96</v>
      </c>
      <c r="S1935">
        <f>1997.22</f>
        <v>1997.22</v>
      </c>
      <c r="T1935">
        <f>3219.187</f>
        <v>3219.1869999999999</v>
      </c>
      <c r="U1935">
        <f>49141.94</f>
        <v>49141.94</v>
      </c>
      <c r="V1935">
        <f>279.61</f>
        <v>279.61</v>
      </c>
    </row>
    <row r="1936" spans="1:22" x14ac:dyDescent="0.2">
      <c r="A1936" s="1">
        <v>42397</v>
      </c>
      <c r="B1936">
        <f>2597.14</f>
        <v>2597.14</v>
      </c>
      <c r="C1936">
        <f>6349.03</f>
        <v>6349.03</v>
      </c>
      <c r="D1936">
        <f>4650.27</f>
        <v>4650.2700000000004</v>
      </c>
      <c r="E1936">
        <f>1492.356</f>
        <v>1492.356</v>
      </c>
      <c r="F1936">
        <f>1526.31</f>
        <v>1526.31</v>
      </c>
      <c r="G1936">
        <f>6754.868</f>
        <v>6754.8680000000004</v>
      </c>
      <c r="H1936">
        <f>2456.98</f>
        <v>2456.98</v>
      </c>
      <c r="I1936">
        <f>7545.888</f>
        <v>7545.8879999999999</v>
      </c>
      <c r="J1936">
        <f>2690.54</f>
        <v>2690.54</v>
      </c>
      <c r="K1936">
        <f>7346.34</f>
        <v>7346.34</v>
      </c>
      <c r="L1936">
        <f>1461.85</f>
        <v>1461.85</v>
      </c>
      <c r="M1936">
        <f>5868.68</f>
        <v>5868.68</v>
      </c>
      <c r="N1936">
        <f>282.139</f>
        <v>282.13900000000001</v>
      </c>
      <c r="O1936">
        <f>2331.23</f>
        <v>2331.23</v>
      </c>
      <c r="P1936">
        <f>198.99</f>
        <v>198.99</v>
      </c>
      <c r="Q1936">
        <f>1728.09</f>
        <v>1728.09</v>
      </c>
      <c r="R1936">
        <f>3544.13</f>
        <v>3544.13</v>
      </c>
      <c r="S1936">
        <f>1941.47</f>
        <v>1941.47</v>
      </c>
      <c r="T1936">
        <f>3151.406</f>
        <v>3151.4059999999999</v>
      </c>
      <c r="U1936">
        <f>48702.61</f>
        <v>48702.61</v>
      </c>
      <c r="V1936">
        <f>273.86</f>
        <v>273.86</v>
      </c>
    </row>
    <row r="1937" spans="1:22" x14ac:dyDescent="0.2">
      <c r="A1937" s="1">
        <v>42396</v>
      </c>
      <c r="B1937">
        <f>2616.94</f>
        <v>2616.94</v>
      </c>
      <c r="C1937">
        <f>6225.79</f>
        <v>6225.79</v>
      </c>
      <c r="D1937">
        <f>4696.21</f>
        <v>4696.21</v>
      </c>
      <c r="E1937">
        <f>1479.327</f>
        <v>1479.327</v>
      </c>
      <c r="F1937">
        <f>1529.79</f>
        <v>1529.79</v>
      </c>
      <c r="G1937">
        <f>6751.942</f>
        <v>6751.942</v>
      </c>
      <c r="H1937">
        <f>2454.9</f>
        <v>2454.9</v>
      </c>
      <c r="I1937">
        <f>7648.621</f>
        <v>7648.6210000000001</v>
      </c>
      <c r="J1937">
        <f>2673.36</f>
        <v>2673.36</v>
      </c>
      <c r="K1937">
        <f>7310.14</f>
        <v>7310.14</v>
      </c>
      <c r="L1937">
        <f>1458.58</f>
        <v>1458.58</v>
      </c>
      <c r="M1937">
        <f>5863.25</f>
        <v>5863.25</v>
      </c>
      <c r="N1937">
        <f>285.324</f>
        <v>285.32400000000001</v>
      </c>
      <c r="O1937">
        <f>2372.36</f>
        <v>2372.36</v>
      </c>
      <c r="P1937">
        <f>198.48</f>
        <v>198.48</v>
      </c>
      <c r="Q1937">
        <f>1719.64</f>
        <v>1719.64</v>
      </c>
      <c r="R1937">
        <f>3524.33</f>
        <v>3524.33</v>
      </c>
      <c r="S1937">
        <f>1953.46</f>
        <v>1953.46</v>
      </c>
      <c r="T1937">
        <f>3086.306</f>
        <v>3086.306</v>
      </c>
      <c r="U1937">
        <f>47923.92</f>
        <v>47923.92</v>
      </c>
      <c r="V1937">
        <f>266.07</f>
        <v>266.07</v>
      </c>
    </row>
    <row r="1938" spans="1:22" x14ac:dyDescent="0.2">
      <c r="A1938" s="1">
        <v>42395</v>
      </c>
      <c r="B1938">
        <f>2576.6</f>
        <v>2576.6</v>
      </c>
      <c r="C1938">
        <f>6141.67</f>
        <v>6141.67</v>
      </c>
      <c r="D1938">
        <f>4634.34</f>
        <v>4634.34</v>
      </c>
      <c r="E1938">
        <f>1463.448</f>
        <v>1463.4480000000001</v>
      </c>
      <c r="F1938">
        <f>1513.13</f>
        <v>1513.13</v>
      </c>
      <c r="G1938">
        <f>6695.031</f>
        <v>6695.0309999999999</v>
      </c>
      <c r="H1938">
        <f>2388.71</f>
        <v>2388.71</v>
      </c>
      <c r="I1938">
        <f>7610.683</f>
        <v>7610.683</v>
      </c>
      <c r="J1938">
        <f>2685.15</f>
        <v>2685.15</v>
      </c>
      <c r="K1938">
        <f>7392.4</f>
        <v>7392.4</v>
      </c>
      <c r="L1938">
        <f>1456.07</f>
        <v>1456.07</v>
      </c>
      <c r="M1938">
        <f>5878.95</f>
        <v>5878.95</v>
      </c>
      <c r="N1938">
        <f>283.091</f>
        <v>283.09100000000001</v>
      </c>
      <c r="O1938">
        <f>2363.79</f>
        <v>2363.79</v>
      </c>
      <c r="P1938">
        <f>193.46</f>
        <v>193.46</v>
      </c>
      <c r="Q1938">
        <f>1725.5</f>
        <v>1725.5</v>
      </c>
      <c r="R1938">
        <f>3562.81</f>
        <v>3562.81</v>
      </c>
      <c r="S1938">
        <f>1896.9</f>
        <v>1896.9</v>
      </c>
      <c r="T1938">
        <f>3051.064</f>
        <v>3051.0639999999999</v>
      </c>
      <c r="U1938">
        <f>47532.4</f>
        <v>47532.4</v>
      </c>
      <c r="V1938">
        <f>262.6</f>
        <v>262.60000000000002</v>
      </c>
    </row>
    <row r="1939" spans="1:22" x14ac:dyDescent="0.2">
      <c r="A1939" s="1">
        <v>42394</v>
      </c>
      <c r="B1939">
        <f>2558.16</f>
        <v>2558.16</v>
      </c>
      <c r="C1939">
        <f>6213.75</f>
        <v>6213.75</v>
      </c>
      <c r="D1939">
        <f>4607.33</f>
        <v>4607.33</v>
      </c>
      <c r="E1939">
        <f>1479.474</f>
        <v>1479.4739999999999</v>
      </c>
      <c r="F1939">
        <f>1488.74</f>
        <v>1488.74</v>
      </c>
      <c r="G1939">
        <f>6628.263</f>
        <v>6628.2629999999999</v>
      </c>
      <c r="H1939">
        <f>2440.84</f>
        <v>2440.84</v>
      </c>
      <c r="I1939">
        <f>7532.712</f>
        <v>7532.7120000000004</v>
      </c>
      <c r="J1939">
        <f>2642.51</f>
        <v>2642.51</v>
      </c>
      <c r="K1939">
        <f>7287.72</f>
        <v>7287.72</v>
      </c>
      <c r="L1939">
        <f>1437.11</f>
        <v>1437.11</v>
      </c>
      <c r="M1939">
        <f>5822.99</f>
        <v>5822.99</v>
      </c>
      <c r="N1939">
        <f>281.491</f>
        <v>281.49099999999999</v>
      </c>
      <c r="O1939">
        <f>2341.29</f>
        <v>2341.29</v>
      </c>
      <c r="P1939">
        <f>197.13</f>
        <v>197.13</v>
      </c>
      <c r="Q1939">
        <f>1696.32</f>
        <v>1696.32</v>
      </c>
      <c r="R1939">
        <f>3513.11</f>
        <v>3513.11</v>
      </c>
      <c r="S1939">
        <f>1942.08</f>
        <v>1942.08</v>
      </c>
      <c r="T1939">
        <f>3038.914</f>
        <v>3038.9140000000002</v>
      </c>
      <c r="U1939">
        <f>47210.42</f>
        <v>47210.42</v>
      </c>
      <c r="V1939">
        <f>259.76</f>
        <v>259.76</v>
      </c>
    </row>
    <row r="1940" spans="1:22" x14ac:dyDescent="0.2">
      <c r="A1940" s="1">
        <v>42391</v>
      </c>
      <c r="B1940">
        <f>2569.72</f>
        <v>2569.7199999999998</v>
      </c>
      <c r="C1940">
        <f>6156.11</f>
        <v>6156.11</v>
      </c>
      <c r="D1940">
        <f>4625.36</f>
        <v>4625.3599999999997</v>
      </c>
      <c r="E1940">
        <f>1468.197</f>
        <v>1468.1969999999999</v>
      </c>
      <c r="F1940">
        <f>1497.93</f>
        <v>1497.93</v>
      </c>
      <c r="G1940">
        <f>6687.897</f>
        <v>6687.8969999999999</v>
      </c>
      <c r="H1940">
        <f>2407.84</f>
        <v>2407.84</v>
      </c>
      <c r="I1940">
        <f>7565.625</f>
        <v>7565.625</v>
      </c>
      <c r="J1940">
        <f>2677.22</f>
        <v>2677.22</v>
      </c>
      <c r="K1940">
        <f>7405.12</f>
        <v>7405.12</v>
      </c>
      <c r="L1940">
        <f>1449.46</f>
        <v>1449.46</v>
      </c>
      <c r="M1940">
        <f>5882.84</f>
        <v>5882.84</v>
      </c>
      <c r="N1940">
        <f>281.824</f>
        <v>281.82400000000001</v>
      </c>
      <c r="O1940">
        <f>2356.86</f>
        <v>2356.86</v>
      </c>
      <c r="P1940">
        <f>193.25</f>
        <v>193.25</v>
      </c>
      <c r="Q1940">
        <f>1714.96</f>
        <v>1714.96</v>
      </c>
      <c r="R1940">
        <f>3568.9</f>
        <v>3568.9</v>
      </c>
      <c r="S1940">
        <f>1916.37</f>
        <v>1916.37</v>
      </c>
      <c r="T1940">
        <f>3054.883</f>
        <v>3054.8829999999998</v>
      </c>
      <c r="U1940">
        <f>47661.87</f>
        <v>47661.87</v>
      </c>
      <c r="V1940">
        <f>259.87</f>
        <v>259.87</v>
      </c>
    </row>
    <row r="1941" spans="1:22" x14ac:dyDescent="0.2">
      <c r="A1941" s="1">
        <v>42390</v>
      </c>
      <c r="B1941">
        <f>2525.92</f>
        <v>2525.92</v>
      </c>
      <c r="C1941">
        <f>5922.43</f>
        <v>5922.43</v>
      </c>
      <c r="D1941">
        <f>4526.41</f>
        <v>4526.41</v>
      </c>
      <c r="E1941">
        <f>1422.452</f>
        <v>1422.452</v>
      </c>
      <c r="F1941">
        <f>1452.02</f>
        <v>1452.02</v>
      </c>
      <c r="G1941">
        <f>6453.907</f>
        <v>6453.9070000000002</v>
      </c>
      <c r="H1941">
        <f>2311.25</f>
        <v>2311.25</v>
      </c>
      <c r="I1941">
        <f>7361.336</f>
        <v>7361.3360000000002</v>
      </c>
      <c r="J1941">
        <f>2629.94</f>
        <v>2629.94</v>
      </c>
      <c r="K1941">
        <f>7254.58</f>
        <v>7254.58</v>
      </c>
      <c r="L1941">
        <f>1415.28</f>
        <v>1415.28</v>
      </c>
      <c r="M1941">
        <f>5733.68</f>
        <v>5733.68</v>
      </c>
      <c r="N1941">
        <f>274.47</f>
        <v>274.47000000000003</v>
      </c>
      <c r="O1941">
        <f>2290.85</f>
        <v>2290.85</v>
      </c>
      <c r="P1941">
        <f>184.41</f>
        <v>184.41</v>
      </c>
      <c r="Q1941">
        <f>1685.51</f>
        <v>1685.51</v>
      </c>
      <c r="R1941">
        <f>3497.94</f>
        <v>3497.94</v>
      </c>
      <c r="S1941">
        <f>1814.99</f>
        <v>1814.99</v>
      </c>
      <c r="T1941">
        <f>2965.137</f>
        <v>2965.1370000000002</v>
      </c>
      <c r="U1941">
        <f>46282.02</f>
        <v>46282.02</v>
      </c>
      <c r="V1941">
        <f>251.12</f>
        <v>251.12</v>
      </c>
    </row>
    <row r="1942" spans="1:22" x14ac:dyDescent="0.2">
      <c r="A1942" s="1">
        <v>42389</v>
      </c>
      <c r="B1942">
        <f>2479.41</f>
        <v>2479.41</v>
      </c>
      <c r="C1942">
        <f>5970.41</f>
        <v>5970.41</v>
      </c>
      <c r="D1942">
        <f>4446.07</f>
        <v>4446.07</v>
      </c>
      <c r="E1942">
        <f>1431.163</f>
        <v>1431.163</v>
      </c>
      <c r="F1942">
        <f>1417.8</f>
        <v>1417.8</v>
      </c>
      <c r="G1942">
        <f>6361.056</f>
        <v>6361.0559999999996</v>
      </c>
      <c r="H1942">
        <f>2395.27</f>
        <v>2395.27</v>
      </c>
      <c r="I1942">
        <f>7271.035</f>
        <v>7271.0349999999999</v>
      </c>
      <c r="J1942">
        <f>2613.55</f>
        <v>2613.5500000000002</v>
      </c>
      <c r="K1942">
        <f>7219.79</f>
        <v>7219.79</v>
      </c>
      <c r="L1942">
        <f>1402.32</f>
        <v>1402.32</v>
      </c>
      <c r="M1942">
        <f>5709.87</f>
        <v>5709.87</v>
      </c>
      <c r="N1942">
        <f>268.818</f>
        <v>268.81799999999998</v>
      </c>
      <c r="O1942">
        <f>2241.15</f>
        <v>2241.15</v>
      </c>
      <c r="P1942">
        <f>189.49</f>
        <v>189.49</v>
      </c>
      <c r="Q1942">
        <f>1676.62</f>
        <v>1676.62</v>
      </c>
      <c r="R1942">
        <f>3479.75</f>
        <v>3479.75</v>
      </c>
      <c r="S1942">
        <f>1867.25</f>
        <v>1867.25</v>
      </c>
      <c r="T1942">
        <f>2966.477</f>
        <v>2966.4769999999999</v>
      </c>
      <c r="U1942">
        <f>46329.78</f>
        <v>46329.78</v>
      </c>
      <c r="V1942">
        <f>250.97</f>
        <v>250.97</v>
      </c>
    </row>
    <row r="1943" spans="1:22" x14ac:dyDescent="0.2">
      <c r="A1943" s="1">
        <v>42388</v>
      </c>
      <c r="B1943">
        <f>2565.73</f>
        <v>2565.73</v>
      </c>
      <c r="C1943">
        <f>6165.71</f>
        <v>6165.71</v>
      </c>
      <c r="D1943">
        <f>4605.32</f>
        <v>4605.32</v>
      </c>
      <c r="E1943">
        <f>1475.827</f>
        <v>1475.827</v>
      </c>
      <c r="F1943">
        <f>1471.92</f>
        <v>1471.92</v>
      </c>
      <c r="G1943">
        <f>6569.52</f>
        <v>6569.52</v>
      </c>
      <c r="H1943">
        <f>2441.92</f>
        <v>2441.92</v>
      </c>
      <c r="I1943">
        <f>7515.67</f>
        <v>7515.67</v>
      </c>
      <c r="J1943">
        <f>2656.4</f>
        <v>2656.4</v>
      </c>
      <c r="K1943">
        <f>7302.06</f>
        <v>7302.06</v>
      </c>
      <c r="L1943">
        <f>1437.2</f>
        <v>1437.2</v>
      </c>
      <c r="M1943">
        <f>5819.45</f>
        <v>5819.45</v>
      </c>
      <c r="N1943">
        <f>277.415</f>
        <v>277.41500000000002</v>
      </c>
      <c r="O1943">
        <f>2318.76</f>
        <v>2318.7600000000002</v>
      </c>
      <c r="P1943">
        <f>195.11</f>
        <v>195.11</v>
      </c>
      <c r="Q1943">
        <f>1695.3</f>
        <v>1695.3</v>
      </c>
      <c r="R1943">
        <f>3520.4</f>
        <v>3520.4</v>
      </c>
      <c r="S1943">
        <f>1938.99</f>
        <v>1938.99</v>
      </c>
      <c r="T1943">
        <f>3028.329</f>
        <v>3028.3290000000002</v>
      </c>
      <c r="U1943">
        <f>47627.76</f>
        <v>47627.76</v>
      </c>
      <c r="V1943">
        <f>257.21</f>
        <v>257.20999999999998</v>
      </c>
    </row>
    <row r="1944" spans="1:22" x14ac:dyDescent="0.2">
      <c r="A1944" s="1">
        <v>42387</v>
      </c>
      <c r="B1944">
        <f>2529.7</f>
        <v>2529.6999999999998</v>
      </c>
      <c r="C1944">
        <f>6063.27</f>
        <v>6063.27</v>
      </c>
      <c r="D1944">
        <f>4529.4</f>
        <v>4529.3999999999996</v>
      </c>
      <c r="E1944">
        <f>1453.175</f>
        <v>1453.175</v>
      </c>
      <c r="F1944">
        <f>1460.8</f>
        <v>1460.8</v>
      </c>
      <c r="G1944">
        <f>6524.681</f>
        <v>6524.6809999999996</v>
      </c>
      <c r="H1944">
        <f>2441.09</f>
        <v>2441.09</v>
      </c>
      <c r="I1944">
        <f>7378.69</f>
        <v>7378.69</v>
      </c>
      <c r="J1944">
        <f>2650</f>
        <v>2650</v>
      </c>
      <c r="K1944">
        <f>7303.57</f>
        <v>7303.57</v>
      </c>
      <c r="L1944">
        <f>1426.41</f>
        <v>1426.41</v>
      </c>
      <c r="M1944">
        <f>5794.76</f>
        <v>5794.76</v>
      </c>
      <c r="N1944">
        <f>275.617</f>
        <v>275.61700000000002</v>
      </c>
      <c r="O1944">
        <f>2287.59</f>
        <v>2287.59</v>
      </c>
      <c r="P1944">
        <f>195.74</f>
        <v>195.74</v>
      </c>
      <c r="Q1944" t="e">
        <f>NA()</f>
        <v>#N/A</v>
      </c>
      <c r="R1944" t="e">
        <f>NA()</f>
        <v>#N/A</v>
      </c>
      <c r="S1944">
        <f>1935.53</f>
        <v>1935.53</v>
      </c>
      <c r="T1944">
        <f>2973.691</f>
        <v>2973.6909999999998</v>
      </c>
      <c r="U1944">
        <f>46876.62</f>
        <v>46876.62</v>
      </c>
      <c r="V1944">
        <f>253.26</f>
        <v>253.26</v>
      </c>
    </row>
    <row r="1945" spans="1:22" x14ac:dyDescent="0.2">
      <c r="A1945" s="1">
        <v>42384</v>
      </c>
      <c r="B1945">
        <f>2550.46</f>
        <v>2550.46</v>
      </c>
      <c r="C1945">
        <f>6142.18</f>
        <v>6142.18</v>
      </c>
      <c r="D1945">
        <f>4548.34</f>
        <v>4548.34</v>
      </c>
      <c r="E1945">
        <f>1465.108</f>
        <v>1465.1079999999999</v>
      </c>
      <c r="F1945">
        <f>1475.27</f>
        <v>1475.27</v>
      </c>
      <c r="G1945">
        <f>6567.683</f>
        <v>6567.683</v>
      </c>
      <c r="H1945">
        <f>2468.39</f>
        <v>2468.39</v>
      </c>
      <c r="I1945">
        <f>7465.412</f>
        <v>7465.4120000000003</v>
      </c>
      <c r="J1945">
        <f>2650</f>
        <v>2650</v>
      </c>
      <c r="K1945">
        <f>7303.57</f>
        <v>7303.57</v>
      </c>
      <c r="L1945">
        <f>1432.74</f>
        <v>1432.74</v>
      </c>
      <c r="M1945">
        <f>5821.34</f>
        <v>5821.34</v>
      </c>
      <c r="N1945">
        <f>275.821</f>
        <v>275.82100000000003</v>
      </c>
      <c r="O1945">
        <f>2293.42</f>
        <v>2293.42</v>
      </c>
      <c r="P1945">
        <f>197.52</f>
        <v>197.52</v>
      </c>
      <c r="Q1945">
        <f>1693.4</f>
        <v>1693.4</v>
      </c>
      <c r="R1945">
        <f>3518.51</f>
        <v>3518.51</v>
      </c>
      <c r="S1945">
        <f>1955.78</f>
        <v>1955.78</v>
      </c>
      <c r="T1945">
        <f>2983.385</f>
        <v>2983.3850000000002</v>
      </c>
      <c r="U1945">
        <f>46960.37</f>
        <v>46960.37</v>
      </c>
      <c r="V1945">
        <f>254.36</f>
        <v>254.36</v>
      </c>
    </row>
    <row r="1946" spans="1:22" x14ac:dyDescent="0.2">
      <c r="A1946" s="1">
        <v>42383</v>
      </c>
      <c r="B1946">
        <f>2604.04</f>
        <v>2604.04</v>
      </c>
      <c r="C1946">
        <f>6307.68</f>
        <v>6307.68</v>
      </c>
      <c r="D1946">
        <f>4637.79</f>
        <v>4637.79</v>
      </c>
      <c r="E1946">
        <f>1493.944</f>
        <v>1493.944</v>
      </c>
      <c r="F1946">
        <f>1521.89</f>
        <v>1521.89</v>
      </c>
      <c r="G1946">
        <f>6734.666</f>
        <v>6734.6660000000002</v>
      </c>
      <c r="H1946">
        <f>2448.53</f>
        <v>2448.5300000000002</v>
      </c>
      <c r="I1946">
        <f>7582.924</f>
        <v>7582.924</v>
      </c>
      <c r="J1946">
        <f>2704.82</f>
        <v>2704.82</v>
      </c>
      <c r="K1946">
        <f>7464.27</f>
        <v>7464.27</v>
      </c>
      <c r="L1946">
        <f>1457.44</f>
        <v>1457.44</v>
      </c>
      <c r="M1946">
        <f>5928.57</f>
        <v>5928.57</v>
      </c>
      <c r="N1946">
        <f>283.978</f>
        <v>283.97800000000001</v>
      </c>
      <c r="O1946">
        <f>2361.61</f>
        <v>2361.61</v>
      </c>
      <c r="P1946">
        <f>196.17</f>
        <v>196.17</v>
      </c>
      <c r="Q1946">
        <f>1714.51</f>
        <v>1714.51</v>
      </c>
      <c r="R1946">
        <f>3596.03</f>
        <v>3596.03</v>
      </c>
      <c r="S1946">
        <f>1961.49</f>
        <v>1961.49</v>
      </c>
      <c r="T1946">
        <f>3070.109</f>
        <v>3070.1089999999999</v>
      </c>
      <c r="U1946">
        <f>47697.53</f>
        <v>47697.53</v>
      </c>
      <c r="V1946">
        <f>259.91</f>
        <v>259.91000000000003</v>
      </c>
    </row>
    <row r="1947" spans="1:22" x14ac:dyDescent="0.2">
      <c r="A1947" s="1">
        <v>42382</v>
      </c>
      <c r="B1947">
        <f>2619.23</f>
        <v>2619.23</v>
      </c>
      <c r="C1947">
        <f>6379.8</f>
        <v>6379.8</v>
      </c>
      <c r="D1947">
        <f>4671.22</f>
        <v>4671.22</v>
      </c>
      <c r="E1947">
        <f>1507.183</f>
        <v>1507.183</v>
      </c>
      <c r="F1947">
        <f>1520.85</f>
        <v>1520.85</v>
      </c>
      <c r="G1947">
        <f>6800.993</f>
        <v>6800.9930000000004</v>
      </c>
      <c r="H1947">
        <f>2503.26</f>
        <v>2503.2600000000002</v>
      </c>
      <c r="I1947">
        <f>7717.744</f>
        <v>7717.7439999999997</v>
      </c>
      <c r="J1947">
        <f>2658.54</f>
        <v>2658.54</v>
      </c>
      <c r="K1947">
        <f>7343.61</f>
        <v>7343.61</v>
      </c>
      <c r="L1947">
        <f>1451.19</f>
        <v>1451.19</v>
      </c>
      <c r="M1947">
        <f>5910.21</f>
        <v>5910.21</v>
      </c>
      <c r="N1947">
        <f>287.884</f>
        <v>287.88400000000001</v>
      </c>
      <c r="O1947">
        <f>2396.69</f>
        <v>2396.69</v>
      </c>
      <c r="P1947">
        <f>199.64</f>
        <v>199.64</v>
      </c>
      <c r="Q1947">
        <f>1694.51</f>
        <v>1694.51</v>
      </c>
      <c r="R1947">
        <f>3536.92</f>
        <v>3536.92</v>
      </c>
      <c r="S1947">
        <f>2011.05</f>
        <v>2011.05</v>
      </c>
      <c r="T1947">
        <f>3118.579</f>
        <v>3118.5790000000002</v>
      </c>
      <c r="U1947">
        <f>48412.8</f>
        <v>48412.800000000003</v>
      </c>
      <c r="V1947">
        <f>262.82</f>
        <v>262.82</v>
      </c>
    </row>
    <row r="1948" spans="1:22" x14ac:dyDescent="0.2">
      <c r="A1948" s="1">
        <v>42381</v>
      </c>
      <c r="B1948">
        <f>2607.52</f>
        <v>2607.52</v>
      </c>
      <c r="C1948">
        <f>6325.73</f>
        <v>6325.73</v>
      </c>
      <c r="D1948">
        <f>4646.35</f>
        <v>4646.3500000000004</v>
      </c>
      <c r="E1948">
        <f>1494.077</f>
        <v>1494.077</v>
      </c>
      <c r="F1948">
        <f>1499.98</f>
        <v>1499.98</v>
      </c>
      <c r="G1948">
        <f>6727.365</f>
        <v>6727.3649999999998</v>
      </c>
      <c r="H1948">
        <f>2445.11</f>
        <v>2445.11</v>
      </c>
      <c r="I1948">
        <f>7682.892</f>
        <v>7682.8919999999998</v>
      </c>
      <c r="J1948">
        <f>2703.3</f>
        <v>2703.3</v>
      </c>
      <c r="K1948">
        <f>7533.91</f>
        <v>7533.91</v>
      </c>
      <c r="L1948">
        <f>1455.83</f>
        <v>1455.83</v>
      </c>
      <c r="M1948">
        <f>5976.38</f>
        <v>5976.38</v>
      </c>
      <c r="N1948">
        <f>286.214</f>
        <v>286.214</v>
      </c>
      <c r="O1948">
        <f>2385.62</f>
        <v>2385.62</v>
      </c>
      <c r="P1948">
        <f>194.22</f>
        <v>194.22</v>
      </c>
      <c r="Q1948">
        <f>1726.65</f>
        <v>1726.65</v>
      </c>
      <c r="R1948">
        <f>3627.06</f>
        <v>3627.06</v>
      </c>
      <c r="S1948">
        <f>1955.08</f>
        <v>1955.08</v>
      </c>
      <c r="T1948">
        <f>3084.898</f>
        <v>3084.8980000000001</v>
      </c>
      <c r="U1948">
        <f>48396.18</f>
        <v>48396.18</v>
      </c>
      <c r="V1948">
        <f>258.29</f>
        <v>258.29000000000002</v>
      </c>
    </row>
    <row r="1949" spans="1:22" x14ac:dyDescent="0.2">
      <c r="A1949" s="1">
        <v>42380</v>
      </c>
      <c r="B1949">
        <f>2588.13</f>
        <v>2588.13</v>
      </c>
      <c r="C1949">
        <f>6311.74</f>
        <v>6311.74</v>
      </c>
      <c r="D1949">
        <f>4601.37</f>
        <v>4601.37</v>
      </c>
      <c r="E1949">
        <f>1494.365</f>
        <v>1494.365</v>
      </c>
      <c r="F1949">
        <f>1518.78</f>
        <v>1518.78</v>
      </c>
      <c r="G1949">
        <f>6738.326</f>
        <v>6738.326</v>
      </c>
      <c r="H1949">
        <f>2521.82</f>
        <v>2521.8200000000002</v>
      </c>
      <c r="I1949">
        <f>7605.615</f>
        <v>7605.6149999999998</v>
      </c>
      <c r="J1949">
        <f>2688.44</f>
        <v>2688.44</v>
      </c>
      <c r="K1949">
        <f>7477.53</f>
        <v>7477.53</v>
      </c>
      <c r="L1949">
        <f>1450.95</f>
        <v>1450.95</v>
      </c>
      <c r="M1949">
        <f>5960.54</f>
        <v>5960.54</v>
      </c>
      <c r="N1949">
        <f>284.246</f>
        <v>284.24599999999998</v>
      </c>
      <c r="O1949">
        <f>2362.99</f>
        <v>2362.9899999999998</v>
      </c>
      <c r="P1949" t="e">
        <f>NA()</f>
        <v>#N/A</v>
      </c>
      <c r="Q1949">
        <f>1710.92</f>
        <v>1710.92</v>
      </c>
      <c r="R1949">
        <f>3598.97</f>
        <v>3598.97</v>
      </c>
      <c r="S1949" t="e">
        <f>NA()</f>
        <v>#N/A</v>
      </c>
      <c r="T1949">
        <f>3052.751</f>
        <v>3052.7510000000002</v>
      </c>
      <c r="U1949">
        <f>48322.68</f>
        <v>48322.68</v>
      </c>
      <c r="V1949">
        <f>254.93</f>
        <v>254.93</v>
      </c>
    </row>
    <row r="1950" spans="1:22" x14ac:dyDescent="0.2">
      <c r="A1950" s="1">
        <v>42377</v>
      </c>
      <c r="B1950">
        <f>2609.23</f>
        <v>2609.23</v>
      </c>
      <c r="C1950">
        <f>6489.32</f>
        <v>6489.32</v>
      </c>
      <c r="D1950">
        <f>4633.19</f>
        <v>4633.1899999999996</v>
      </c>
      <c r="E1950">
        <f>1528.845</f>
        <v>1528.845</v>
      </c>
      <c r="F1950">
        <f>1536.6</f>
        <v>1536.6</v>
      </c>
      <c r="G1950">
        <f>6789.148</f>
        <v>6789.1480000000001</v>
      </c>
      <c r="H1950">
        <f>2513.9</f>
        <v>2513.9</v>
      </c>
      <c r="I1950">
        <f>7668.493</f>
        <v>7668.4930000000004</v>
      </c>
      <c r="J1950">
        <f>2682.07</f>
        <v>2682.07</v>
      </c>
      <c r="K1950">
        <f>7474.97</f>
        <v>7474.97</v>
      </c>
      <c r="L1950">
        <f>1456</f>
        <v>1456</v>
      </c>
      <c r="M1950">
        <f>5975.38</f>
        <v>5975.38</v>
      </c>
      <c r="N1950">
        <f>286.137</f>
        <v>286.137</v>
      </c>
      <c r="O1950">
        <f>2371.47</f>
        <v>2371.4699999999998</v>
      </c>
      <c r="P1950">
        <f>200.14</f>
        <v>200.14</v>
      </c>
      <c r="Q1950">
        <f>1714.73</f>
        <v>1714.73</v>
      </c>
      <c r="R1950">
        <f>3595.91</f>
        <v>3595.91</v>
      </c>
      <c r="S1950">
        <f>2018.35</f>
        <v>2018.35</v>
      </c>
      <c r="T1950">
        <f>3078.488</f>
        <v>3078.4879999999998</v>
      </c>
      <c r="U1950">
        <f>48104.68</f>
        <v>48104.68</v>
      </c>
      <c r="V1950">
        <f>256.21</f>
        <v>256.20999999999998</v>
      </c>
    </row>
    <row r="1951" spans="1:22" x14ac:dyDescent="0.2">
      <c r="A1951" s="1">
        <v>42376</v>
      </c>
      <c r="B1951">
        <f>2630.09</f>
        <v>2630.09</v>
      </c>
      <c r="C1951">
        <f>6475.51</f>
        <v>6475.51</v>
      </c>
      <c r="D1951">
        <f>4665.82</f>
        <v>4665.82</v>
      </c>
      <c r="E1951">
        <f>1526.331</f>
        <v>1526.3309999999999</v>
      </c>
      <c r="F1951">
        <f>1547.68</f>
        <v>1547.68</v>
      </c>
      <c r="G1951">
        <f>6852.046</f>
        <v>6852.0460000000003</v>
      </c>
      <c r="H1951">
        <f>2515.27</f>
        <v>2515.27</v>
      </c>
      <c r="I1951">
        <f>7736.624</f>
        <v>7736.6239999999998</v>
      </c>
      <c r="J1951">
        <f>2710.23</f>
        <v>2710.23</v>
      </c>
      <c r="K1951">
        <f>7557.74</f>
        <v>7557.74</v>
      </c>
      <c r="L1951">
        <f>1469.52</f>
        <v>1469.52</v>
      </c>
      <c r="M1951">
        <f>6032.16</f>
        <v>6032.16</v>
      </c>
      <c r="N1951">
        <f>289.168</f>
        <v>289.16800000000001</v>
      </c>
      <c r="O1951">
        <f>2407.35</f>
        <v>2407.35</v>
      </c>
      <c r="P1951">
        <f>202.36</f>
        <v>202.36</v>
      </c>
      <c r="Q1951">
        <f>1733.9</f>
        <v>1733.9</v>
      </c>
      <c r="R1951">
        <f>3635.29</f>
        <v>3635.29</v>
      </c>
      <c r="S1951">
        <f>2033.16</f>
        <v>2033.16</v>
      </c>
      <c r="T1951">
        <f>3084.471</f>
        <v>3084.471</v>
      </c>
      <c r="U1951">
        <f>48052.78</f>
        <v>48052.78</v>
      </c>
      <c r="V1951">
        <f>257.94</f>
        <v>257.94</v>
      </c>
    </row>
    <row r="1952" spans="1:22" x14ac:dyDescent="0.2">
      <c r="A1952" s="1">
        <v>42375</v>
      </c>
      <c r="B1952">
        <f>2683.01</f>
        <v>2683.01</v>
      </c>
      <c r="C1952">
        <f>6652.22</f>
        <v>6652.22</v>
      </c>
      <c r="D1952">
        <f>4758.6</f>
        <v>4758.6000000000004</v>
      </c>
      <c r="E1952">
        <f>1569.538</f>
        <v>1569.538</v>
      </c>
      <c r="F1952">
        <f>1591.72</f>
        <v>1591.72</v>
      </c>
      <c r="G1952">
        <f>7006.584</f>
        <v>7006.5839999999998</v>
      </c>
      <c r="H1952">
        <f>2563.19</f>
        <v>2563.19</v>
      </c>
      <c r="I1952">
        <f>7825.635</f>
        <v>7825.6350000000002</v>
      </c>
      <c r="J1952">
        <f>2761.77</f>
        <v>2761.77</v>
      </c>
      <c r="K1952">
        <f>7742.7</f>
        <v>7742.7</v>
      </c>
      <c r="L1952">
        <f>1495.52</f>
        <v>1495.52</v>
      </c>
      <c r="M1952">
        <f>6161.51</f>
        <v>6161.51</v>
      </c>
      <c r="N1952">
        <f>296.542</f>
        <v>296.54199999999997</v>
      </c>
      <c r="O1952">
        <f>2463.54</f>
        <v>2463.54</v>
      </c>
      <c r="P1952">
        <f>204.75</f>
        <v>204.75</v>
      </c>
      <c r="Q1952">
        <f>1764.84</f>
        <v>1764.84</v>
      </c>
      <c r="R1952">
        <f>3723.44</f>
        <v>3723.44</v>
      </c>
      <c r="S1952">
        <f>2076.25</f>
        <v>2076.25</v>
      </c>
      <c r="T1952">
        <f>3153.087</f>
        <v>3153.087</v>
      </c>
      <c r="U1952">
        <f>49082.29</f>
        <v>49082.29</v>
      </c>
      <c r="V1952">
        <f>264.4</f>
        <v>264.39999999999998</v>
      </c>
    </row>
    <row r="1953" spans="1:22" x14ac:dyDescent="0.2">
      <c r="A1953" s="1">
        <v>42374</v>
      </c>
      <c r="B1953">
        <f>2707.78</f>
        <v>2707.78</v>
      </c>
      <c r="C1953">
        <f>6736.49</f>
        <v>6736.49</v>
      </c>
      <c r="D1953">
        <f>4808.64</f>
        <v>4808.6400000000003</v>
      </c>
      <c r="E1953">
        <f>1587.407</f>
        <v>1587.4069999999999</v>
      </c>
      <c r="F1953">
        <f>1616.6</f>
        <v>1616.6</v>
      </c>
      <c r="G1953">
        <f>7100.481</f>
        <v>7100.4809999999998</v>
      </c>
      <c r="H1953">
        <f>2579.67</f>
        <v>2579.67</v>
      </c>
      <c r="I1953">
        <f>7893.922</f>
        <v>7893.9219999999996</v>
      </c>
      <c r="J1953">
        <f>2794.54</f>
        <v>2794.54</v>
      </c>
      <c r="K1953">
        <f>7846.36</f>
        <v>7846.36</v>
      </c>
      <c r="L1953">
        <f>1511.58</f>
        <v>1511.58</v>
      </c>
      <c r="M1953">
        <f>6238.46</f>
        <v>6238.46</v>
      </c>
      <c r="N1953">
        <f>299.515</f>
        <v>299.51499999999999</v>
      </c>
      <c r="O1953">
        <f>2494.68</f>
        <v>2494.6799999999998</v>
      </c>
      <c r="P1953">
        <f>205.32</f>
        <v>205.32</v>
      </c>
      <c r="Q1953">
        <f>1788.06</f>
        <v>1788.06</v>
      </c>
      <c r="R1953">
        <f>3771.57</f>
        <v>3771.57</v>
      </c>
      <c r="S1953">
        <f>2098.39</f>
        <v>2098.39</v>
      </c>
      <c r="T1953">
        <f>3192.597</f>
        <v>3192.5970000000002</v>
      </c>
      <c r="U1953">
        <f>49599.72</f>
        <v>49599.72</v>
      </c>
      <c r="V1953">
        <f>268.74</f>
        <v>268.74</v>
      </c>
    </row>
    <row r="1954" spans="1:22" x14ac:dyDescent="0.2">
      <c r="A1954" s="1">
        <v>42373</v>
      </c>
      <c r="B1954">
        <f>2698.31</f>
        <v>2698.31</v>
      </c>
      <c r="C1954">
        <f>6722.85</f>
        <v>6722.85</v>
      </c>
      <c r="D1954">
        <f>4774.31</f>
        <v>4774.3100000000004</v>
      </c>
      <c r="E1954">
        <f>1585.968</f>
        <v>1585.9680000000001</v>
      </c>
      <c r="F1954">
        <f>1603.04</f>
        <v>1603.04</v>
      </c>
      <c r="G1954">
        <f>7069.926</f>
        <v>7069.9260000000004</v>
      </c>
      <c r="H1954">
        <f>2578.68</f>
        <v>2578.6799999999998</v>
      </c>
      <c r="I1954">
        <f>7926.088</f>
        <v>7926.0879999999997</v>
      </c>
      <c r="J1954">
        <f>2776.55</f>
        <v>2776.55</v>
      </c>
      <c r="K1954">
        <f>7831.4</f>
        <v>7831.4</v>
      </c>
      <c r="L1954">
        <f>1509.5</f>
        <v>1509.5</v>
      </c>
      <c r="M1954">
        <f>6239.38</f>
        <v>6239.38</v>
      </c>
      <c r="N1954">
        <f>296.587</f>
        <v>296.58699999999999</v>
      </c>
      <c r="O1954">
        <f>2479.91</f>
        <v>2479.91</v>
      </c>
      <c r="P1954">
        <f>204.66</f>
        <v>204.66</v>
      </c>
      <c r="Q1954">
        <f>1781.79</f>
        <v>1781.79</v>
      </c>
      <c r="R1954">
        <f>3763.99</f>
        <v>3763.99</v>
      </c>
      <c r="S1954">
        <f>2105.3</f>
        <v>2105.3000000000002</v>
      </c>
      <c r="T1954">
        <f>3167.529</f>
        <v>3167.529</v>
      </c>
      <c r="U1954">
        <f>49316.61</f>
        <v>49316.61</v>
      </c>
      <c r="V1954">
        <f>265.74</f>
        <v>265.74</v>
      </c>
    </row>
    <row r="1955" spans="1:22" x14ac:dyDescent="0.2">
      <c r="A1955" s="1">
        <v>42370</v>
      </c>
      <c r="B1955">
        <f>2755.82</f>
        <v>2755.82</v>
      </c>
      <c r="C1955">
        <f>6951.71</f>
        <v>6951.71</v>
      </c>
      <c r="D1955">
        <f>4890.97</f>
        <v>4890.97</v>
      </c>
      <c r="E1955">
        <f>1640.449</f>
        <v>1640.4490000000001</v>
      </c>
      <c r="F1955">
        <f>1645.09</f>
        <v>1645.09</v>
      </c>
      <c r="G1955">
        <f>7266.841</f>
        <v>7266.8410000000003</v>
      </c>
      <c r="H1955">
        <f>2619.91</f>
        <v>2619.91</v>
      </c>
      <c r="I1955">
        <f>8187.484</f>
        <v>8187.4840000000004</v>
      </c>
      <c r="J1955">
        <f>2807.49</f>
        <v>2807.49</v>
      </c>
      <c r="K1955">
        <f>7950.97</f>
        <v>7950.97</v>
      </c>
      <c r="L1955">
        <f>1536.19</f>
        <v>1536.19</v>
      </c>
      <c r="M1955">
        <f>6360.58</f>
        <v>6360.58</v>
      </c>
      <c r="N1955" t="e">
        <f>NA()</f>
        <v>#N/A</v>
      </c>
      <c r="O1955" t="e">
        <f>NA()</f>
        <v>#N/A</v>
      </c>
      <c r="P1955" t="e">
        <f>NA()</f>
        <v>#N/A</v>
      </c>
      <c r="Q1955" t="e">
        <f>NA()</f>
        <v>#N/A</v>
      </c>
      <c r="R1955" t="e">
        <f>NA()</f>
        <v>#N/A</v>
      </c>
      <c r="S1955" t="e">
        <f>NA()</f>
        <v>#N/A</v>
      </c>
      <c r="T1955" t="e">
        <f>NA()</f>
        <v>#N/A</v>
      </c>
      <c r="U1955" t="e">
        <f>NA()</f>
        <v>#N/A</v>
      </c>
      <c r="V1955" t="e">
        <f>NA()</f>
        <v>#N/A</v>
      </c>
    </row>
    <row r="1956" spans="1:22" x14ac:dyDescent="0.2">
      <c r="A1956" s="1">
        <v>42369</v>
      </c>
      <c r="B1956">
        <f>2755.82</f>
        <v>2755.82</v>
      </c>
      <c r="C1956">
        <f>6950.99</f>
        <v>6950.99</v>
      </c>
      <c r="D1956">
        <f>4890.97</f>
        <v>4890.97</v>
      </c>
      <c r="E1956">
        <f>1640.296</f>
        <v>1640.296</v>
      </c>
      <c r="F1956">
        <f>1645.09</f>
        <v>1645.09</v>
      </c>
      <c r="G1956">
        <f>7266.841</f>
        <v>7266.8410000000003</v>
      </c>
      <c r="H1956">
        <f>2619.91</f>
        <v>2619.91</v>
      </c>
      <c r="I1956">
        <f>8187.484</f>
        <v>8187.4840000000004</v>
      </c>
      <c r="J1956">
        <f>2807.49</f>
        <v>2807.49</v>
      </c>
      <c r="K1956">
        <f>7950.97</f>
        <v>7950.97</v>
      </c>
      <c r="L1956">
        <f>1536.19</f>
        <v>1536.19</v>
      </c>
      <c r="M1956">
        <f>6360.58</f>
        <v>6360.58</v>
      </c>
      <c r="N1956">
        <f>302.688</f>
        <v>302.68799999999999</v>
      </c>
      <c r="O1956">
        <f>2544.13</f>
        <v>2544.13</v>
      </c>
      <c r="P1956" t="e">
        <f>NA()</f>
        <v>#N/A</v>
      </c>
      <c r="Q1956">
        <f>1810.23</f>
        <v>1810.23</v>
      </c>
      <c r="R1956">
        <f>3821.6</f>
        <v>3821.6</v>
      </c>
      <c r="S1956" t="e">
        <f>NA()</f>
        <v>#N/A</v>
      </c>
      <c r="T1956">
        <f>3270.97</f>
        <v>3270.97</v>
      </c>
      <c r="U1956">
        <f>50693.76</f>
        <v>50693.760000000002</v>
      </c>
      <c r="V1956">
        <f>274.22</f>
        <v>274.22000000000003</v>
      </c>
    </row>
    <row r="1957" spans="1:22" x14ac:dyDescent="0.2">
      <c r="A1957" s="1">
        <v>42368</v>
      </c>
      <c r="B1957">
        <f>2769.07</f>
        <v>2769.07</v>
      </c>
      <c r="C1957">
        <f>6942.93</f>
        <v>6942.93</v>
      </c>
      <c r="D1957">
        <f>4915.48</f>
        <v>4915.4799999999996</v>
      </c>
      <c r="E1957">
        <f>1634.784</f>
        <v>1634.7840000000001</v>
      </c>
      <c r="F1957">
        <f>1660.58</f>
        <v>1660.58</v>
      </c>
      <c r="G1957">
        <f>7350.612</f>
        <v>7350.6120000000001</v>
      </c>
      <c r="H1957">
        <f>2613.94</f>
        <v>2613.94</v>
      </c>
      <c r="I1957">
        <f>8264.602</f>
        <v>8264.6020000000008</v>
      </c>
      <c r="J1957">
        <f>2836.96</f>
        <v>2836.96</v>
      </c>
      <c r="K1957">
        <f>8023.62</f>
        <v>8023.62</v>
      </c>
      <c r="L1957">
        <f>1550.52</f>
        <v>1550.52</v>
      </c>
      <c r="M1957">
        <f>6412.58</f>
        <v>6412.58</v>
      </c>
      <c r="N1957">
        <f>305.267</f>
        <v>305.267</v>
      </c>
      <c r="O1957">
        <f>2558.65</f>
        <v>2558.65</v>
      </c>
      <c r="P1957">
        <f>209.3</f>
        <v>209.3</v>
      </c>
      <c r="Q1957">
        <f>1828.85</f>
        <v>1828.85</v>
      </c>
      <c r="R1957">
        <f>3857.9</f>
        <v>3857.9</v>
      </c>
      <c r="S1957">
        <f>2157.78</f>
        <v>2157.7800000000002</v>
      </c>
      <c r="T1957">
        <f>3284.507</f>
        <v>3284.5070000000001</v>
      </c>
      <c r="U1957">
        <f>50805.13</f>
        <v>50805.13</v>
      </c>
      <c r="V1957">
        <f>275.8</f>
        <v>275.8</v>
      </c>
    </row>
    <row r="1958" spans="1:22" x14ac:dyDescent="0.2">
      <c r="A1958" s="1">
        <v>42367</v>
      </c>
      <c r="B1958">
        <f>2788</f>
        <v>2788</v>
      </c>
      <c r="C1958">
        <f>7040.19</f>
        <v>7040.19</v>
      </c>
      <c r="D1958">
        <f>4947.23</f>
        <v>4947.2299999999996</v>
      </c>
      <c r="E1958">
        <f>1651.77</f>
        <v>1651.77</v>
      </c>
      <c r="F1958">
        <f>1667.96</f>
        <v>1667.96</v>
      </c>
      <c r="G1958">
        <f>7379.819</f>
        <v>7379.8190000000004</v>
      </c>
      <c r="H1958">
        <f>2613.74</f>
        <v>2613.7399999999998</v>
      </c>
      <c r="I1958">
        <f>8311.012</f>
        <v>8311.0120000000006</v>
      </c>
      <c r="J1958">
        <f>2853.04</f>
        <v>2853.04</v>
      </c>
      <c r="K1958">
        <f>8080.63</f>
        <v>8080.63</v>
      </c>
      <c r="L1958">
        <f>1558.66</f>
        <v>1558.66</v>
      </c>
      <c r="M1958">
        <f>6447.31</f>
        <v>6447.31</v>
      </c>
      <c r="N1958">
        <f>306.006</f>
        <v>306.00599999999997</v>
      </c>
      <c r="O1958">
        <f>2572.24</f>
        <v>2572.2399999999998</v>
      </c>
      <c r="P1958">
        <f>208.72</f>
        <v>208.72</v>
      </c>
      <c r="Q1958">
        <f>1838.94</f>
        <v>1838.94</v>
      </c>
      <c r="R1958">
        <f>3885.55</f>
        <v>3885.55</v>
      </c>
      <c r="S1958">
        <f>2152.33</f>
        <v>2152.33</v>
      </c>
      <c r="T1958">
        <f>3309.811</f>
        <v>3309.8110000000001</v>
      </c>
      <c r="U1958">
        <f>50964.44</f>
        <v>50964.44</v>
      </c>
      <c r="V1958">
        <f>278.62</f>
        <v>278.62</v>
      </c>
    </row>
    <row r="1959" spans="1:22" x14ac:dyDescent="0.2">
      <c r="A1959" s="1">
        <v>42366</v>
      </c>
      <c r="B1959">
        <f>2770.03</f>
        <v>2770.03</v>
      </c>
      <c r="C1959">
        <f>7041.17</f>
        <v>7041.17</v>
      </c>
      <c r="D1959">
        <f>4900.28</f>
        <v>4900.28</v>
      </c>
      <c r="E1959">
        <f>1649.507</f>
        <v>1649.5070000000001</v>
      </c>
      <c r="F1959">
        <f>1666.94</f>
        <v>1666.94</v>
      </c>
      <c r="G1959">
        <f>7365.033</f>
        <v>7365.0330000000004</v>
      </c>
      <c r="H1959">
        <f>2602.58</f>
        <v>2602.58</v>
      </c>
      <c r="I1959">
        <f>8223.634</f>
        <v>8223.634</v>
      </c>
      <c r="J1959">
        <f>2826.62</f>
        <v>2826.62</v>
      </c>
      <c r="K1959">
        <f>7995.08</f>
        <v>7995.08</v>
      </c>
      <c r="L1959">
        <f>1545.42</f>
        <v>1545.42</v>
      </c>
      <c r="M1959">
        <f>6387.76</f>
        <v>6387.76</v>
      </c>
      <c r="N1959">
        <f>301.543</f>
        <v>301.54300000000001</v>
      </c>
      <c r="O1959">
        <f>2535.28</f>
        <v>2535.2800000000002</v>
      </c>
      <c r="P1959">
        <f>206.36</f>
        <v>206.36</v>
      </c>
      <c r="Q1959">
        <f>1822.77</f>
        <v>1822.77</v>
      </c>
      <c r="R1959">
        <f>3843.94</f>
        <v>3843.94</v>
      </c>
      <c r="S1959">
        <f>2132.57</f>
        <v>2132.5700000000002</v>
      </c>
      <c r="T1959">
        <f>3321.102</f>
        <v>3321.1019999999999</v>
      </c>
      <c r="U1959">
        <f>51188.72</f>
        <v>51188.72</v>
      </c>
      <c r="V1959">
        <f>279.16</f>
        <v>279.16000000000003</v>
      </c>
    </row>
    <row r="1960" spans="1:22" x14ac:dyDescent="0.2">
      <c r="A1960" s="1">
        <v>42363</v>
      </c>
      <c r="B1960">
        <f>2770.03</f>
        <v>2770.03</v>
      </c>
      <c r="C1960">
        <f>7073.49</f>
        <v>7073.49</v>
      </c>
      <c r="D1960">
        <f>4900.28</f>
        <v>4900.28</v>
      </c>
      <c r="E1960">
        <f>1657.67</f>
        <v>1657.67</v>
      </c>
      <c r="F1960">
        <f>1671.41</f>
        <v>1671.41</v>
      </c>
      <c r="G1960">
        <f>7384.804</f>
        <v>7384.8040000000001</v>
      </c>
      <c r="H1960">
        <f>2578.55</f>
        <v>2578.5500000000002</v>
      </c>
      <c r="I1960">
        <f>8256.761</f>
        <v>8256.7610000000004</v>
      </c>
      <c r="J1960">
        <f>2833.35</f>
        <v>2833.35</v>
      </c>
      <c r="K1960">
        <f>8012.36</f>
        <v>8012.36</v>
      </c>
      <c r="L1960">
        <f>1549.55</f>
        <v>1549.55</v>
      </c>
      <c r="M1960">
        <f>6398.15</f>
        <v>6398.15</v>
      </c>
      <c r="N1960" t="e">
        <f>NA()</f>
        <v>#N/A</v>
      </c>
      <c r="O1960" t="e">
        <f>NA()</f>
        <v>#N/A</v>
      </c>
      <c r="P1960">
        <f>204.48</f>
        <v>204.48</v>
      </c>
      <c r="Q1960" t="e">
        <f>NA()</f>
        <v>#N/A</v>
      </c>
      <c r="R1960" t="e">
        <f>NA()</f>
        <v>#N/A</v>
      </c>
      <c r="S1960">
        <f>2111.84</f>
        <v>2111.84</v>
      </c>
      <c r="T1960" t="e">
        <f>NA()</f>
        <v>#N/A</v>
      </c>
      <c r="U1960" t="e">
        <f>NA()</f>
        <v>#N/A</v>
      </c>
      <c r="V1960" t="e">
        <f>NA()</f>
        <v>#N/A</v>
      </c>
    </row>
    <row r="1961" spans="1:22" x14ac:dyDescent="0.2">
      <c r="A1961" s="1">
        <v>42362</v>
      </c>
      <c r="B1961">
        <f>2770.03</f>
        <v>2770.03</v>
      </c>
      <c r="C1961">
        <f>7075.6</f>
        <v>7075.6</v>
      </c>
      <c r="D1961">
        <f>4900.28</f>
        <v>4900.28</v>
      </c>
      <c r="E1961">
        <f>1657.201</f>
        <v>1657.201</v>
      </c>
      <c r="F1961">
        <f>1671.41</f>
        <v>1671.41</v>
      </c>
      <c r="G1961">
        <f>7384.804</f>
        <v>7384.8040000000001</v>
      </c>
      <c r="H1961">
        <f>2591.13</f>
        <v>2591.13</v>
      </c>
      <c r="I1961">
        <f>8256.761</f>
        <v>8256.7610000000004</v>
      </c>
      <c r="J1961">
        <f>2833.35</f>
        <v>2833.35</v>
      </c>
      <c r="K1961">
        <f>8012.36</f>
        <v>8012.36</v>
      </c>
      <c r="L1961">
        <f>1549.77</f>
        <v>1549.77</v>
      </c>
      <c r="M1961">
        <f>6400.83</f>
        <v>6400.83</v>
      </c>
      <c r="N1961">
        <f>302.767</f>
        <v>302.767</v>
      </c>
      <c r="O1961">
        <f>2550.11</f>
        <v>2550.11</v>
      </c>
      <c r="P1961">
        <f>205.2</f>
        <v>205.2</v>
      </c>
      <c r="Q1961">
        <f>1823.69</f>
        <v>1823.69</v>
      </c>
      <c r="R1961">
        <f>3852.31</f>
        <v>3852.31</v>
      </c>
      <c r="S1961">
        <f>2122.2</f>
        <v>2122.1999999999998</v>
      </c>
      <c r="T1961">
        <f>3335.04</f>
        <v>3335.04</v>
      </c>
      <c r="U1961">
        <f>51324.01</f>
        <v>51324.01</v>
      </c>
      <c r="V1961">
        <f>280.47</f>
        <v>280.47000000000003</v>
      </c>
    </row>
    <row r="1962" spans="1:22" x14ac:dyDescent="0.2">
      <c r="A1962" s="1">
        <v>42361</v>
      </c>
      <c r="B1962">
        <f>2760.89</f>
        <v>2760.89</v>
      </c>
      <c r="C1962">
        <f>7056.38</f>
        <v>7056.38</v>
      </c>
      <c r="D1962">
        <f>4888.32</f>
        <v>4888.32</v>
      </c>
      <c r="E1962">
        <f>1655.265</f>
        <v>1655.2650000000001</v>
      </c>
      <c r="F1962">
        <f>1660.59</f>
        <v>1660.59</v>
      </c>
      <c r="G1962">
        <f>7330.572</f>
        <v>7330.5720000000001</v>
      </c>
      <c r="H1962">
        <f>2585.93</f>
        <v>2585.9299999999998</v>
      </c>
      <c r="I1962">
        <f>8199.59</f>
        <v>8199.59</v>
      </c>
      <c r="J1962">
        <f>2839.43</f>
        <v>2839.43</v>
      </c>
      <c r="K1962">
        <f>8025.22</f>
        <v>8025.22</v>
      </c>
      <c r="L1962">
        <f>1546.13</f>
        <v>1546.13</v>
      </c>
      <c r="M1962">
        <f>6391.14</f>
        <v>6391.14</v>
      </c>
      <c r="N1962">
        <f>303.048</f>
        <v>303.048</v>
      </c>
      <c r="O1962">
        <f>2550</f>
        <v>2550</v>
      </c>
      <c r="P1962" t="e">
        <f>NA()</f>
        <v>#N/A</v>
      </c>
      <c r="Q1962">
        <f>1826.76</f>
        <v>1826.76</v>
      </c>
      <c r="R1962">
        <f>3858.47</f>
        <v>3858.47</v>
      </c>
      <c r="S1962" t="e">
        <f>NA()</f>
        <v>#N/A</v>
      </c>
      <c r="T1962">
        <f>3313.493</f>
        <v>3313.4929999999999</v>
      </c>
      <c r="U1962">
        <f>50839.81</f>
        <v>50839.81</v>
      </c>
      <c r="V1962">
        <f>278.21</f>
        <v>278.20999999999998</v>
      </c>
    </row>
    <row r="1963" spans="1:22" x14ac:dyDescent="0.2">
      <c r="A1963" s="1">
        <v>42360</v>
      </c>
      <c r="B1963">
        <f>2701.98</f>
        <v>2701.98</v>
      </c>
      <c r="C1963">
        <f>6940.25</f>
        <v>6940.25</v>
      </c>
      <c r="D1963">
        <f>4764.66</f>
        <v>4764.66</v>
      </c>
      <c r="E1963">
        <f>1637.469</f>
        <v>1637.4690000000001</v>
      </c>
      <c r="F1963">
        <f>1606.7</f>
        <v>1606.7</v>
      </c>
      <c r="G1963">
        <f>7121.5</f>
        <v>7121.5</v>
      </c>
      <c r="H1963">
        <f>2587.96</f>
        <v>2587.96</v>
      </c>
      <c r="I1963">
        <f>8079.778</f>
        <v>8079.7780000000002</v>
      </c>
      <c r="J1963">
        <f>2801.06</f>
        <v>2801.06</v>
      </c>
      <c r="K1963">
        <f>7924.75</f>
        <v>7924.75</v>
      </c>
      <c r="L1963">
        <f>1520.22</f>
        <v>1520.22</v>
      </c>
      <c r="M1963">
        <f>6309.22</f>
        <v>6309.22</v>
      </c>
      <c r="N1963">
        <f>293.878</f>
        <v>293.87799999999999</v>
      </c>
      <c r="O1963">
        <f>2480.16</f>
        <v>2480.16</v>
      </c>
      <c r="P1963">
        <f>207.56</f>
        <v>207.56</v>
      </c>
      <c r="Q1963">
        <f>1803.32</f>
        <v>1803.32</v>
      </c>
      <c r="R1963">
        <f>3810.85</f>
        <v>3810.85</v>
      </c>
      <c r="S1963">
        <f>2136.1</f>
        <v>2136.1</v>
      </c>
      <c r="T1963">
        <f>3234.316</f>
        <v>3234.3159999999998</v>
      </c>
      <c r="U1963">
        <f>49780.33</f>
        <v>49780.33</v>
      </c>
      <c r="V1963">
        <f>271.18</f>
        <v>271.18</v>
      </c>
    </row>
    <row r="1964" spans="1:22" x14ac:dyDescent="0.2">
      <c r="A1964" s="1">
        <v>42359</v>
      </c>
      <c r="B1964">
        <f>2681.84</f>
        <v>2681.84</v>
      </c>
      <c r="C1964">
        <f>6911.33</f>
        <v>6911.33</v>
      </c>
      <c r="D1964">
        <f>4726.85</f>
        <v>4726.8500000000004</v>
      </c>
      <c r="E1964">
        <f>1630.809</f>
        <v>1630.809</v>
      </c>
      <c r="F1964">
        <f>1598.74</f>
        <v>1598.74</v>
      </c>
      <c r="G1964">
        <f>7093.514</f>
        <v>7093.5140000000001</v>
      </c>
      <c r="H1964">
        <f>2578.72</f>
        <v>2578.7199999999998</v>
      </c>
      <c r="I1964">
        <f>8046.892</f>
        <v>8046.8919999999998</v>
      </c>
      <c r="J1964">
        <f>2773</f>
        <v>2773</v>
      </c>
      <c r="K1964">
        <f>7855.59</f>
        <v>7855.59</v>
      </c>
      <c r="L1964">
        <f>1509.84</f>
        <v>1509.84</v>
      </c>
      <c r="M1964">
        <f>6265.81</f>
        <v>6265.81</v>
      </c>
      <c r="N1964">
        <f>295.292</f>
        <v>295.29199999999997</v>
      </c>
      <c r="O1964">
        <f>2483.85</f>
        <v>2483.85</v>
      </c>
      <c r="P1964">
        <f>207.11</f>
        <v>207.11</v>
      </c>
      <c r="Q1964">
        <f>1783.21</f>
        <v>1783.21</v>
      </c>
      <c r="R1964">
        <f>3777.15</f>
        <v>3777.15</v>
      </c>
      <c r="S1964">
        <f>2132.86</f>
        <v>2132.86</v>
      </c>
      <c r="T1964">
        <f>3189.495</f>
        <v>3189.4949999999999</v>
      </c>
      <c r="U1964">
        <f>49189.99</f>
        <v>49189.99</v>
      </c>
      <c r="V1964">
        <f>266.28</f>
        <v>266.27999999999997</v>
      </c>
    </row>
    <row r="1965" spans="1:22" x14ac:dyDescent="0.2">
      <c r="A1965" s="1">
        <v>42356</v>
      </c>
      <c r="B1965">
        <f>2687.41</f>
        <v>2687.41</v>
      </c>
      <c r="C1965">
        <f>6905.6</f>
        <v>6905.6</v>
      </c>
      <c r="D1965">
        <f>4740.63</f>
        <v>4740.63</v>
      </c>
      <c r="E1965">
        <f>1627.21</f>
        <v>1627.21</v>
      </c>
      <c r="F1965">
        <f>1603.34</f>
        <v>1603.34</v>
      </c>
      <c r="G1965">
        <f>7118.089</f>
        <v>7118.0889999999999</v>
      </c>
      <c r="H1965">
        <f>2573.48</f>
        <v>2573.48</v>
      </c>
      <c r="I1965">
        <f>8086.448</f>
        <v>8086.4480000000003</v>
      </c>
      <c r="J1965">
        <f>2753.72</f>
        <v>2753.72</v>
      </c>
      <c r="K1965">
        <f>7796.58</f>
        <v>7796.58</v>
      </c>
      <c r="L1965">
        <f>1507.91</f>
        <v>1507.91</v>
      </c>
      <c r="M1965">
        <f>6245.28</f>
        <v>6245.28</v>
      </c>
      <c r="N1965">
        <f>298.704</f>
        <v>298.70400000000001</v>
      </c>
      <c r="O1965">
        <f>2511.68</f>
        <v>2511.6799999999998</v>
      </c>
      <c r="P1965">
        <f>207.73</f>
        <v>207.73</v>
      </c>
      <c r="Q1965">
        <f>1767.96</f>
        <v>1767.96</v>
      </c>
      <c r="R1965">
        <f>3747.56</f>
        <v>3747.56</v>
      </c>
      <c r="S1965">
        <f>2140.98</f>
        <v>2140.98</v>
      </c>
      <c r="T1965">
        <f>3171.069</f>
        <v>3171.069</v>
      </c>
      <c r="U1965">
        <f>48717.28</f>
        <v>48717.279999999999</v>
      </c>
      <c r="V1965">
        <f>263.26</f>
        <v>263.26</v>
      </c>
    </row>
    <row r="1966" spans="1:22" x14ac:dyDescent="0.2">
      <c r="A1966" s="1">
        <v>42355</v>
      </c>
      <c r="B1966">
        <f>2703.6</f>
        <v>2703.6</v>
      </c>
      <c r="C1966">
        <f>6988.36</f>
        <v>6988.36</v>
      </c>
      <c r="D1966">
        <f>4779.89</f>
        <v>4779.8900000000003</v>
      </c>
      <c r="E1966">
        <f>1645.455</f>
        <v>1645.4549999999999</v>
      </c>
      <c r="F1966">
        <f>1607.67</f>
        <v>1607.67</v>
      </c>
      <c r="G1966">
        <f>7172.396</f>
        <v>7172.3959999999997</v>
      </c>
      <c r="H1966">
        <f>2595.57</f>
        <v>2595.5700000000002</v>
      </c>
      <c r="I1966">
        <f>8168.034</f>
        <v>8168.0339999999997</v>
      </c>
      <c r="J1966">
        <f>2800.77</f>
        <v>2800.77</v>
      </c>
      <c r="K1966">
        <f>7934.03</f>
        <v>7934.03</v>
      </c>
      <c r="L1966">
        <f>1523.57</f>
        <v>1523.57</v>
      </c>
      <c r="M1966">
        <f>6327.23</f>
        <v>6327.23</v>
      </c>
      <c r="N1966">
        <f>302.152</f>
        <v>302.15199999999999</v>
      </c>
      <c r="O1966">
        <f>2538.51</f>
        <v>2538.5100000000002</v>
      </c>
      <c r="P1966">
        <f>210.12</f>
        <v>210.12</v>
      </c>
      <c r="Q1966">
        <f>1798.01</f>
        <v>1798.01</v>
      </c>
      <c r="R1966">
        <f>3815.46</f>
        <v>3815.46</v>
      </c>
      <c r="S1966">
        <f>2179.42</f>
        <v>2179.42</v>
      </c>
      <c r="T1966">
        <f>3220.815</f>
        <v>3220.8150000000001</v>
      </c>
      <c r="U1966">
        <f>49706.29</f>
        <v>49706.29</v>
      </c>
      <c r="V1966">
        <f>267.62</f>
        <v>267.62</v>
      </c>
    </row>
    <row r="1967" spans="1:22" x14ac:dyDescent="0.2">
      <c r="A1967" s="1">
        <v>42354</v>
      </c>
      <c r="B1967">
        <f>2683.5</f>
        <v>2683.5</v>
      </c>
      <c r="C1967">
        <f>6880.68</f>
        <v>6880.68</v>
      </c>
      <c r="D1967">
        <f>4746.85</f>
        <v>4746.8500000000004</v>
      </c>
      <c r="E1967">
        <f>1628.114</f>
        <v>1628.114</v>
      </c>
      <c r="F1967">
        <f>1617.81</f>
        <v>1617.81</v>
      </c>
      <c r="G1967">
        <f>7182.688</f>
        <v>7182.6880000000001</v>
      </c>
      <c r="H1967">
        <f>2580.42</f>
        <v>2580.42</v>
      </c>
      <c r="I1967">
        <f>8135.328</f>
        <v>8135.3280000000004</v>
      </c>
      <c r="J1967">
        <f>2839</f>
        <v>2839</v>
      </c>
      <c r="K1967">
        <f>8053.82</f>
        <v>8053.82</v>
      </c>
      <c r="L1967">
        <f>1535.89</f>
        <v>1535.89</v>
      </c>
      <c r="M1967">
        <f>6378.25</f>
        <v>6378.25</v>
      </c>
      <c r="N1967">
        <f>299.374</f>
        <v>299.37400000000002</v>
      </c>
      <c r="O1967">
        <f>2507.03</f>
        <v>2507.0300000000002</v>
      </c>
      <c r="P1967">
        <f>207.17</f>
        <v>207.17</v>
      </c>
      <c r="Q1967">
        <f>1823.24</f>
        <v>1823.24</v>
      </c>
      <c r="R1967">
        <f>3873.12</f>
        <v>3873.12</v>
      </c>
      <c r="S1967">
        <f>2146.02</f>
        <v>2146.02</v>
      </c>
      <c r="T1967" t="e">
        <f>NA()</f>
        <v>#N/A</v>
      </c>
      <c r="U1967" t="e">
        <f>NA()</f>
        <v>#N/A</v>
      </c>
      <c r="V1967" t="e">
        <f>NA()</f>
        <v>#N/A</v>
      </c>
    </row>
    <row r="1968" spans="1:22" x14ac:dyDescent="0.2">
      <c r="A1968" s="1">
        <v>42353</v>
      </c>
      <c r="B1968">
        <f>2664.74</f>
        <v>2664.74</v>
      </c>
      <c r="C1968">
        <f>6820.05</f>
        <v>6820.05</v>
      </c>
      <c r="D1968">
        <f>4712.86</f>
        <v>4712.8599999999997</v>
      </c>
      <c r="E1968">
        <f>1605.595</f>
        <v>1605.595</v>
      </c>
      <c r="F1968">
        <f>1605.19</f>
        <v>1605.19</v>
      </c>
      <c r="G1968">
        <f>7151.524</f>
        <v>7151.5240000000003</v>
      </c>
      <c r="H1968">
        <f>2499.98</f>
        <v>2499.98</v>
      </c>
      <c r="I1968">
        <f>8097.457</f>
        <v>8097.4570000000003</v>
      </c>
      <c r="J1968">
        <f>2803.07</f>
        <v>2803.07</v>
      </c>
      <c r="K1968">
        <f>7937.4</f>
        <v>7937.4</v>
      </c>
      <c r="L1968">
        <f>1520.02</f>
        <v>1520.02</v>
      </c>
      <c r="M1968">
        <f>6293.69</f>
        <v>6293.69</v>
      </c>
      <c r="N1968">
        <f>298.357</f>
        <v>298.35700000000003</v>
      </c>
      <c r="O1968">
        <f>2499.5</f>
        <v>2499.5</v>
      </c>
      <c r="P1968">
        <f>203.27</f>
        <v>203.27</v>
      </c>
      <c r="Q1968">
        <f>1797.64</f>
        <v>1797.64</v>
      </c>
      <c r="R1968">
        <f>3817.36</f>
        <v>3817.36</v>
      </c>
      <c r="S1968">
        <f>2092.85</f>
        <v>2092.85</v>
      </c>
      <c r="T1968">
        <f>3128.417</f>
        <v>3128.4169999999999</v>
      </c>
      <c r="U1968">
        <f>48428.77</f>
        <v>48428.77</v>
      </c>
      <c r="V1968">
        <f>261.22</f>
        <v>261.22000000000003</v>
      </c>
    </row>
    <row r="1969" spans="1:22" x14ac:dyDescent="0.2">
      <c r="A1969" s="1">
        <v>42352</v>
      </c>
      <c r="B1969">
        <f>2605.44</f>
        <v>2605.44</v>
      </c>
      <c r="C1969">
        <f>6733.67</f>
        <v>6733.67</v>
      </c>
      <c r="D1969">
        <f>4600.3</f>
        <v>4600.3</v>
      </c>
      <c r="E1969">
        <f>1588.646</f>
        <v>1588.646</v>
      </c>
      <c r="F1969">
        <f>1576.95</f>
        <v>1576.95</v>
      </c>
      <c r="G1969">
        <f>7016.517</f>
        <v>7016.5169999999998</v>
      </c>
      <c r="H1969">
        <f>2562.87</f>
        <v>2562.87</v>
      </c>
      <c r="I1969">
        <f>7946.328</f>
        <v>7946.3280000000004</v>
      </c>
      <c r="J1969">
        <f>2767.08</f>
        <v>2767.08</v>
      </c>
      <c r="K1969">
        <f>7853.3</f>
        <v>7853.3</v>
      </c>
      <c r="L1969">
        <f>1499.31</f>
        <v>1499.31</v>
      </c>
      <c r="M1969">
        <f>6238.51</f>
        <v>6238.51</v>
      </c>
      <c r="N1969">
        <f>291.314</f>
        <v>291.31400000000002</v>
      </c>
      <c r="O1969">
        <f>2428.63</f>
        <v>2428.63</v>
      </c>
      <c r="P1969">
        <f>205.83</f>
        <v>205.83</v>
      </c>
      <c r="Q1969">
        <f>1786.65</f>
        <v>1786.65</v>
      </c>
      <c r="R1969">
        <f>3777.22</f>
        <v>3777.22</v>
      </c>
      <c r="S1969">
        <f>2128.13</f>
        <v>2128.13</v>
      </c>
      <c r="T1969">
        <f>3099.695</f>
        <v>3099.6950000000002</v>
      </c>
      <c r="U1969">
        <f>48081.71</f>
        <v>48081.71</v>
      </c>
      <c r="V1969">
        <f>258.03</f>
        <v>258.02999999999997</v>
      </c>
    </row>
    <row r="1970" spans="1:22" x14ac:dyDescent="0.2">
      <c r="A1970" s="1">
        <v>42349</v>
      </c>
      <c r="B1970">
        <f>2633.57</f>
        <v>2633.57</v>
      </c>
      <c r="C1970">
        <f>6747.15</f>
        <v>6747.15</v>
      </c>
      <c r="D1970">
        <f>4661.95</f>
        <v>4661.95</v>
      </c>
      <c r="E1970">
        <f>1593.298</f>
        <v>1593.298</v>
      </c>
      <c r="F1970">
        <f>1615.44</f>
        <v>1615.44</v>
      </c>
      <c r="G1970">
        <f>7155.322</f>
        <v>7155.3220000000001</v>
      </c>
      <c r="H1970">
        <f>2590.66</f>
        <v>2590.66</v>
      </c>
      <c r="I1970">
        <f>8056.046</f>
        <v>8056.0460000000003</v>
      </c>
      <c r="J1970">
        <f>2748.5</f>
        <v>2748.5</v>
      </c>
      <c r="K1970">
        <f>7820.49</f>
        <v>7820.49</v>
      </c>
      <c r="L1970">
        <f>1504.08</f>
        <v>1504.08</v>
      </c>
      <c r="M1970">
        <f>6259.46</f>
        <v>6259.46</v>
      </c>
      <c r="N1970">
        <f>296.435</f>
        <v>296.435</v>
      </c>
      <c r="O1970">
        <f>2473.21</f>
        <v>2473.21</v>
      </c>
      <c r="P1970">
        <f>207.13</f>
        <v>207.13</v>
      </c>
      <c r="Q1970">
        <f>1772.29</f>
        <v>1772.29</v>
      </c>
      <c r="R1970">
        <f>3759.09</f>
        <v>3759.09</v>
      </c>
      <c r="S1970">
        <f>2158.26</f>
        <v>2158.2600000000002</v>
      </c>
      <c r="T1970">
        <f>2995.586</f>
        <v>2995.5859999999998</v>
      </c>
      <c r="U1970">
        <f>48067.53</f>
        <v>48067.53</v>
      </c>
      <c r="V1970">
        <f>251.16</f>
        <v>251.16</v>
      </c>
    </row>
    <row r="1971" spans="1:22" x14ac:dyDescent="0.2">
      <c r="A1971" s="1">
        <v>42348</v>
      </c>
      <c r="B1971">
        <f>2701.1</f>
        <v>2701.1</v>
      </c>
      <c r="C1971">
        <f>6923.03</f>
        <v>6923.03</v>
      </c>
      <c r="D1971">
        <f>4767.88</f>
        <v>4767.88</v>
      </c>
      <c r="E1971">
        <f>1625.129</f>
        <v>1625.1289999999999</v>
      </c>
      <c r="F1971">
        <f>1650.22</f>
        <v>1650.22</v>
      </c>
      <c r="G1971">
        <f>7293.863</f>
        <v>7293.8630000000003</v>
      </c>
      <c r="H1971">
        <f>2562.01</f>
        <v>2562.0100000000002</v>
      </c>
      <c r="I1971">
        <f>8173.46</f>
        <v>8173.46</v>
      </c>
      <c r="J1971">
        <f>2794.32</f>
        <v>2794.32</v>
      </c>
      <c r="K1971">
        <f>7973.89</f>
        <v>7973.89</v>
      </c>
      <c r="L1971">
        <f>1526.28</f>
        <v>1526.28</v>
      </c>
      <c r="M1971">
        <f>6358.31</f>
        <v>6358.31</v>
      </c>
      <c r="N1971">
        <f>301.882</f>
        <v>301.88200000000001</v>
      </c>
      <c r="O1971">
        <f>2526.43</f>
        <v>2526.4299999999998</v>
      </c>
      <c r="P1971">
        <f>205.75</f>
        <v>205.75</v>
      </c>
      <c r="Q1971">
        <f>1801.92</f>
        <v>1801.92</v>
      </c>
      <c r="R1971">
        <f>3832.93</f>
        <v>3832.93</v>
      </c>
      <c r="S1971">
        <f>2145.49</f>
        <v>2145.4899999999998</v>
      </c>
      <c r="T1971">
        <f>3115.769</f>
        <v>3115.7689999999998</v>
      </c>
      <c r="U1971">
        <f>48984.53</f>
        <v>48984.53</v>
      </c>
      <c r="V1971">
        <f>262.9</f>
        <v>262.89999999999998</v>
      </c>
    </row>
    <row r="1972" spans="1:22" x14ac:dyDescent="0.2">
      <c r="A1972" s="1">
        <v>42347</v>
      </c>
      <c r="B1972">
        <f>2733.44</f>
        <v>2733.44</v>
      </c>
      <c r="C1972">
        <f>7044.63</f>
        <v>7044.63</v>
      </c>
      <c r="D1972">
        <f>4797.46</f>
        <v>4797.46</v>
      </c>
      <c r="E1972">
        <f>1637.769</f>
        <v>1637.769</v>
      </c>
      <c r="F1972">
        <f>1660.13</f>
        <v>1660.13</v>
      </c>
      <c r="G1972">
        <f>7345.831</f>
        <v>7345.8310000000001</v>
      </c>
      <c r="H1972">
        <f>2573.43</f>
        <v>2573.4299999999998</v>
      </c>
      <c r="I1972">
        <f>8208.439</f>
        <v>8208.4390000000003</v>
      </c>
      <c r="J1972">
        <f>2790.97</f>
        <v>2790.97</v>
      </c>
      <c r="K1972">
        <f>7954.86</f>
        <v>7954.86</v>
      </c>
      <c r="L1972">
        <f>1528.96</f>
        <v>1528.96</v>
      </c>
      <c r="M1972">
        <f>6359.67</f>
        <v>6359.67</v>
      </c>
      <c r="N1972">
        <f>303.099</f>
        <v>303.09899999999999</v>
      </c>
      <c r="O1972">
        <f>2531.45</f>
        <v>2531.4499999999998</v>
      </c>
      <c r="P1972">
        <f>207.29</f>
        <v>207.29</v>
      </c>
      <c r="Q1972">
        <f>1801.72</f>
        <v>1801.72</v>
      </c>
      <c r="R1972">
        <f>3823.9</f>
        <v>3823.9</v>
      </c>
      <c r="S1972">
        <f>2166.71</f>
        <v>2166.71</v>
      </c>
      <c r="T1972">
        <f>3280.34</f>
        <v>3280.34</v>
      </c>
      <c r="U1972">
        <f>49523.56</f>
        <v>49523.56</v>
      </c>
      <c r="V1972">
        <f>276.71</f>
        <v>276.70999999999998</v>
      </c>
    </row>
    <row r="1973" spans="1:22" x14ac:dyDescent="0.2">
      <c r="A1973" s="1">
        <v>42346</v>
      </c>
      <c r="B1973">
        <f>2732.7</f>
        <v>2732.7</v>
      </c>
      <c r="C1973">
        <f>7037.45</f>
        <v>7037.45</v>
      </c>
      <c r="D1973">
        <f>4804.15</f>
        <v>4804.1499999999996</v>
      </c>
      <c r="E1973">
        <f>1638.179</f>
        <v>1638.1790000000001</v>
      </c>
      <c r="F1973">
        <f>1628.28</f>
        <v>1628.28</v>
      </c>
      <c r="G1973">
        <f>7261.248</f>
        <v>7261.2479999999996</v>
      </c>
      <c r="H1973">
        <f>2576.08</f>
        <v>2576.08</v>
      </c>
      <c r="I1973">
        <f>8199.658</f>
        <v>8199.6579999999994</v>
      </c>
      <c r="J1973">
        <f>2799.15</f>
        <v>2799.15</v>
      </c>
      <c r="K1973">
        <f>8017.51</f>
        <v>8017.51</v>
      </c>
      <c r="L1973">
        <f>1526.89</f>
        <v>1526.89</v>
      </c>
      <c r="M1973">
        <f>6383.43</f>
        <v>6383.43</v>
      </c>
      <c r="N1973">
        <f>304.503</f>
        <v>304.50299999999999</v>
      </c>
      <c r="O1973">
        <f>2544.14</f>
        <v>2544.14</v>
      </c>
      <c r="P1973">
        <f>208.8</f>
        <v>208.8</v>
      </c>
      <c r="Q1973">
        <f>1814.97</f>
        <v>1814.97</v>
      </c>
      <c r="R1973">
        <f>3853.48</f>
        <v>3853.48</v>
      </c>
      <c r="S1973">
        <f>2185.03</f>
        <v>2185.0300000000002</v>
      </c>
      <c r="T1973">
        <f>3248.612</f>
        <v>3248.6120000000001</v>
      </c>
      <c r="U1973">
        <f>49083.8</f>
        <v>49083.8</v>
      </c>
      <c r="V1973">
        <f>272</f>
        <v>272</v>
      </c>
    </row>
    <row r="1974" spans="1:22" x14ac:dyDescent="0.2">
      <c r="A1974" s="1">
        <v>42345</v>
      </c>
      <c r="B1974">
        <f>2776.42</f>
        <v>2776.42</v>
      </c>
      <c r="C1974">
        <f>7167.53</f>
        <v>7167.53</v>
      </c>
      <c r="D1974">
        <f>4873.29</f>
        <v>4873.29</v>
      </c>
      <c r="E1974">
        <f>1663.576</f>
        <v>1663.576</v>
      </c>
      <c r="F1974">
        <f>1673.61</f>
        <v>1673.61</v>
      </c>
      <c r="G1974">
        <f>7408.464</f>
        <v>7408.4639999999999</v>
      </c>
      <c r="H1974">
        <f>2598.48</f>
        <v>2598.48</v>
      </c>
      <c r="I1974">
        <f>8323.052</f>
        <v>8323.0519999999997</v>
      </c>
      <c r="J1974">
        <f>2823.53</f>
        <v>2823.53</v>
      </c>
      <c r="K1974">
        <f>8065.76</f>
        <v>8065.76</v>
      </c>
      <c r="L1974">
        <f>1545.57</f>
        <v>1545.57</v>
      </c>
      <c r="M1974">
        <f>6443.78</f>
        <v>6443.78</v>
      </c>
      <c r="N1974">
        <f>310.127</f>
        <v>310.12700000000001</v>
      </c>
      <c r="O1974">
        <f>2591.68</f>
        <v>2591.6799999999998</v>
      </c>
      <c r="P1974">
        <f>209.92</f>
        <v>209.92</v>
      </c>
      <c r="Q1974">
        <f>1829.23</f>
        <v>1829.23</v>
      </c>
      <c r="R1974">
        <f>3878.31</f>
        <v>3878.31</v>
      </c>
      <c r="S1974">
        <f>2207.98</f>
        <v>2207.98</v>
      </c>
      <c r="T1974">
        <f>3297.488</f>
        <v>3297.4879999999998</v>
      </c>
      <c r="U1974">
        <f>49860.74</f>
        <v>49860.74</v>
      </c>
      <c r="V1974">
        <f>276.98</f>
        <v>276.98</v>
      </c>
    </row>
    <row r="1975" spans="1:22" x14ac:dyDescent="0.2">
      <c r="A1975" s="1">
        <v>42342</v>
      </c>
      <c r="B1975">
        <f>2784.24</f>
        <v>2784.24</v>
      </c>
      <c r="C1975">
        <f>7219.9</f>
        <v>7219.9</v>
      </c>
      <c r="D1975">
        <f>4884.45</f>
        <v>4884.45</v>
      </c>
      <c r="E1975">
        <f>1672.74</f>
        <v>1672.74</v>
      </c>
      <c r="F1975">
        <f>1687.22</f>
        <v>1687.22</v>
      </c>
      <c r="G1975">
        <f>7443.253</f>
        <v>7443.2529999999997</v>
      </c>
      <c r="H1975">
        <f>2588.06</f>
        <v>2588.06</v>
      </c>
      <c r="I1975">
        <f>8289.355</f>
        <v>8289.3549999999996</v>
      </c>
      <c r="J1975">
        <f>2838.48</f>
        <v>2838.48</v>
      </c>
      <c r="K1975">
        <f>8125.22</f>
        <v>8125.22</v>
      </c>
      <c r="L1975">
        <f>1552.49</f>
        <v>1552.49</v>
      </c>
      <c r="M1975">
        <f>6474.75</f>
        <v>6474.75</v>
      </c>
      <c r="N1975">
        <f>308.625</f>
        <v>308.625</v>
      </c>
      <c r="O1975">
        <f>2580.31</f>
        <v>2580.31</v>
      </c>
      <c r="P1975">
        <f>208.66</f>
        <v>208.66</v>
      </c>
      <c r="Q1975">
        <f>1837.05</f>
        <v>1837.05</v>
      </c>
      <c r="R1975">
        <f>3905.31</f>
        <v>3905.31</v>
      </c>
      <c r="S1975">
        <f>2191.48</f>
        <v>2191.48</v>
      </c>
      <c r="T1975">
        <f>3257.07</f>
        <v>3257.07</v>
      </c>
      <c r="U1975">
        <f>49284.49</f>
        <v>49284.49</v>
      </c>
      <c r="V1975">
        <f>274</f>
        <v>274</v>
      </c>
    </row>
    <row r="1976" spans="1:22" x14ac:dyDescent="0.2">
      <c r="A1976" s="1">
        <v>42341</v>
      </c>
      <c r="B1976">
        <f>2802.38</f>
        <v>2802.38</v>
      </c>
      <c r="C1976">
        <f>7284.98</f>
        <v>7284.98</v>
      </c>
      <c r="D1976">
        <f>4913.19</f>
        <v>4913.1899999999996</v>
      </c>
      <c r="E1976">
        <f>1687.089</f>
        <v>1687.0889999999999</v>
      </c>
      <c r="F1976">
        <f>1694.02</f>
        <v>1694.02</v>
      </c>
      <c r="G1976">
        <f>7457.884</f>
        <v>7457.884</v>
      </c>
      <c r="H1976">
        <f>2634.21</f>
        <v>2634.21</v>
      </c>
      <c r="I1976">
        <f>8294.313</f>
        <v>8294.3130000000001</v>
      </c>
      <c r="J1976">
        <f>2785.99</f>
        <v>2785.99</v>
      </c>
      <c r="K1976">
        <f>7966.45</f>
        <v>7966.45</v>
      </c>
      <c r="L1976">
        <f>1541.13</f>
        <v>1541.13</v>
      </c>
      <c r="M1976">
        <f>6411.5</f>
        <v>6411.5</v>
      </c>
      <c r="N1976">
        <f>309.352</f>
        <v>309.35199999999998</v>
      </c>
      <c r="O1976">
        <f>2589.5</f>
        <v>2589.5</v>
      </c>
      <c r="P1976">
        <f>212.21</f>
        <v>212.21</v>
      </c>
      <c r="Q1976">
        <f>1803.87</f>
        <v>1803.87</v>
      </c>
      <c r="R1976">
        <f>3826.74</f>
        <v>3826.74</v>
      </c>
      <c r="S1976">
        <f>2231.74</f>
        <v>2231.7399999999998</v>
      </c>
      <c r="T1976">
        <f>3342.715</f>
        <v>3342.7150000000001</v>
      </c>
      <c r="U1976">
        <f>50424.89</f>
        <v>50424.89</v>
      </c>
      <c r="V1976">
        <f>280.62</f>
        <v>280.62</v>
      </c>
    </row>
    <row r="1977" spans="1:22" x14ac:dyDescent="0.2">
      <c r="A1977" s="1">
        <v>42340</v>
      </c>
      <c r="B1977">
        <f>2865.81</f>
        <v>2865.81</v>
      </c>
      <c r="C1977">
        <f>7306.49</f>
        <v>7306.49</v>
      </c>
      <c r="D1977">
        <f>5026.83</f>
        <v>5026.83</v>
      </c>
      <c r="E1977">
        <f>1692.304</f>
        <v>1692.3040000000001</v>
      </c>
      <c r="F1977">
        <f>1724.11</f>
        <v>1724.11</v>
      </c>
      <c r="G1977">
        <f>7581.436</f>
        <v>7581.4359999999997</v>
      </c>
      <c r="H1977">
        <f>2613.53</f>
        <v>2613.5300000000002</v>
      </c>
      <c r="I1977">
        <f>8312.262</f>
        <v>8312.2620000000006</v>
      </c>
      <c r="J1977">
        <f>2820.32</f>
        <v>2820.32</v>
      </c>
      <c r="K1977">
        <f>8083.61</f>
        <v>8083.61</v>
      </c>
      <c r="L1977">
        <f>1556.24</f>
        <v>1556.24</v>
      </c>
      <c r="M1977">
        <f>6480.03</f>
        <v>6480.03</v>
      </c>
      <c r="N1977">
        <f>319.922</f>
        <v>319.92200000000003</v>
      </c>
      <c r="O1977">
        <f>2677.5</f>
        <v>2677.5</v>
      </c>
      <c r="P1977">
        <f>211.94</f>
        <v>211.94</v>
      </c>
      <c r="Q1977">
        <f>1823.67</f>
        <v>1823.67</v>
      </c>
      <c r="R1977">
        <f>3882.38</f>
        <v>3882.38</v>
      </c>
      <c r="S1977">
        <f>2230.79</f>
        <v>2230.79</v>
      </c>
      <c r="T1977">
        <f>3382.921</f>
        <v>3382.9209999999998</v>
      </c>
      <c r="U1977">
        <f>51159.11</f>
        <v>51159.11</v>
      </c>
      <c r="V1977">
        <f>285.9</f>
        <v>285.89999999999998</v>
      </c>
    </row>
    <row r="1978" spans="1:22" x14ac:dyDescent="0.2">
      <c r="A1978" s="1">
        <v>42339</v>
      </c>
      <c r="B1978">
        <f>2868.05</f>
        <v>2868.05</v>
      </c>
      <c r="C1978">
        <f>7319.86</f>
        <v>7319.86</v>
      </c>
      <c r="D1978">
        <f>5007.04</f>
        <v>5007.04</v>
      </c>
      <c r="E1978">
        <f>1699.878</f>
        <v>1699.8779999999999</v>
      </c>
      <c r="F1978">
        <f>1731.63</f>
        <v>1731.63</v>
      </c>
      <c r="G1978">
        <f>7610.144</f>
        <v>7610.1440000000002</v>
      </c>
      <c r="H1978">
        <f>2621.48</f>
        <v>2621.48</v>
      </c>
      <c r="I1978">
        <f>8340.193</f>
        <v>8340.1929999999993</v>
      </c>
      <c r="J1978">
        <f>2850.37</f>
        <v>2850.37</v>
      </c>
      <c r="K1978">
        <f>8172.32</f>
        <v>8172.32</v>
      </c>
      <c r="L1978">
        <f>1566.94</f>
        <v>1566.94</v>
      </c>
      <c r="M1978">
        <f>6532.17</f>
        <v>6532.17</v>
      </c>
      <c r="N1978">
        <f>319.857</f>
        <v>319.85700000000003</v>
      </c>
      <c r="O1978">
        <f>2677.29</f>
        <v>2677.29</v>
      </c>
      <c r="P1978">
        <f>210.91</f>
        <v>210.91</v>
      </c>
      <c r="Q1978">
        <f>1841.52</f>
        <v>1841.52</v>
      </c>
      <c r="R1978">
        <f>3924.63</f>
        <v>3924.63</v>
      </c>
      <c r="S1978">
        <f>2230.36</f>
        <v>2230.36</v>
      </c>
      <c r="T1978">
        <f>3423.204</f>
        <v>3423.2040000000002</v>
      </c>
      <c r="U1978">
        <f>51535.82</f>
        <v>51535.82</v>
      </c>
      <c r="V1978">
        <f>287.96</f>
        <v>287.95999999999998</v>
      </c>
    </row>
    <row r="1979" spans="1:22" x14ac:dyDescent="0.2">
      <c r="A1979" s="1">
        <v>42338</v>
      </c>
      <c r="B1979">
        <f>2854.32</f>
        <v>2854.32</v>
      </c>
      <c r="C1979">
        <f>7224.96</f>
        <v>7224.96</v>
      </c>
      <c r="D1979">
        <f>4976.07</f>
        <v>4976.07</v>
      </c>
      <c r="E1979">
        <f>1676.723</f>
        <v>1676.723</v>
      </c>
      <c r="F1979">
        <f>1727.03</f>
        <v>1727.03</v>
      </c>
      <c r="G1979">
        <f>7563.41</f>
        <v>7563.41</v>
      </c>
      <c r="H1979">
        <f>2577.1</f>
        <v>2577.1</v>
      </c>
      <c r="I1979">
        <f>8351.223</f>
        <v>8351.223</v>
      </c>
      <c r="J1979">
        <f>2821.67</f>
        <v>2821.67</v>
      </c>
      <c r="K1979">
        <f>8086.85</f>
        <v>8086.85</v>
      </c>
      <c r="L1979">
        <f>1557.62</f>
        <v>1557.62</v>
      </c>
      <c r="M1979">
        <f>6471.72</f>
        <v>6471.72</v>
      </c>
      <c r="N1979">
        <f>320.022</f>
        <v>320.02199999999999</v>
      </c>
      <c r="O1979">
        <f>2687.36</f>
        <v>2687.36</v>
      </c>
      <c r="P1979">
        <f>209.08</f>
        <v>209.08</v>
      </c>
      <c r="Q1979">
        <f>1825.97</f>
        <v>1825.97</v>
      </c>
      <c r="R1979">
        <f>3882.84</f>
        <v>3882.84</v>
      </c>
      <c r="S1979">
        <f>2200.15</f>
        <v>2200.15</v>
      </c>
      <c r="T1979">
        <f>3437.754</f>
        <v>3437.7539999999999</v>
      </c>
      <c r="U1979">
        <f>51607.83</f>
        <v>51607.83</v>
      </c>
      <c r="V1979">
        <f>288.12</f>
        <v>288.12</v>
      </c>
    </row>
    <row r="1980" spans="1:22" x14ac:dyDescent="0.2">
      <c r="A1980" s="1">
        <v>42335</v>
      </c>
      <c r="B1980">
        <f>2865.36</f>
        <v>2865.36</v>
      </c>
      <c r="C1980">
        <f>7345.37</f>
        <v>7345.37</v>
      </c>
      <c r="D1980">
        <f>4990.99</f>
        <v>4990.99</v>
      </c>
      <c r="E1980">
        <f>1701.432</f>
        <v>1701.432</v>
      </c>
      <c r="F1980">
        <f>1736.39</f>
        <v>1736.39</v>
      </c>
      <c r="G1980">
        <f>7585.323</f>
        <v>7585.3230000000003</v>
      </c>
      <c r="H1980">
        <f>2621.35</f>
        <v>2621.35</v>
      </c>
      <c r="I1980">
        <f>8328.713</f>
        <v>8328.7129999999997</v>
      </c>
      <c r="J1980">
        <f>2829.6</f>
        <v>2829.6</v>
      </c>
      <c r="K1980">
        <f>8124.49</f>
        <v>8124.49</v>
      </c>
      <c r="L1980">
        <f>1560.97</f>
        <v>1560.97</v>
      </c>
      <c r="M1980">
        <f>6493.96</f>
        <v>6493.96</v>
      </c>
      <c r="N1980">
        <f>318.748</f>
        <v>318.74799999999999</v>
      </c>
      <c r="O1980">
        <f>2675.95</f>
        <v>2675.95</v>
      </c>
      <c r="P1980">
        <f>210.52</f>
        <v>210.52</v>
      </c>
      <c r="Q1980">
        <f>1835.5</f>
        <v>1835.5</v>
      </c>
      <c r="R1980">
        <f>3900.74</f>
        <v>3900.74</v>
      </c>
      <c r="S1980">
        <f>2219.92</f>
        <v>2219.92</v>
      </c>
      <c r="T1980">
        <f>3460.805</f>
        <v>3460.8049999999998</v>
      </c>
      <c r="U1980">
        <f>51637.28</f>
        <v>51637.279999999999</v>
      </c>
      <c r="V1980">
        <f>290.88</f>
        <v>290.88</v>
      </c>
    </row>
    <row r="1981" spans="1:22" x14ac:dyDescent="0.2">
      <c r="A1981" s="1">
        <v>42334</v>
      </c>
      <c r="B1981">
        <f>2874.78</f>
        <v>2874.78</v>
      </c>
      <c r="C1981">
        <f>7456.05</f>
        <v>7456.05</v>
      </c>
      <c r="D1981">
        <f>5005.07</f>
        <v>5005.07</v>
      </c>
      <c r="E1981">
        <f>1725.576</f>
        <v>1725.576</v>
      </c>
      <c r="F1981">
        <f>1753.18</f>
        <v>1753.18</v>
      </c>
      <c r="G1981">
        <f>7643.116</f>
        <v>7643.116</v>
      </c>
      <c r="H1981">
        <f>2635.03</f>
        <v>2635.03</v>
      </c>
      <c r="I1981">
        <f>8354.629</f>
        <v>8354.6290000000008</v>
      </c>
      <c r="J1981">
        <f>2826.71</f>
        <v>2826.71</v>
      </c>
      <c r="K1981">
        <f>8117.39</f>
        <v>8117.39</v>
      </c>
      <c r="L1981">
        <f>1565.14</f>
        <v>1565.14</v>
      </c>
      <c r="M1981">
        <f>6506.64</f>
        <v>6506.64</v>
      </c>
      <c r="N1981">
        <f>320.08</f>
        <v>320.08</v>
      </c>
      <c r="O1981">
        <f>2684.16</f>
        <v>2684.16</v>
      </c>
      <c r="P1981">
        <f>211.63</f>
        <v>211.63</v>
      </c>
      <c r="Q1981" t="e">
        <f>NA()</f>
        <v>#N/A</v>
      </c>
      <c r="R1981" t="e">
        <f>NA()</f>
        <v>#N/A</v>
      </c>
      <c r="S1981">
        <f>2230.88</f>
        <v>2230.88</v>
      </c>
      <c r="T1981">
        <f>3491.636</f>
        <v>3491.636</v>
      </c>
      <c r="U1981">
        <f>52229.92</f>
        <v>52229.919999999998</v>
      </c>
      <c r="V1981">
        <f>292.88</f>
        <v>292.88</v>
      </c>
    </row>
    <row r="1982" spans="1:22" x14ac:dyDescent="0.2">
      <c r="A1982" s="1">
        <v>42333</v>
      </c>
      <c r="B1982">
        <f>2852.34</f>
        <v>2852.34</v>
      </c>
      <c r="C1982">
        <f>7442.75</f>
        <v>7442.75</v>
      </c>
      <c r="D1982">
        <f>4959.36</f>
        <v>4959.3599999999997</v>
      </c>
      <c r="E1982">
        <f>1721.572</f>
        <v>1721.5719999999999</v>
      </c>
      <c r="F1982">
        <f>1732.82</f>
        <v>1732.82</v>
      </c>
      <c r="G1982">
        <f>7547.949</f>
        <v>7547.9489999999996</v>
      </c>
      <c r="H1982">
        <f>2612.74</f>
        <v>2612.7399999999998</v>
      </c>
      <c r="I1982">
        <f>8267.224</f>
        <v>8267.2240000000002</v>
      </c>
      <c r="J1982">
        <f>2826.71</f>
        <v>2826.71</v>
      </c>
      <c r="K1982">
        <f>8117.39</f>
        <v>8117.39</v>
      </c>
      <c r="L1982">
        <f>1559.2</f>
        <v>1559.2</v>
      </c>
      <c r="M1982">
        <f>6483.37</f>
        <v>6483.37</v>
      </c>
      <c r="N1982">
        <f>317.493</f>
        <v>317.49299999999999</v>
      </c>
      <c r="O1982">
        <f>2658.72</f>
        <v>2658.72</v>
      </c>
      <c r="P1982">
        <f>210.6</f>
        <v>210.6</v>
      </c>
      <c r="Q1982">
        <f>1832.5</f>
        <v>1832.5</v>
      </c>
      <c r="R1982">
        <f>3897.57</f>
        <v>3897.57</v>
      </c>
      <c r="S1982">
        <f>2220.17</f>
        <v>2220.17</v>
      </c>
      <c r="T1982">
        <f>3476.363</f>
        <v>3476.3629999999998</v>
      </c>
      <c r="U1982">
        <f>51914.55</f>
        <v>51914.55</v>
      </c>
      <c r="V1982">
        <f>292.29</f>
        <v>292.29000000000002</v>
      </c>
    </row>
    <row r="1983" spans="1:22" x14ac:dyDescent="0.2">
      <c r="A1983" s="1">
        <v>42332</v>
      </c>
      <c r="B1983">
        <f>2832.5</f>
        <v>2832.5</v>
      </c>
      <c r="C1983">
        <f>7495.09</f>
        <v>7495.09</v>
      </c>
      <c r="D1983">
        <f>4912.1</f>
        <v>4912.1000000000004</v>
      </c>
      <c r="E1983">
        <f>1728.011</f>
        <v>1728.011</v>
      </c>
      <c r="F1983">
        <f>1721.78</f>
        <v>1721.78</v>
      </c>
      <c r="G1983">
        <f>7475.048</f>
        <v>7475.0479999999998</v>
      </c>
      <c r="H1983">
        <f>2637.31</f>
        <v>2637.31</v>
      </c>
      <c r="I1983">
        <f>8183.494</f>
        <v>8183.4939999999997</v>
      </c>
      <c r="J1983">
        <f>2829.84</f>
        <v>2829.84</v>
      </c>
      <c r="K1983">
        <f>8115.63</f>
        <v>8115.63</v>
      </c>
      <c r="L1983">
        <f>1555.82</f>
        <v>1555.82</v>
      </c>
      <c r="M1983">
        <f>6473.85</f>
        <v>6473.85</v>
      </c>
      <c r="N1983">
        <f>311.466</f>
        <v>311.46600000000001</v>
      </c>
      <c r="O1983">
        <f>2620.61</f>
        <v>2620.61</v>
      </c>
      <c r="P1983">
        <f>212.11</f>
        <v>212.11</v>
      </c>
      <c r="Q1983">
        <f>1831.29</f>
        <v>1831.29</v>
      </c>
      <c r="R1983">
        <f>3897.67</f>
        <v>3897.67</v>
      </c>
      <c r="S1983">
        <f>2235.86</f>
        <v>2235.86</v>
      </c>
      <c r="T1983">
        <f>3495.043</f>
        <v>3495.0430000000001</v>
      </c>
      <c r="U1983">
        <f>51817.84</f>
        <v>51817.84</v>
      </c>
      <c r="V1983">
        <f>293.77</f>
        <v>293.77</v>
      </c>
    </row>
    <row r="1984" spans="1:22" x14ac:dyDescent="0.2">
      <c r="A1984" s="1">
        <v>42331</v>
      </c>
      <c r="B1984">
        <f>2846.58</f>
        <v>2846.58</v>
      </c>
      <c r="C1984">
        <f>7545.67</f>
        <v>7545.67</v>
      </c>
      <c r="D1984">
        <f>4934.21</f>
        <v>4934.21</v>
      </c>
      <c r="E1984">
        <f>1731.649</f>
        <v>1731.6489999999999</v>
      </c>
      <c r="F1984">
        <f>1731.55</f>
        <v>1731.55</v>
      </c>
      <c r="G1984">
        <f>7538.967</f>
        <v>7538.9669999999996</v>
      </c>
      <c r="H1984">
        <f>2627.19</f>
        <v>2627.19</v>
      </c>
      <c r="I1984">
        <f>8270.956</f>
        <v>8270.9560000000001</v>
      </c>
      <c r="J1984">
        <f>2821.75</f>
        <v>2821.75</v>
      </c>
      <c r="K1984">
        <f>8103.07</f>
        <v>8103.07</v>
      </c>
      <c r="L1984">
        <f>1557.33</f>
        <v>1557.33</v>
      </c>
      <c r="M1984">
        <f>6480.71</f>
        <v>6480.71</v>
      </c>
      <c r="N1984">
        <f>315.758</f>
        <v>315.75799999999998</v>
      </c>
      <c r="O1984">
        <f>2654.64</f>
        <v>2654.64</v>
      </c>
      <c r="P1984" t="e">
        <f>NA()</f>
        <v>#N/A</v>
      </c>
      <c r="Q1984">
        <f>1828.35</f>
        <v>1828.35</v>
      </c>
      <c r="R1984">
        <f>3892.8</f>
        <v>3892.8</v>
      </c>
      <c r="S1984" t="e">
        <f>NA()</f>
        <v>#N/A</v>
      </c>
      <c r="T1984">
        <f>3510.366</f>
        <v>3510.366</v>
      </c>
      <c r="U1984">
        <f>52195.98</f>
        <v>52195.98</v>
      </c>
      <c r="V1984">
        <f>294.7</f>
        <v>294.7</v>
      </c>
    </row>
    <row r="1985" spans="1:22" x14ac:dyDescent="0.2">
      <c r="A1985" s="1">
        <v>42328</v>
      </c>
      <c r="B1985">
        <f>2864.75</f>
        <v>2864.75</v>
      </c>
      <c r="C1985">
        <f>7576.16</f>
        <v>7576.16</v>
      </c>
      <c r="D1985">
        <f>4957.01</f>
        <v>4957.01</v>
      </c>
      <c r="E1985">
        <f>1736.456</f>
        <v>1736.4559999999999</v>
      </c>
      <c r="F1985">
        <f>1751.54</f>
        <v>1751.54</v>
      </c>
      <c r="G1985">
        <f>7619.935</f>
        <v>7619.9350000000004</v>
      </c>
      <c r="H1985">
        <f>2630.83</f>
        <v>2630.83</v>
      </c>
      <c r="I1985">
        <f>8333.968</f>
        <v>8333.9680000000008</v>
      </c>
      <c r="J1985">
        <f>2821.31</f>
        <v>2821.31</v>
      </c>
      <c r="K1985">
        <f>8111.94</f>
        <v>8111.94</v>
      </c>
      <c r="L1985">
        <f>1564.42</f>
        <v>1564.42</v>
      </c>
      <c r="M1985">
        <f>6501.53</f>
        <v>6501.53</v>
      </c>
      <c r="N1985">
        <f>316.8</f>
        <v>316.8</v>
      </c>
      <c r="O1985">
        <f>2662.88</f>
        <v>2662.88</v>
      </c>
      <c r="P1985">
        <f>211.84</f>
        <v>211.84</v>
      </c>
      <c r="Q1985">
        <f>1821.78</f>
        <v>1821.78</v>
      </c>
      <c r="R1985">
        <f>3897.45</f>
        <v>3897.45</v>
      </c>
      <c r="S1985">
        <f>2232.02</f>
        <v>2232.02</v>
      </c>
      <c r="T1985">
        <f>3512.124</f>
        <v>3512.1239999999998</v>
      </c>
      <c r="U1985">
        <f>52240.58</f>
        <v>52240.58</v>
      </c>
      <c r="V1985">
        <f>296.38</f>
        <v>296.38</v>
      </c>
    </row>
    <row r="1986" spans="1:22" x14ac:dyDescent="0.2">
      <c r="A1986" s="1">
        <v>42327</v>
      </c>
      <c r="B1986">
        <f>2855.57</f>
        <v>2855.57</v>
      </c>
      <c r="C1986">
        <f>7533.23</f>
        <v>7533.23</v>
      </c>
      <c r="D1986">
        <f>4953.33</f>
        <v>4953.33</v>
      </c>
      <c r="E1986">
        <f>1723.391</f>
        <v>1723.3910000000001</v>
      </c>
      <c r="F1986">
        <f>1753.63</f>
        <v>1753.63</v>
      </c>
      <c r="G1986">
        <f>7649.717</f>
        <v>7649.7169999999996</v>
      </c>
      <c r="H1986">
        <f>2637.17</f>
        <v>2637.17</v>
      </c>
      <c r="I1986">
        <f>8368.183</f>
        <v>8368.1830000000009</v>
      </c>
      <c r="J1986">
        <f>2821.04</f>
        <v>2821.04</v>
      </c>
      <c r="K1986">
        <f>8081.04</f>
        <v>8081.04</v>
      </c>
      <c r="L1986">
        <f>1566.43</f>
        <v>1566.43</v>
      </c>
      <c r="M1986">
        <f>6492.17</f>
        <v>6492.17</v>
      </c>
      <c r="N1986">
        <f>315.91</f>
        <v>315.91000000000003</v>
      </c>
      <c r="O1986">
        <f>2658.49</f>
        <v>2658.49</v>
      </c>
      <c r="P1986">
        <f>211.24</f>
        <v>211.24</v>
      </c>
      <c r="Q1986">
        <f>1818.96</f>
        <v>1818.96</v>
      </c>
      <c r="R1986">
        <f>3882.06</f>
        <v>3882.06</v>
      </c>
      <c r="S1986">
        <f>2228.13</f>
        <v>2228.13</v>
      </c>
      <c r="T1986">
        <f>3492.727</f>
        <v>3492.7269999999999</v>
      </c>
      <c r="U1986">
        <f>52116.26</f>
        <v>52116.26</v>
      </c>
      <c r="V1986">
        <f>294.77</f>
        <v>294.77</v>
      </c>
    </row>
    <row r="1987" spans="1:22" x14ac:dyDescent="0.2">
      <c r="A1987" s="1">
        <v>42326</v>
      </c>
      <c r="B1987">
        <f>2837.08</f>
        <v>2837.08</v>
      </c>
      <c r="C1987">
        <f>7387.49</f>
        <v>7387.49</v>
      </c>
      <c r="D1987">
        <f>4908.48</f>
        <v>4908.4799999999996</v>
      </c>
      <c r="E1987">
        <f>1693.884</f>
        <v>1693.884</v>
      </c>
      <c r="F1987">
        <f>1730.34</f>
        <v>1730.34</v>
      </c>
      <c r="G1987">
        <f>7541.437</f>
        <v>7541.4369999999999</v>
      </c>
      <c r="H1987">
        <f>2598.82</f>
        <v>2598.8200000000002</v>
      </c>
      <c r="I1987">
        <f>8264.159</f>
        <v>8264.1589999999997</v>
      </c>
      <c r="J1987">
        <f>2814.03</f>
        <v>2814.03</v>
      </c>
      <c r="K1987">
        <f>8091.17</f>
        <v>8091.17</v>
      </c>
      <c r="L1987">
        <f>1555.01</f>
        <v>1555.01</v>
      </c>
      <c r="M1987">
        <f>6457.09</f>
        <v>6457.09</v>
      </c>
      <c r="N1987">
        <f>313.87</f>
        <v>313.87</v>
      </c>
      <c r="O1987">
        <f>2646.1</f>
        <v>2646.1</v>
      </c>
      <c r="P1987">
        <f>209.58</f>
        <v>209.58</v>
      </c>
      <c r="Q1987">
        <f>1819.01</f>
        <v>1819.01</v>
      </c>
      <c r="R1987">
        <f>3886.26</f>
        <v>3886.26</v>
      </c>
      <c r="S1987">
        <f>2208.84</f>
        <v>2208.84</v>
      </c>
      <c r="T1987">
        <f>3456.469</f>
        <v>3456.4690000000001</v>
      </c>
      <c r="U1987">
        <f>51654.54</f>
        <v>51654.54</v>
      </c>
      <c r="V1987">
        <f>287.97</f>
        <v>287.97000000000003</v>
      </c>
    </row>
    <row r="1988" spans="1:22" x14ac:dyDescent="0.2">
      <c r="A1988" s="1">
        <v>42325</v>
      </c>
      <c r="B1988">
        <f>2830.65</f>
        <v>2830.65</v>
      </c>
      <c r="C1988">
        <f>7398.71</f>
        <v>7398.71</v>
      </c>
      <c r="D1988">
        <f>4900.49</f>
        <v>4900.49</v>
      </c>
      <c r="E1988">
        <f>1696.446</f>
        <v>1696.4459999999999</v>
      </c>
      <c r="F1988">
        <f>1724.92</f>
        <v>1724.92</v>
      </c>
      <c r="G1988">
        <f>7529.222</f>
        <v>7529.2219999999998</v>
      </c>
      <c r="H1988">
        <f>2603.6</f>
        <v>2603.6</v>
      </c>
      <c r="I1988">
        <f>8287.035</f>
        <v>8287.0349999999999</v>
      </c>
      <c r="J1988">
        <f>2777.64</f>
        <v>2777.64</v>
      </c>
      <c r="K1988">
        <f>7961.56</f>
        <v>7961.56</v>
      </c>
      <c r="L1988">
        <f>1546.24</f>
        <v>1546.24</v>
      </c>
      <c r="M1988">
        <f>6397.79</f>
        <v>6397.79</v>
      </c>
      <c r="N1988">
        <f>313.999</f>
        <v>313.99900000000002</v>
      </c>
      <c r="O1988">
        <f>2649.64</f>
        <v>2649.64</v>
      </c>
      <c r="P1988">
        <f>208.9</f>
        <v>208.9</v>
      </c>
      <c r="Q1988">
        <f>1794.74</f>
        <v>1794.74</v>
      </c>
      <c r="R1988">
        <f>3824.14</f>
        <v>3824.14</v>
      </c>
      <c r="S1988">
        <f>2208.25</f>
        <v>2208.25</v>
      </c>
      <c r="T1988">
        <f>3478.165</f>
        <v>3478.165</v>
      </c>
      <c r="U1988">
        <f>51981.65</f>
        <v>51981.65</v>
      </c>
      <c r="V1988">
        <f>291.49</f>
        <v>291.49</v>
      </c>
    </row>
    <row r="1989" spans="1:22" x14ac:dyDescent="0.2">
      <c r="A1989" s="1">
        <v>42324</v>
      </c>
      <c r="B1989">
        <f>2781.11</f>
        <v>2781.11</v>
      </c>
      <c r="C1989">
        <f>7294.56</f>
        <v>7294.56</v>
      </c>
      <c r="D1989">
        <f>4804.83</f>
        <v>4804.83</v>
      </c>
      <c r="E1989">
        <f>1674.387</f>
        <v>1674.3869999999999</v>
      </c>
      <c r="F1989">
        <f>1691.83</f>
        <v>1691.83</v>
      </c>
      <c r="G1989">
        <f>7373.457</f>
        <v>7373.4570000000003</v>
      </c>
      <c r="H1989">
        <f>2591.91</f>
        <v>2591.91</v>
      </c>
      <c r="I1989">
        <f>8141.452</f>
        <v>8141.4520000000002</v>
      </c>
      <c r="J1989">
        <f>2785.11</f>
        <v>2785.11</v>
      </c>
      <c r="K1989">
        <f>7970.78</f>
        <v>7970.78</v>
      </c>
      <c r="L1989">
        <f>1535.9</f>
        <v>1535.9</v>
      </c>
      <c r="M1989">
        <f>6363.94</f>
        <v>6363.94</v>
      </c>
      <c r="N1989">
        <f>305.846</f>
        <v>305.846</v>
      </c>
      <c r="O1989">
        <f>2584.11</f>
        <v>2584.11</v>
      </c>
      <c r="P1989">
        <f>207.99</f>
        <v>207.99</v>
      </c>
      <c r="Q1989">
        <f>1798.43</f>
        <v>1798.43</v>
      </c>
      <c r="R1989">
        <f>3828.46</f>
        <v>3828.46</v>
      </c>
      <c r="S1989">
        <f>2187.96</f>
        <v>2187.96</v>
      </c>
      <c r="T1989">
        <f>3446.978</f>
        <v>3446.9780000000001</v>
      </c>
      <c r="U1989">
        <f>51547.38</f>
        <v>51547.38</v>
      </c>
      <c r="V1989">
        <f>290.19</f>
        <v>290.19</v>
      </c>
    </row>
    <row r="1990" spans="1:22" x14ac:dyDescent="0.2">
      <c r="A1990" s="1">
        <v>42321</v>
      </c>
      <c r="B1990">
        <f>2770.86</f>
        <v>2770.86</v>
      </c>
      <c r="C1990">
        <f>7336.45</f>
        <v>7336.45</v>
      </c>
      <c r="D1990">
        <f>4782.85</f>
        <v>4782.8500000000004</v>
      </c>
      <c r="E1990">
        <f>1690.297</f>
        <v>1690.297</v>
      </c>
      <c r="F1990">
        <f>1678.04</f>
        <v>1678.04</v>
      </c>
      <c r="G1990">
        <f>7333.714</f>
        <v>7333.7139999999999</v>
      </c>
      <c r="H1990">
        <f>2613.8</f>
        <v>2613.8000000000002</v>
      </c>
      <c r="I1990">
        <f>8142.771</f>
        <v>8142.7709999999997</v>
      </c>
      <c r="J1990">
        <f>2738.26</f>
        <v>2738.26</v>
      </c>
      <c r="K1990">
        <f>7854.05</f>
        <v>7854.05</v>
      </c>
      <c r="L1990">
        <f>1520.27</f>
        <v>1520.27</v>
      </c>
      <c r="M1990">
        <f>6312.87</f>
        <v>6312.87</v>
      </c>
      <c r="N1990">
        <f>304.819</f>
        <v>304.81900000000002</v>
      </c>
      <c r="O1990">
        <f>2577.2</f>
        <v>2577.1999999999998</v>
      </c>
      <c r="P1990">
        <f>208.81</f>
        <v>208.81</v>
      </c>
      <c r="Q1990">
        <f>1769.76</f>
        <v>1769.76</v>
      </c>
      <c r="R1990">
        <f>3771.59</f>
        <v>3771.59</v>
      </c>
      <c r="S1990">
        <f>2207.87</f>
        <v>2207.87</v>
      </c>
      <c r="T1990">
        <f>3429.117</f>
        <v>3429.1170000000002</v>
      </c>
      <c r="U1990">
        <f>51199.34</f>
        <v>51199.34</v>
      </c>
      <c r="V1990">
        <f>288.38</f>
        <v>288.38</v>
      </c>
    </row>
    <row r="1991" spans="1:22" x14ac:dyDescent="0.2">
      <c r="A1991" s="1">
        <v>42320</v>
      </c>
      <c r="B1991">
        <f>2789.86</f>
        <v>2789.86</v>
      </c>
      <c r="C1991">
        <f>7472.45</f>
        <v>7472.45</v>
      </c>
      <c r="D1991">
        <f>4830.08</f>
        <v>4830.08</v>
      </c>
      <c r="E1991">
        <f>1716.221</f>
        <v>1716.221</v>
      </c>
      <c r="F1991">
        <f>1686.79</f>
        <v>1686.79</v>
      </c>
      <c r="G1991">
        <f>7409.355</f>
        <v>7409.3549999999996</v>
      </c>
      <c r="H1991">
        <f>2629.35</f>
        <v>2629.35</v>
      </c>
      <c r="I1991">
        <f>8229.81</f>
        <v>8229.81</v>
      </c>
      <c r="J1991">
        <f>2760.95</f>
        <v>2760.95</v>
      </c>
      <c r="K1991">
        <f>7941.07</f>
        <v>7941.07</v>
      </c>
      <c r="L1991">
        <f>1535.15</f>
        <v>1535.15</v>
      </c>
      <c r="M1991">
        <f>6378.41</f>
        <v>6378.41</v>
      </c>
      <c r="N1991">
        <f>306.649</f>
        <v>306.649</v>
      </c>
      <c r="O1991">
        <f>2596.67</f>
        <v>2596.67</v>
      </c>
      <c r="P1991">
        <f>210.74</f>
        <v>210.74</v>
      </c>
      <c r="Q1991">
        <f>1783.34</f>
        <v>1783.34</v>
      </c>
      <c r="R1991">
        <f>3814.29</f>
        <v>3814.29</v>
      </c>
      <c r="S1991">
        <f>2218.63</f>
        <v>2218.63</v>
      </c>
      <c r="T1991">
        <f>3487.151</f>
        <v>3487.1509999999998</v>
      </c>
      <c r="U1991">
        <f>52056.67</f>
        <v>52056.67</v>
      </c>
      <c r="V1991">
        <f>293.21</f>
        <v>293.20999999999998</v>
      </c>
    </row>
    <row r="1992" spans="1:22" x14ac:dyDescent="0.2">
      <c r="A1992" s="1">
        <v>42319</v>
      </c>
      <c r="B1992">
        <f>2837.6</f>
        <v>2837.6</v>
      </c>
      <c r="C1992">
        <f>7478.5</f>
        <v>7478.5</v>
      </c>
      <c r="D1992">
        <f>4914.17</f>
        <v>4914.17</v>
      </c>
      <c r="E1992">
        <f>1715.494</f>
        <v>1715.4939999999999</v>
      </c>
      <c r="F1992">
        <f>1717.54</f>
        <v>1717.54</v>
      </c>
      <c r="G1992">
        <f>7539.72</f>
        <v>7539.72</v>
      </c>
      <c r="H1992">
        <f>2634.15</f>
        <v>2634.15</v>
      </c>
      <c r="I1992">
        <f>8326.809</f>
        <v>8326.8089999999993</v>
      </c>
      <c r="J1992">
        <f>2798.57</f>
        <v>2798.57</v>
      </c>
      <c r="K1992">
        <f>8052.09</f>
        <v>8052.09</v>
      </c>
      <c r="L1992">
        <f>1554.37</f>
        <v>1554.37</v>
      </c>
      <c r="M1992">
        <f>6454.24</f>
        <v>6454.24</v>
      </c>
      <c r="N1992">
        <f>311.851</f>
        <v>311.851</v>
      </c>
      <c r="O1992">
        <f>2639.23</f>
        <v>2639.23</v>
      </c>
      <c r="P1992">
        <f>210.19</f>
        <v>210.19</v>
      </c>
      <c r="Q1992">
        <f>1811.83</f>
        <v>1811.83</v>
      </c>
      <c r="R1992">
        <f>3867.71</f>
        <v>3867.71</v>
      </c>
      <c r="S1992">
        <f>2221.07</f>
        <v>2221.0700000000002</v>
      </c>
      <c r="T1992">
        <f>3541.506</f>
        <v>3541.5059999999999</v>
      </c>
      <c r="U1992">
        <f>52594.1</f>
        <v>52594.1</v>
      </c>
      <c r="V1992">
        <f>299.96</f>
        <v>299.95999999999998</v>
      </c>
    </row>
    <row r="1993" spans="1:22" x14ac:dyDescent="0.2">
      <c r="A1993" s="1">
        <v>42318</v>
      </c>
      <c r="B1993">
        <f>2834.82</f>
        <v>2834.82</v>
      </c>
      <c r="C1993">
        <f>7521.67</f>
        <v>7521.67</v>
      </c>
      <c r="D1993">
        <f>4897.06</f>
        <v>4897.0600000000004</v>
      </c>
      <c r="E1993">
        <f>1715.502</f>
        <v>1715.502</v>
      </c>
      <c r="F1993">
        <f>1709.89</f>
        <v>1709.89</v>
      </c>
      <c r="G1993">
        <f>7470.772</f>
        <v>7470.7719999999999</v>
      </c>
      <c r="H1993">
        <f>2624.24</f>
        <v>2624.24</v>
      </c>
      <c r="I1993">
        <f>8246.398</f>
        <v>8246.3979999999992</v>
      </c>
      <c r="J1993">
        <f>2800.82</f>
        <v>2800.82</v>
      </c>
      <c r="K1993">
        <f>8079.8</f>
        <v>8079.8</v>
      </c>
      <c r="L1993">
        <f>1551.11</f>
        <v>1551.11</v>
      </c>
      <c r="M1993">
        <f>6448.6</f>
        <v>6448.6</v>
      </c>
      <c r="N1993">
        <f>309.437</f>
        <v>309.43700000000001</v>
      </c>
      <c r="O1993">
        <f>2623.88</f>
        <v>2623.88</v>
      </c>
      <c r="P1993">
        <f>208.95</f>
        <v>208.95</v>
      </c>
      <c r="Q1993">
        <f>1816.41</f>
        <v>1816.41</v>
      </c>
      <c r="R1993">
        <f>3880.23</f>
        <v>3880.23</v>
      </c>
      <c r="S1993">
        <f>2212.93</f>
        <v>2212.9299999999998</v>
      </c>
      <c r="T1993">
        <f>3557.984</f>
        <v>3557.9839999999999</v>
      </c>
      <c r="U1993">
        <f>52565.5</f>
        <v>52565.5</v>
      </c>
      <c r="V1993">
        <f>303.14</f>
        <v>303.14</v>
      </c>
    </row>
    <row r="1994" spans="1:22" x14ac:dyDescent="0.2">
      <c r="A1994" s="1">
        <v>42317</v>
      </c>
      <c r="B1994">
        <f>2848.59</f>
        <v>2848.59</v>
      </c>
      <c r="C1994">
        <f>7620.68</f>
        <v>7620.68</v>
      </c>
      <c r="D1994">
        <f>4912.57</f>
        <v>4912.57</v>
      </c>
      <c r="E1994">
        <f>1736.296</f>
        <v>1736.296</v>
      </c>
      <c r="F1994">
        <f>1705.42</f>
        <v>1705.42</v>
      </c>
      <c r="G1994">
        <f>7495.224</f>
        <v>7495.2240000000002</v>
      </c>
      <c r="H1994">
        <f>2623.48</f>
        <v>2623.48</v>
      </c>
      <c r="I1994">
        <f>8281.587</f>
        <v>8281.5869999999995</v>
      </c>
      <c r="J1994">
        <f>2794.8</f>
        <v>2794.8</v>
      </c>
      <c r="K1994">
        <f>8065.84</f>
        <v>8065.84</v>
      </c>
      <c r="L1994">
        <f>1551.33</f>
        <v>1551.33</v>
      </c>
      <c r="M1994">
        <f>6451.75</f>
        <v>6451.75</v>
      </c>
      <c r="N1994">
        <f>308.929</f>
        <v>308.92899999999997</v>
      </c>
      <c r="O1994">
        <f>2620.06</f>
        <v>2620.06</v>
      </c>
      <c r="P1994">
        <f>210.16</f>
        <v>210.16</v>
      </c>
      <c r="Q1994">
        <f>1809.4</f>
        <v>1809.4</v>
      </c>
      <c r="R1994">
        <f>3873.37</f>
        <v>3873.37</v>
      </c>
      <c r="S1994">
        <f>2215</f>
        <v>2215</v>
      </c>
      <c r="T1994">
        <f>3610.164</f>
        <v>3610.1640000000002</v>
      </c>
      <c r="U1994">
        <f>53371.23</f>
        <v>53371.23</v>
      </c>
      <c r="V1994">
        <f>309.78</f>
        <v>309.77999999999997</v>
      </c>
    </row>
    <row r="1995" spans="1:22" x14ac:dyDescent="0.2">
      <c r="A1995" s="1">
        <v>42314</v>
      </c>
      <c r="B1995">
        <f>2873.97</f>
        <v>2873.97</v>
      </c>
      <c r="C1995">
        <f>7679.17</f>
        <v>7679.17</v>
      </c>
      <c r="D1995">
        <f>4958.35</f>
        <v>4958.3500000000004</v>
      </c>
      <c r="E1995">
        <f>1754.435</f>
        <v>1754.4349999999999</v>
      </c>
      <c r="F1995">
        <f>1721.27</f>
        <v>1721.27</v>
      </c>
      <c r="G1995">
        <f>7547.589</f>
        <v>7547.5889999999999</v>
      </c>
      <c r="H1995">
        <f>2584.88</f>
        <v>2584.88</v>
      </c>
      <c r="I1995">
        <f>8384.316</f>
        <v>8384.3160000000007</v>
      </c>
      <c r="J1995">
        <f>2820.53</f>
        <v>2820.53</v>
      </c>
      <c r="K1995">
        <f>8142.66</f>
        <v>8142.66</v>
      </c>
      <c r="L1995">
        <f>1565.33</f>
        <v>1565.33</v>
      </c>
      <c r="M1995">
        <f>6499.44</f>
        <v>6499.44</v>
      </c>
      <c r="N1995">
        <f>312.32</f>
        <v>312.32</v>
      </c>
      <c r="O1995">
        <f>2648.95</f>
        <v>2648.95</v>
      </c>
      <c r="P1995">
        <f>207.98</f>
        <v>207.98</v>
      </c>
      <c r="Q1995">
        <f>1827.83</f>
        <v>1827.83</v>
      </c>
      <c r="R1995">
        <f>3910.98</f>
        <v>3910.98</v>
      </c>
      <c r="S1995">
        <f>2176.89</f>
        <v>2176.89</v>
      </c>
      <c r="T1995">
        <f>3608.638</f>
        <v>3608.6379999999999</v>
      </c>
      <c r="U1995">
        <f>52964.07</f>
        <v>52964.07</v>
      </c>
      <c r="V1995">
        <f>308.94</f>
        <v>308.94</v>
      </c>
    </row>
    <row r="1996" spans="1:22" x14ac:dyDescent="0.2">
      <c r="A1996" s="1">
        <v>42313</v>
      </c>
      <c r="B1996">
        <f>2884.99</f>
        <v>2884.99</v>
      </c>
      <c r="C1996">
        <f>7851.32</f>
        <v>7851.32</v>
      </c>
      <c r="D1996">
        <f>4967</f>
        <v>4967</v>
      </c>
      <c r="E1996">
        <f>1778.364</f>
        <v>1778.364</v>
      </c>
      <c r="F1996">
        <f>1755.94</f>
        <v>1755.94</v>
      </c>
      <c r="G1996">
        <f>7655.367</f>
        <v>7655.3670000000002</v>
      </c>
      <c r="H1996">
        <f>2606.71</f>
        <v>2606.71</v>
      </c>
      <c r="I1996">
        <f>8436.744</f>
        <v>8436.7440000000006</v>
      </c>
      <c r="J1996">
        <f>2838.98</f>
        <v>2838.98</v>
      </c>
      <c r="K1996">
        <f>8144.75</f>
        <v>8144.75</v>
      </c>
      <c r="L1996">
        <f>1583.06</f>
        <v>1583.06</v>
      </c>
      <c r="M1996">
        <f>6522.98</f>
        <v>6522.98</v>
      </c>
      <c r="N1996">
        <f>314.615</f>
        <v>314.61500000000001</v>
      </c>
      <c r="O1996">
        <f>2641.19</f>
        <v>2641.19</v>
      </c>
      <c r="P1996">
        <f>206.32</f>
        <v>206.32</v>
      </c>
      <c r="Q1996">
        <f>1838.45</f>
        <v>1838.45</v>
      </c>
      <c r="R1996">
        <f>3911.89</f>
        <v>3911.89</v>
      </c>
      <c r="S1996">
        <f>2165.06</f>
        <v>2165.06</v>
      </c>
      <c r="T1996">
        <f>3672.406</f>
        <v>3672.4059999999999</v>
      </c>
      <c r="U1996">
        <f>54073.01</f>
        <v>54073.01</v>
      </c>
      <c r="V1996">
        <f>316.65</f>
        <v>316.64999999999998</v>
      </c>
    </row>
    <row r="1997" spans="1:22" x14ac:dyDescent="0.2">
      <c r="A1997" s="1">
        <v>42312</v>
      </c>
      <c r="B1997">
        <f>2932.59</f>
        <v>2932.59</v>
      </c>
      <c r="C1997">
        <f>7884.85</f>
        <v>7884.85</v>
      </c>
      <c r="D1997">
        <f>5000.32</f>
        <v>5000.32</v>
      </c>
      <c r="E1997">
        <f>1786.605</f>
        <v>1786.605</v>
      </c>
      <c r="F1997">
        <f>1790.04</f>
        <v>1790.04</v>
      </c>
      <c r="G1997">
        <f>7778.199</f>
        <v>7778.1989999999996</v>
      </c>
      <c r="H1997">
        <f>2580.69</f>
        <v>2580.69</v>
      </c>
      <c r="I1997">
        <f>8425.886</f>
        <v>8425.8860000000004</v>
      </c>
      <c r="J1997">
        <f>2845.12</f>
        <v>2845.12</v>
      </c>
      <c r="K1997">
        <f>8154.27</f>
        <v>8154.27</v>
      </c>
      <c r="L1997">
        <f>1588.85</f>
        <v>1588.85</v>
      </c>
      <c r="M1997">
        <f>6533.22</f>
        <v>6533.22</v>
      </c>
      <c r="N1997">
        <f>318.391</f>
        <v>318.39100000000002</v>
      </c>
      <c r="O1997">
        <f>2652.93</f>
        <v>2652.93</v>
      </c>
      <c r="P1997">
        <f>202.97</f>
        <v>202.97</v>
      </c>
      <c r="Q1997">
        <f>1838.23</f>
        <v>1838.23</v>
      </c>
      <c r="R1997">
        <f>3915.52</f>
        <v>3915.52</v>
      </c>
      <c r="S1997">
        <f>2144.63</f>
        <v>2144.63</v>
      </c>
      <c r="T1997">
        <f>3685.963</f>
        <v>3685.9630000000002</v>
      </c>
      <c r="U1997">
        <f>54609.01</f>
        <v>54609.01</v>
      </c>
      <c r="V1997">
        <f>320.93</f>
        <v>320.93</v>
      </c>
    </row>
    <row r="1998" spans="1:22" x14ac:dyDescent="0.2">
      <c r="A1998" s="1">
        <v>42311</v>
      </c>
      <c r="B1998">
        <f>2920.45</f>
        <v>2920.45</v>
      </c>
      <c r="C1998">
        <f>7795.79</f>
        <v>7795.79</v>
      </c>
      <c r="D1998">
        <f>4977.5</f>
        <v>4977.5</v>
      </c>
      <c r="E1998">
        <f>1771.354</f>
        <v>1771.354</v>
      </c>
      <c r="F1998">
        <f>1779.83</f>
        <v>1779.83</v>
      </c>
      <c r="G1998">
        <f>7748.435</f>
        <v>7748.4350000000004</v>
      </c>
      <c r="H1998">
        <f>2564.84</f>
        <v>2564.84</v>
      </c>
      <c r="I1998">
        <f>8477.524</f>
        <v>8477.5239999999994</v>
      </c>
      <c r="J1998">
        <f>2852.74</f>
        <v>2852.74</v>
      </c>
      <c r="K1998">
        <f>8177.68</f>
        <v>8177.68</v>
      </c>
      <c r="L1998">
        <f>1591.92</f>
        <v>1591.92</v>
      </c>
      <c r="M1998">
        <f>6545.32</f>
        <v>6545.32</v>
      </c>
      <c r="N1998">
        <f>315.841</f>
        <v>315.84100000000001</v>
      </c>
      <c r="O1998">
        <f>2639.63</f>
        <v>2639.63</v>
      </c>
      <c r="P1998" t="e">
        <f>NA()</f>
        <v>#N/A</v>
      </c>
      <c r="Q1998">
        <f>1842.72</f>
        <v>1842.72</v>
      </c>
      <c r="R1998">
        <f>3928.05</f>
        <v>3928.05</v>
      </c>
      <c r="S1998" t="e">
        <f>NA()</f>
        <v>#N/A</v>
      </c>
      <c r="T1998">
        <f>3654.125</f>
        <v>3654.125</v>
      </c>
      <c r="U1998">
        <f>54076.07</f>
        <v>54076.07</v>
      </c>
      <c r="V1998">
        <f>315.99</f>
        <v>315.99</v>
      </c>
    </row>
    <row r="1999" spans="1:22" x14ac:dyDescent="0.2">
      <c r="A1999" s="1">
        <v>42310</v>
      </c>
      <c r="B1999">
        <f>2905.69</f>
        <v>2905.69</v>
      </c>
      <c r="C1999">
        <f>7690.73</f>
        <v>7690.73</v>
      </c>
      <c r="D1999">
        <f>4960.49</f>
        <v>4960.49</v>
      </c>
      <c r="E1999">
        <f>1749.6</f>
        <v>1749.6</v>
      </c>
      <c r="F1999">
        <f>1772.84</f>
        <v>1772.84</v>
      </c>
      <c r="G1999">
        <f>7731.264</f>
        <v>7731.2640000000001</v>
      </c>
      <c r="H1999">
        <f>2575.47</f>
        <v>2575.4699999999998</v>
      </c>
      <c r="I1999">
        <f>8520.492</f>
        <v>8520.4920000000002</v>
      </c>
      <c r="J1999">
        <f>2843.26</f>
        <v>2843.26</v>
      </c>
      <c r="K1999">
        <f>8155.81</f>
        <v>8155.81</v>
      </c>
      <c r="L1999">
        <f>1588.69</f>
        <v>1588.69</v>
      </c>
      <c r="M1999">
        <f>6536.72</f>
        <v>6536.72</v>
      </c>
      <c r="N1999">
        <f>313.238</f>
        <v>313.238</v>
      </c>
      <c r="O1999">
        <f>2627.2</f>
        <v>2627.2</v>
      </c>
      <c r="P1999">
        <f>202.61</f>
        <v>202.61</v>
      </c>
      <c r="Q1999">
        <f>1838.72</f>
        <v>1838.72</v>
      </c>
      <c r="R1999">
        <f>3917.3</f>
        <v>3917.3</v>
      </c>
      <c r="S1999">
        <f>2125.9</f>
        <v>2125.9</v>
      </c>
      <c r="T1999">
        <f>3644.714</f>
        <v>3644.7139999999999</v>
      </c>
      <c r="U1999">
        <f>53860.26</f>
        <v>53860.26</v>
      </c>
      <c r="V1999">
        <f>314.73</f>
        <v>314.73</v>
      </c>
    </row>
    <row r="2000" spans="1:22" x14ac:dyDescent="0.2">
      <c r="A2000" s="1">
        <v>42307</v>
      </c>
      <c r="B2000">
        <f>2908.22</f>
        <v>2908.22</v>
      </c>
      <c r="C2000">
        <f>7700.49</f>
        <v>7700.49</v>
      </c>
      <c r="D2000">
        <f>4959.95</f>
        <v>4959.95</v>
      </c>
      <c r="E2000">
        <f>1744.66</f>
        <v>1744.66</v>
      </c>
      <c r="F2000">
        <f>1778.55</f>
        <v>1778.55</v>
      </c>
      <c r="G2000">
        <f>7739.221</f>
        <v>7739.2209999999995</v>
      </c>
      <c r="H2000">
        <f>2625.62</f>
        <v>2625.62</v>
      </c>
      <c r="I2000">
        <f>8488.428</f>
        <v>8488.4279999999999</v>
      </c>
      <c r="J2000">
        <f>2816.66</f>
        <v>2816.66</v>
      </c>
      <c r="K2000">
        <f>8058.74</f>
        <v>8058.74</v>
      </c>
      <c r="L2000">
        <f>1580.09</f>
        <v>1580.09</v>
      </c>
      <c r="M2000">
        <f>6500.91</f>
        <v>6500.91</v>
      </c>
      <c r="N2000">
        <f>314.006</f>
        <v>314.00599999999997</v>
      </c>
      <c r="O2000">
        <f>2621.34</f>
        <v>2621.34</v>
      </c>
      <c r="P2000">
        <f>207.18</f>
        <v>207.18</v>
      </c>
      <c r="Q2000">
        <f>1817.89</f>
        <v>1817.89</v>
      </c>
      <c r="R2000">
        <f>3871.33</f>
        <v>3871.33</v>
      </c>
      <c r="S2000">
        <f>2169.38</f>
        <v>2169.38</v>
      </c>
      <c r="T2000">
        <f>3625.097</f>
        <v>3625.0970000000002</v>
      </c>
      <c r="U2000">
        <f>53793.74</f>
        <v>53793.74</v>
      </c>
      <c r="V2000">
        <f>314.5</f>
        <v>314.5</v>
      </c>
    </row>
    <row r="2001" spans="1:22" x14ac:dyDescent="0.2">
      <c r="A2001" s="1">
        <v>42306</v>
      </c>
      <c r="B2001">
        <f>2916.13</f>
        <v>2916.13</v>
      </c>
      <c r="C2001">
        <f>7691.44</f>
        <v>7691.44</v>
      </c>
      <c r="D2001">
        <f>4987.01</f>
        <v>4987.01</v>
      </c>
      <c r="E2001">
        <f>1741.074</f>
        <v>1741.0740000000001</v>
      </c>
      <c r="F2001">
        <f>1771.28</f>
        <v>1771.28</v>
      </c>
      <c r="G2001">
        <f>7706.298</f>
        <v>7706.2979999999998</v>
      </c>
      <c r="H2001">
        <f>2596.02</f>
        <v>2596.02</v>
      </c>
      <c r="I2001">
        <f>8419.503</f>
        <v>8419.5030000000006</v>
      </c>
      <c r="J2001">
        <f>2828.46</f>
        <v>2828.46</v>
      </c>
      <c r="K2001">
        <f>8094.65</f>
        <v>8094.65</v>
      </c>
      <c r="L2001">
        <f>1577.3</f>
        <v>1577.3</v>
      </c>
      <c r="M2001">
        <f>6503.95</f>
        <v>6503.95</v>
      </c>
      <c r="N2001">
        <f>314.222</f>
        <v>314.22199999999998</v>
      </c>
      <c r="O2001">
        <f>2620.59</f>
        <v>2620.59</v>
      </c>
      <c r="P2001">
        <f>206.14</f>
        <v>206.14</v>
      </c>
      <c r="Q2001">
        <f>1819.37</f>
        <v>1819.37</v>
      </c>
      <c r="R2001">
        <f>3890.04</f>
        <v>3890.04</v>
      </c>
      <c r="S2001">
        <f>2153.93</f>
        <v>2153.9299999999998</v>
      </c>
      <c r="T2001">
        <f>3611.973</f>
        <v>3611.973</v>
      </c>
      <c r="U2001">
        <f>53406.32</f>
        <v>53406.32</v>
      </c>
      <c r="V2001">
        <f>312.89</f>
        <v>312.89</v>
      </c>
    </row>
    <row r="2002" spans="1:22" x14ac:dyDescent="0.2">
      <c r="A2002" s="1">
        <v>42305</v>
      </c>
      <c r="B2002">
        <f>2941.34</f>
        <v>2941.34</v>
      </c>
      <c r="C2002">
        <f>7820.65</f>
        <v>7820.65</v>
      </c>
      <c r="D2002">
        <f>5018.4</f>
        <v>5018.3999999999996</v>
      </c>
      <c r="E2002">
        <f>1770.181</f>
        <v>1770.181</v>
      </c>
      <c r="F2002">
        <f>1791.73</f>
        <v>1791.73</v>
      </c>
      <c r="G2002">
        <f>7765.529</f>
        <v>7765.5290000000005</v>
      </c>
      <c r="H2002">
        <f>2600.81</f>
        <v>2600.81</v>
      </c>
      <c r="I2002">
        <f>8512.476</f>
        <v>8512.4760000000006</v>
      </c>
      <c r="J2002">
        <f>2836.34</f>
        <v>2836.34</v>
      </c>
      <c r="K2002">
        <f>8099.86</f>
        <v>8099.86</v>
      </c>
      <c r="L2002">
        <f>1586.02</f>
        <v>1586.02</v>
      </c>
      <c r="M2002">
        <f>6531.64</f>
        <v>6531.64</v>
      </c>
      <c r="N2002">
        <f>312.822</f>
        <v>312.822</v>
      </c>
      <c r="O2002">
        <f>2621.34</f>
        <v>2621.34</v>
      </c>
      <c r="P2002">
        <f>205.09</f>
        <v>205.09</v>
      </c>
      <c r="Q2002">
        <f>1817.47</f>
        <v>1817.47</v>
      </c>
      <c r="R2002">
        <f>3891.34</f>
        <v>3891.34</v>
      </c>
      <c r="S2002">
        <f>2154.05</f>
        <v>2154.0500000000002</v>
      </c>
      <c r="T2002">
        <f>3645.074</f>
        <v>3645.0740000000001</v>
      </c>
      <c r="U2002">
        <f>53755.73</f>
        <v>53755.73</v>
      </c>
      <c r="V2002">
        <f>317.21</f>
        <v>317.20999999999998</v>
      </c>
    </row>
    <row r="2003" spans="1:22" x14ac:dyDescent="0.2">
      <c r="A2003" s="1">
        <v>42304</v>
      </c>
      <c r="B2003">
        <f>2908.38</f>
        <v>2908.38</v>
      </c>
      <c r="C2003">
        <f>7850.98</f>
        <v>7850.98</v>
      </c>
      <c r="D2003">
        <f>4961.86</f>
        <v>4961.8599999999997</v>
      </c>
      <c r="E2003">
        <f>1775.105</f>
        <v>1775.105</v>
      </c>
      <c r="F2003">
        <f>1764.88</f>
        <v>1764.88</v>
      </c>
      <c r="G2003">
        <f>7675.15</f>
        <v>7675.15</v>
      </c>
      <c r="H2003">
        <f>2598.75</f>
        <v>2598.75</v>
      </c>
      <c r="I2003">
        <f>8408.316</f>
        <v>8408.3160000000007</v>
      </c>
      <c r="J2003">
        <f>2810.83</f>
        <v>2810.83</v>
      </c>
      <c r="K2003">
        <f>8000.96</f>
        <v>8000.96</v>
      </c>
      <c r="L2003">
        <f>1570.81</f>
        <v>1570.81</v>
      </c>
      <c r="M2003">
        <f>6463.03</f>
        <v>6463.03</v>
      </c>
      <c r="N2003">
        <f>309.611</f>
        <v>309.61099999999999</v>
      </c>
      <c r="O2003">
        <f>2593.85</f>
        <v>2593.85</v>
      </c>
      <c r="P2003">
        <f>205.2</f>
        <v>205.2</v>
      </c>
      <c r="Q2003">
        <f>1807.15</f>
        <v>1807.15</v>
      </c>
      <c r="R2003">
        <f>3845.45</f>
        <v>3845.45</v>
      </c>
      <c r="S2003">
        <f>2148.32</f>
        <v>2148.3200000000002</v>
      </c>
      <c r="T2003">
        <f>3626.905</f>
        <v>3626.9050000000002</v>
      </c>
      <c r="U2003">
        <f>53770.29</f>
        <v>53770.29</v>
      </c>
      <c r="V2003">
        <f>316.27</f>
        <v>316.27</v>
      </c>
    </row>
    <row r="2004" spans="1:22" x14ac:dyDescent="0.2">
      <c r="A2004" s="1">
        <v>42303</v>
      </c>
      <c r="B2004">
        <f>2941.83</f>
        <v>2941.83</v>
      </c>
      <c r="C2004">
        <f>7919.42</f>
        <v>7919.42</v>
      </c>
      <c r="D2004">
        <f>5002.2</f>
        <v>5002.2</v>
      </c>
      <c r="E2004">
        <f>1785.274</f>
        <v>1785.2739999999999</v>
      </c>
      <c r="F2004">
        <f>1794.85</f>
        <v>1794.85</v>
      </c>
      <c r="G2004">
        <f>7762.744</f>
        <v>7762.7439999999997</v>
      </c>
      <c r="H2004">
        <f>2612.05</f>
        <v>2612.0500000000002</v>
      </c>
      <c r="I2004">
        <f>8495.547</f>
        <v>8495.5470000000005</v>
      </c>
      <c r="J2004">
        <f>2817.52</f>
        <v>2817.52</v>
      </c>
      <c r="K2004">
        <f>8020.67</f>
        <v>8020.67</v>
      </c>
      <c r="L2004">
        <f>1580.77</f>
        <v>1580.77</v>
      </c>
      <c r="M2004">
        <f>6496.3</f>
        <v>6496.3</v>
      </c>
      <c r="N2004">
        <f>313.432</f>
        <v>313.43200000000002</v>
      </c>
      <c r="O2004">
        <f>2620.6</f>
        <v>2620.6</v>
      </c>
      <c r="P2004">
        <f>206.41</f>
        <v>206.41</v>
      </c>
      <c r="Q2004">
        <f>1811.06</f>
        <v>1811.06</v>
      </c>
      <c r="R2004">
        <f>3855.29</f>
        <v>3855.29</v>
      </c>
      <c r="S2004">
        <f>2170.42</f>
        <v>2170.42</v>
      </c>
      <c r="T2004">
        <f>3667.77</f>
        <v>3667.77</v>
      </c>
      <c r="U2004">
        <f>54150.7</f>
        <v>54150.7</v>
      </c>
      <c r="V2004">
        <f>321.46</f>
        <v>321.45999999999998</v>
      </c>
    </row>
    <row r="2005" spans="1:22" x14ac:dyDescent="0.2">
      <c r="A2005" s="1">
        <v>42300</v>
      </c>
      <c r="B2005">
        <f>2958.24</f>
        <v>2958.24</v>
      </c>
      <c r="C2005">
        <f>7959.04</f>
        <v>7959.04</v>
      </c>
      <c r="D2005">
        <f>5023.29</f>
        <v>5023.29</v>
      </c>
      <c r="E2005">
        <f>1787.126</f>
        <v>1787.126</v>
      </c>
      <c r="F2005">
        <f>1801.08</f>
        <v>1801.08</v>
      </c>
      <c r="G2005">
        <f>7792.151</f>
        <v>7792.1509999999998</v>
      </c>
      <c r="H2005">
        <f>2597.36</f>
        <v>2597.36</v>
      </c>
      <c r="I2005">
        <f>8511.129</f>
        <v>8511.1290000000008</v>
      </c>
      <c r="J2005">
        <f>2825.66</f>
        <v>2825.66</v>
      </c>
      <c r="K2005">
        <f>8035.03</f>
        <v>8035.03</v>
      </c>
      <c r="L2005">
        <f>1586.45</f>
        <v>1586.45</v>
      </c>
      <c r="M2005">
        <f>6502.47</f>
        <v>6502.47</v>
      </c>
      <c r="N2005">
        <f>314.536</f>
        <v>314.536</v>
      </c>
      <c r="O2005">
        <f>2632.35</f>
        <v>2632.35</v>
      </c>
      <c r="P2005">
        <f>206.39</f>
        <v>206.39</v>
      </c>
      <c r="Q2005">
        <f>1814.1</f>
        <v>1814.1</v>
      </c>
      <c r="R2005">
        <f>3862.65</f>
        <v>3862.65</v>
      </c>
      <c r="S2005">
        <f>2154.9</f>
        <v>2154.9</v>
      </c>
      <c r="T2005">
        <f>3662.098</f>
        <v>3662.098</v>
      </c>
      <c r="U2005">
        <f>54298.41</f>
        <v>54298.41</v>
      </c>
      <c r="V2005">
        <f>322.28</f>
        <v>322.27999999999997</v>
      </c>
    </row>
    <row r="2006" spans="1:22" x14ac:dyDescent="0.2">
      <c r="A2006" s="1">
        <v>42299</v>
      </c>
      <c r="B2006">
        <f>2921.05</f>
        <v>2921.05</v>
      </c>
      <c r="C2006">
        <f>7878.83</f>
        <v>7878.83</v>
      </c>
      <c r="D2006">
        <f>4970.44</f>
        <v>4970.4399999999996</v>
      </c>
      <c r="E2006">
        <f>1765.709</f>
        <v>1765.7090000000001</v>
      </c>
      <c r="F2006">
        <f>1787.73</f>
        <v>1787.73</v>
      </c>
      <c r="G2006">
        <f>7743.723</f>
        <v>7743.723</v>
      </c>
      <c r="H2006">
        <f>2561.56</f>
        <v>2561.56</v>
      </c>
      <c r="I2006">
        <f>8437.831</f>
        <v>8437.8310000000001</v>
      </c>
      <c r="J2006">
        <f>2800.12</f>
        <v>2800.12</v>
      </c>
      <c r="K2006">
        <f>7949.32</f>
        <v>7949.32</v>
      </c>
      <c r="L2006">
        <f>1577.9</f>
        <v>1577.9</v>
      </c>
      <c r="M2006">
        <f>6436.59</f>
        <v>6436.59</v>
      </c>
      <c r="N2006">
        <f>308.966</f>
        <v>308.96600000000001</v>
      </c>
      <c r="O2006">
        <f>2582.49</f>
        <v>2582.4899999999998</v>
      </c>
      <c r="P2006">
        <f>203.01</f>
        <v>203.01</v>
      </c>
      <c r="Q2006">
        <f>1813.9</f>
        <v>1813.9</v>
      </c>
      <c r="R2006">
        <f>3820.49</f>
        <v>3820.49</v>
      </c>
      <c r="S2006">
        <f>2113.66</f>
        <v>2113.66</v>
      </c>
      <c r="T2006">
        <f>3606.769</f>
        <v>3606.7689999999998</v>
      </c>
      <c r="U2006">
        <f>53293.97</f>
        <v>53293.97</v>
      </c>
      <c r="V2006">
        <f>315.73</f>
        <v>315.73</v>
      </c>
    </row>
    <row r="2007" spans="1:22" x14ac:dyDescent="0.2">
      <c r="A2007" s="1">
        <v>42298</v>
      </c>
      <c r="B2007">
        <f>2890.8</f>
        <v>2890.8</v>
      </c>
      <c r="C2007">
        <f>7868.94</f>
        <v>7868.94</v>
      </c>
      <c r="D2007">
        <f>4942.28</f>
        <v>4942.28</v>
      </c>
      <c r="E2007">
        <f>1767.628</f>
        <v>1767.6279999999999</v>
      </c>
      <c r="F2007">
        <f>1776.8</f>
        <v>1776.8</v>
      </c>
      <c r="G2007">
        <f>7722.422</f>
        <v>7722.4219999999996</v>
      </c>
      <c r="H2007">
        <f>2579.79</f>
        <v>2579.79</v>
      </c>
      <c r="I2007">
        <f>8402.124</f>
        <v>8402.1239999999998</v>
      </c>
      <c r="J2007">
        <f>2738.84</f>
        <v>2738.84</v>
      </c>
      <c r="K2007">
        <f>7824.35</f>
        <v>7824.35</v>
      </c>
      <c r="L2007">
        <f>1560.58</f>
        <v>1560.58</v>
      </c>
      <c r="M2007">
        <f>6372.91</f>
        <v>6372.91</v>
      </c>
      <c r="N2007">
        <f>303.464</f>
        <v>303.464</v>
      </c>
      <c r="O2007">
        <f>2528.13</f>
        <v>2528.13</v>
      </c>
      <c r="P2007">
        <f>203.82</f>
        <v>203.82</v>
      </c>
      <c r="Q2007">
        <f>1777.15</f>
        <v>1777.15</v>
      </c>
      <c r="R2007">
        <f>3757.91</f>
        <v>3757.91</v>
      </c>
      <c r="S2007">
        <f>2125.62</f>
        <v>2125.62</v>
      </c>
      <c r="T2007">
        <f>3583.013</f>
        <v>3583.0129999999999</v>
      </c>
      <c r="U2007">
        <f>52997.97</f>
        <v>52997.97</v>
      </c>
      <c r="V2007">
        <f>313.4</f>
        <v>313.39999999999998</v>
      </c>
    </row>
    <row r="2008" spans="1:22" x14ac:dyDescent="0.2">
      <c r="A2008" s="1">
        <v>42297</v>
      </c>
      <c r="B2008">
        <f>2909.13</f>
        <v>2909.13</v>
      </c>
      <c r="C2008">
        <f>7945.64</f>
        <v>7945.64</v>
      </c>
      <c r="D2008">
        <f>4939.72</f>
        <v>4939.72</v>
      </c>
      <c r="E2008">
        <f>1778.64</f>
        <v>1778.64</v>
      </c>
      <c r="F2008">
        <f>1778.17</f>
        <v>1778.17</v>
      </c>
      <c r="G2008">
        <f>7722.229</f>
        <v>7722.2290000000003</v>
      </c>
      <c r="H2008">
        <f>2536.51</f>
        <v>2536.5100000000002</v>
      </c>
      <c r="I2008">
        <f>8391.415</f>
        <v>8391.4150000000009</v>
      </c>
      <c r="J2008">
        <f>2748.4</f>
        <v>2748.4</v>
      </c>
      <c r="K2008">
        <f>7872.96</f>
        <v>7872.96</v>
      </c>
      <c r="L2008">
        <f>1562.84</f>
        <v>1562.84</v>
      </c>
      <c r="M2008">
        <f>6390.17</f>
        <v>6390.17</v>
      </c>
      <c r="N2008">
        <f>304.56</f>
        <v>304.56</v>
      </c>
      <c r="O2008">
        <f>2526.93</f>
        <v>2526.9299999999998</v>
      </c>
      <c r="P2008">
        <f>201.36</f>
        <v>201.36</v>
      </c>
      <c r="Q2008">
        <f>1780.74</f>
        <v>1780.74</v>
      </c>
      <c r="R2008">
        <f>3779.44</f>
        <v>3779.44</v>
      </c>
      <c r="S2008">
        <f>2087.3</f>
        <v>2087.3000000000002</v>
      </c>
      <c r="T2008">
        <f>3593.38</f>
        <v>3593.38</v>
      </c>
      <c r="U2008">
        <f>52880.16</f>
        <v>52880.160000000003</v>
      </c>
      <c r="V2008">
        <f>315.25</f>
        <v>315.25</v>
      </c>
    </row>
    <row r="2009" spans="1:22" x14ac:dyDescent="0.2">
      <c r="A2009" s="1">
        <v>42296</v>
      </c>
      <c r="B2009">
        <f>2918.68</f>
        <v>2918.68</v>
      </c>
      <c r="C2009">
        <f>7984.62</f>
        <v>7984.62</v>
      </c>
      <c r="D2009">
        <f>4945.32</f>
        <v>4945.32</v>
      </c>
      <c r="E2009">
        <f>1784.34</f>
        <v>1784.34</v>
      </c>
      <c r="F2009">
        <f>1789.79</f>
        <v>1789.79</v>
      </c>
      <c r="G2009">
        <f>7739.586</f>
        <v>7739.5860000000002</v>
      </c>
      <c r="H2009">
        <f>2523.91</f>
        <v>2523.91</v>
      </c>
      <c r="I2009">
        <f>8405.042</f>
        <v>8405.0419999999995</v>
      </c>
      <c r="J2009">
        <f>2757.42</f>
        <v>2757.42</v>
      </c>
      <c r="K2009">
        <f>7885.61</f>
        <v>7885.61</v>
      </c>
      <c r="L2009">
        <f>1566.73</f>
        <v>1566.73</v>
      </c>
      <c r="M2009">
        <f>6399.19</f>
        <v>6399.19</v>
      </c>
      <c r="N2009">
        <f>306.076</f>
        <v>306.07600000000002</v>
      </c>
      <c r="O2009">
        <f>2539.08</f>
        <v>2539.08</v>
      </c>
      <c r="P2009">
        <f>200.83</f>
        <v>200.83</v>
      </c>
      <c r="Q2009">
        <f>1780.92</f>
        <v>1780.92</v>
      </c>
      <c r="R2009">
        <f>3784.72</f>
        <v>3784.72</v>
      </c>
      <c r="S2009">
        <f>2080.98</f>
        <v>2080.98</v>
      </c>
      <c r="T2009">
        <f>3613.395</f>
        <v>3613.395</v>
      </c>
      <c r="U2009">
        <f>53184.07</f>
        <v>53184.07</v>
      </c>
      <c r="V2009">
        <f>319.09</f>
        <v>319.08999999999997</v>
      </c>
    </row>
    <row r="2010" spans="1:22" x14ac:dyDescent="0.2">
      <c r="A2010" s="1">
        <v>42293</v>
      </c>
      <c r="B2010">
        <f>2942.52</f>
        <v>2942.52</v>
      </c>
      <c r="C2010">
        <f>7979.78</f>
        <v>7979.78</v>
      </c>
      <c r="D2010">
        <f>4965.33</f>
        <v>4965.33</v>
      </c>
      <c r="E2010">
        <f>1780.243</f>
        <v>1780.2429999999999</v>
      </c>
      <c r="F2010">
        <f>1800.64</f>
        <v>1800.64</v>
      </c>
      <c r="G2010">
        <f>7756.001</f>
        <v>7756.0010000000002</v>
      </c>
      <c r="H2010">
        <f>2556.95</f>
        <v>2556.9499999999998</v>
      </c>
      <c r="I2010">
        <f>8437.402</f>
        <v>8437.402</v>
      </c>
      <c r="J2010">
        <f>2763.83</f>
        <v>2763.83</v>
      </c>
      <c r="K2010">
        <f>7884.46</f>
        <v>7884.46</v>
      </c>
      <c r="L2010">
        <f>1573.92</f>
        <v>1573.92</v>
      </c>
      <c r="M2010">
        <f>6412.96</f>
        <v>6412.96</v>
      </c>
      <c r="N2010">
        <f>304.948</f>
        <v>304.94799999999998</v>
      </c>
      <c r="O2010">
        <f>2534.26</f>
        <v>2534.2600000000002</v>
      </c>
      <c r="P2010">
        <f>200.96</f>
        <v>200.96</v>
      </c>
      <c r="Q2010">
        <f>1784.13</f>
        <v>1784.13</v>
      </c>
      <c r="R2010">
        <f>3783.64</f>
        <v>3783.64</v>
      </c>
      <c r="S2010">
        <f>2096.42</f>
        <v>2096.42</v>
      </c>
      <c r="T2010">
        <f>3590.127</f>
        <v>3590.127</v>
      </c>
      <c r="U2010">
        <f>52945.11</f>
        <v>52945.11</v>
      </c>
      <c r="V2010">
        <f>317.2</f>
        <v>317.2</v>
      </c>
    </row>
    <row r="2011" spans="1:22" x14ac:dyDescent="0.2">
      <c r="A2011" s="1">
        <v>42292</v>
      </c>
      <c r="B2011">
        <f>2934.05</f>
        <v>2934.05</v>
      </c>
      <c r="C2011">
        <f>7967.33</f>
        <v>7967.33</v>
      </c>
      <c r="D2011">
        <f>4934.69</f>
        <v>4934.6899999999996</v>
      </c>
      <c r="E2011">
        <f>1778.813</f>
        <v>1778.8130000000001</v>
      </c>
      <c r="F2011">
        <f>1795.74</f>
        <v>1795.74</v>
      </c>
      <c r="G2011">
        <f>7719.71</f>
        <v>7719.71</v>
      </c>
      <c r="H2011">
        <f>2550.92</f>
        <v>2550.92</v>
      </c>
      <c r="I2011">
        <f>8391.821</f>
        <v>8391.8209999999999</v>
      </c>
      <c r="J2011">
        <f>2744.27</f>
        <v>2744.27</v>
      </c>
      <c r="K2011">
        <f>7849.21</f>
        <v>7849.21</v>
      </c>
      <c r="L2011">
        <f>1564.99</f>
        <v>1564.99</v>
      </c>
      <c r="M2011">
        <f>6383.31</f>
        <v>6383.31</v>
      </c>
      <c r="N2011">
        <f>303.571</f>
        <v>303.57100000000003</v>
      </c>
      <c r="O2011">
        <f>2515.18</f>
        <v>2515.1799999999998</v>
      </c>
      <c r="P2011">
        <f>200.6</f>
        <v>200.6</v>
      </c>
      <c r="Q2011">
        <f>1776.51</f>
        <v>1776.51</v>
      </c>
      <c r="R2011">
        <f>3766.43</f>
        <v>3766.43</v>
      </c>
      <c r="S2011">
        <f>2075.38</f>
        <v>2075.38</v>
      </c>
      <c r="T2011">
        <f>3590.395</f>
        <v>3590.395</v>
      </c>
      <c r="U2011">
        <f>52966.42</f>
        <v>52966.42</v>
      </c>
      <c r="V2011">
        <f>317.46</f>
        <v>317.45999999999998</v>
      </c>
    </row>
    <row r="2012" spans="1:22" x14ac:dyDescent="0.2">
      <c r="A2012" s="1">
        <v>42291</v>
      </c>
      <c r="B2012">
        <f>2902.51</f>
        <v>2902.51</v>
      </c>
      <c r="C2012">
        <f>7837.5</f>
        <v>7837.5</v>
      </c>
      <c r="D2012">
        <f>4880.92</f>
        <v>4880.92</v>
      </c>
      <c r="E2012">
        <f>1747.26</f>
        <v>1747.26</v>
      </c>
      <c r="F2012">
        <f>1775.95</f>
        <v>1775.95</v>
      </c>
      <c r="G2012">
        <f>7623.877</f>
        <v>7623.8770000000004</v>
      </c>
      <c r="H2012">
        <f>2494.33</f>
        <v>2494.33</v>
      </c>
      <c r="I2012">
        <f>8317.983</f>
        <v>8317.9830000000002</v>
      </c>
      <c r="J2012">
        <f>2714.45</f>
        <v>2714.45</v>
      </c>
      <c r="K2012">
        <f>7732.96</f>
        <v>7732.96</v>
      </c>
      <c r="L2012">
        <f>1545.31</f>
        <v>1545.31</v>
      </c>
      <c r="M2012">
        <f>6296.45</f>
        <v>6296.45</v>
      </c>
      <c r="N2012">
        <f>299.28</f>
        <v>299.27999999999997</v>
      </c>
      <c r="O2012">
        <f>2482.08</f>
        <v>2482.08</v>
      </c>
      <c r="P2012">
        <f>197.68</f>
        <v>197.68</v>
      </c>
      <c r="Q2012">
        <f>1757.99</f>
        <v>1757.99</v>
      </c>
      <c r="R2012">
        <f>3711.11</f>
        <v>3711.11</v>
      </c>
      <c r="S2012">
        <f>2047.69</f>
        <v>2047.69</v>
      </c>
      <c r="T2012">
        <f>3591.586</f>
        <v>3591.5859999999998</v>
      </c>
      <c r="U2012">
        <f>53059.06</f>
        <v>53059.06</v>
      </c>
      <c r="V2012">
        <f>317.93</f>
        <v>317.93</v>
      </c>
    </row>
    <row r="2013" spans="1:22" x14ac:dyDescent="0.2">
      <c r="A2013" s="1">
        <v>42290</v>
      </c>
      <c r="B2013">
        <f>2932.84</f>
        <v>2932.84</v>
      </c>
      <c r="C2013">
        <f>7890.95</f>
        <v>7890.95</v>
      </c>
      <c r="D2013">
        <f>4937.5</f>
        <v>4937.5</v>
      </c>
      <c r="E2013">
        <f>1757.32</f>
        <v>1757.32</v>
      </c>
      <c r="F2013">
        <f>1773.33</f>
        <v>1773.33</v>
      </c>
      <c r="G2013">
        <f>7604.573</f>
        <v>7604.5730000000003</v>
      </c>
      <c r="H2013">
        <f>2539.14</f>
        <v>2539.14</v>
      </c>
      <c r="I2013">
        <f>8352.598</f>
        <v>8352.598</v>
      </c>
      <c r="J2013">
        <f>2717.19</f>
        <v>2717.19</v>
      </c>
      <c r="K2013">
        <f>7769.19</f>
        <v>7769.19</v>
      </c>
      <c r="L2013">
        <f>1544.88</f>
        <v>1544.88</v>
      </c>
      <c r="M2013">
        <f>6326.93</f>
        <v>6326.93</v>
      </c>
      <c r="N2013">
        <f>300.668</f>
        <v>300.66800000000001</v>
      </c>
      <c r="O2013">
        <f>2500.56</f>
        <v>2500.56</v>
      </c>
      <c r="P2013">
        <f>200.16</f>
        <v>200.16</v>
      </c>
      <c r="Q2013">
        <f>1771.56</f>
        <v>1771.56</v>
      </c>
      <c r="R2013">
        <f>3728.48</f>
        <v>3728.48</v>
      </c>
      <c r="S2013">
        <f>2092.65</f>
        <v>2092.65</v>
      </c>
      <c r="T2013">
        <f>3590.669</f>
        <v>3590.6689999999999</v>
      </c>
      <c r="U2013">
        <f>53063.06</f>
        <v>53063.06</v>
      </c>
      <c r="V2013">
        <f>317.36</f>
        <v>317.36</v>
      </c>
    </row>
    <row r="2014" spans="1:22" x14ac:dyDescent="0.2">
      <c r="A2014" s="1">
        <v>42289</v>
      </c>
      <c r="B2014">
        <f>2964.33</f>
        <v>2964.33</v>
      </c>
      <c r="C2014">
        <f>8014.19</f>
        <v>8014.19</v>
      </c>
      <c r="D2014">
        <f>4960</f>
        <v>4960</v>
      </c>
      <c r="E2014">
        <f>1779.818</f>
        <v>1779.818</v>
      </c>
      <c r="F2014">
        <f>1796.72</f>
        <v>1796.72</v>
      </c>
      <c r="G2014">
        <f>7702.889</f>
        <v>7702.8890000000001</v>
      </c>
      <c r="H2014">
        <f>2568.9</f>
        <v>2568.9</v>
      </c>
      <c r="I2014">
        <f>8415.95</f>
        <v>8415.9500000000007</v>
      </c>
      <c r="J2014">
        <f>2732.84</f>
        <v>2732.84</v>
      </c>
      <c r="K2014">
        <f>7821.74</f>
        <v>7821.74</v>
      </c>
      <c r="L2014">
        <f>1555.95</f>
        <v>1555.95</v>
      </c>
      <c r="M2014">
        <f>6377.13</f>
        <v>6377.13</v>
      </c>
      <c r="N2014">
        <f>304.285</f>
        <v>304.28500000000003</v>
      </c>
      <c r="O2014">
        <f>2524.16</f>
        <v>2524.16</v>
      </c>
      <c r="P2014" t="e">
        <f>NA()</f>
        <v>#N/A</v>
      </c>
      <c r="Q2014">
        <f>1782.87</f>
        <v>1782.87</v>
      </c>
      <c r="R2014">
        <f>3753.73</f>
        <v>3753.73</v>
      </c>
      <c r="S2014" t="e">
        <f>NA()</f>
        <v>#N/A</v>
      </c>
      <c r="T2014">
        <f>3598.661</f>
        <v>3598.6610000000001</v>
      </c>
      <c r="U2014">
        <f>52757.6</f>
        <v>52757.599999999999</v>
      </c>
      <c r="V2014">
        <f>320.24</f>
        <v>320.24</v>
      </c>
    </row>
    <row r="2015" spans="1:22" x14ac:dyDescent="0.2">
      <c r="A2015" s="1">
        <v>42286</v>
      </c>
      <c r="B2015">
        <f>2982.38</f>
        <v>2982.38</v>
      </c>
      <c r="C2015">
        <f>7988.34</f>
        <v>7988.34</v>
      </c>
      <c r="D2015">
        <f>4995.02</f>
        <v>4995.0200000000004</v>
      </c>
      <c r="E2015">
        <f>1767.637</f>
        <v>1767.6369999999999</v>
      </c>
      <c r="F2015">
        <f>1809.68</f>
        <v>1809.68</v>
      </c>
      <c r="G2015">
        <f>7744.593</f>
        <v>7744.5929999999998</v>
      </c>
      <c r="H2015">
        <f>2560.36</f>
        <v>2560.36</v>
      </c>
      <c r="I2015">
        <f>8410.157</f>
        <v>8410.1569999999992</v>
      </c>
      <c r="J2015">
        <f>2734.76</f>
        <v>2734.76</v>
      </c>
      <c r="K2015">
        <f>7815.41</f>
        <v>7815.41</v>
      </c>
      <c r="L2015">
        <f>1555.82</f>
        <v>1555.82</v>
      </c>
      <c r="M2015">
        <f>6374.76</f>
        <v>6374.76</v>
      </c>
      <c r="N2015">
        <f>305.53</f>
        <v>305.52999999999997</v>
      </c>
      <c r="O2015">
        <f>2529.83</f>
        <v>2529.83</v>
      </c>
      <c r="P2015">
        <f>200.65</f>
        <v>200.65</v>
      </c>
      <c r="Q2015">
        <f>1779.64</f>
        <v>1779.64</v>
      </c>
      <c r="R2015">
        <f>3748.96</f>
        <v>3748.96</v>
      </c>
      <c r="S2015">
        <f>2109.37</f>
        <v>2109.37</v>
      </c>
      <c r="T2015">
        <f>3620.344</f>
        <v>3620.3440000000001</v>
      </c>
      <c r="U2015">
        <f>53295.64</f>
        <v>53295.64</v>
      </c>
      <c r="V2015">
        <f>322.35</f>
        <v>322.35000000000002</v>
      </c>
    </row>
    <row r="2016" spans="1:22" x14ac:dyDescent="0.2">
      <c r="A2016" s="1">
        <v>42285</v>
      </c>
      <c r="B2016">
        <f>2951.38</f>
        <v>2951.38</v>
      </c>
      <c r="C2016">
        <f>7811.31</f>
        <v>7811.31</v>
      </c>
      <c r="D2016">
        <f>4962.83</f>
        <v>4962.83</v>
      </c>
      <c r="E2016">
        <f>1745.057</f>
        <v>1745.057</v>
      </c>
      <c r="F2016">
        <f>1787.11</f>
        <v>1787.11</v>
      </c>
      <c r="G2016">
        <f>7683.515</f>
        <v>7683.5150000000003</v>
      </c>
      <c r="H2016">
        <f>2500.1</f>
        <v>2500.1</v>
      </c>
      <c r="I2016">
        <f>8308.896</f>
        <v>8308.8960000000006</v>
      </c>
      <c r="J2016">
        <f>2738.12</f>
        <v>2738.12</v>
      </c>
      <c r="K2016">
        <f>7809.55</f>
        <v>7809.55</v>
      </c>
      <c r="L2016">
        <f>1548.62</f>
        <v>1548.62</v>
      </c>
      <c r="M2016">
        <f>6335.79</f>
        <v>6335.79</v>
      </c>
      <c r="N2016">
        <f>305.426</f>
        <v>305.42599999999999</v>
      </c>
      <c r="O2016">
        <f>2520.39</f>
        <v>2520.39</v>
      </c>
      <c r="P2016">
        <f>196.67</f>
        <v>196.67</v>
      </c>
      <c r="Q2016">
        <f>1779.65</f>
        <v>1779.65</v>
      </c>
      <c r="R2016">
        <f>3746.12</f>
        <v>3746.12</v>
      </c>
      <c r="S2016">
        <f>2062.41</f>
        <v>2062.41</v>
      </c>
      <c r="T2016">
        <f>3590.317</f>
        <v>3590.317</v>
      </c>
      <c r="U2016">
        <f>52726.6</f>
        <v>52726.6</v>
      </c>
      <c r="V2016">
        <f>316.46</f>
        <v>316.45999999999998</v>
      </c>
    </row>
    <row r="2017" spans="1:22" x14ac:dyDescent="0.2">
      <c r="A2017" s="1">
        <v>42284</v>
      </c>
      <c r="B2017">
        <f>2931.44</f>
        <v>2931.44</v>
      </c>
      <c r="C2017">
        <f>7862.66</f>
        <v>7862.66</v>
      </c>
      <c r="D2017">
        <f>4930.88</f>
        <v>4930.88</v>
      </c>
      <c r="E2017">
        <f>1749.855</f>
        <v>1749.855</v>
      </c>
      <c r="F2017">
        <f>1771.05</f>
        <v>1771.05</v>
      </c>
      <c r="G2017">
        <f>7644.172</f>
        <v>7644.1719999999996</v>
      </c>
      <c r="H2017">
        <f>2512.91</f>
        <v>2512.91</v>
      </c>
      <c r="I2017">
        <f>8259.519</f>
        <v>8259.5190000000002</v>
      </c>
      <c r="J2017">
        <f>2711.17</f>
        <v>2711.17</v>
      </c>
      <c r="K2017">
        <f>7742.76</f>
        <v>7742.76</v>
      </c>
      <c r="L2017">
        <f>1535.73</f>
        <v>1535.73</v>
      </c>
      <c r="M2017">
        <f>6296.99</f>
        <v>6296.99</v>
      </c>
      <c r="N2017">
        <f>304.382</f>
        <v>304.38200000000001</v>
      </c>
      <c r="O2017">
        <f>2513.61</f>
        <v>2513.61</v>
      </c>
      <c r="P2017">
        <f>198</f>
        <v>198</v>
      </c>
      <c r="Q2017">
        <f>1757.05</f>
        <v>1757.05</v>
      </c>
      <c r="R2017">
        <f>3713.36</f>
        <v>3713.36</v>
      </c>
      <c r="S2017">
        <f>2078.79</f>
        <v>2078.79</v>
      </c>
      <c r="T2017">
        <f>3575.142</f>
        <v>3575.1419999999998</v>
      </c>
      <c r="U2017">
        <f>52565.42</f>
        <v>52565.42</v>
      </c>
      <c r="V2017">
        <f>314.61</f>
        <v>314.61</v>
      </c>
    </row>
    <row r="2018" spans="1:22" x14ac:dyDescent="0.2">
      <c r="A2018" s="1">
        <v>42283</v>
      </c>
      <c r="B2018">
        <f>2902.31</f>
        <v>2902.31</v>
      </c>
      <c r="C2018">
        <f>7590.42</f>
        <v>7590.42</v>
      </c>
      <c r="D2018">
        <f>4922.95</f>
        <v>4922.95</v>
      </c>
      <c r="E2018">
        <f>1704.392</f>
        <v>1704.3920000000001</v>
      </c>
      <c r="F2018">
        <f>1742</f>
        <v>1742</v>
      </c>
      <c r="G2018">
        <f>7572.103</f>
        <v>7572.1030000000001</v>
      </c>
      <c r="H2018">
        <f>2462.97</f>
        <v>2462.9699999999998</v>
      </c>
      <c r="I2018">
        <f>8291.594</f>
        <v>8291.5939999999991</v>
      </c>
      <c r="J2018">
        <f>2685.2</f>
        <v>2685.2</v>
      </c>
      <c r="K2018">
        <f>7677.99</f>
        <v>7677.99</v>
      </c>
      <c r="L2018">
        <f>1524.82</f>
        <v>1524.82</v>
      </c>
      <c r="M2018">
        <f>6248.09</f>
        <v>6248.09</v>
      </c>
      <c r="N2018">
        <f>303.85</f>
        <v>303.85000000000002</v>
      </c>
      <c r="O2018">
        <f>2509.44</f>
        <v>2509.44</v>
      </c>
      <c r="P2018">
        <f>195.91</f>
        <v>195.91</v>
      </c>
      <c r="Q2018">
        <f>1740.67</f>
        <v>1740.67</v>
      </c>
      <c r="R2018">
        <f>3682.33</f>
        <v>3682.33</v>
      </c>
      <c r="S2018">
        <f>2054.66</f>
        <v>2054.66</v>
      </c>
      <c r="T2018">
        <f>3541.124</f>
        <v>3541.1239999999998</v>
      </c>
      <c r="U2018">
        <f>52070.15</f>
        <v>52070.15</v>
      </c>
      <c r="V2018">
        <f>310.81</f>
        <v>310.81</v>
      </c>
    </row>
    <row r="2019" spans="1:22" x14ac:dyDescent="0.2">
      <c r="A2019" s="1">
        <v>42282</v>
      </c>
      <c r="B2019">
        <f>2884.24</f>
        <v>2884.24</v>
      </c>
      <c r="C2019">
        <f>7526.21</f>
        <v>7526.21</v>
      </c>
      <c r="D2019">
        <f>4901.76</f>
        <v>4901.76</v>
      </c>
      <c r="E2019">
        <f>1689.136</f>
        <v>1689.136</v>
      </c>
      <c r="F2019">
        <f>1733.64</f>
        <v>1733.64</v>
      </c>
      <c r="G2019">
        <f>7520.374</f>
        <v>7520.3739999999998</v>
      </c>
      <c r="H2019">
        <f>2432.19</f>
        <v>2432.19</v>
      </c>
      <c r="I2019">
        <f>8186.433</f>
        <v>8186.433</v>
      </c>
      <c r="J2019">
        <f>2686.39</f>
        <v>2686.39</v>
      </c>
      <c r="K2019">
        <f>7706.75</f>
        <v>7706.75</v>
      </c>
      <c r="L2019">
        <f>1515.78</f>
        <v>1515.78</v>
      </c>
      <c r="M2019">
        <f>6234.67</f>
        <v>6234.67</v>
      </c>
      <c r="N2019">
        <f>303.224</f>
        <v>303.22399999999999</v>
      </c>
      <c r="O2019">
        <f>2493.84</f>
        <v>2493.84</v>
      </c>
      <c r="P2019">
        <f>194.58</f>
        <v>194.58</v>
      </c>
      <c r="Q2019">
        <f>1750.13</f>
        <v>1750.13</v>
      </c>
      <c r="R2019">
        <f>3695.61</f>
        <v>3695.61</v>
      </c>
      <c r="S2019">
        <f>2038.07</f>
        <v>2038.07</v>
      </c>
      <c r="T2019">
        <f>3542.855</f>
        <v>3542.855</v>
      </c>
      <c r="U2019">
        <f>52071.31</f>
        <v>52071.31</v>
      </c>
      <c r="V2019">
        <f>310.88</f>
        <v>310.88</v>
      </c>
    </row>
    <row r="2020" spans="1:22" x14ac:dyDescent="0.2">
      <c r="A2020" s="1">
        <v>42279</v>
      </c>
      <c r="B2020">
        <f>2811.74</f>
        <v>2811.74</v>
      </c>
      <c r="C2020">
        <f>7332.18</f>
        <v>7332.18</v>
      </c>
      <c r="D2020">
        <f>4770.29</f>
        <v>4770.29</v>
      </c>
      <c r="E2020">
        <f>1653.22</f>
        <v>1653.22</v>
      </c>
      <c r="F2020">
        <f>1689.83</f>
        <v>1689.83</v>
      </c>
      <c r="G2020">
        <f>7328.407</f>
        <v>7328.4070000000002</v>
      </c>
      <c r="H2020">
        <f>2423.67</f>
        <v>2423.67</v>
      </c>
      <c r="I2020">
        <f>7990.374</f>
        <v>7990.3739999999998</v>
      </c>
      <c r="J2020">
        <f>2636.43</f>
        <v>2636.43</v>
      </c>
      <c r="K2020">
        <f>7570.17</f>
        <v>7570.17</v>
      </c>
      <c r="L2020">
        <f>1485.09</f>
        <v>1485.09</v>
      </c>
      <c r="M2020">
        <f>6118.88</f>
        <v>6118.88</v>
      </c>
      <c r="N2020">
        <f>294.797</f>
        <v>294.79700000000003</v>
      </c>
      <c r="O2020">
        <f>2419.37</f>
        <v>2419.37</v>
      </c>
      <c r="P2020">
        <f>192.43</f>
        <v>192.43</v>
      </c>
      <c r="Q2020">
        <f>1718.43</f>
        <v>1718.43</v>
      </c>
      <c r="R2020">
        <f>3629.04</f>
        <v>3629.04</v>
      </c>
      <c r="S2020">
        <f>2011.61</f>
        <v>2011.61</v>
      </c>
      <c r="T2020">
        <f>3463.201</f>
        <v>3463.201</v>
      </c>
      <c r="U2020">
        <f>50955.89</f>
        <v>50955.89</v>
      </c>
      <c r="V2020">
        <f>303.04</f>
        <v>303.04000000000002</v>
      </c>
    </row>
    <row r="2021" spans="1:22" x14ac:dyDescent="0.2">
      <c r="A2021" s="1">
        <v>42278</v>
      </c>
      <c r="B2021">
        <f>2785.83</f>
        <v>2785.83</v>
      </c>
      <c r="C2021">
        <f>7270.99</f>
        <v>7270.99</v>
      </c>
      <c r="D2021">
        <f>4725.53</f>
        <v>4725.53</v>
      </c>
      <c r="E2021">
        <f>1639.841</f>
        <v>1639.8409999999999</v>
      </c>
      <c r="F2021">
        <f>1667.9</f>
        <v>1667.9</v>
      </c>
      <c r="G2021">
        <f>7234.395</f>
        <v>7234.3950000000004</v>
      </c>
      <c r="H2021">
        <f>2413.98</f>
        <v>2413.98</v>
      </c>
      <c r="I2021">
        <f>7906.44</f>
        <v>7906.44</v>
      </c>
      <c r="J2021">
        <f>2594.92</f>
        <v>2594.92</v>
      </c>
      <c r="K2021">
        <f>7459.24</f>
        <v>7459.24</v>
      </c>
      <c r="L2021">
        <f>1467.08</f>
        <v>1467.08</v>
      </c>
      <c r="M2021">
        <f>6045.38</f>
        <v>6045.38</v>
      </c>
      <c r="N2021">
        <f>293.611</f>
        <v>293.61099999999999</v>
      </c>
      <c r="O2021">
        <f>2406.92</f>
        <v>2406.92</v>
      </c>
      <c r="P2021">
        <f>192.48</f>
        <v>192.48</v>
      </c>
      <c r="Q2021">
        <f>1693.5</f>
        <v>1693.5</v>
      </c>
      <c r="R2021">
        <f>3577.47</f>
        <v>3577.47</v>
      </c>
      <c r="S2021">
        <f>2008.58</f>
        <v>2008.58</v>
      </c>
      <c r="T2021">
        <f>3439.702</f>
        <v>3439.7020000000002</v>
      </c>
      <c r="U2021">
        <f>50516.58</f>
        <v>50516.58</v>
      </c>
      <c r="V2021">
        <f>300.55</f>
        <v>300.55</v>
      </c>
    </row>
    <row r="2022" spans="1:22" x14ac:dyDescent="0.2">
      <c r="A2022" s="1">
        <v>42277</v>
      </c>
      <c r="B2022">
        <f>2783.33</f>
        <v>2783.33</v>
      </c>
      <c r="C2022">
        <f>7239.3</f>
        <v>7239.3</v>
      </c>
      <c r="D2022">
        <f>4715.95</f>
        <v>4715.95</v>
      </c>
      <c r="E2022">
        <f>1628.39</f>
        <v>1628.39</v>
      </c>
      <c r="F2022">
        <f>1669.88</f>
        <v>1669.88</v>
      </c>
      <c r="G2022">
        <f>7213.587</f>
        <v>7213.5870000000004</v>
      </c>
      <c r="H2022">
        <f>2372.03</f>
        <v>2372.0300000000002</v>
      </c>
      <c r="I2022">
        <f>7924.653</f>
        <v>7924.6530000000002</v>
      </c>
      <c r="J2022">
        <f>2599.68</f>
        <v>2599.6799999999998</v>
      </c>
      <c r="K2022">
        <f>7444.47</f>
        <v>7444.47</v>
      </c>
      <c r="L2022">
        <f>1466.2</f>
        <v>1466.2</v>
      </c>
      <c r="M2022">
        <f>6021.95</f>
        <v>6021.95</v>
      </c>
      <c r="N2022">
        <f>293.64</f>
        <v>293.64</v>
      </c>
      <c r="O2022">
        <f>2415.17</f>
        <v>2415.17</v>
      </c>
      <c r="P2022">
        <f>189.9</f>
        <v>189.9</v>
      </c>
      <c r="Q2022">
        <f>1693.73</f>
        <v>1693.73</v>
      </c>
      <c r="R2022">
        <f>3570.17</f>
        <v>3570.17</v>
      </c>
      <c r="S2022">
        <f>1964.62</f>
        <v>1964.62</v>
      </c>
      <c r="T2022">
        <f>3395.839</f>
        <v>3395.8389999999999</v>
      </c>
      <c r="U2022">
        <f>50088.86</f>
        <v>50088.86</v>
      </c>
      <c r="V2022">
        <f>296.72</f>
        <v>296.72000000000003</v>
      </c>
    </row>
    <row r="2023" spans="1:22" x14ac:dyDescent="0.2">
      <c r="A2023" s="1">
        <v>42276</v>
      </c>
      <c r="B2023">
        <f>2723.11</f>
        <v>2723.11</v>
      </c>
      <c r="C2023">
        <f>7107.86</f>
        <v>7107.86</v>
      </c>
      <c r="D2023">
        <f>4597.41</f>
        <v>4597.41</v>
      </c>
      <c r="E2023">
        <f>1596.078</f>
        <v>1596.078</v>
      </c>
      <c r="F2023">
        <f>1627.62</f>
        <v>1627.62</v>
      </c>
      <c r="G2023">
        <f>7027.266</f>
        <v>7027.2659999999996</v>
      </c>
      <c r="H2023">
        <f>2317.12</f>
        <v>2317.12</v>
      </c>
      <c r="I2023">
        <f>7786.468</f>
        <v>7786.4679999999998</v>
      </c>
      <c r="J2023">
        <f>2557.33</f>
        <v>2557.33</v>
      </c>
      <c r="K2023">
        <f>7303.58</f>
        <v>7303.58</v>
      </c>
      <c r="L2023">
        <f>1439.59</f>
        <v>1439.59</v>
      </c>
      <c r="M2023">
        <f>5901.86</f>
        <v>5901.86</v>
      </c>
      <c r="N2023">
        <f>285.222</f>
        <v>285.22199999999998</v>
      </c>
      <c r="O2023">
        <f>2355.82</f>
        <v>2355.8200000000002</v>
      </c>
      <c r="P2023">
        <f>185.53</f>
        <v>185.53</v>
      </c>
      <c r="Q2023">
        <f>1672.76</f>
        <v>1672.76</v>
      </c>
      <c r="R2023">
        <f>3503.13</f>
        <v>3503.13</v>
      </c>
      <c r="S2023">
        <f>1915</f>
        <v>1915</v>
      </c>
      <c r="T2023">
        <f>3358.157</f>
        <v>3358.1570000000002</v>
      </c>
      <c r="U2023">
        <f>49383.93</f>
        <v>49383.93</v>
      </c>
      <c r="V2023">
        <f>294.21</f>
        <v>294.20999999999998</v>
      </c>
    </row>
    <row r="2024" spans="1:22" x14ac:dyDescent="0.2">
      <c r="A2024" s="1">
        <v>42275</v>
      </c>
      <c r="B2024">
        <f>2743.34</f>
        <v>2743.34</v>
      </c>
      <c r="C2024">
        <f>7193.41</f>
        <v>7193.41</v>
      </c>
      <c r="D2024">
        <f>4636.02</f>
        <v>4636.0200000000004</v>
      </c>
      <c r="E2024">
        <f>1606.566</f>
        <v>1606.566</v>
      </c>
      <c r="F2024">
        <f>1641.06</f>
        <v>1641.06</v>
      </c>
      <c r="G2024">
        <f>7099.549</f>
        <v>7099.549</v>
      </c>
      <c r="H2024">
        <f>2431.58</f>
        <v>2431.58</v>
      </c>
      <c r="I2024">
        <f>7810.768</f>
        <v>7810.768</v>
      </c>
      <c r="J2024">
        <f>2544.19</f>
        <v>2544.19</v>
      </c>
      <c r="K2024">
        <f>7295.89</f>
        <v>7295.89</v>
      </c>
      <c r="L2024">
        <f>1442.14</f>
        <v>1442.14</v>
      </c>
      <c r="M2024">
        <f>5938.22</f>
        <v>5938.22</v>
      </c>
      <c r="N2024">
        <f>289.107</f>
        <v>289.10700000000003</v>
      </c>
      <c r="O2024">
        <f>2369.19</f>
        <v>2369.19</v>
      </c>
      <c r="P2024">
        <f>192.93</f>
        <v>192.93</v>
      </c>
      <c r="Q2024">
        <f>1666.89</f>
        <v>1666.89</v>
      </c>
      <c r="R2024">
        <f>3498.61</f>
        <v>3498.61</v>
      </c>
      <c r="S2024">
        <f>2002.91</f>
        <v>2002.91</v>
      </c>
      <c r="T2024">
        <f>3355.385</f>
        <v>3355.3850000000002</v>
      </c>
      <c r="U2024">
        <f>49490.81</f>
        <v>49490.81</v>
      </c>
      <c r="V2024">
        <f>296.1</f>
        <v>296.10000000000002</v>
      </c>
    </row>
    <row r="2025" spans="1:22" x14ac:dyDescent="0.2">
      <c r="A2025" s="1">
        <v>42272</v>
      </c>
      <c r="B2025">
        <f>2808.58</f>
        <v>2808.58</v>
      </c>
      <c r="C2025">
        <f>7286.64</f>
        <v>7286.64</v>
      </c>
      <c r="D2025">
        <f>4752.84</f>
        <v>4752.84</v>
      </c>
      <c r="E2025">
        <f>1621.995</f>
        <v>1621.9949999999999</v>
      </c>
      <c r="F2025">
        <f>1690.17</f>
        <v>1690.17</v>
      </c>
      <c r="G2025">
        <f>7277.786</f>
        <v>7277.7860000000001</v>
      </c>
      <c r="H2025">
        <f>2435.44</f>
        <v>2435.44</v>
      </c>
      <c r="I2025">
        <f>7947.551</f>
        <v>7947.5510000000004</v>
      </c>
      <c r="J2025">
        <f>2587.86</f>
        <v>2587.86</v>
      </c>
      <c r="K2025">
        <f>7492.07</f>
        <v>7492.07</v>
      </c>
      <c r="L2025">
        <f>1465.68</f>
        <v>1465.68</v>
      </c>
      <c r="M2025">
        <f>6064.43</f>
        <v>6064.43</v>
      </c>
      <c r="N2025">
        <f>293.937</f>
        <v>293.93700000000001</v>
      </c>
      <c r="O2025">
        <f>2423.82</f>
        <v>2423.8200000000002</v>
      </c>
      <c r="P2025">
        <f>193.02</f>
        <v>193.02</v>
      </c>
      <c r="Q2025">
        <f>1702.57</f>
        <v>1702.57</v>
      </c>
      <c r="R2025">
        <f>3589.71</f>
        <v>3589.71</v>
      </c>
      <c r="S2025">
        <f>2009.27</f>
        <v>2009.27</v>
      </c>
      <c r="T2025">
        <f>3428.339</f>
        <v>3428.3389999999999</v>
      </c>
      <c r="U2025">
        <f>50331.12</f>
        <v>50331.12</v>
      </c>
      <c r="V2025">
        <f>304.43</f>
        <v>304.43</v>
      </c>
    </row>
    <row r="2026" spans="1:22" x14ac:dyDescent="0.2">
      <c r="A2026" s="1">
        <v>42271</v>
      </c>
      <c r="B2026">
        <f>2749.75</f>
        <v>2749.75</v>
      </c>
      <c r="C2026">
        <f>7214.14</f>
        <v>7214.14</v>
      </c>
      <c r="D2026">
        <f>4638.06</f>
        <v>4638.0600000000004</v>
      </c>
      <c r="E2026">
        <f>1614.82</f>
        <v>1614.82</v>
      </c>
      <c r="F2026">
        <f>1665.98</f>
        <v>1665.98</v>
      </c>
      <c r="G2026">
        <f>7151.428</f>
        <v>7151.4279999999999</v>
      </c>
      <c r="H2026">
        <f>2432.89</f>
        <v>2432.89</v>
      </c>
      <c r="I2026">
        <f>7804.138</f>
        <v>7804.1379999999999</v>
      </c>
      <c r="J2026">
        <f>2580.77</f>
        <v>2580.77</v>
      </c>
      <c r="K2026">
        <f>7498.39</f>
        <v>7498.39</v>
      </c>
      <c r="L2026">
        <f>1453.52</f>
        <v>1453.52</v>
      </c>
      <c r="M2026">
        <f>6036.57</f>
        <v>6036.57</v>
      </c>
      <c r="N2026">
        <f>286.782</f>
        <v>286.78199999999998</v>
      </c>
      <c r="O2026">
        <f>2357.75</f>
        <v>2357.75</v>
      </c>
      <c r="P2026">
        <f>189.21</f>
        <v>189.21</v>
      </c>
      <c r="Q2026">
        <f>1698.47</f>
        <v>1698.47</v>
      </c>
      <c r="R2026">
        <f>3591.37</f>
        <v>3591.37</v>
      </c>
      <c r="S2026">
        <f>1972.19</f>
        <v>1972.19</v>
      </c>
      <c r="T2026" t="e">
        <f>NA()</f>
        <v>#N/A</v>
      </c>
      <c r="U2026" t="e">
        <f>NA()</f>
        <v>#N/A</v>
      </c>
      <c r="V2026" t="e">
        <f>NA()</f>
        <v>#N/A</v>
      </c>
    </row>
    <row r="2027" spans="1:22" x14ac:dyDescent="0.2">
      <c r="A2027" s="1">
        <v>42270</v>
      </c>
      <c r="B2027">
        <f>2783.61</f>
        <v>2783.61</v>
      </c>
      <c r="C2027">
        <f>7312.99</f>
        <v>7312.99</v>
      </c>
      <c r="D2027">
        <f>4692.72</f>
        <v>4692.72</v>
      </c>
      <c r="E2027">
        <f>1627.221</f>
        <v>1627.221</v>
      </c>
      <c r="F2027">
        <f>1681.11</f>
        <v>1681.11</v>
      </c>
      <c r="G2027">
        <f>7213.682</f>
        <v>7213.6819999999998</v>
      </c>
      <c r="H2027">
        <f>2461.35</f>
        <v>2461.35</v>
      </c>
      <c r="I2027">
        <f>7874.939</f>
        <v>7874.9390000000003</v>
      </c>
      <c r="J2027">
        <f>2577.87</f>
        <v>2577.87</v>
      </c>
      <c r="K2027">
        <f>7525.11</f>
        <v>7525.11</v>
      </c>
      <c r="L2027">
        <f>1458.44</f>
        <v>1458.44</v>
      </c>
      <c r="M2027">
        <f>6071.72</f>
        <v>6071.72</v>
      </c>
      <c r="N2027">
        <f>291.149</f>
        <v>291.149</v>
      </c>
      <c r="O2027">
        <f>2408.68</f>
        <v>2408.6799999999998</v>
      </c>
      <c r="P2027" t="e">
        <f>NA()</f>
        <v>#N/A</v>
      </c>
      <c r="Q2027">
        <f>1701.2</f>
        <v>1701.2</v>
      </c>
      <c r="R2027">
        <f>3603.49</f>
        <v>3603.49</v>
      </c>
      <c r="S2027" t="e">
        <f>NA()</f>
        <v>#N/A</v>
      </c>
      <c r="T2027">
        <f>3427.89</f>
        <v>3427.89</v>
      </c>
      <c r="U2027">
        <f>50381.63</f>
        <v>50381.63</v>
      </c>
      <c r="V2027">
        <f>305.21</f>
        <v>305.20999999999998</v>
      </c>
    </row>
    <row r="2028" spans="1:22" x14ac:dyDescent="0.2">
      <c r="A2028" s="1">
        <v>42269</v>
      </c>
      <c r="B2028">
        <f>2751.03</f>
        <v>2751.03</v>
      </c>
      <c r="C2028">
        <f>7446.81</f>
        <v>7446.81</v>
      </c>
      <c r="D2028">
        <f>4617.72</f>
        <v>4617.72</v>
      </c>
      <c r="E2028">
        <f>1660.861</f>
        <v>1660.8610000000001</v>
      </c>
      <c r="F2028">
        <f>1668.04</f>
        <v>1668.04</v>
      </c>
      <c r="G2028">
        <f>7156.746</f>
        <v>7156.7460000000001</v>
      </c>
      <c r="H2028">
        <f>2470.79</f>
        <v>2470.79</v>
      </c>
      <c r="I2028">
        <f>7881.405</f>
        <v>7881.4049999999997</v>
      </c>
      <c r="J2028">
        <f>2582.96</f>
        <v>2582.96</v>
      </c>
      <c r="K2028">
        <f>7542.13</f>
        <v>7542.13</v>
      </c>
      <c r="L2028">
        <f>1461.48</f>
        <v>1461.48</v>
      </c>
      <c r="M2028">
        <f>6087.05</f>
        <v>6087.05</v>
      </c>
      <c r="N2028">
        <f>290.798</f>
        <v>290.798</v>
      </c>
      <c r="O2028">
        <f>2407.84</f>
        <v>2407.84</v>
      </c>
      <c r="P2028" t="e">
        <f>NA()</f>
        <v>#N/A</v>
      </c>
      <c r="Q2028">
        <f>1705.81</f>
        <v>1705.81</v>
      </c>
      <c r="R2028">
        <f>3610.7</f>
        <v>3610.7</v>
      </c>
      <c r="S2028" t="e">
        <f>NA()</f>
        <v>#N/A</v>
      </c>
      <c r="T2028">
        <f>3397.829</f>
        <v>3397.8290000000002</v>
      </c>
      <c r="U2028">
        <f>49853.09</f>
        <v>49853.09</v>
      </c>
      <c r="V2028">
        <f>302.49</f>
        <v>302.49</v>
      </c>
    </row>
    <row r="2029" spans="1:22" x14ac:dyDescent="0.2">
      <c r="A2029" s="1">
        <v>42268</v>
      </c>
      <c r="B2029">
        <f>2825.92</f>
        <v>2825.92</v>
      </c>
      <c r="C2029">
        <f>7541.07</f>
        <v>7541.07</v>
      </c>
      <c r="D2029">
        <f>4752.2</f>
        <v>4752.2</v>
      </c>
      <c r="E2029">
        <f>1675.741</f>
        <v>1675.741</v>
      </c>
      <c r="F2029">
        <f>1740.71</f>
        <v>1740.71</v>
      </c>
      <c r="G2029">
        <f>7432.127</f>
        <v>7432.1270000000004</v>
      </c>
      <c r="H2029">
        <f>2460.74</f>
        <v>2460.7399999999998</v>
      </c>
      <c r="I2029">
        <f>8183.58</f>
        <v>8183.58</v>
      </c>
      <c r="J2029">
        <f>2608.79</f>
        <v>2608.79</v>
      </c>
      <c r="K2029">
        <f>7637.03</f>
        <v>7637.03</v>
      </c>
      <c r="L2029">
        <f>1491.63</f>
        <v>1491.63</v>
      </c>
      <c r="M2029">
        <f>6193.98</f>
        <v>6193.98</v>
      </c>
      <c r="N2029">
        <f>299.538</f>
        <v>299.53800000000001</v>
      </c>
      <c r="O2029">
        <f>2487.42</f>
        <v>2487.42</v>
      </c>
      <c r="P2029" t="e">
        <f>NA()</f>
        <v>#N/A</v>
      </c>
      <c r="Q2029">
        <f>1725.26</f>
        <v>1725.26</v>
      </c>
      <c r="R2029">
        <f>3655.64</f>
        <v>3655.64</v>
      </c>
      <c r="S2029" t="e">
        <f>NA()</f>
        <v>#N/A</v>
      </c>
      <c r="T2029">
        <f>3438.553</f>
        <v>3438.5529999999999</v>
      </c>
      <c r="U2029">
        <f>50737.14</f>
        <v>50737.14</v>
      </c>
      <c r="V2029">
        <f>306.74</f>
        <v>306.74</v>
      </c>
    </row>
    <row r="2030" spans="1:22" x14ac:dyDescent="0.2">
      <c r="A2030" s="1">
        <v>42265</v>
      </c>
      <c r="B2030">
        <f>2831.54</f>
        <v>2831.54</v>
      </c>
      <c r="C2030">
        <f>7698.31</f>
        <v>7698.31</v>
      </c>
      <c r="D2030">
        <f>4748.63</f>
        <v>4748.63</v>
      </c>
      <c r="E2030">
        <f>1704.92</f>
        <v>1704.92</v>
      </c>
      <c r="F2030">
        <f>1756.67</f>
        <v>1756.67</v>
      </c>
      <c r="G2030">
        <f>7478.021</f>
        <v>7478.0209999999997</v>
      </c>
      <c r="H2030">
        <f>2472.43</f>
        <v>2472.4299999999998</v>
      </c>
      <c r="I2030">
        <f>8251.126</f>
        <v>8251.1260000000002</v>
      </c>
      <c r="J2030">
        <f>2598.85</f>
        <v>2598.85</v>
      </c>
      <c r="K2030">
        <f>7605.9</f>
        <v>7605.9</v>
      </c>
      <c r="L2030">
        <f>1496.47</f>
        <v>1496.47</v>
      </c>
      <c r="M2030">
        <f>6200.4</f>
        <v>6200.4</v>
      </c>
      <c r="N2030">
        <f>296.329</f>
        <v>296.32900000000001</v>
      </c>
      <c r="O2030">
        <f>2465.98</f>
        <v>2465.98</v>
      </c>
      <c r="P2030">
        <f>192.77</f>
        <v>192.77</v>
      </c>
      <c r="Q2030">
        <f>1717.91</f>
        <v>1717.91</v>
      </c>
      <c r="R2030">
        <f>3638.99</f>
        <v>3638.99</v>
      </c>
      <c r="S2030">
        <f>2021.12</f>
        <v>2021.12</v>
      </c>
      <c r="T2030">
        <f>3475.474</f>
        <v>3475.4740000000002</v>
      </c>
      <c r="U2030">
        <f>51044.58</f>
        <v>51044.58</v>
      </c>
      <c r="V2030">
        <f>311.15</f>
        <v>311.14999999999998</v>
      </c>
    </row>
    <row r="2031" spans="1:22" x14ac:dyDescent="0.2">
      <c r="A2031" s="1">
        <v>42264</v>
      </c>
      <c r="B2031">
        <f>2862.23</f>
        <v>2862.23</v>
      </c>
      <c r="C2031">
        <f>7712.05</f>
        <v>7712.05</v>
      </c>
      <c r="D2031">
        <f>4813.1</f>
        <v>4813.1000000000004</v>
      </c>
      <c r="E2031">
        <f>1699.834</f>
        <v>1699.8340000000001</v>
      </c>
      <c r="F2031">
        <f>1761.99</f>
        <v>1761.99</v>
      </c>
      <c r="G2031">
        <f>7548.487</f>
        <v>7548.4870000000001</v>
      </c>
      <c r="H2031">
        <f>2494.17</f>
        <v>2494.17</v>
      </c>
      <c r="I2031">
        <f>8376.969</f>
        <v>8376.9689999999991</v>
      </c>
      <c r="J2031">
        <f>2636.05</f>
        <v>2636.05</v>
      </c>
      <c r="K2031">
        <f>7728.77</f>
        <v>7728.77</v>
      </c>
      <c r="L2031">
        <f>1512.06</f>
        <v>1512.06</v>
      </c>
      <c r="M2031">
        <f>6284.49</f>
        <v>6284.49</v>
      </c>
      <c r="N2031">
        <f>299.317</f>
        <v>299.31700000000001</v>
      </c>
      <c r="O2031">
        <f>2512.19</f>
        <v>2512.19</v>
      </c>
      <c r="P2031">
        <f>195.87</f>
        <v>195.87</v>
      </c>
      <c r="Q2031">
        <f>1740.89</f>
        <v>1740.89</v>
      </c>
      <c r="R2031">
        <f>3698.74</f>
        <v>3698.74</v>
      </c>
      <c r="S2031">
        <f>2061.94</f>
        <v>2061.94</v>
      </c>
      <c r="T2031">
        <f>3505.102</f>
        <v>3505.1019999999999</v>
      </c>
      <c r="U2031">
        <f>51573.57</f>
        <v>51573.57</v>
      </c>
      <c r="V2031">
        <f>315.7</f>
        <v>315.7</v>
      </c>
    </row>
    <row r="2032" spans="1:22" x14ac:dyDescent="0.2">
      <c r="A2032" s="1">
        <v>42263</v>
      </c>
      <c r="B2032">
        <f>2875.81</f>
        <v>2875.81</v>
      </c>
      <c r="C2032">
        <f>7697.16</f>
        <v>7697.16</v>
      </c>
      <c r="D2032">
        <f>4845.83</f>
        <v>4845.83</v>
      </c>
      <c r="E2032">
        <f>1689.986</f>
        <v>1689.9860000000001</v>
      </c>
      <c r="F2032">
        <f>1779.58</f>
        <v>1779.58</v>
      </c>
      <c r="G2032">
        <f>7595.252</f>
        <v>7595.2520000000004</v>
      </c>
      <c r="H2032">
        <f>2470.55</f>
        <v>2470.5500000000002</v>
      </c>
      <c r="I2032">
        <f>8356.462</f>
        <v>8356.4619999999995</v>
      </c>
      <c r="J2032">
        <f>2632.81</f>
        <v>2632.81</v>
      </c>
      <c r="K2032">
        <f>7746.12</f>
        <v>7746.12</v>
      </c>
      <c r="L2032">
        <f>1511.68</f>
        <v>1511.68</v>
      </c>
      <c r="M2032">
        <f>6287.37</f>
        <v>6287.37</v>
      </c>
      <c r="N2032">
        <f>300.232</f>
        <v>300.23200000000003</v>
      </c>
      <c r="O2032">
        <f>2517.4</f>
        <v>2517.4</v>
      </c>
      <c r="P2032">
        <f>193.99</f>
        <v>193.99</v>
      </c>
      <c r="Q2032">
        <f>1742.85</f>
        <v>1742.85</v>
      </c>
      <c r="R2032">
        <f>3707.62</f>
        <v>3707.62</v>
      </c>
      <c r="S2032">
        <f>2035.24</f>
        <v>2035.24</v>
      </c>
      <c r="T2032">
        <f>3478.18</f>
        <v>3478.18</v>
      </c>
      <c r="U2032">
        <f>51029.24</f>
        <v>51029.24</v>
      </c>
      <c r="V2032">
        <f>314.04</f>
        <v>314.04000000000002</v>
      </c>
    </row>
    <row r="2033" spans="1:22" x14ac:dyDescent="0.2">
      <c r="A2033" s="1">
        <v>42262</v>
      </c>
      <c r="B2033">
        <f>2843.03</f>
        <v>2843.03</v>
      </c>
      <c r="C2033">
        <f>7565.42</f>
        <v>7565.42</v>
      </c>
      <c r="D2033">
        <f>4774.56</f>
        <v>4774.5600000000004</v>
      </c>
      <c r="E2033">
        <f>1657.223</f>
        <v>1657.223</v>
      </c>
      <c r="F2033">
        <f>1742.1</f>
        <v>1742.1</v>
      </c>
      <c r="G2033">
        <f>7405.714</f>
        <v>7405.7139999999999</v>
      </c>
      <c r="H2033">
        <f>2446.7</f>
        <v>2446.6999999999998</v>
      </c>
      <c r="I2033">
        <f>8240.77</f>
        <v>8240.77</v>
      </c>
      <c r="J2033">
        <f>2605.49</f>
        <v>2605.4899999999998</v>
      </c>
      <c r="K2033">
        <f>7678.87</f>
        <v>7678.87</v>
      </c>
      <c r="L2033">
        <f>1488.9</f>
        <v>1488.9</v>
      </c>
      <c r="M2033">
        <f>6211.95</f>
        <v>6211.95</v>
      </c>
      <c r="N2033">
        <f>295.487</f>
        <v>295.48700000000002</v>
      </c>
      <c r="O2033">
        <f>2479.07</f>
        <v>2479.0700000000002</v>
      </c>
      <c r="P2033">
        <f>194.83</f>
        <v>194.83</v>
      </c>
      <c r="Q2033">
        <f>1726.72</f>
        <v>1726.72</v>
      </c>
      <c r="R2033">
        <f>3675.48</f>
        <v>3675.48</v>
      </c>
      <c r="S2033">
        <f>2020.92</f>
        <v>2020.92</v>
      </c>
      <c r="T2033">
        <f>3428.98</f>
        <v>3428.98</v>
      </c>
      <c r="U2033">
        <f>49491.68</f>
        <v>49491.68</v>
      </c>
      <c r="V2033">
        <f>310.86</f>
        <v>310.86</v>
      </c>
    </row>
    <row r="2034" spans="1:22" x14ac:dyDescent="0.2">
      <c r="A2034" s="1">
        <v>42261</v>
      </c>
      <c r="B2034">
        <f>2827.01</f>
        <v>2827.01</v>
      </c>
      <c r="C2034">
        <f>7570.9</f>
        <v>7570.9</v>
      </c>
      <c r="D2034">
        <f>4733.33</f>
        <v>4733.33</v>
      </c>
      <c r="E2034">
        <f>1658.972</f>
        <v>1658.972</v>
      </c>
      <c r="F2034">
        <f>1737.75</f>
        <v>1737.75</v>
      </c>
      <c r="G2034">
        <f>7356.042</f>
        <v>7356.0420000000004</v>
      </c>
      <c r="H2034">
        <f>2454.38</f>
        <v>2454.38</v>
      </c>
      <c r="I2034">
        <f>8186.52</f>
        <v>8186.52</v>
      </c>
      <c r="J2034">
        <f>2573.08</f>
        <v>2573.08</v>
      </c>
      <c r="K2034">
        <f>7582.57</f>
        <v>7582.57</v>
      </c>
      <c r="L2034">
        <f>1478.47</f>
        <v>1478.47</v>
      </c>
      <c r="M2034">
        <f>6159.64</f>
        <v>6159.64</v>
      </c>
      <c r="N2034">
        <f>293.379</f>
        <v>293.37900000000002</v>
      </c>
      <c r="O2034">
        <f>2458.44</f>
        <v>2458.44</v>
      </c>
      <c r="P2034">
        <f>195.01</f>
        <v>195.01</v>
      </c>
      <c r="Q2034">
        <f>1708.51</f>
        <v>1708.51</v>
      </c>
      <c r="R2034">
        <f>3628.87</f>
        <v>3628.87</v>
      </c>
      <c r="S2034">
        <f>2021.15</f>
        <v>2021.15</v>
      </c>
      <c r="T2034">
        <f>3446.482</f>
        <v>3446.482</v>
      </c>
      <c r="U2034">
        <f>49366.6</f>
        <v>49366.6</v>
      </c>
      <c r="V2034">
        <f>311.75</f>
        <v>311.75</v>
      </c>
    </row>
    <row r="2035" spans="1:22" x14ac:dyDescent="0.2">
      <c r="A2035" s="1">
        <v>42258</v>
      </c>
      <c r="B2035">
        <f>2837.15</f>
        <v>2837.15</v>
      </c>
      <c r="C2035">
        <f>7510.38</f>
        <v>7510.38</v>
      </c>
      <c r="D2035">
        <f>4759.13</f>
        <v>4759.13</v>
      </c>
      <c r="E2035">
        <f>1647.915</f>
        <v>1647.915</v>
      </c>
      <c r="F2035">
        <f>1744.12</f>
        <v>1744.12</v>
      </c>
      <c r="G2035">
        <f>7404.955</f>
        <v>7404.9549999999999</v>
      </c>
      <c r="H2035">
        <f>2499.09</f>
        <v>2499.09</v>
      </c>
      <c r="I2035">
        <f>8227.329</f>
        <v>8227.3289999999997</v>
      </c>
      <c r="J2035">
        <f>2582.69</f>
        <v>2582.69</v>
      </c>
      <c r="K2035">
        <f>7613.27</f>
        <v>7613.27</v>
      </c>
      <c r="L2035">
        <f>1482.23</f>
        <v>1482.23</v>
      </c>
      <c r="M2035">
        <f>6184.9</f>
        <v>6184.9</v>
      </c>
      <c r="N2035">
        <f>294.067</f>
        <v>294.06700000000001</v>
      </c>
      <c r="O2035">
        <f>2469.45</f>
        <v>2469.4499999999998</v>
      </c>
      <c r="P2035">
        <f>196.47</f>
        <v>196.47</v>
      </c>
      <c r="Q2035">
        <f>1719.08</f>
        <v>1719.08</v>
      </c>
      <c r="R2035">
        <f>3643.54</f>
        <v>3643.54</v>
      </c>
      <c r="S2035">
        <f>2045.79</f>
        <v>2045.79</v>
      </c>
      <c r="T2035">
        <f>3391.874</f>
        <v>3391.8739999999998</v>
      </c>
      <c r="U2035">
        <f>48930.64</f>
        <v>48930.64</v>
      </c>
      <c r="V2035">
        <f>307.67</f>
        <v>307.67</v>
      </c>
    </row>
    <row r="2036" spans="1:22" x14ac:dyDescent="0.2">
      <c r="A2036" s="1">
        <v>42257</v>
      </c>
      <c r="B2036">
        <f>2856.53</f>
        <v>2856.53</v>
      </c>
      <c r="C2036">
        <f>7523.71</f>
        <v>7523.71</v>
      </c>
      <c r="D2036">
        <f>4788.73</f>
        <v>4788.7299999999996</v>
      </c>
      <c r="E2036">
        <f>1651.285</f>
        <v>1651.2850000000001</v>
      </c>
      <c r="F2036">
        <f>1751.44</f>
        <v>1751.44</v>
      </c>
      <c r="G2036">
        <f>7462.769</f>
        <v>7462.7690000000002</v>
      </c>
      <c r="H2036">
        <f>2508.15</f>
        <v>2508.15</v>
      </c>
      <c r="I2036">
        <f>8251.997</f>
        <v>8251.9969999999994</v>
      </c>
      <c r="J2036">
        <f>2573.13</f>
        <v>2573.13</v>
      </c>
      <c r="K2036">
        <f>7576.99</f>
        <v>7576.99</v>
      </c>
      <c r="L2036">
        <f>1483.62</f>
        <v>1483.62</v>
      </c>
      <c r="M2036">
        <f>6177.66</f>
        <v>6177.66</v>
      </c>
      <c r="N2036">
        <f>297.609</f>
        <v>297.60899999999998</v>
      </c>
      <c r="O2036">
        <f>2495.41</f>
        <v>2495.41</v>
      </c>
      <c r="P2036">
        <f>195.9</f>
        <v>195.9</v>
      </c>
      <c r="Q2036">
        <f>1710.79</f>
        <v>1710.79</v>
      </c>
      <c r="R2036">
        <f>3626.14</f>
        <v>3626.14</v>
      </c>
      <c r="S2036">
        <f>2044.8</f>
        <v>2044.8</v>
      </c>
      <c r="T2036">
        <f>3420.621</f>
        <v>3420.6210000000001</v>
      </c>
      <c r="U2036">
        <f>49528.13</f>
        <v>49528.13</v>
      </c>
      <c r="V2036">
        <f>308.46</f>
        <v>308.45999999999998</v>
      </c>
    </row>
    <row r="2037" spans="1:22" x14ac:dyDescent="0.2">
      <c r="A2037" s="1">
        <v>42256</v>
      </c>
      <c r="B2037">
        <f>2884.68</f>
        <v>2884.68</v>
      </c>
      <c r="C2037">
        <f>7582.68</f>
        <v>7582.68</v>
      </c>
      <c r="D2037">
        <f>4840.67</f>
        <v>4840.67</v>
      </c>
      <c r="E2037">
        <f>1661.738</f>
        <v>1661.7380000000001</v>
      </c>
      <c r="F2037">
        <f>1764.03</f>
        <v>1764.03</v>
      </c>
      <c r="G2037">
        <f>7517.677</f>
        <v>7517.6769999999997</v>
      </c>
      <c r="H2037">
        <f>2554.71</f>
        <v>2554.71</v>
      </c>
      <c r="I2037">
        <f>8314.397</f>
        <v>8314.3970000000008</v>
      </c>
      <c r="J2037">
        <f>2563.41</f>
        <v>2563.41</v>
      </c>
      <c r="K2037">
        <f>7537.57</f>
        <v>7537.57</v>
      </c>
      <c r="L2037">
        <f>1487.3</f>
        <v>1487.3</v>
      </c>
      <c r="M2037">
        <f>6187.37</f>
        <v>6187.37</v>
      </c>
      <c r="N2037">
        <f>300.916</f>
        <v>300.916</v>
      </c>
      <c r="O2037">
        <f>2530.13</f>
        <v>2530.13</v>
      </c>
      <c r="P2037">
        <f>197.4</f>
        <v>197.4</v>
      </c>
      <c r="Q2037">
        <f>1708.54</f>
        <v>1708.54</v>
      </c>
      <c r="R2037">
        <f>3606.8</f>
        <v>3606.8</v>
      </c>
      <c r="S2037">
        <f>2083.29</f>
        <v>2083.29</v>
      </c>
      <c r="T2037">
        <f>3418.107</f>
        <v>3418.107</v>
      </c>
      <c r="U2037">
        <f>49723.55</f>
        <v>49723.55</v>
      </c>
      <c r="V2037">
        <f>309.51</f>
        <v>309.51</v>
      </c>
    </row>
    <row r="2038" spans="1:22" x14ac:dyDescent="0.2">
      <c r="A2038" s="1">
        <v>42255</v>
      </c>
      <c r="B2038">
        <f>2847.85</f>
        <v>2847.85</v>
      </c>
      <c r="C2038">
        <f>7391.85</f>
        <v>7391.85</v>
      </c>
      <c r="D2038">
        <f>4776.24</f>
        <v>4776.24</v>
      </c>
      <c r="E2038">
        <f>1622.697</f>
        <v>1622.6969999999999</v>
      </c>
      <c r="F2038">
        <f>1741.36</f>
        <v>1741.36</v>
      </c>
      <c r="G2038">
        <f>7413.534</f>
        <v>7413.5339999999997</v>
      </c>
      <c r="H2038">
        <f>2426.64</f>
        <v>2426.64</v>
      </c>
      <c r="I2038">
        <f>8224.822</f>
        <v>8224.8220000000001</v>
      </c>
      <c r="J2038">
        <f>2603.12</f>
        <v>2603.12</v>
      </c>
      <c r="K2038">
        <f>7642.59</f>
        <v>7642.59</v>
      </c>
      <c r="L2038">
        <f>1487.41</f>
        <v>1487.41</v>
      </c>
      <c r="M2038">
        <f>6182.3</f>
        <v>6182.3</v>
      </c>
      <c r="N2038">
        <f>297.208</f>
        <v>297.20800000000003</v>
      </c>
      <c r="O2038">
        <f>2497.92</f>
        <v>2497.92</v>
      </c>
      <c r="P2038">
        <f>187.79</f>
        <v>187.79</v>
      </c>
      <c r="Q2038">
        <f>1732.39</f>
        <v>1732.39</v>
      </c>
      <c r="R2038">
        <f>3657.32</f>
        <v>3657.32</v>
      </c>
      <c r="S2038">
        <f>1957.99</f>
        <v>1957.99</v>
      </c>
      <c r="T2038">
        <f>3394.731</f>
        <v>3394.7310000000002</v>
      </c>
      <c r="U2038">
        <f>49573.49</f>
        <v>49573.49</v>
      </c>
      <c r="V2038">
        <f>307.72</f>
        <v>307.72000000000003</v>
      </c>
    </row>
    <row r="2039" spans="1:22" x14ac:dyDescent="0.2">
      <c r="A2039" s="1">
        <v>42254</v>
      </c>
      <c r="B2039">
        <f>2789.32</f>
        <v>2789.32</v>
      </c>
      <c r="C2039">
        <f>7267.42</f>
        <v>7267.42</v>
      </c>
      <c r="D2039">
        <f>4720.61</f>
        <v>4720.6099999999997</v>
      </c>
      <c r="E2039">
        <f>1597.2</f>
        <v>1597.2</v>
      </c>
      <c r="F2039">
        <f>1710.78</f>
        <v>1710.78</v>
      </c>
      <c r="G2039">
        <f>7280.6</f>
        <v>7280.6</v>
      </c>
      <c r="H2039">
        <f>2471.98</f>
        <v>2471.98</v>
      </c>
      <c r="I2039">
        <f>8123.292</f>
        <v>8123.2920000000004</v>
      </c>
      <c r="J2039">
        <f>2540.57</f>
        <v>2540.5700000000002</v>
      </c>
      <c r="K2039">
        <f>7455.34</f>
        <v>7455.34</v>
      </c>
      <c r="L2039">
        <f>1463.07</f>
        <v>1463.07</v>
      </c>
      <c r="M2039">
        <f>6073.77</f>
        <v>6073.77</v>
      </c>
      <c r="N2039">
        <f>293.442</f>
        <v>293.44200000000001</v>
      </c>
      <c r="O2039">
        <f>2467.66</f>
        <v>2467.66</v>
      </c>
      <c r="P2039">
        <f>191.08</f>
        <v>191.08</v>
      </c>
      <c r="Q2039" t="e">
        <f>NA()</f>
        <v>#N/A</v>
      </c>
      <c r="R2039" t="e">
        <f>NA()</f>
        <v>#N/A</v>
      </c>
      <c r="S2039">
        <f>1997.99</f>
        <v>1997.99</v>
      </c>
      <c r="T2039">
        <f>3370.185</f>
        <v>3370.1849999999999</v>
      </c>
      <c r="U2039">
        <f>48847.05</f>
        <v>48847.05</v>
      </c>
      <c r="V2039">
        <f>303.88</f>
        <v>303.88</v>
      </c>
    </row>
    <row r="2040" spans="1:22" x14ac:dyDescent="0.2">
      <c r="A2040" s="1">
        <v>42251</v>
      </c>
      <c r="B2040">
        <f>2777.32</f>
        <v>2777.32</v>
      </c>
      <c r="C2040">
        <f>7373.83</f>
        <v>7373.83</v>
      </c>
      <c r="D2040">
        <f>4696.06</f>
        <v>4696.0600000000004</v>
      </c>
      <c r="E2040">
        <f>1617.563</f>
        <v>1617.5630000000001</v>
      </c>
      <c r="F2040">
        <f>1690.08</f>
        <v>1690.08</v>
      </c>
      <c r="G2040">
        <f>7199.349</f>
        <v>7199.3490000000002</v>
      </c>
      <c r="H2040">
        <f>2461.04</f>
        <v>2461.04</v>
      </c>
      <c r="I2040">
        <f>8061.898</f>
        <v>8061.8980000000001</v>
      </c>
      <c r="J2040">
        <f>2540.57</f>
        <v>2540.5700000000002</v>
      </c>
      <c r="K2040">
        <f>7455.34</f>
        <v>7455.34</v>
      </c>
      <c r="L2040">
        <f>1458.46</f>
        <v>1458.46</v>
      </c>
      <c r="M2040">
        <f>6062.45</f>
        <v>6062.45</v>
      </c>
      <c r="N2040">
        <f>291.95</f>
        <v>291.95</v>
      </c>
      <c r="O2040">
        <f>2455.54</f>
        <v>2455.54</v>
      </c>
      <c r="P2040">
        <f>190.76</f>
        <v>190.76</v>
      </c>
      <c r="Q2040">
        <f>1692.34</f>
        <v>1692.34</v>
      </c>
      <c r="R2040">
        <f>3567.41</f>
        <v>3567.41</v>
      </c>
      <c r="S2040">
        <f>1996.35</f>
        <v>1996.35</v>
      </c>
      <c r="T2040">
        <f>3403.533</f>
        <v>3403.5329999999999</v>
      </c>
      <c r="U2040">
        <f>49102.5</f>
        <v>49102.5</v>
      </c>
      <c r="V2040">
        <f>306.76</f>
        <v>306.76</v>
      </c>
    </row>
    <row r="2041" spans="1:22" x14ac:dyDescent="0.2">
      <c r="A2041" s="1">
        <v>42250</v>
      </c>
      <c r="B2041">
        <f>2851.17</f>
        <v>2851.17</v>
      </c>
      <c r="C2041">
        <f>7526.65</f>
        <v>7526.65</v>
      </c>
      <c r="D2041">
        <f>4813.54</f>
        <v>4813.54</v>
      </c>
      <c r="E2041">
        <f>1643.934</f>
        <v>1643.934</v>
      </c>
      <c r="F2041">
        <f>1742.87</f>
        <v>1742.87</v>
      </c>
      <c r="G2041">
        <f>7408.658</f>
        <v>7408.6580000000004</v>
      </c>
      <c r="H2041">
        <f>2484.96</f>
        <v>2484.96</v>
      </c>
      <c r="I2041">
        <f>8244.325</f>
        <v>8244.3250000000007</v>
      </c>
      <c r="J2041">
        <f>2584.78</f>
        <v>2584.7800000000002</v>
      </c>
      <c r="K2041">
        <f>7569.14</f>
        <v>7569.14</v>
      </c>
      <c r="L2041">
        <f>1485.06</f>
        <v>1485.06</v>
      </c>
      <c r="M2041">
        <f>6165.56</f>
        <v>6165.56</v>
      </c>
      <c r="N2041">
        <f>299.031</f>
        <v>299.03100000000001</v>
      </c>
      <c r="O2041">
        <f>2520.68</f>
        <v>2520.6799999999998</v>
      </c>
      <c r="P2041">
        <f>193.55</f>
        <v>193.55</v>
      </c>
      <c r="Q2041">
        <f>1719.23</f>
        <v>1719.23</v>
      </c>
      <c r="R2041">
        <f>3622.66</f>
        <v>3622.66</v>
      </c>
      <c r="S2041">
        <f>2038.44</f>
        <v>2038.44</v>
      </c>
      <c r="T2041">
        <f>3480.919</f>
        <v>3480.9189999999999</v>
      </c>
      <c r="U2041">
        <f>50411.09</f>
        <v>50411.09</v>
      </c>
      <c r="V2041">
        <f>315.32</f>
        <v>315.32</v>
      </c>
    </row>
    <row r="2042" spans="1:22" x14ac:dyDescent="0.2">
      <c r="A2042" s="1">
        <v>42249</v>
      </c>
      <c r="B2042">
        <f>2804.16</f>
        <v>2804.16</v>
      </c>
      <c r="C2042">
        <f>7461.42</f>
        <v>7461.42</v>
      </c>
      <c r="D2042">
        <f>4726.82</f>
        <v>4726.82</v>
      </c>
      <c r="E2042">
        <f>1633.298</f>
        <v>1633.298</v>
      </c>
      <c r="F2042">
        <f>1713.55</f>
        <v>1713.55</v>
      </c>
      <c r="G2042">
        <f>7308.26</f>
        <v>7308.26</v>
      </c>
      <c r="H2042">
        <f>2462.08</f>
        <v>2462.08</v>
      </c>
      <c r="I2042">
        <f>8158.118</f>
        <v>8158.1180000000004</v>
      </c>
      <c r="J2042">
        <f>2574.3</f>
        <v>2574.3000000000002</v>
      </c>
      <c r="K2042">
        <f>7558.22</f>
        <v>7558.22</v>
      </c>
      <c r="L2042">
        <f>1473.12</f>
        <v>1473.12</v>
      </c>
      <c r="M2042">
        <f>6137.65</f>
        <v>6137.65</v>
      </c>
      <c r="N2042">
        <f>292.66</f>
        <v>292.66000000000003</v>
      </c>
      <c r="O2042">
        <f>2460.65</f>
        <v>2460.65</v>
      </c>
      <c r="P2042">
        <f>192.83</f>
        <v>192.83</v>
      </c>
      <c r="Q2042">
        <f>1714.21</f>
        <v>1714.21</v>
      </c>
      <c r="R2042">
        <f>3618.25</f>
        <v>3618.25</v>
      </c>
      <c r="S2042">
        <f>2026.01</f>
        <v>2026.01</v>
      </c>
      <c r="T2042">
        <f>3403.155</f>
        <v>3403.1550000000002</v>
      </c>
      <c r="U2042">
        <f>49228.77</f>
        <v>49228.77</v>
      </c>
      <c r="V2042">
        <f>308.02</f>
        <v>308.02</v>
      </c>
    </row>
    <row r="2043" spans="1:22" x14ac:dyDescent="0.2">
      <c r="A2043" s="1">
        <v>42248</v>
      </c>
      <c r="B2043">
        <f>2787.86</f>
        <v>2787.86</v>
      </c>
      <c r="C2043">
        <f>7536.87</f>
        <v>7536.87</v>
      </c>
      <c r="D2043">
        <f>4707.57</f>
        <v>4707.57</v>
      </c>
      <c r="E2043">
        <f>1642.307</f>
        <v>1642.307</v>
      </c>
      <c r="F2043">
        <f>1705.53</f>
        <v>1705.53</v>
      </c>
      <c r="G2043">
        <f>7295.74</f>
        <v>7295.74</v>
      </c>
      <c r="H2043">
        <f>2482.03</f>
        <v>2482.0300000000002</v>
      </c>
      <c r="I2043">
        <f>8164.682</f>
        <v>8164.6819999999998</v>
      </c>
      <c r="J2043">
        <f>2535.03</f>
        <v>2535.0300000000002</v>
      </c>
      <c r="K2043">
        <f>7421.83</f>
        <v>7421.83</v>
      </c>
      <c r="L2043">
        <f>1465.88</f>
        <v>1465.88</v>
      </c>
      <c r="M2043">
        <f>6080.06</f>
        <v>6080.06</v>
      </c>
      <c r="N2043">
        <f>291.618</f>
        <v>291.61799999999999</v>
      </c>
      <c r="O2043">
        <f>2454.9</f>
        <v>2454.9</v>
      </c>
      <c r="P2043">
        <f>194.55</f>
        <v>194.55</v>
      </c>
      <c r="Q2043">
        <f>1689.61</f>
        <v>1689.61</v>
      </c>
      <c r="R2043">
        <f>3552.65</f>
        <v>3552.65</v>
      </c>
      <c r="S2043">
        <f>2042.76</f>
        <v>2042.76</v>
      </c>
      <c r="T2043">
        <f>3359.85</f>
        <v>3359.85</v>
      </c>
      <c r="U2043">
        <f>48515.13</f>
        <v>48515.13</v>
      </c>
      <c r="V2043">
        <f>305.6</f>
        <v>305.60000000000002</v>
      </c>
    </row>
    <row r="2044" spans="1:22" x14ac:dyDescent="0.2">
      <c r="A2044" s="1">
        <v>42247</v>
      </c>
      <c r="B2044">
        <f>2861.07</f>
        <v>2861.07</v>
      </c>
      <c r="C2044">
        <f>7713.19</f>
        <v>7713.19</v>
      </c>
      <c r="D2044">
        <f>4854.74</f>
        <v>4854.74</v>
      </c>
      <c r="E2044">
        <f>1678.28</f>
        <v>1678.28</v>
      </c>
      <c r="F2044">
        <f>1767.75</f>
        <v>1767.75</v>
      </c>
      <c r="G2044">
        <f>7549.688</f>
        <v>7549.6880000000001</v>
      </c>
      <c r="H2044">
        <f>2546.27</f>
        <v>2546.27</v>
      </c>
      <c r="I2044">
        <f>8319.239</f>
        <v>8319.2389999999996</v>
      </c>
      <c r="J2044">
        <f>2607.55</f>
        <v>2607.5500000000002</v>
      </c>
      <c r="K2044">
        <f>7646.98</f>
        <v>7646.98</v>
      </c>
      <c r="L2044">
        <f>1503.64</f>
        <v>1503.64</v>
      </c>
      <c r="M2044">
        <f>6249.65</f>
        <v>6249.65</v>
      </c>
      <c r="N2044">
        <f>299.785</f>
        <v>299.78500000000003</v>
      </c>
      <c r="O2044">
        <f>2525.99</f>
        <v>2525.9899999999998</v>
      </c>
      <c r="P2044">
        <f>201.94</f>
        <v>201.94</v>
      </c>
      <c r="Q2044">
        <f>1735.62</f>
        <v>1735.62</v>
      </c>
      <c r="R2044">
        <f>3660.75</f>
        <v>3660.75</v>
      </c>
      <c r="S2044">
        <f>2124.21</f>
        <v>2124.21</v>
      </c>
      <c r="T2044">
        <f>3460.471</f>
        <v>3460.471</v>
      </c>
      <c r="U2044">
        <f>49972.33</f>
        <v>49972.33</v>
      </c>
      <c r="V2044">
        <f>313.47</f>
        <v>313.47000000000003</v>
      </c>
    </row>
    <row r="2045" spans="1:22" x14ac:dyDescent="0.2">
      <c r="A2045" s="1">
        <v>42244</v>
      </c>
      <c r="B2045">
        <f>2861.07</f>
        <v>2861.07</v>
      </c>
      <c r="C2045">
        <f>7703.77</f>
        <v>7703.77</v>
      </c>
      <c r="D2045">
        <f>4854.74</f>
        <v>4854.74</v>
      </c>
      <c r="E2045">
        <f>1681.349</f>
        <v>1681.3489999999999</v>
      </c>
      <c r="F2045">
        <f>1764.7</f>
        <v>1764.7</v>
      </c>
      <c r="G2045">
        <f>7536.68</f>
        <v>7536.68</v>
      </c>
      <c r="H2045">
        <f>2570.17</f>
        <v>2570.17</v>
      </c>
      <c r="I2045">
        <f>8360.505</f>
        <v>8360.5049999999992</v>
      </c>
      <c r="J2045">
        <f>2624.36</f>
        <v>2624.36</v>
      </c>
      <c r="K2045">
        <f>7711.85</f>
        <v>7711.85</v>
      </c>
      <c r="L2045">
        <f>1511.19</f>
        <v>1511.19</v>
      </c>
      <c r="M2045">
        <f>6297.19</f>
        <v>6297.19</v>
      </c>
      <c r="N2045">
        <f>300.127</f>
        <v>300.12700000000001</v>
      </c>
      <c r="O2045">
        <f>2535.09</f>
        <v>2535.09</v>
      </c>
      <c r="P2045">
        <f>201.88</f>
        <v>201.88</v>
      </c>
      <c r="Q2045">
        <f>1746.69</f>
        <v>1746.69</v>
      </c>
      <c r="R2045">
        <f>3691.3</f>
        <v>3691.3</v>
      </c>
      <c r="S2045">
        <f>2141.84</f>
        <v>2141.84</v>
      </c>
      <c r="T2045">
        <f>3455.774</f>
        <v>3455.7739999999999</v>
      </c>
      <c r="U2045">
        <f>49966.8</f>
        <v>49966.8</v>
      </c>
      <c r="V2045">
        <f>313.58</f>
        <v>313.58</v>
      </c>
    </row>
    <row r="2046" spans="1:22" x14ac:dyDescent="0.2">
      <c r="A2046" s="1">
        <v>42243</v>
      </c>
      <c r="B2046">
        <f>2830.64</f>
        <v>2830.64</v>
      </c>
      <c r="C2046">
        <f>7664.09</f>
        <v>7664.09</v>
      </c>
      <c r="D2046">
        <f>4811.29</f>
        <v>4811.29</v>
      </c>
      <c r="E2046">
        <f>1666.628</f>
        <v>1666.6279999999999</v>
      </c>
      <c r="F2046">
        <f>1746.27</f>
        <v>1746.27</v>
      </c>
      <c r="G2046">
        <f>7476.346</f>
        <v>7476.3459999999995</v>
      </c>
      <c r="H2046">
        <f>2492.37</f>
        <v>2492.37</v>
      </c>
      <c r="I2046">
        <f>8346.442</f>
        <v>8346.4419999999991</v>
      </c>
      <c r="J2046">
        <f>2622.35</f>
        <v>2622.35</v>
      </c>
      <c r="K2046">
        <f>7703.11</f>
        <v>7703.11</v>
      </c>
      <c r="L2046">
        <f>1505.67</f>
        <v>1505.67</v>
      </c>
      <c r="M2046">
        <f>6268.06</f>
        <v>6268.06</v>
      </c>
      <c r="N2046">
        <f>297.652</f>
        <v>297.65199999999999</v>
      </c>
      <c r="O2046">
        <f>2521.04</f>
        <v>2521.04</v>
      </c>
      <c r="P2046">
        <f>196.6</f>
        <v>196.6</v>
      </c>
      <c r="Q2046">
        <f>1746.08</f>
        <v>1746.08</v>
      </c>
      <c r="R2046">
        <f>3688.6</f>
        <v>3688.6</v>
      </c>
      <c r="S2046">
        <f>2073.59</f>
        <v>2073.59</v>
      </c>
      <c r="T2046">
        <f>3411.306</f>
        <v>3411.306</v>
      </c>
      <c r="U2046">
        <f>49125.08</f>
        <v>49125.08</v>
      </c>
      <c r="V2046">
        <f>306.9</f>
        <v>306.89999999999998</v>
      </c>
    </row>
    <row r="2047" spans="1:22" x14ac:dyDescent="0.2">
      <c r="A2047" s="1">
        <v>42242</v>
      </c>
      <c r="B2047">
        <f>2748.42</f>
        <v>2748.42</v>
      </c>
      <c r="C2047">
        <f>7393.86</f>
        <v>7393.86</v>
      </c>
      <c r="D2047">
        <f>4644.85</f>
        <v>4644.8500000000004</v>
      </c>
      <c r="E2047">
        <f>1613.681</f>
        <v>1613.681</v>
      </c>
      <c r="F2047">
        <f>1695.38</f>
        <v>1695.38</v>
      </c>
      <c r="G2047">
        <f>7292.268</f>
        <v>7292.268</v>
      </c>
      <c r="H2047">
        <f>2485.65</f>
        <v>2485.65</v>
      </c>
      <c r="I2047">
        <f>8222.827</f>
        <v>8222.8269999999993</v>
      </c>
      <c r="J2047">
        <f>2566.19</f>
        <v>2566.19</v>
      </c>
      <c r="K2047">
        <f>7517.16</f>
        <v>7517.16</v>
      </c>
      <c r="L2047">
        <f>1474.06</f>
        <v>1474.06</v>
      </c>
      <c r="M2047">
        <f>6138.06</f>
        <v>6138.06</v>
      </c>
      <c r="N2047">
        <f>287.812</f>
        <v>287.81200000000001</v>
      </c>
      <c r="O2047">
        <f>2433.52</f>
        <v>2433.52</v>
      </c>
      <c r="P2047">
        <f>194.22</f>
        <v>194.22</v>
      </c>
      <c r="Q2047">
        <f>1712.97</f>
        <v>1712.97</v>
      </c>
      <c r="R2047">
        <f>3600.73</f>
        <v>3600.73</v>
      </c>
      <c r="S2047">
        <f>2043.47</f>
        <v>2043.47</v>
      </c>
      <c r="T2047">
        <f>3383.738</f>
        <v>3383.7379999999998</v>
      </c>
      <c r="U2047">
        <f>48359.24</f>
        <v>48359.24</v>
      </c>
      <c r="V2047">
        <f>302.18</f>
        <v>302.18</v>
      </c>
    </row>
    <row r="2048" spans="1:22" x14ac:dyDescent="0.2">
      <c r="A2048" s="1">
        <v>42241</v>
      </c>
      <c r="B2048">
        <f>2788.33</f>
        <v>2788.33</v>
      </c>
      <c r="C2048">
        <f>7459.37</f>
        <v>7459.37</v>
      </c>
      <c r="D2048">
        <f>4724.2</f>
        <v>4724.2</v>
      </c>
      <c r="E2048">
        <f>1616.157</f>
        <v>1616.1569999999999</v>
      </c>
      <c r="F2048">
        <f>1742.17</f>
        <v>1742.17</v>
      </c>
      <c r="G2048">
        <f>7496.923</f>
        <v>7496.9229999999998</v>
      </c>
      <c r="H2048">
        <f>2412.46</f>
        <v>2412.46</v>
      </c>
      <c r="I2048">
        <f>8346.911</f>
        <v>8346.9110000000001</v>
      </c>
      <c r="J2048">
        <f>2477.99</f>
        <v>2477.9899999999998</v>
      </c>
      <c r="K2048">
        <f>7238.53</f>
        <v>7238.53</v>
      </c>
      <c r="L2048">
        <f>1460.63</f>
        <v>1460.63</v>
      </c>
      <c r="M2048">
        <f>6013.71</f>
        <v>6013.71</v>
      </c>
      <c r="N2048">
        <f>293.695</f>
        <v>293.69499999999999</v>
      </c>
      <c r="O2048">
        <f>2480.36</f>
        <v>2480.36</v>
      </c>
      <c r="P2048">
        <f>188.91</f>
        <v>188.91</v>
      </c>
      <c r="Q2048">
        <f>1664.68</f>
        <v>1664.68</v>
      </c>
      <c r="R2048">
        <f>3465.19</f>
        <v>3465.19</v>
      </c>
      <c r="S2048">
        <f>1979.47</f>
        <v>1979.47</v>
      </c>
      <c r="T2048">
        <f>3405.41</f>
        <v>3405.41</v>
      </c>
      <c r="U2048">
        <f>48980.84</f>
        <v>48980.84</v>
      </c>
      <c r="V2048">
        <f>305.87</f>
        <v>305.87</v>
      </c>
    </row>
    <row r="2049" spans="1:22" x14ac:dyDescent="0.2">
      <c r="A2049" s="1">
        <v>42240</v>
      </c>
      <c r="B2049">
        <f>2698.37</f>
        <v>2698.37</v>
      </c>
      <c r="C2049">
        <f>7318.19</f>
        <v>7318.19</v>
      </c>
      <c r="D2049">
        <f>4582.45</f>
        <v>4582.45</v>
      </c>
      <c r="E2049">
        <f>1581.745</f>
        <v>1581.7449999999999</v>
      </c>
      <c r="F2049">
        <f>1699.09</f>
        <v>1699.09</v>
      </c>
      <c r="G2049">
        <f>7293.536</f>
        <v>7293.5360000000001</v>
      </c>
      <c r="H2049">
        <f>2538.89</f>
        <v>2538.89</v>
      </c>
      <c r="I2049">
        <f>8132.893</f>
        <v>8132.893</v>
      </c>
      <c r="J2049">
        <f>2523.11</f>
        <v>2523.11</v>
      </c>
      <c r="K2049">
        <f>7335.28</f>
        <v>7335.28</v>
      </c>
      <c r="L2049">
        <f>1459.68</f>
        <v>1459.68</v>
      </c>
      <c r="M2049">
        <f>6034.64</f>
        <v>6034.64</v>
      </c>
      <c r="N2049">
        <f>282.685</f>
        <v>282.685</v>
      </c>
      <c r="O2049">
        <f>2380.65</f>
        <v>2380.65</v>
      </c>
      <c r="P2049">
        <f>195.79</f>
        <v>195.79</v>
      </c>
      <c r="Q2049">
        <f>1690.43</f>
        <v>1690.43</v>
      </c>
      <c r="R2049">
        <f>3512.65</f>
        <v>3512.65</v>
      </c>
      <c r="S2049">
        <f>2046.1</f>
        <v>2046.1</v>
      </c>
      <c r="T2049">
        <f>3291.442</f>
        <v>3291.442</v>
      </c>
      <c r="U2049">
        <f>47631.19</f>
        <v>47631.19</v>
      </c>
      <c r="V2049">
        <f>297.76</f>
        <v>297.76</v>
      </c>
    </row>
    <row r="2050" spans="1:22" x14ac:dyDescent="0.2">
      <c r="A2050" s="1">
        <v>42237</v>
      </c>
      <c r="B2050">
        <f>2830.73</f>
        <v>2830.73</v>
      </c>
      <c r="C2050">
        <f>7670.7</f>
        <v>7670.7</v>
      </c>
      <c r="D2050">
        <f>4806.79</f>
        <v>4806.79</v>
      </c>
      <c r="E2050">
        <f>1664.526</f>
        <v>1664.5260000000001</v>
      </c>
      <c r="F2050">
        <f>1779.96</f>
        <v>1779.96</v>
      </c>
      <c r="G2050">
        <f>7618.323</f>
        <v>7618.3230000000003</v>
      </c>
      <c r="H2050">
        <f>2594.1</f>
        <v>2594.1</v>
      </c>
      <c r="I2050">
        <f>8358.54</f>
        <v>8358.5400000000009</v>
      </c>
      <c r="J2050">
        <f>2621.97</f>
        <v>2621.97</v>
      </c>
      <c r="K2050">
        <f>7637.82</f>
        <v>7637.82</v>
      </c>
      <c r="L2050">
        <f>1513.28</f>
        <v>1513.28</v>
      </c>
      <c r="M2050">
        <f>6267.8</f>
        <v>6267.8</v>
      </c>
      <c r="N2050">
        <f>297.703</f>
        <v>297.70299999999997</v>
      </c>
      <c r="O2050">
        <f>2515.9</f>
        <v>2515.9</v>
      </c>
      <c r="P2050">
        <f>205.75</f>
        <v>205.75</v>
      </c>
      <c r="Q2050">
        <f>1754.68</f>
        <v>1754.68</v>
      </c>
      <c r="R2050">
        <f>3656.67</f>
        <v>3656.67</v>
      </c>
      <c r="S2050">
        <f>2173.4</f>
        <v>2173.4</v>
      </c>
      <c r="T2050">
        <f>3389.075</f>
        <v>3389.0749999999998</v>
      </c>
      <c r="U2050">
        <f>49028.36</f>
        <v>49028.36</v>
      </c>
      <c r="V2050">
        <f>307.92</f>
        <v>307.92</v>
      </c>
    </row>
    <row r="2051" spans="1:22" x14ac:dyDescent="0.2">
      <c r="A2051" s="1">
        <v>42236</v>
      </c>
      <c r="B2051">
        <f>2901.11</f>
        <v>2901.11</v>
      </c>
      <c r="C2051">
        <f>7821.61</f>
        <v>7821.61</v>
      </c>
      <c r="D2051">
        <f>4946.8</f>
        <v>4946.8</v>
      </c>
      <c r="E2051">
        <f>1701.158</f>
        <v>1701.1579999999999</v>
      </c>
      <c r="F2051">
        <f>1830.96</f>
        <v>1830.96</v>
      </c>
      <c r="G2051">
        <f>7836.632</f>
        <v>7836.6319999999996</v>
      </c>
      <c r="H2051">
        <f>2629.27</f>
        <v>2629.27</v>
      </c>
      <c r="I2051">
        <f>8532.137</f>
        <v>8532.1370000000006</v>
      </c>
      <c r="J2051">
        <f>2694.82</f>
        <v>2694.82</v>
      </c>
      <c r="K2051">
        <f>7883.99</f>
        <v>7883.99</v>
      </c>
      <c r="L2051">
        <f>1548.39</f>
        <v>1548.39</v>
      </c>
      <c r="M2051">
        <f>6442.87</f>
        <v>6442.87</v>
      </c>
      <c r="N2051">
        <f>308.631</f>
        <v>308.63099999999997</v>
      </c>
      <c r="O2051">
        <f>2604.04</f>
        <v>2604.04</v>
      </c>
      <c r="P2051">
        <f>211.99</f>
        <v>211.99</v>
      </c>
      <c r="Q2051">
        <f>1798.91</f>
        <v>1798.91</v>
      </c>
      <c r="R2051">
        <f>3776.36</f>
        <v>3776.36</v>
      </c>
      <c r="S2051">
        <f>2243.69</f>
        <v>2243.69</v>
      </c>
      <c r="T2051">
        <f>3426.085</f>
        <v>3426.085</v>
      </c>
      <c r="U2051">
        <f>49761.67</f>
        <v>49761.67</v>
      </c>
      <c r="V2051">
        <f>310.15</f>
        <v>310.14999999999998</v>
      </c>
    </row>
    <row r="2052" spans="1:22" x14ac:dyDescent="0.2">
      <c r="A2052" s="1">
        <v>42235</v>
      </c>
      <c r="B2052">
        <f>2922.09</f>
        <v>2922.09</v>
      </c>
      <c r="C2052">
        <f>7914.58</f>
        <v>7914.58</v>
      </c>
      <c r="D2052">
        <f>4970.18</f>
        <v>4970.18</v>
      </c>
      <c r="E2052">
        <f>1721.956</f>
        <v>1721.9559999999999</v>
      </c>
      <c r="F2052">
        <f>1832.07</f>
        <v>1832.07</v>
      </c>
      <c r="G2052">
        <f>7862.946</f>
        <v>7862.9459999999999</v>
      </c>
      <c r="H2052">
        <f>2659.39</f>
        <v>2659.39</v>
      </c>
      <c r="I2052">
        <f>8608.927</f>
        <v>8608.9269999999997</v>
      </c>
      <c r="J2052">
        <f>2734.11</f>
        <v>2734.11</v>
      </c>
      <c r="K2052">
        <f>8057.83</f>
        <v>8057.83</v>
      </c>
      <c r="L2052">
        <f>1564.37</f>
        <v>1564.37</v>
      </c>
      <c r="M2052">
        <f>6551.51</f>
        <v>6551.51</v>
      </c>
      <c r="N2052">
        <f>314.161</f>
        <v>314.161</v>
      </c>
      <c r="O2052">
        <f>2655.11</f>
        <v>2655.11</v>
      </c>
      <c r="P2052">
        <f>214.51</f>
        <v>214.51</v>
      </c>
      <c r="Q2052">
        <f>1827.2</f>
        <v>1827.2</v>
      </c>
      <c r="R2052">
        <f>3857.74</f>
        <v>3857.74</v>
      </c>
      <c r="S2052">
        <f>2277.67</f>
        <v>2277.67</v>
      </c>
      <c r="T2052">
        <f>3444.095</f>
        <v>3444.0949999999998</v>
      </c>
      <c r="U2052">
        <f>50140.9</f>
        <v>50140.9</v>
      </c>
      <c r="V2052">
        <f>308.99</f>
        <v>308.99</v>
      </c>
    </row>
    <row r="2053" spans="1:22" x14ac:dyDescent="0.2">
      <c r="A2053" s="1">
        <v>42234</v>
      </c>
      <c r="B2053">
        <f>2968.22</f>
        <v>2968.22</v>
      </c>
      <c r="C2053">
        <f>8016.89</f>
        <v>8016.89</v>
      </c>
      <c r="D2053">
        <f>5065.53</f>
        <v>5065.53</v>
      </c>
      <c r="E2053">
        <f>1737.499</f>
        <v>1737.499</v>
      </c>
      <c r="F2053">
        <f>1869.4</f>
        <v>1869.4</v>
      </c>
      <c r="G2053">
        <f>8018.072</f>
        <v>8018.0720000000001</v>
      </c>
      <c r="H2053">
        <f>2693.74</f>
        <v>2693.74</v>
      </c>
      <c r="I2053">
        <f>8736.693</f>
        <v>8736.6929999999993</v>
      </c>
      <c r="J2053">
        <f>2758.99</f>
        <v>2758.99</v>
      </c>
      <c r="K2053">
        <f>8125.46</f>
        <v>8125.46</v>
      </c>
      <c r="L2053">
        <f>1581.43</f>
        <v>1581.43</v>
      </c>
      <c r="M2053">
        <f>6620.31</f>
        <v>6620.31</v>
      </c>
      <c r="N2053">
        <f>319.742</f>
        <v>319.74200000000002</v>
      </c>
      <c r="O2053">
        <f>2706.14</f>
        <v>2706.14</v>
      </c>
      <c r="P2053">
        <f>216.96</f>
        <v>216.96</v>
      </c>
      <c r="Q2053">
        <f>1840.42</f>
        <v>1840.42</v>
      </c>
      <c r="R2053">
        <f>3889.6</f>
        <v>3889.6</v>
      </c>
      <c r="S2053">
        <f>2310.48</f>
        <v>2310.48</v>
      </c>
      <c r="T2053">
        <f>3498.488</f>
        <v>3498.4879999999998</v>
      </c>
      <c r="U2053">
        <f>50977.03</f>
        <v>50977.03</v>
      </c>
      <c r="V2053">
        <f>314.78</f>
        <v>314.77999999999997</v>
      </c>
    </row>
    <row r="2054" spans="1:22" x14ac:dyDescent="0.2">
      <c r="A2054" s="1">
        <v>42233</v>
      </c>
      <c r="B2054">
        <f>2975.71</f>
        <v>2975.71</v>
      </c>
      <c r="C2054">
        <f>8077.68</f>
        <v>8077.68</v>
      </c>
      <c r="D2054">
        <f>5084.17</f>
        <v>5084.17</v>
      </c>
      <c r="E2054">
        <f>1750.951</f>
        <v>1750.951</v>
      </c>
      <c r="F2054">
        <f>1874.54</f>
        <v>1874.54</v>
      </c>
      <c r="G2054">
        <f>8019.868</f>
        <v>8019.8680000000004</v>
      </c>
      <c r="H2054">
        <f>2698.97</f>
        <v>2698.97</v>
      </c>
      <c r="I2054">
        <f>8759.274</f>
        <v>8759.2739999999994</v>
      </c>
      <c r="J2054">
        <f>2768.73</f>
        <v>2768.73</v>
      </c>
      <c r="K2054">
        <f>8145.55</f>
        <v>8145.55</v>
      </c>
      <c r="L2054">
        <f>1587.06</f>
        <v>1587.06</v>
      </c>
      <c r="M2054">
        <f>6637.51</f>
        <v>6637.51</v>
      </c>
      <c r="N2054">
        <f>318.513</f>
        <v>318.51299999999998</v>
      </c>
      <c r="O2054">
        <f>2700.54</f>
        <v>2700.54</v>
      </c>
      <c r="P2054">
        <f>217.98</f>
        <v>217.98</v>
      </c>
      <c r="Q2054">
        <f>1844.17</f>
        <v>1844.17</v>
      </c>
      <c r="R2054">
        <f>3899.1</f>
        <v>3899.1</v>
      </c>
      <c r="S2054">
        <f>2311.35</f>
        <v>2311.35</v>
      </c>
      <c r="T2054">
        <f>3476.819</f>
        <v>3476.819</v>
      </c>
      <c r="U2054">
        <f>50751.1</f>
        <v>50751.1</v>
      </c>
      <c r="V2054">
        <f>313.83</f>
        <v>313.83</v>
      </c>
    </row>
    <row r="2055" spans="1:22" x14ac:dyDescent="0.2">
      <c r="A2055" s="1">
        <v>42230</v>
      </c>
      <c r="B2055">
        <f>2979.46</f>
        <v>2979.46</v>
      </c>
      <c r="C2055">
        <f>8181.93</f>
        <v>8181.93</v>
      </c>
      <c r="D2055">
        <f>5084.5</f>
        <v>5084.5</v>
      </c>
      <c r="E2055">
        <f>1769.502</f>
        <v>1769.502</v>
      </c>
      <c r="F2055">
        <f>1876.7</f>
        <v>1876.7</v>
      </c>
      <c r="G2055">
        <f>8026.308</f>
        <v>8026.308</v>
      </c>
      <c r="H2055">
        <f>2687.2</f>
        <v>2687.2</v>
      </c>
      <c r="I2055">
        <f>8765.357</f>
        <v>8765.357</v>
      </c>
      <c r="J2055">
        <f>2759.84</f>
        <v>2759.84</v>
      </c>
      <c r="K2055">
        <f>8099.7</f>
        <v>8099.7</v>
      </c>
      <c r="L2055">
        <f>1586.21</f>
        <v>1586.21</v>
      </c>
      <c r="M2055">
        <f>6617</f>
        <v>6617</v>
      </c>
      <c r="N2055">
        <f>317.914</f>
        <v>317.91399999999999</v>
      </c>
      <c r="O2055">
        <f>2693.09</f>
        <v>2693.09</v>
      </c>
      <c r="P2055">
        <f>216.85</f>
        <v>216.85</v>
      </c>
      <c r="Q2055">
        <f>1836.29</f>
        <v>1836.29</v>
      </c>
      <c r="R2055">
        <f>3878.16</f>
        <v>3878.16</v>
      </c>
      <c r="S2055">
        <f>2299.74</f>
        <v>2299.7399999999998</v>
      </c>
      <c r="T2055">
        <f>3492.047</f>
        <v>3492.047</v>
      </c>
      <c r="U2055">
        <f>50821.18</f>
        <v>50821.18</v>
      </c>
      <c r="V2055">
        <f>315.64</f>
        <v>315.64</v>
      </c>
    </row>
    <row r="2056" spans="1:22" x14ac:dyDescent="0.2">
      <c r="A2056" s="1">
        <v>42229</v>
      </c>
      <c r="B2056">
        <f>2981.6</f>
        <v>2981.6</v>
      </c>
      <c r="C2056">
        <f>8220.8</f>
        <v>8220.7999999999993</v>
      </c>
      <c r="D2056">
        <f>5098.16</f>
        <v>5098.16</v>
      </c>
      <c r="E2056">
        <f>1771.497</f>
        <v>1771.4970000000001</v>
      </c>
      <c r="F2056">
        <f>1880.2</f>
        <v>1880.2</v>
      </c>
      <c r="G2056">
        <f>8036.413</f>
        <v>8036.4129999999996</v>
      </c>
      <c r="H2056">
        <f>2700.18</f>
        <v>2700.18</v>
      </c>
      <c r="I2056">
        <f>8800.007</f>
        <v>8800.0069999999996</v>
      </c>
      <c r="J2056">
        <f>2749.56</f>
        <v>2749.56</v>
      </c>
      <c r="K2056">
        <f>8068.57</f>
        <v>8068.57</v>
      </c>
      <c r="L2056">
        <f>1585.11</f>
        <v>1585.11</v>
      </c>
      <c r="M2056">
        <f>6607.54</f>
        <v>6607.54</v>
      </c>
      <c r="N2056">
        <f>316.911</f>
        <v>316.911</v>
      </c>
      <c r="O2056">
        <f>2696.62</f>
        <v>2696.62</v>
      </c>
      <c r="P2056">
        <f>217.02</f>
        <v>217.02</v>
      </c>
      <c r="Q2056">
        <f>1825.24</f>
        <v>1825.24</v>
      </c>
      <c r="R2056">
        <f>3863.03</f>
        <v>3863.03</v>
      </c>
      <c r="S2056">
        <f>2304.55</f>
        <v>2304.5500000000002</v>
      </c>
      <c r="T2056">
        <f>3523.439</f>
        <v>3523.4389999999999</v>
      </c>
      <c r="U2056">
        <f>51375.44</f>
        <v>51375.44</v>
      </c>
      <c r="V2056">
        <f>319.4</f>
        <v>319.39999999999998</v>
      </c>
    </row>
    <row r="2057" spans="1:22" x14ac:dyDescent="0.2">
      <c r="A2057" s="1">
        <v>42228</v>
      </c>
      <c r="B2057">
        <f>2974.16</f>
        <v>2974.16</v>
      </c>
      <c r="C2057">
        <f>8199.02</f>
        <v>8199.02</v>
      </c>
      <c r="D2057">
        <f>5073.34</f>
        <v>5073.34</v>
      </c>
      <c r="E2057">
        <f>1764.385</f>
        <v>1764.385</v>
      </c>
      <c r="F2057">
        <f>1877.39</f>
        <v>1877.39</v>
      </c>
      <c r="G2057">
        <f>8026.796</f>
        <v>8026.7960000000003</v>
      </c>
      <c r="H2057">
        <f>2712.46</f>
        <v>2712.46</v>
      </c>
      <c r="I2057">
        <f>8739.655</f>
        <v>8739.6550000000007</v>
      </c>
      <c r="J2057">
        <f>2756.19</f>
        <v>2756.19</v>
      </c>
      <c r="K2057">
        <f>8077.14</f>
        <v>8077.14</v>
      </c>
      <c r="L2057">
        <f>1584.57</f>
        <v>1584.57</v>
      </c>
      <c r="M2057">
        <f>6607.77</f>
        <v>6607.77</v>
      </c>
      <c r="N2057">
        <f>313.827</f>
        <v>313.827</v>
      </c>
      <c r="O2057">
        <f>2669.37</f>
        <v>2669.37</v>
      </c>
      <c r="P2057">
        <f>217.05</f>
        <v>217.05</v>
      </c>
      <c r="Q2057">
        <f>1824.79</f>
        <v>1824.79</v>
      </c>
      <c r="R2057">
        <f>3867.37</f>
        <v>3867.37</v>
      </c>
      <c r="S2057">
        <f>2301.51</f>
        <v>2301.5100000000002</v>
      </c>
      <c r="T2057">
        <f>3494.602</f>
        <v>3494.6019999999999</v>
      </c>
      <c r="U2057">
        <f>50570.6</f>
        <v>50570.6</v>
      </c>
      <c r="V2057">
        <f>318.17</f>
        <v>318.17</v>
      </c>
    </row>
    <row r="2058" spans="1:22" x14ac:dyDescent="0.2">
      <c r="A2058" s="1">
        <v>42227</v>
      </c>
      <c r="B2058">
        <f>3015.82</f>
        <v>3015.82</v>
      </c>
      <c r="C2058">
        <f>8309.32</f>
        <v>8309.32</v>
      </c>
      <c r="D2058">
        <f>5145.41</f>
        <v>5145.41</v>
      </c>
      <c r="E2058">
        <f>1798.196</f>
        <v>1798.1959999999999</v>
      </c>
      <c r="F2058">
        <f>1888.74</f>
        <v>1888.74</v>
      </c>
      <c r="G2058">
        <f>8104.111</f>
        <v>8104.1109999999999</v>
      </c>
      <c r="H2058">
        <f>2719.29</f>
        <v>2719.29</v>
      </c>
      <c r="I2058">
        <f>8887.471</f>
        <v>8887.4709999999995</v>
      </c>
      <c r="J2058">
        <f>2747.44</f>
        <v>2747.44</v>
      </c>
      <c r="K2058">
        <f>8068.22</f>
        <v>8068.22</v>
      </c>
      <c r="L2058">
        <f>1589.82</f>
        <v>1589.82</v>
      </c>
      <c r="M2058">
        <f>6634.03</f>
        <v>6634.03</v>
      </c>
      <c r="N2058">
        <f>320.452</f>
        <v>320.452</v>
      </c>
      <c r="O2058">
        <f>2743.79</f>
        <v>2743.79</v>
      </c>
      <c r="P2058">
        <f>217.77</f>
        <v>217.77</v>
      </c>
      <c r="Q2058">
        <f>1824.21</f>
        <v>1824.21</v>
      </c>
      <c r="R2058">
        <f>3862.81</f>
        <v>3862.81</v>
      </c>
      <c r="S2058">
        <f>2331.71</f>
        <v>2331.71</v>
      </c>
      <c r="T2058">
        <f>3612.759</f>
        <v>3612.759</v>
      </c>
      <c r="U2058">
        <f>52221.17</f>
        <v>52221.17</v>
      </c>
      <c r="V2058">
        <f>327.11</f>
        <v>327.11</v>
      </c>
    </row>
    <row r="2059" spans="1:22" x14ac:dyDescent="0.2">
      <c r="A2059" s="1">
        <v>42226</v>
      </c>
      <c r="B2059">
        <f>3047.95</f>
        <v>3047.95</v>
      </c>
      <c r="C2059">
        <f>8352.8</f>
        <v>8352.7999999999993</v>
      </c>
      <c r="D2059">
        <f>5200.75</f>
        <v>5200.75</v>
      </c>
      <c r="E2059">
        <f>1817.271</f>
        <v>1817.271</v>
      </c>
      <c r="F2059">
        <f>1915.7</f>
        <v>1915.7</v>
      </c>
      <c r="G2059">
        <f>8178.49</f>
        <v>8178.49</v>
      </c>
      <c r="H2059">
        <f>2728.46</f>
        <v>2728.46</v>
      </c>
      <c r="I2059">
        <f>8981.745</f>
        <v>8981.7450000000008</v>
      </c>
      <c r="J2059">
        <f>2767.2</f>
        <v>2767.2</v>
      </c>
      <c r="K2059">
        <f>8145.19</f>
        <v>8145.19</v>
      </c>
      <c r="L2059">
        <f>1603.64</f>
        <v>1603.64</v>
      </c>
      <c r="M2059">
        <f>6697.6</f>
        <v>6697.6</v>
      </c>
      <c r="N2059">
        <f>325.134</f>
        <v>325.13400000000001</v>
      </c>
      <c r="O2059">
        <f>2788.49</f>
        <v>2788.49</v>
      </c>
      <c r="P2059">
        <f>218.14</f>
        <v>218.14</v>
      </c>
      <c r="Q2059">
        <f>1837.01</f>
        <v>1837.01</v>
      </c>
      <c r="R2059">
        <f>3899.36</f>
        <v>3899.36</v>
      </c>
      <c r="S2059">
        <f>2336.8</f>
        <v>2336.8000000000002</v>
      </c>
      <c r="T2059" t="e">
        <f>NA()</f>
        <v>#N/A</v>
      </c>
      <c r="U2059" t="e">
        <f>NA()</f>
        <v>#N/A</v>
      </c>
      <c r="V2059" t="e">
        <f>NA()</f>
        <v>#N/A</v>
      </c>
    </row>
    <row r="2060" spans="1:22" x14ac:dyDescent="0.2">
      <c r="A2060" s="1">
        <v>42223</v>
      </c>
      <c r="B2060">
        <f>3029.8</f>
        <v>3029.8</v>
      </c>
      <c r="C2060">
        <f>8350.95</f>
        <v>8350.9500000000007</v>
      </c>
      <c r="D2060">
        <f>5187.06</f>
        <v>5187.0600000000004</v>
      </c>
      <c r="E2060">
        <f>1811.395</f>
        <v>1811.395</v>
      </c>
      <c r="F2060">
        <f>1893.35</f>
        <v>1893.35</v>
      </c>
      <c r="G2060">
        <f>8118.832</f>
        <v>8118.8320000000003</v>
      </c>
      <c r="H2060">
        <f>2718.26</f>
        <v>2718.26</v>
      </c>
      <c r="I2060">
        <f>8874.775</f>
        <v>8874.7749999999996</v>
      </c>
      <c r="J2060">
        <f>2734.05</f>
        <v>2734.05</v>
      </c>
      <c r="K2060">
        <f>8040.86</f>
        <v>8040.86</v>
      </c>
      <c r="L2060">
        <f>1586.77</f>
        <v>1586.77</v>
      </c>
      <c r="M2060">
        <f>6624.39</f>
        <v>6624.39</v>
      </c>
      <c r="N2060">
        <f>323.033</f>
        <v>323.03300000000002</v>
      </c>
      <c r="O2060">
        <f>2768.13</f>
        <v>2768.13</v>
      </c>
      <c r="P2060">
        <f>214.81</f>
        <v>214.81</v>
      </c>
      <c r="Q2060">
        <f>1817.02</f>
        <v>1817.02</v>
      </c>
      <c r="R2060">
        <f>3849.96</f>
        <v>3849.96</v>
      </c>
      <c r="S2060">
        <f>2320.08</f>
        <v>2320.08</v>
      </c>
      <c r="T2060">
        <f>3606.733</f>
        <v>3606.7330000000002</v>
      </c>
      <c r="U2060">
        <f>52014.96</f>
        <v>52014.96</v>
      </c>
      <c r="V2060">
        <f>325.34</f>
        <v>325.33999999999997</v>
      </c>
    </row>
    <row r="2061" spans="1:22" x14ac:dyDescent="0.2">
      <c r="A2061" s="1">
        <v>42222</v>
      </c>
      <c r="B2061">
        <f>3036.33</f>
        <v>3036.33</v>
      </c>
      <c r="C2061">
        <f>8326.43</f>
        <v>8326.43</v>
      </c>
      <c r="D2061">
        <f>5209.14</f>
        <v>5209.1400000000003</v>
      </c>
      <c r="E2061">
        <f>1811.074</f>
        <v>1811.0740000000001</v>
      </c>
      <c r="F2061">
        <f>1903.2</f>
        <v>1903.2</v>
      </c>
      <c r="G2061">
        <f>8171.231</f>
        <v>8171.2309999999998</v>
      </c>
      <c r="H2061">
        <f>2699.71</f>
        <v>2699.71</v>
      </c>
      <c r="I2061">
        <f>8929.551</f>
        <v>8929.5509999999995</v>
      </c>
      <c r="J2061">
        <f>2744.19</f>
        <v>2744.19</v>
      </c>
      <c r="K2061">
        <f>8063.44</f>
        <v>8063.44</v>
      </c>
      <c r="L2061">
        <f>1594.27</f>
        <v>1594.27</v>
      </c>
      <c r="M2061">
        <f>6644.27</f>
        <v>6644.27</v>
      </c>
      <c r="N2061">
        <f>326.051</f>
        <v>326.05099999999999</v>
      </c>
      <c r="O2061">
        <f>2794.7</f>
        <v>2794.7</v>
      </c>
      <c r="P2061">
        <f>214.17</f>
        <v>214.17</v>
      </c>
      <c r="Q2061">
        <f>1823.56</f>
        <v>1823.56</v>
      </c>
      <c r="R2061">
        <f>3860.92</f>
        <v>3860.92</v>
      </c>
      <c r="S2061">
        <f>2312.33</f>
        <v>2312.33</v>
      </c>
      <c r="T2061">
        <f>3614.981</f>
        <v>3614.9810000000002</v>
      </c>
      <c r="U2061">
        <f>52464.59</f>
        <v>52464.59</v>
      </c>
      <c r="V2061">
        <f>324.89</f>
        <v>324.89</v>
      </c>
    </row>
    <row r="2062" spans="1:22" x14ac:dyDescent="0.2">
      <c r="A2062" s="1">
        <v>42221</v>
      </c>
      <c r="B2062">
        <f>3029.36</f>
        <v>3029.36</v>
      </c>
      <c r="C2062">
        <f>8427.91</f>
        <v>8427.91</v>
      </c>
      <c r="D2062">
        <f>5205.79</f>
        <v>5205.79</v>
      </c>
      <c r="E2062">
        <f>1824.948</f>
        <v>1824.9480000000001</v>
      </c>
      <c r="F2062">
        <f>1910.21</f>
        <v>1910.21</v>
      </c>
      <c r="G2062">
        <f>8220.492</f>
        <v>8220.4920000000002</v>
      </c>
      <c r="H2062">
        <f>2669.28</f>
        <v>2669.28</v>
      </c>
      <c r="I2062">
        <f>8945.392</f>
        <v>8945.3919999999998</v>
      </c>
      <c r="J2062">
        <f>2757.38</f>
        <v>2757.38</v>
      </c>
      <c r="K2062">
        <f>8128.42</f>
        <v>8128.42</v>
      </c>
      <c r="L2062">
        <f>1598.52</f>
        <v>1598.52</v>
      </c>
      <c r="M2062">
        <f>6680.52</f>
        <v>6680.52</v>
      </c>
      <c r="N2062">
        <f>330.28</f>
        <v>330.28</v>
      </c>
      <c r="O2062">
        <f>2815.25</f>
        <v>2815.25</v>
      </c>
      <c r="P2062">
        <f>214.24</f>
        <v>214.24</v>
      </c>
      <c r="Q2062">
        <f>1834.52</f>
        <v>1834.52</v>
      </c>
      <c r="R2062">
        <f>3889.99</f>
        <v>3889.99</v>
      </c>
      <c r="S2062">
        <f>2301.63</f>
        <v>2301.63</v>
      </c>
      <c r="T2062">
        <f>3634.419</f>
        <v>3634.4189999999999</v>
      </c>
      <c r="U2062">
        <f>52774.21</f>
        <v>52774.21</v>
      </c>
      <c r="V2062">
        <f>327.37</f>
        <v>327.37</v>
      </c>
    </row>
    <row r="2063" spans="1:22" x14ac:dyDescent="0.2">
      <c r="A2063" s="1">
        <v>42220</v>
      </c>
      <c r="B2063">
        <f>3003.96</f>
        <v>3003.96</v>
      </c>
      <c r="C2063">
        <f>8429.9</f>
        <v>8429.9</v>
      </c>
      <c r="D2063">
        <f>5155.03</f>
        <v>5155.03</v>
      </c>
      <c r="E2063">
        <f>1827.274</f>
        <v>1827.2739999999999</v>
      </c>
      <c r="F2063">
        <f>1878.82</f>
        <v>1878.82</v>
      </c>
      <c r="G2063">
        <f>8136.92</f>
        <v>8136.92</v>
      </c>
      <c r="H2063">
        <f>2679.56</f>
        <v>2679.56</v>
      </c>
      <c r="I2063">
        <f>8925.649</f>
        <v>8925.6489999999994</v>
      </c>
      <c r="J2063">
        <f>2744.4</f>
        <v>2744.4</v>
      </c>
      <c r="K2063">
        <f>8099.13</f>
        <v>8099.13</v>
      </c>
      <c r="L2063">
        <f>1593.63</f>
        <v>1593.63</v>
      </c>
      <c r="M2063">
        <f>6664.37</f>
        <v>6664.37</v>
      </c>
      <c r="N2063">
        <f>326.412</f>
        <v>326.41199999999998</v>
      </c>
      <c r="O2063">
        <f>2778.81</f>
        <v>2778.81</v>
      </c>
      <c r="P2063">
        <f>214.44</f>
        <v>214.44</v>
      </c>
      <c r="Q2063">
        <f>1823.02</f>
        <v>1823.02</v>
      </c>
      <c r="R2063">
        <f>3876.44</f>
        <v>3876.44</v>
      </c>
      <c r="S2063">
        <f>2293.32</f>
        <v>2293.3200000000002</v>
      </c>
      <c r="T2063">
        <f>3616.567</f>
        <v>3616.567</v>
      </c>
      <c r="U2063">
        <f>52437.84</f>
        <v>52437.84</v>
      </c>
      <c r="V2063">
        <f>326.08</f>
        <v>326.08</v>
      </c>
    </row>
    <row r="2064" spans="1:22" x14ac:dyDescent="0.2">
      <c r="A2064" s="1">
        <v>42219</v>
      </c>
      <c r="B2064">
        <f>2991.88</f>
        <v>2991.88</v>
      </c>
      <c r="C2064">
        <f>8423.86</f>
        <v>8423.86</v>
      </c>
      <c r="D2064">
        <f>5156.61</f>
        <v>5156.6099999999997</v>
      </c>
      <c r="E2064">
        <f>1822.42</f>
        <v>1822.42</v>
      </c>
      <c r="F2064">
        <f>1868.82</f>
        <v>1868.82</v>
      </c>
      <c r="G2064">
        <f>8149.062</f>
        <v>8149.0619999999999</v>
      </c>
      <c r="H2064">
        <f>2677.72</f>
        <v>2677.72</v>
      </c>
      <c r="I2064">
        <f>8958.068</f>
        <v>8958.0679999999993</v>
      </c>
      <c r="J2064">
        <f>2749.02</f>
        <v>2749.02</v>
      </c>
      <c r="K2064">
        <f>8116.44</f>
        <v>8116.44</v>
      </c>
      <c r="L2064">
        <f>1594.86</f>
        <v>1594.86</v>
      </c>
      <c r="M2064">
        <f>6673.01</f>
        <v>6673.01</v>
      </c>
      <c r="N2064">
        <f>325.917</f>
        <v>325.91699999999997</v>
      </c>
      <c r="O2064">
        <f>2783.41</f>
        <v>2783.41</v>
      </c>
      <c r="P2064">
        <f>212.58</f>
        <v>212.58</v>
      </c>
      <c r="Q2064">
        <f>1822.51</f>
        <v>1822.51</v>
      </c>
      <c r="R2064">
        <f>3885.07</f>
        <v>3885.07</v>
      </c>
      <c r="S2064">
        <f>2293</f>
        <v>2293</v>
      </c>
      <c r="T2064">
        <f>3551.401</f>
        <v>3551.4009999999998</v>
      </c>
      <c r="U2064">
        <f>51629.67</f>
        <v>51629.67</v>
      </c>
      <c r="V2064">
        <f>321.74</f>
        <v>321.74</v>
      </c>
    </row>
    <row r="2065" spans="1:22" x14ac:dyDescent="0.2">
      <c r="A2065" s="1">
        <v>42216</v>
      </c>
      <c r="B2065">
        <f>3000.53</f>
        <v>3000.53</v>
      </c>
      <c r="C2065">
        <f>8514.55</f>
        <v>8514.5499999999993</v>
      </c>
      <c r="D2065">
        <f>5162.51</f>
        <v>5162.51</v>
      </c>
      <c r="E2065">
        <f>1844.464</f>
        <v>1844.4639999999999</v>
      </c>
      <c r="F2065">
        <f>1881.07</f>
        <v>1881.07</v>
      </c>
      <c r="G2065">
        <f>8155.13</f>
        <v>8155.13</v>
      </c>
      <c r="H2065">
        <f>2658.41</f>
        <v>2658.41</v>
      </c>
      <c r="I2065">
        <f>8942.705</f>
        <v>8942.7049999999999</v>
      </c>
      <c r="J2065">
        <f>2755.51</f>
        <v>2755.51</v>
      </c>
      <c r="K2065">
        <f>8140.84</f>
        <v>8140.84</v>
      </c>
      <c r="L2065">
        <f>1598.85</f>
        <v>1598.85</v>
      </c>
      <c r="M2065">
        <f>6689.58</f>
        <v>6689.58</v>
      </c>
      <c r="N2065">
        <f>323.57</f>
        <v>323.57</v>
      </c>
      <c r="O2065">
        <f>2764.62</f>
        <v>2764.62</v>
      </c>
      <c r="P2065">
        <f>210.85</f>
        <v>210.85</v>
      </c>
      <c r="Q2065">
        <f>1824.891</f>
        <v>1824.8910000000001</v>
      </c>
      <c r="R2065">
        <f>3895.8</f>
        <v>3895.8</v>
      </c>
      <c r="S2065">
        <f>2292.89</f>
        <v>2292.89</v>
      </c>
      <c r="T2065">
        <f>3567.967</f>
        <v>3567.9670000000001</v>
      </c>
      <c r="U2065">
        <f>52053.27</f>
        <v>52053.27</v>
      </c>
      <c r="V2065">
        <f>325.57</f>
        <v>325.57</v>
      </c>
    </row>
    <row r="2066" spans="1:22" x14ac:dyDescent="0.2">
      <c r="A2066" s="1">
        <v>42215</v>
      </c>
      <c r="B2066">
        <f>2975.86</f>
        <v>2975.86</v>
      </c>
      <c r="C2066">
        <f>8444.62</f>
        <v>8444.6200000000008</v>
      </c>
      <c r="D2066">
        <f>5141.38</f>
        <v>5141.38</v>
      </c>
      <c r="E2066">
        <f>1828.684</f>
        <v>1828.684</v>
      </c>
      <c r="F2066">
        <f>1868.68</f>
        <v>1868.68</v>
      </c>
      <c r="G2066">
        <f>8124.875</f>
        <v>8124.875</v>
      </c>
      <c r="H2066">
        <f>2642.27</f>
        <v>2642.27</v>
      </c>
      <c r="I2066">
        <f>8811.756</f>
        <v>8811.7559999999994</v>
      </c>
      <c r="J2066">
        <f>2761.75</f>
        <v>2761.75</v>
      </c>
      <c r="K2066">
        <f>8158.15</f>
        <v>8158.15</v>
      </c>
      <c r="L2066">
        <f>1594.22</f>
        <v>1594.22</v>
      </c>
      <c r="M2066">
        <f>6667.31</f>
        <v>6667.31</v>
      </c>
      <c r="N2066">
        <f>323.162</f>
        <v>323.16199999999998</v>
      </c>
      <c r="O2066">
        <f>2761.5</f>
        <v>2761.5</v>
      </c>
      <c r="P2066">
        <f>210.42</f>
        <v>210.42</v>
      </c>
      <c r="Q2066">
        <f>1827.76</f>
        <v>1827.76</v>
      </c>
      <c r="R2066">
        <f>3904.64</f>
        <v>3904.64</v>
      </c>
      <c r="S2066">
        <f>2275.88</f>
        <v>2275.88</v>
      </c>
      <c r="T2066">
        <f>3542.259</f>
        <v>3542.259</v>
      </c>
      <c r="U2066">
        <f>51774.41</f>
        <v>51774.41</v>
      </c>
      <c r="V2066">
        <f>323.03</f>
        <v>323.02999999999997</v>
      </c>
    </row>
    <row r="2067" spans="1:22" x14ac:dyDescent="0.2">
      <c r="A2067" s="1">
        <v>42214</v>
      </c>
      <c r="B2067">
        <f>2978.26</f>
        <v>2978.26</v>
      </c>
      <c r="C2067">
        <f>8493.58</f>
        <v>8493.58</v>
      </c>
      <c r="D2067">
        <f>5112.18</f>
        <v>5112.18</v>
      </c>
      <c r="E2067">
        <f>1840.85</f>
        <v>1840.85</v>
      </c>
      <c r="F2067">
        <f>1856</f>
        <v>1856</v>
      </c>
      <c r="G2067">
        <f>8097.857</f>
        <v>8097.857</v>
      </c>
      <c r="H2067">
        <f>2618.17</f>
        <v>2618.17</v>
      </c>
      <c r="I2067">
        <f>8870.728</f>
        <v>8870.7279999999992</v>
      </c>
      <c r="J2067">
        <f>2761.8</f>
        <v>2761.8</v>
      </c>
      <c r="K2067">
        <f>8154.46</f>
        <v>8154.46</v>
      </c>
      <c r="L2067">
        <f>1594.57</f>
        <v>1594.57</v>
      </c>
      <c r="M2067">
        <f>6670.33</f>
        <v>6670.33</v>
      </c>
      <c r="N2067">
        <f>321.818</f>
        <v>321.81799999999998</v>
      </c>
      <c r="O2067">
        <f>2743.32</f>
        <v>2743.32</v>
      </c>
      <c r="P2067">
        <f>210.2</f>
        <v>210.2</v>
      </c>
      <c r="Q2067">
        <f>1829.17</f>
        <v>1829.17</v>
      </c>
      <c r="R2067">
        <f>3904.21</f>
        <v>3904.21</v>
      </c>
      <c r="S2067">
        <f>2257.54</f>
        <v>2257.54</v>
      </c>
      <c r="T2067">
        <f>3553.161</f>
        <v>3553.1610000000001</v>
      </c>
      <c r="U2067">
        <f>51598.54</f>
        <v>51598.54</v>
      </c>
      <c r="V2067">
        <f>322.17</f>
        <v>322.17</v>
      </c>
    </row>
    <row r="2068" spans="1:22" x14ac:dyDescent="0.2">
      <c r="A2068" s="1">
        <v>42213</v>
      </c>
      <c r="B2068">
        <f>2949.07</f>
        <v>2949.07</v>
      </c>
      <c r="C2068">
        <f>8392.33</f>
        <v>8392.33</v>
      </c>
      <c r="D2068">
        <f>5053.81</f>
        <v>5053.8100000000004</v>
      </c>
      <c r="E2068">
        <f>1822.479</f>
        <v>1822.479</v>
      </c>
      <c r="F2068">
        <f>1812.77</f>
        <v>1812.77</v>
      </c>
      <c r="G2068">
        <f>7968.392</f>
        <v>7968.3919999999998</v>
      </c>
      <c r="H2068">
        <f>2606.22</f>
        <v>2606.2199999999998</v>
      </c>
      <c r="I2068">
        <f>8810.829</f>
        <v>8810.8289999999997</v>
      </c>
      <c r="J2068">
        <f>2740.96</f>
        <v>2740.96</v>
      </c>
      <c r="K2068">
        <f>8094.03</f>
        <v>8094.03</v>
      </c>
      <c r="L2068">
        <f>1578.09</f>
        <v>1578.09</v>
      </c>
      <c r="M2068">
        <f>6618</f>
        <v>6618</v>
      </c>
      <c r="N2068">
        <f>318.508</f>
        <v>318.50799999999998</v>
      </c>
      <c r="O2068">
        <f>2717.28</f>
        <v>2717.28</v>
      </c>
      <c r="P2068">
        <f>207.87</f>
        <v>207.87</v>
      </c>
      <c r="Q2068">
        <f>1812.862</f>
        <v>1812.8620000000001</v>
      </c>
      <c r="R2068">
        <f>3875.37</f>
        <v>3875.37</v>
      </c>
      <c r="S2068">
        <f>2251.25</f>
        <v>2251.25</v>
      </c>
      <c r="T2068">
        <f>3498.118</f>
        <v>3498.1179999999999</v>
      </c>
      <c r="U2068">
        <f>50758.42</f>
        <v>50758.42</v>
      </c>
      <c r="V2068">
        <f>318.32</f>
        <v>318.32</v>
      </c>
    </row>
    <row r="2069" spans="1:22" x14ac:dyDescent="0.2">
      <c r="A2069" s="1">
        <v>42212</v>
      </c>
      <c r="B2069">
        <f>2933.67</f>
        <v>2933.67</v>
      </c>
      <c r="C2069">
        <f>8416.36</f>
        <v>8416.36</v>
      </c>
      <c r="D2069">
        <f>5015.14</f>
        <v>5015.1400000000003</v>
      </c>
      <c r="E2069">
        <f>1825.094</f>
        <v>1825.0940000000001</v>
      </c>
      <c r="F2069">
        <f>1807.42</f>
        <v>1807.42</v>
      </c>
      <c r="G2069">
        <f>7904.328</f>
        <v>7904.3280000000004</v>
      </c>
      <c r="H2069">
        <f>2635.93</f>
        <v>2635.93</v>
      </c>
      <c r="I2069">
        <f>8783.341</f>
        <v>8783.3410000000003</v>
      </c>
      <c r="J2069">
        <f>2705.96</f>
        <v>2705.96</v>
      </c>
      <c r="K2069">
        <f>7995.2</f>
        <v>7995.2</v>
      </c>
      <c r="L2069">
        <f>1565.74</f>
        <v>1565.74</v>
      </c>
      <c r="M2069">
        <f>6566.9</f>
        <v>6566.9</v>
      </c>
      <c r="N2069">
        <f>314.876</f>
        <v>314.87599999999998</v>
      </c>
      <c r="O2069">
        <f>2687.16</f>
        <v>2687.16</v>
      </c>
      <c r="P2069">
        <f>208.28</f>
        <v>208.28</v>
      </c>
      <c r="Q2069">
        <f>1787.34</f>
        <v>1787.34</v>
      </c>
      <c r="R2069">
        <f>3827.93</f>
        <v>3827.93</v>
      </c>
      <c r="S2069">
        <f>2262.9</f>
        <v>2262.9</v>
      </c>
      <c r="T2069">
        <f>3554.563</f>
        <v>3554.5630000000001</v>
      </c>
      <c r="U2069">
        <f>51301.55</f>
        <v>51301.55</v>
      </c>
      <c r="V2069">
        <f>322</f>
        <v>322</v>
      </c>
    </row>
    <row r="2070" spans="1:22" x14ac:dyDescent="0.2">
      <c r="A2070" s="1">
        <v>42209</v>
      </c>
      <c r="B2070">
        <f>2973.7</f>
        <v>2973.7</v>
      </c>
      <c r="C2070">
        <f>8576.35</f>
        <v>8576.35</v>
      </c>
      <c r="D2070">
        <f>5072.72</f>
        <v>5072.72</v>
      </c>
      <c r="E2070">
        <f>1861.268</f>
        <v>1861.268</v>
      </c>
      <c r="F2070">
        <f>1813.16</f>
        <v>1813.16</v>
      </c>
      <c r="G2070">
        <f>7957.936</f>
        <v>7957.9359999999997</v>
      </c>
      <c r="H2070">
        <f>2640</f>
        <v>2640</v>
      </c>
      <c r="I2070">
        <f>8881.758</f>
        <v>8881.7579999999998</v>
      </c>
      <c r="J2070">
        <f>2715.42</f>
        <v>2715.42</v>
      </c>
      <c r="K2070">
        <f>8045.28</f>
        <v>8045.28</v>
      </c>
      <c r="L2070">
        <f>1572.88</f>
        <v>1572.88</v>
      </c>
      <c r="M2070">
        <f>6611.96</f>
        <v>6611.96</v>
      </c>
      <c r="N2070">
        <f>320.75</f>
        <v>320.75</v>
      </c>
      <c r="O2070">
        <f>2747.14</f>
        <v>2747.14</v>
      </c>
      <c r="P2070">
        <f>211.13</f>
        <v>211.13</v>
      </c>
      <c r="Q2070">
        <f>1794.33</f>
        <v>1794.33</v>
      </c>
      <c r="R2070">
        <f>3850.15</f>
        <v>3850.15</v>
      </c>
      <c r="S2070">
        <f>2287.71</f>
        <v>2287.71</v>
      </c>
      <c r="T2070">
        <f>3551.717</f>
        <v>3551.7170000000001</v>
      </c>
      <c r="U2070">
        <f>51356.08</f>
        <v>51356.08</v>
      </c>
      <c r="V2070">
        <f>321.45</f>
        <v>321.45</v>
      </c>
    </row>
    <row r="2071" spans="1:22" x14ac:dyDescent="0.2">
      <c r="A2071" s="1">
        <v>42208</v>
      </c>
      <c r="B2071">
        <f>3003.27</f>
        <v>3003.27</v>
      </c>
      <c r="C2071">
        <f>8725.04</f>
        <v>8725.0400000000009</v>
      </c>
      <c r="D2071">
        <f>5130.69</f>
        <v>5130.6899999999996</v>
      </c>
      <c r="E2071">
        <f>1887.987</f>
        <v>1887.9870000000001</v>
      </c>
      <c r="F2071">
        <f>1836.23</f>
        <v>1836.23</v>
      </c>
      <c r="G2071">
        <f>8062.587</f>
        <v>8062.5870000000004</v>
      </c>
      <c r="H2071">
        <f>2653.22</f>
        <v>2653.22</v>
      </c>
      <c r="I2071">
        <f>8961.334</f>
        <v>8961.3340000000007</v>
      </c>
      <c r="J2071">
        <f>2742.73</f>
        <v>2742.73</v>
      </c>
      <c r="K2071">
        <f>8130.62</f>
        <v>8130.62</v>
      </c>
      <c r="L2071">
        <f>1588.8</f>
        <v>1588.8</v>
      </c>
      <c r="M2071">
        <f>6677.44</f>
        <v>6677.44</v>
      </c>
      <c r="N2071">
        <f>324.954</f>
        <v>324.95400000000001</v>
      </c>
      <c r="O2071">
        <f>2775.67</f>
        <v>2775.67</v>
      </c>
      <c r="P2071">
        <f>211.54</f>
        <v>211.54</v>
      </c>
      <c r="Q2071">
        <f>1808.4</f>
        <v>1808.4</v>
      </c>
      <c r="R2071">
        <f>3891.79</f>
        <v>3891.79</v>
      </c>
      <c r="S2071">
        <f>2300.17</f>
        <v>2300.17</v>
      </c>
      <c r="T2071">
        <f>3608.688</f>
        <v>3608.6880000000001</v>
      </c>
      <c r="U2071">
        <f>52237.02</f>
        <v>52237.02</v>
      </c>
      <c r="V2071">
        <f>330.06</f>
        <v>330.06</v>
      </c>
    </row>
    <row r="2072" spans="1:22" x14ac:dyDescent="0.2">
      <c r="A2072" s="1">
        <v>42207</v>
      </c>
      <c r="B2072">
        <f>3012.67</f>
        <v>3012.67</v>
      </c>
      <c r="C2072">
        <f>8762.33</f>
        <v>8762.33</v>
      </c>
      <c r="D2072">
        <f>5138.36</f>
        <v>5138.3599999999997</v>
      </c>
      <c r="E2072">
        <f>1903.087</f>
        <v>1903.087</v>
      </c>
      <c r="F2072">
        <f>1855.33</f>
        <v>1855.33</v>
      </c>
      <c r="G2072">
        <f>8132.999</f>
        <v>8132.9989999999998</v>
      </c>
      <c r="H2072">
        <f>2644.19</f>
        <v>2644.19</v>
      </c>
      <c r="I2072">
        <f>8892.261</f>
        <v>8892.2610000000004</v>
      </c>
      <c r="J2072">
        <f>2751.88</f>
        <v>2751.88</v>
      </c>
      <c r="K2072">
        <f>8175.3</f>
        <v>8175.3</v>
      </c>
      <c r="L2072">
        <f>1590.48</f>
        <v>1590.48</v>
      </c>
      <c r="M2072">
        <f>6691.39</f>
        <v>6691.39</v>
      </c>
      <c r="N2072">
        <f>327.583</f>
        <v>327.58300000000003</v>
      </c>
      <c r="O2072">
        <f>2789.11</f>
        <v>2789.11</v>
      </c>
      <c r="P2072">
        <f>210.03</f>
        <v>210.03</v>
      </c>
      <c r="Q2072">
        <f>1816.86</f>
        <v>1816.86</v>
      </c>
      <c r="R2072">
        <f>3913.75</f>
        <v>3913.75</v>
      </c>
      <c r="S2072">
        <f>2287.04</f>
        <v>2287.04</v>
      </c>
      <c r="T2072">
        <f>3604.717</f>
        <v>3604.7170000000001</v>
      </c>
      <c r="U2072">
        <f>51977.56</f>
        <v>51977.56</v>
      </c>
      <c r="V2072">
        <f>329.16</f>
        <v>329.16</v>
      </c>
    </row>
    <row r="2073" spans="1:22" x14ac:dyDescent="0.2">
      <c r="A2073" s="1">
        <v>42206</v>
      </c>
      <c r="B2073">
        <f>3049.31</f>
        <v>3049.31</v>
      </c>
      <c r="C2073">
        <f>8853</f>
        <v>8853</v>
      </c>
      <c r="D2073">
        <f>5216.76</f>
        <v>5216.76</v>
      </c>
      <c r="E2073">
        <f>1920.744</f>
        <v>1920.7439999999999</v>
      </c>
      <c r="F2073">
        <f>1885.32</f>
        <v>1885.32</v>
      </c>
      <c r="G2073">
        <f>8222.695</f>
        <v>8222.6949999999997</v>
      </c>
      <c r="H2073">
        <f>2666.86</f>
        <v>2666.86</v>
      </c>
      <c r="I2073">
        <f>8980.404</f>
        <v>8980.4040000000005</v>
      </c>
      <c r="J2073">
        <f>2763.4</f>
        <v>2763.4</v>
      </c>
      <c r="K2073">
        <f>8194.5</f>
        <v>8194.5</v>
      </c>
      <c r="L2073">
        <f>1603.12</f>
        <v>1603.12</v>
      </c>
      <c r="M2073">
        <f>6733.53</f>
        <v>6733.53</v>
      </c>
      <c r="N2073">
        <f>329.41</f>
        <v>329.41</v>
      </c>
      <c r="O2073">
        <f>2806.54</f>
        <v>2806.54</v>
      </c>
      <c r="P2073">
        <f>211.86</f>
        <v>211.86</v>
      </c>
      <c r="Q2073">
        <f>1813.19</f>
        <v>1813.19</v>
      </c>
      <c r="R2073">
        <f>3922.7</f>
        <v>3922.7</v>
      </c>
      <c r="S2073">
        <f>2312.61</f>
        <v>2312.61</v>
      </c>
      <c r="T2073">
        <f>3664.449</f>
        <v>3664.4490000000001</v>
      </c>
      <c r="U2073">
        <f>52901.42</f>
        <v>52901.42</v>
      </c>
      <c r="V2073">
        <f>334.48</f>
        <v>334.48</v>
      </c>
    </row>
    <row r="2074" spans="1:22" x14ac:dyDescent="0.2">
      <c r="A2074" s="1">
        <v>42205</v>
      </c>
      <c r="B2074">
        <f>3061.92</f>
        <v>3061.92</v>
      </c>
      <c r="C2074">
        <f>8825.03</f>
        <v>8825.0300000000007</v>
      </c>
      <c r="D2074">
        <f>5231.88</f>
        <v>5231.88</v>
      </c>
      <c r="E2074">
        <f>1911.723</f>
        <v>1911.723</v>
      </c>
      <c r="F2074">
        <f>1894.2</f>
        <v>1894.2</v>
      </c>
      <c r="G2074">
        <f>8258.45</f>
        <v>8258.4500000000007</v>
      </c>
      <c r="H2074">
        <f>2651.35</f>
        <v>2651.35</v>
      </c>
      <c r="I2074">
        <f>9010.813</f>
        <v>9010.8130000000001</v>
      </c>
      <c r="J2074">
        <f>2779.61</f>
        <v>2779.61</v>
      </c>
      <c r="K2074">
        <f>8231.37</f>
        <v>8231.3700000000008</v>
      </c>
      <c r="L2074">
        <f>1608.09</f>
        <v>1608.09</v>
      </c>
      <c r="M2074">
        <f>6749.77</f>
        <v>6749.77</v>
      </c>
      <c r="N2074">
        <f>333.449</f>
        <v>333.44900000000001</v>
      </c>
      <c r="O2074">
        <f>2837.65</f>
        <v>2837.65</v>
      </c>
      <c r="P2074" t="e">
        <f>NA()</f>
        <v>#N/A</v>
      </c>
      <c r="Q2074">
        <f>1823.9</f>
        <v>1823.9</v>
      </c>
      <c r="R2074">
        <f>3939.35</f>
        <v>3939.35</v>
      </c>
      <c r="S2074" t="e">
        <f>NA()</f>
        <v>#N/A</v>
      </c>
      <c r="T2074">
        <f>3663.408</f>
        <v>3663.4079999999999</v>
      </c>
      <c r="U2074">
        <f>52988.32</f>
        <v>52988.32</v>
      </c>
      <c r="V2074">
        <f>334.1</f>
        <v>334.1</v>
      </c>
    </row>
    <row r="2075" spans="1:22" x14ac:dyDescent="0.2">
      <c r="A2075" s="1">
        <v>42202</v>
      </c>
      <c r="B2075">
        <f>3054.18</f>
        <v>3054.18</v>
      </c>
      <c r="C2075">
        <f>8887.95</f>
        <v>8887.9500000000007</v>
      </c>
      <c r="D2075">
        <f>5221.4</f>
        <v>5221.3999999999996</v>
      </c>
      <c r="E2075">
        <f>1924.399</f>
        <v>1924.3989999999999</v>
      </c>
      <c r="F2075">
        <f>1895.47</f>
        <v>1895.47</v>
      </c>
      <c r="G2075">
        <f>8268.494</f>
        <v>8268.4940000000006</v>
      </c>
      <c r="H2075">
        <f>2657.55</f>
        <v>2657.55</v>
      </c>
      <c r="I2075">
        <f>8958.296</f>
        <v>8958.2960000000003</v>
      </c>
      <c r="J2075">
        <f>2781.34</f>
        <v>2781.34</v>
      </c>
      <c r="K2075">
        <f>8225.12</f>
        <v>8225.1200000000008</v>
      </c>
      <c r="L2075">
        <f>1608.55</f>
        <v>1608.55</v>
      </c>
      <c r="M2075">
        <f>6744.52</f>
        <v>6744.52</v>
      </c>
      <c r="N2075">
        <f>333.161</f>
        <v>333.161</v>
      </c>
      <c r="O2075">
        <f>2828.2</f>
        <v>2828.2</v>
      </c>
      <c r="P2075">
        <f>209.99</f>
        <v>209.99</v>
      </c>
      <c r="Q2075">
        <f>1822.91</f>
        <v>1822.91</v>
      </c>
      <c r="R2075">
        <f>3936.22</f>
        <v>3936.22</v>
      </c>
      <c r="S2075">
        <f>2297.5</f>
        <v>2297.5</v>
      </c>
      <c r="T2075">
        <f>3630.762</f>
        <v>3630.7620000000002</v>
      </c>
      <c r="U2075">
        <f>52723.72</f>
        <v>52723.72</v>
      </c>
      <c r="V2075">
        <f>335.72</f>
        <v>335.72</v>
      </c>
    </row>
    <row r="2076" spans="1:22" x14ac:dyDescent="0.2">
      <c r="A2076" s="1">
        <v>42201</v>
      </c>
      <c r="B2076">
        <f>3065.5</f>
        <v>3065.5</v>
      </c>
      <c r="C2076">
        <f>8908.75</f>
        <v>8908.75</v>
      </c>
      <c r="D2076">
        <f>5237.86</f>
        <v>5237.8599999999997</v>
      </c>
      <c r="E2076">
        <f>1924.396</f>
        <v>1924.396</v>
      </c>
      <c r="F2076">
        <f>1900.9</f>
        <v>1900.9</v>
      </c>
      <c r="G2076">
        <f>8271.969</f>
        <v>8271.9689999999991</v>
      </c>
      <c r="H2076">
        <f>2659.08</f>
        <v>2659.08</v>
      </c>
      <c r="I2076">
        <f>9012.602</f>
        <v>9012.6020000000008</v>
      </c>
      <c r="J2076">
        <f>2793.06</f>
        <v>2793.06</v>
      </c>
      <c r="K2076">
        <f>8216.47</f>
        <v>8216.4699999999993</v>
      </c>
      <c r="L2076">
        <f>1616.29</f>
        <v>1616.29</v>
      </c>
      <c r="M2076">
        <f>6748.62</f>
        <v>6748.62</v>
      </c>
      <c r="N2076">
        <f>332.266</f>
        <v>332.26600000000002</v>
      </c>
      <c r="O2076">
        <f>2828.67</f>
        <v>2828.67</v>
      </c>
      <c r="P2076">
        <f>210.5</f>
        <v>210.5</v>
      </c>
      <c r="Q2076">
        <f>1830.1</f>
        <v>1830.1</v>
      </c>
      <c r="R2076">
        <f>3931.85</f>
        <v>3931.85</v>
      </c>
      <c r="S2076">
        <f>2294.58</f>
        <v>2294.58</v>
      </c>
      <c r="T2076">
        <f>3615.884</f>
        <v>3615.884</v>
      </c>
      <c r="U2076">
        <f>52849.12</f>
        <v>52849.120000000003</v>
      </c>
      <c r="V2076">
        <f>335.85</f>
        <v>335.85</v>
      </c>
    </row>
    <row r="2077" spans="1:22" x14ac:dyDescent="0.2">
      <c r="A2077" s="1">
        <v>42200</v>
      </c>
      <c r="B2077">
        <f>3042.95</f>
        <v>3042.95</v>
      </c>
      <c r="C2077">
        <f>8868.94</f>
        <v>8868.94</v>
      </c>
      <c r="D2077">
        <f>5204.96</f>
        <v>5204.96</v>
      </c>
      <c r="E2077">
        <f>1916.279</f>
        <v>1916.279</v>
      </c>
      <c r="F2077">
        <f>1893.48</f>
        <v>1893.48</v>
      </c>
      <c r="G2077">
        <f>8232.34</f>
        <v>8232.34</v>
      </c>
      <c r="H2077">
        <f>2637.26</f>
        <v>2637.26</v>
      </c>
      <c r="I2077">
        <f>8918.791</f>
        <v>8918.7909999999993</v>
      </c>
      <c r="J2077">
        <f>2770.46</f>
        <v>2770.46</v>
      </c>
      <c r="K2077">
        <f>8152.42</f>
        <v>8152.42</v>
      </c>
      <c r="L2077">
        <f>1604</f>
        <v>1604</v>
      </c>
      <c r="M2077">
        <f>6696.16</f>
        <v>6696.16</v>
      </c>
      <c r="N2077">
        <f>327.616</f>
        <v>327.61599999999999</v>
      </c>
      <c r="O2077">
        <f>2789.73</f>
        <v>2789.73</v>
      </c>
      <c r="P2077">
        <f>208.85</f>
        <v>208.85</v>
      </c>
      <c r="Q2077">
        <f>1823.94</f>
        <v>1823.94</v>
      </c>
      <c r="R2077">
        <f>3900.5</f>
        <v>3900.5</v>
      </c>
      <c r="S2077">
        <f>2274.66</f>
        <v>2274.66</v>
      </c>
      <c r="T2077">
        <f>3594.513</f>
        <v>3594.5129999999999</v>
      </c>
      <c r="U2077">
        <f>52531.13</f>
        <v>52531.13</v>
      </c>
      <c r="V2077">
        <f>334.65</f>
        <v>334.65</v>
      </c>
    </row>
    <row r="2078" spans="1:22" x14ac:dyDescent="0.2">
      <c r="A2078" s="1">
        <v>42199</v>
      </c>
      <c r="B2078">
        <f>3033.31</f>
        <v>3033.31</v>
      </c>
      <c r="C2078">
        <f>8866.72</f>
        <v>8866.7199999999993</v>
      </c>
      <c r="D2078">
        <f>5204.95</f>
        <v>5204.95</v>
      </c>
      <c r="E2078">
        <f>1919.908</f>
        <v>1919.9079999999999</v>
      </c>
      <c r="F2078">
        <f>1887.74</f>
        <v>1887.74</v>
      </c>
      <c r="G2078">
        <f>8209.56</f>
        <v>8209.56</v>
      </c>
      <c r="H2078">
        <f>2635.38</f>
        <v>2635.38</v>
      </c>
      <c r="I2078">
        <f>8930.224</f>
        <v>8930.2240000000002</v>
      </c>
      <c r="J2078">
        <f>2779.06</f>
        <v>2779.06</v>
      </c>
      <c r="K2078">
        <f>8160.8</f>
        <v>8160.8</v>
      </c>
      <c r="L2078">
        <f>1607.92</f>
        <v>1607.92</v>
      </c>
      <c r="M2078">
        <f>6700.96</f>
        <v>6700.96</v>
      </c>
      <c r="N2078">
        <f>325.286</f>
        <v>325.286</v>
      </c>
      <c r="O2078">
        <f>2777.95</f>
        <v>2777.95</v>
      </c>
      <c r="P2078">
        <f>206.57</f>
        <v>206.57</v>
      </c>
      <c r="Q2078">
        <f>1830.12</f>
        <v>1830.12</v>
      </c>
      <c r="R2078">
        <f>3903.31</f>
        <v>3903.31</v>
      </c>
      <c r="S2078">
        <f>2264.02</f>
        <v>2264.02</v>
      </c>
      <c r="T2078">
        <f>3572.399</f>
        <v>3572.3989999999999</v>
      </c>
      <c r="U2078">
        <f>52109.52</f>
        <v>52109.52</v>
      </c>
      <c r="V2078">
        <f>331.84</f>
        <v>331.84</v>
      </c>
    </row>
    <row r="2079" spans="1:22" x14ac:dyDescent="0.2">
      <c r="A2079" s="1">
        <v>42198</v>
      </c>
      <c r="B2079">
        <f>3035.93</f>
        <v>3035.93</v>
      </c>
      <c r="C2079">
        <f>8876.78</f>
        <v>8876.7800000000007</v>
      </c>
      <c r="D2079">
        <f>5192.78</f>
        <v>5192.78</v>
      </c>
      <c r="E2079">
        <f>1923.756</f>
        <v>1923.7560000000001</v>
      </c>
      <c r="F2079">
        <f>1880.71</f>
        <v>1880.71</v>
      </c>
      <c r="G2079">
        <f>8170.156</f>
        <v>8170.1559999999999</v>
      </c>
      <c r="H2079">
        <f>2599.42</f>
        <v>2599.42</v>
      </c>
      <c r="I2079">
        <f>8896.997</f>
        <v>8896.9969999999994</v>
      </c>
      <c r="J2079">
        <f>2772.12</f>
        <v>2772.12</v>
      </c>
      <c r="K2079">
        <f>8122.03</f>
        <v>8122.03</v>
      </c>
      <c r="L2079">
        <f>1598.75</f>
        <v>1598.75</v>
      </c>
      <c r="M2079">
        <f>6660.31</f>
        <v>6660.31</v>
      </c>
      <c r="N2079">
        <f>323.25</f>
        <v>323.25</v>
      </c>
      <c r="O2079">
        <f>2763.28</f>
        <v>2763.28</v>
      </c>
      <c r="P2079">
        <f>203.91</f>
        <v>203.91</v>
      </c>
      <c r="Q2079">
        <f>1826.55</f>
        <v>1826.55</v>
      </c>
      <c r="R2079">
        <f>3885.97</f>
        <v>3885.97</v>
      </c>
      <c r="S2079">
        <f>2229.2</f>
        <v>2229.1999999999998</v>
      </c>
      <c r="T2079">
        <f>3608.59</f>
        <v>3608.59</v>
      </c>
      <c r="U2079">
        <f>52474.82</f>
        <v>52474.82</v>
      </c>
      <c r="V2079">
        <f>334.05</f>
        <v>334.05</v>
      </c>
    </row>
    <row r="2080" spans="1:22" x14ac:dyDescent="0.2">
      <c r="A2080" s="1">
        <v>42195</v>
      </c>
      <c r="B2080">
        <f>3000.2</f>
        <v>3000.2</v>
      </c>
      <c r="C2080">
        <f>8799.63</f>
        <v>8799.6299999999992</v>
      </c>
      <c r="D2080">
        <f>5143.02</f>
        <v>5143.0200000000004</v>
      </c>
      <c r="E2080">
        <f>1902.484</f>
        <v>1902.4839999999999</v>
      </c>
      <c r="F2080">
        <f>1857.4</f>
        <v>1857.4</v>
      </c>
      <c r="G2080">
        <f>8082.641</f>
        <v>8082.6409999999996</v>
      </c>
      <c r="H2080">
        <f>2565.91</f>
        <v>2565.91</v>
      </c>
      <c r="I2080">
        <f>8881.071</f>
        <v>8881.0709999999999</v>
      </c>
      <c r="J2080">
        <f>2748.01</f>
        <v>2748.01</v>
      </c>
      <c r="K2080">
        <f>8033.35</f>
        <v>8033.35</v>
      </c>
      <c r="L2080">
        <f>1590.09</f>
        <v>1590.09</v>
      </c>
      <c r="M2080">
        <f>6601.78</f>
        <v>6601.78</v>
      </c>
      <c r="N2080">
        <f>316.916</f>
        <v>316.916</v>
      </c>
      <c r="O2080">
        <f>2712.89</f>
        <v>2712.89</v>
      </c>
      <c r="P2080">
        <f>200.27</f>
        <v>200.27</v>
      </c>
      <c r="Q2080">
        <f>1810.2</f>
        <v>1810.2</v>
      </c>
      <c r="R2080">
        <f>3843.1</f>
        <v>3843.1</v>
      </c>
      <c r="S2080">
        <f>2187.82</f>
        <v>2187.8200000000002</v>
      </c>
      <c r="T2080">
        <f>3594.547</f>
        <v>3594.547</v>
      </c>
      <c r="U2080">
        <f>51800.7</f>
        <v>51800.7</v>
      </c>
      <c r="V2080">
        <f>331.88</f>
        <v>331.88</v>
      </c>
    </row>
    <row r="2081" spans="1:22" x14ac:dyDescent="0.2">
      <c r="A2081" s="1">
        <v>42194</v>
      </c>
      <c r="B2081">
        <f>2954.39</f>
        <v>2954.39</v>
      </c>
      <c r="C2081">
        <f>8681.74</f>
        <v>8681.74</v>
      </c>
      <c r="D2081">
        <f>5072.31</f>
        <v>5072.3100000000004</v>
      </c>
      <c r="E2081">
        <f>1875.796</f>
        <v>1875.796</v>
      </c>
      <c r="F2081">
        <f>1815.67</f>
        <v>1815.67</v>
      </c>
      <c r="G2081">
        <f>7910.945</f>
        <v>7910.9449999999997</v>
      </c>
      <c r="H2081">
        <f>2574.99</f>
        <v>2574.9899999999998</v>
      </c>
      <c r="I2081">
        <f>8565.34</f>
        <v>8565.34</v>
      </c>
      <c r="J2081">
        <f>2720.6</f>
        <v>2720.6</v>
      </c>
      <c r="K2081">
        <f>7936.36</f>
        <v>7936.36</v>
      </c>
      <c r="L2081">
        <f>1563.43</f>
        <v>1563.43</v>
      </c>
      <c r="M2081">
        <f>6503.87</f>
        <v>6503.87</v>
      </c>
      <c r="N2081">
        <f>312.471</f>
        <v>312.471</v>
      </c>
      <c r="O2081">
        <f>2658.03</f>
        <v>2658.03</v>
      </c>
      <c r="P2081">
        <f>199.46</f>
        <v>199.46</v>
      </c>
      <c r="Q2081">
        <f>1793.08</f>
        <v>1793.08</v>
      </c>
      <c r="R2081">
        <f>3796.26</f>
        <v>3796.26</v>
      </c>
      <c r="S2081">
        <f>2182.75</f>
        <v>2182.75</v>
      </c>
      <c r="T2081">
        <f>3586.177</f>
        <v>3586.1770000000001</v>
      </c>
      <c r="U2081">
        <f>51452.36</f>
        <v>51452.36</v>
      </c>
      <c r="V2081">
        <f>329.26</f>
        <v>329.26</v>
      </c>
    </row>
    <row r="2082" spans="1:22" x14ac:dyDescent="0.2">
      <c r="A2082" s="1">
        <v>42193</v>
      </c>
      <c r="B2082">
        <f>2919.02</f>
        <v>2919.02</v>
      </c>
      <c r="C2082">
        <f>8590.55</f>
        <v>8590.5499999999993</v>
      </c>
      <c r="D2082">
        <f>5001.78</f>
        <v>5001.78</v>
      </c>
      <c r="E2082">
        <f>1844.43</f>
        <v>1844.43</v>
      </c>
      <c r="F2082">
        <f>1787.05</f>
        <v>1787.05</v>
      </c>
      <c r="G2082">
        <f>7787.193</f>
        <v>7787.1930000000002</v>
      </c>
      <c r="H2082">
        <f>2584.03</f>
        <v>2584.0300000000002</v>
      </c>
      <c r="I2082">
        <f>8379.915</f>
        <v>8379.9150000000009</v>
      </c>
      <c r="J2082">
        <f>2722.04</f>
        <v>2722.04</v>
      </c>
      <c r="K2082">
        <f>7918</f>
        <v>7918</v>
      </c>
      <c r="L2082">
        <f>1553.56</f>
        <v>1553.56</v>
      </c>
      <c r="M2082">
        <f>6463.65</f>
        <v>6463.65</v>
      </c>
      <c r="N2082">
        <f>306.224</f>
        <v>306.22399999999999</v>
      </c>
      <c r="O2082">
        <f>2600.67</f>
        <v>2600.67</v>
      </c>
      <c r="P2082">
        <f>200.62</f>
        <v>200.62</v>
      </c>
      <c r="Q2082">
        <f>1791.37</f>
        <v>1791.37</v>
      </c>
      <c r="R2082">
        <f>3787.67</f>
        <v>3787.67</v>
      </c>
      <c r="S2082">
        <f>2186.34</f>
        <v>2186.34</v>
      </c>
      <c r="T2082">
        <f>3537.933</f>
        <v>3537.933</v>
      </c>
      <c r="U2082">
        <f>50235.76</f>
        <v>50235.76</v>
      </c>
      <c r="V2082">
        <f>321.53</f>
        <v>321.52999999999997</v>
      </c>
    </row>
    <row r="2083" spans="1:22" x14ac:dyDescent="0.2">
      <c r="A2083" s="1">
        <v>42192</v>
      </c>
      <c r="B2083">
        <f>2913.26</f>
        <v>2913.26</v>
      </c>
      <c r="C2083">
        <f>8825.15</f>
        <v>8825.15</v>
      </c>
      <c r="D2083">
        <f>4956.71</f>
        <v>4956.71</v>
      </c>
      <c r="E2083">
        <f>1896.782</f>
        <v>1896.7819999999999</v>
      </c>
      <c r="F2083">
        <f>1777.26</f>
        <v>1777.26</v>
      </c>
      <c r="G2083">
        <f>7751.149</f>
        <v>7751.1490000000003</v>
      </c>
      <c r="H2083">
        <f>2643.66</f>
        <v>2643.66</v>
      </c>
      <c r="I2083">
        <f>8239.924</f>
        <v>8239.9240000000009</v>
      </c>
      <c r="J2083">
        <f>2755.83</f>
        <v>2755.83</v>
      </c>
      <c r="K2083">
        <f>8051.89</f>
        <v>8051.89</v>
      </c>
      <c r="L2083">
        <f>1558.52</f>
        <v>1558.52</v>
      </c>
      <c r="M2083">
        <f>6530.93</f>
        <v>6530.93</v>
      </c>
      <c r="N2083">
        <f>306.7</f>
        <v>306.7</v>
      </c>
      <c r="O2083">
        <f>2597.17</f>
        <v>2597.17</v>
      </c>
      <c r="P2083">
        <f>206.57</f>
        <v>206.57</v>
      </c>
      <c r="Q2083">
        <f>1814.95</f>
        <v>1814.95</v>
      </c>
      <c r="R2083">
        <f>3850.66</f>
        <v>3850.66</v>
      </c>
      <c r="S2083">
        <f>2261.97</f>
        <v>2261.9699999999998</v>
      </c>
      <c r="T2083">
        <f>3514.451</f>
        <v>3514.451</v>
      </c>
      <c r="U2083">
        <f>49997.79</f>
        <v>49997.79</v>
      </c>
      <c r="V2083">
        <f>321.35</f>
        <v>321.35000000000002</v>
      </c>
    </row>
    <row r="2084" spans="1:22" x14ac:dyDescent="0.2">
      <c r="A2084" s="1">
        <v>42191</v>
      </c>
      <c r="B2084">
        <f>2960.06</f>
        <v>2960.06</v>
      </c>
      <c r="C2084">
        <f>8999.42</f>
        <v>8999.42</v>
      </c>
      <c r="D2084">
        <f>5036.44</f>
        <v>5036.4399999999996</v>
      </c>
      <c r="E2084">
        <f>1923.584</f>
        <v>1923.5840000000001</v>
      </c>
      <c r="F2084">
        <f>1829.47</f>
        <v>1829.47</v>
      </c>
      <c r="G2084">
        <f>7970.595</f>
        <v>7970.5950000000003</v>
      </c>
      <c r="H2084">
        <f>2615.68</f>
        <v>2615.6799999999998</v>
      </c>
      <c r="I2084">
        <f>8481.374</f>
        <v>8481.3739999999998</v>
      </c>
      <c r="J2084">
        <f>2727.16</f>
        <v>2727.16</v>
      </c>
      <c r="K2084">
        <f>8004.55</f>
        <v>8004.55</v>
      </c>
      <c r="L2084">
        <f>1565.97</f>
        <v>1565.97</v>
      </c>
      <c r="M2084">
        <f>6548</f>
        <v>6548</v>
      </c>
      <c r="N2084">
        <f>310.373</f>
        <v>310.37299999999999</v>
      </c>
      <c r="O2084">
        <f>2639.72</f>
        <v>2639.72</v>
      </c>
      <c r="P2084">
        <f>203.55</f>
        <v>203.55</v>
      </c>
      <c r="Q2084">
        <f>1798.77</f>
        <v>1798.77</v>
      </c>
      <c r="R2084">
        <f>3827.35</f>
        <v>3827.35</v>
      </c>
      <c r="S2084">
        <f>2238.66</f>
        <v>2238.66</v>
      </c>
      <c r="T2084">
        <f>3613.49</f>
        <v>3613.49</v>
      </c>
      <c r="U2084">
        <f>51381.22</f>
        <v>51381.22</v>
      </c>
      <c r="V2084">
        <f>331.11</f>
        <v>331.11</v>
      </c>
    </row>
    <row r="2085" spans="1:22" x14ac:dyDescent="0.2">
      <c r="A2085" s="1">
        <v>42188</v>
      </c>
      <c r="B2085">
        <f>2984.44</f>
        <v>2984.44</v>
      </c>
      <c r="C2085">
        <f>9159.58</f>
        <v>9159.58</v>
      </c>
      <c r="D2085">
        <f>5075.05</f>
        <v>5075.05</v>
      </c>
      <c r="E2085">
        <f>1965.864</f>
        <v>1965.864</v>
      </c>
      <c r="F2085">
        <f>1838.93</f>
        <v>1838.93</v>
      </c>
      <c r="G2085">
        <f>8032.763</f>
        <v>8032.7629999999999</v>
      </c>
      <c r="H2085">
        <f>2654.16</f>
        <v>2654.16</v>
      </c>
      <c r="I2085">
        <f>8635.933</f>
        <v>8635.9330000000009</v>
      </c>
      <c r="J2085">
        <f>2735.79</f>
        <v>2735.79</v>
      </c>
      <c r="K2085">
        <f>8035.26</f>
        <v>8035.26</v>
      </c>
      <c r="L2085">
        <f>1577.41</f>
        <v>1577.41</v>
      </c>
      <c r="M2085">
        <f>6604.56</f>
        <v>6604.56</v>
      </c>
      <c r="N2085">
        <f>311.399</f>
        <v>311.399</v>
      </c>
      <c r="O2085">
        <f>2671.31</f>
        <v>2671.31</v>
      </c>
      <c r="P2085">
        <f>206.5</f>
        <v>206.5</v>
      </c>
      <c r="Q2085" t="e">
        <f>NA()</f>
        <v>#N/A</v>
      </c>
      <c r="R2085" t="e">
        <f>NA()</f>
        <v>#N/A</v>
      </c>
      <c r="S2085">
        <f>2282.51</f>
        <v>2282.5100000000002</v>
      </c>
      <c r="T2085">
        <f>3634.111</f>
        <v>3634.1109999999999</v>
      </c>
      <c r="U2085">
        <f>51967.08</f>
        <v>51967.08</v>
      </c>
      <c r="V2085">
        <f>332.71</f>
        <v>332.71</v>
      </c>
    </row>
    <row r="2086" spans="1:22" x14ac:dyDescent="0.2">
      <c r="A2086" s="1">
        <v>42187</v>
      </c>
      <c r="B2086">
        <f>3005.8</f>
        <v>3005.8</v>
      </c>
      <c r="C2086">
        <f>9203.25</f>
        <v>9203.25</v>
      </c>
      <c r="D2086">
        <f>5109.49</f>
        <v>5109.49</v>
      </c>
      <c r="E2086">
        <f>1980.272</f>
        <v>1980.2719999999999</v>
      </c>
      <c r="F2086">
        <f>1854.13</f>
        <v>1854.13</v>
      </c>
      <c r="G2086">
        <f>8090.737</f>
        <v>8090.7370000000001</v>
      </c>
      <c r="H2086">
        <f>2637.92</f>
        <v>2637.92</v>
      </c>
      <c r="I2086">
        <f>8679.074</f>
        <v>8679.0740000000005</v>
      </c>
      <c r="J2086">
        <f>2735.79</f>
        <v>2735.79</v>
      </c>
      <c r="K2086">
        <f>8035.26</f>
        <v>8035.26</v>
      </c>
      <c r="L2086">
        <f>1581.79</f>
        <v>1581.79</v>
      </c>
      <c r="M2086">
        <f>6614.83</f>
        <v>6614.83</v>
      </c>
      <c r="N2086">
        <f>313.083</f>
        <v>313.08300000000003</v>
      </c>
      <c r="O2086">
        <f>2688.7</f>
        <v>2688.7</v>
      </c>
      <c r="P2086">
        <f>207.04</f>
        <v>207.04</v>
      </c>
      <c r="Q2086">
        <f>1805.84</f>
        <v>1805.84</v>
      </c>
      <c r="R2086">
        <f>3842.06</f>
        <v>3842.06</v>
      </c>
      <c r="S2086">
        <f>2277.19</f>
        <v>2277.19</v>
      </c>
      <c r="T2086">
        <f>3626.65</f>
        <v>3626.65</v>
      </c>
      <c r="U2086">
        <f>52215.47</f>
        <v>52215.47</v>
      </c>
      <c r="V2086">
        <f>334.9</f>
        <v>334.9</v>
      </c>
    </row>
    <row r="2087" spans="1:22" x14ac:dyDescent="0.2">
      <c r="A2087" s="1">
        <v>42186</v>
      </c>
      <c r="B2087">
        <f>3002.7</f>
        <v>3002.7</v>
      </c>
      <c r="C2087">
        <f>9192.94</f>
        <v>9192.94</v>
      </c>
      <c r="D2087">
        <f>5091.32</f>
        <v>5091.32</v>
      </c>
      <c r="E2087">
        <f>1980.198</f>
        <v>1980.1980000000001</v>
      </c>
      <c r="F2087">
        <f>1848.27</f>
        <v>1848.27</v>
      </c>
      <c r="G2087">
        <f>8072.837</f>
        <v>8072.8370000000004</v>
      </c>
      <c r="H2087">
        <f>2619.46</f>
        <v>2619.46</v>
      </c>
      <c r="I2087">
        <f>8732.381</f>
        <v>8732.3809999999994</v>
      </c>
      <c r="J2087">
        <f>2731.66</f>
        <v>2731.66</v>
      </c>
      <c r="K2087">
        <f>8038.09</f>
        <v>8038.09</v>
      </c>
      <c r="L2087">
        <f>1579.42</f>
        <v>1579.42</v>
      </c>
      <c r="M2087">
        <f>6614.24</f>
        <v>6614.24</v>
      </c>
      <c r="N2087">
        <f>313.683</f>
        <v>313.68299999999999</v>
      </c>
      <c r="O2087">
        <f>2697.24</f>
        <v>2697.24</v>
      </c>
      <c r="P2087">
        <f>205.1</f>
        <v>205.1</v>
      </c>
      <c r="Q2087">
        <f>1808.31</f>
        <v>1808.31</v>
      </c>
      <c r="R2087">
        <f>3843.26</f>
        <v>3843.26</v>
      </c>
      <c r="S2087">
        <f>2260.84</f>
        <v>2260.84</v>
      </c>
      <c r="T2087">
        <f>3623.842</f>
        <v>3623.8420000000001</v>
      </c>
      <c r="U2087">
        <f>51888.04</f>
        <v>51888.04</v>
      </c>
      <c r="V2087">
        <f>333.04</f>
        <v>333.04</v>
      </c>
    </row>
    <row r="2088" spans="1:22" x14ac:dyDescent="0.2">
      <c r="A2088" s="1">
        <v>42185</v>
      </c>
      <c r="B2088">
        <f>2972.21</f>
        <v>2972.21</v>
      </c>
      <c r="C2088">
        <f>9217.46</f>
        <v>9217.4599999999991</v>
      </c>
      <c r="D2088">
        <f>5023.82</f>
        <v>5023.82</v>
      </c>
      <c r="E2088">
        <f>1980.535</f>
        <v>1980.5350000000001</v>
      </c>
      <c r="F2088">
        <f>1834.68</f>
        <v>1834.68</v>
      </c>
      <c r="G2088">
        <f>8016.29</f>
        <v>8016.29</v>
      </c>
      <c r="H2088">
        <f>2639.54</f>
        <v>2639.54</v>
      </c>
      <c r="I2088">
        <f>8618.152</f>
        <v>8618.152</v>
      </c>
      <c r="J2088">
        <f>2713.59</f>
        <v>2713.59</v>
      </c>
      <c r="K2088">
        <f>7981.34</f>
        <v>7981.34</v>
      </c>
      <c r="L2088">
        <f>1571.39</f>
        <v>1571.39</v>
      </c>
      <c r="M2088">
        <f>6569.47</f>
        <v>6569.47</v>
      </c>
      <c r="N2088">
        <f>309.984</f>
        <v>309.98399999999998</v>
      </c>
      <c r="O2088">
        <f>2655.23</f>
        <v>2655.23</v>
      </c>
      <c r="P2088">
        <f>204.21</f>
        <v>204.21</v>
      </c>
      <c r="Q2088">
        <f>1782.61</f>
        <v>1782.61</v>
      </c>
      <c r="R2088">
        <f>3815.85</f>
        <v>3815.85</v>
      </c>
      <c r="S2088">
        <f>2252.53</f>
        <v>2252.5300000000002</v>
      </c>
      <c r="T2088">
        <f>3617.636</f>
        <v>3617.636</v>
      </c>
      <c r="U2088">
        <f>51806.95</f>
        <v>51806.95</v>
      </c>
      <c r="V2088">
        <f>336.56</f>
        <v>336.56</v>
      </c>
    </row>
    <row r="2089" spans="1:22" x14ac:dyDescent="0.2">
      <c r="A2089" s="1">
        <v>42184</v>
      </c>
      <c r="B2089">
        <f>3012.47</f>
        <v>3012.47</v>
      </c>
      <c r="C2089">
        <f>9072.04</f>
        <v>9072.0400000000009</v>
      </c>
      <c r="D2089">
        <f>5100.48</f>
        <v>5100.4799999999996</v>
      </c>
      <c r="E2089">
        <f>1953.647</f>
        <v>1953.6469999999999</v>
      </c>
      <c r="F2089">
        <f>1873.59</f>
        <v>1873.59</v>
      </c>
      <c r="G2089">
        <f>8147.189</f>
        <v>8147.1890000000003</v>
      </c>
      <c r="H2089">
        <f>2621.67</f>
        <v>2621.67</v>
      </c>
      <c r="I2089">
        <f>8733.455</f>
        <v>8733.4549999999999</v>
      </c>
      <c r="J2089">
        <f>2714.36</f>
        <v>2714.36</v>
      </c>
      <c r="K2089">
        <f>7957.08</f>
        <v>7957.08</v>
      </c>
      <c r="L2089">
        <f>1581.01</f>
        <v>1581.01</v>
      </c>
      <c r="M2089">
        <f>6576.77</f>
        <v>6576.77</v>
      </c>
      <c r="N2089">
        <f>314.823</f>
        <v>314.82299999999998</v>
      </c>
      <c r="O2089">
        <f>2691.7</f>
        <v>2691.7</v>
      </c>
      <c r="P2089">
        <f>202.85</f>
        <v>202.85</v>
      </c>
      <c r="Q2089">
        <f>1781.73</f>
        <v>1781.73</v>
      </c>
      <c r="R2089">
        <f>3805.5</f>
        <v>3805.5</v>
      </c>
      <c r="S2089">
        <f>2244.83</f>
        <v>2244.83</v>
      </c>
      <c r="T2089">
        <f>3586.082</f>
        <v>3586.0819999999999</v>
      </c>
      <c r="U2089">
        <f>51999.92</f>
        <v>51999.92</v>
      </c>
      <c r="V2089">
        <f>336.79</f>
        <v>336.79</v>
      </c>
    </row>
    <row r="2090" spans="1:22" x14ac:dyDescent="0.2">
      <c r="A2090" s="1">
        <v>42181</v>
      </c>
      <c r="B2090">
        <f>3069.48</f>
        <v>3069.48</v>
      </c>
      <c r="C2090">
        <f>9200.64</f>
        <v>9200.64</v>
      </c>
      <c r="D2090">
        <f>5203.11</f>
        <v>5203.1099999999997</v>
      </c>
      <c r="E2090">
        <f>1993.25</f>
        <v>1993.25</v>
      </c>
      <c r="F2090">
        <f>1900.68</f>
        <v>1900.68</v>
      </c>
      <c r="G2090">
        <f>8303.369</f>
        <v>8303.3690000000006</v>
      </c>
      <c r="H2090">
        <f>2653.45</f>
        <v>2653.45</v>
      </c>
      <c r="I2090">
        <f>8998.803</f>
        <v>8998.8029999999999</v>
      </c>
      <c r="J2090">
        <f>2762.55</f>
        <v>2762.55</v>
      </c>
      <c r="K2090">
        <f>8126.33</f>
        <v>8126.33</v>
      </c>
      <c r="L2090">
        <f>1611.37</f>
        <v>1611.37</v>
      </c>
      <c r="M2090">
        <f>6722.54</f>
        <v>6722.54</v>
      </c>
      <c r="N2090">
        <f>320.581</f>
        <v>320.58100000000002</v>
      </c>
      <c r="O2090">
        <f>2767.26</f>
        <v>2767.26</v>
      </c>
      <c r="P2090">
        <f>207.3</f>
        <v>207.3</v>
      </c>
      <c r="Q2090">
        <f>1816.12</f>
        <v>1816.12</v>
      </c>
      <c r="R2090">
        <f>3886.21</f>
        <v>3886.21</v>
      </c>
      <c r="S2090">
        <f>2303.15</f>
        <v>2303.15</v>
      </c>
      <c r="T2090">
        <f>3619.972</f>
        <v>3619.9720000000002</v>
      </c>
      <c r="U2090">
        <f>52669.75</f>
        <v>52669.75</v>
      </c>
      <c r="V2090">
        <f>339.35</f>
        <v>339.35</v>
      </c>
    </row>
    <row r="2091" spans="1:22" x14ac:dyDescent="0.2">
      <c r="A2091" s="1">
        <v>42180</v>
      </c>
      <c r="B2091">
        <f>3092.52</f>
        <v>3092.52</v>
      </c>
      <c r="C2091">
        <f>9311.71</f>
        <v>9311.7099999999991</v>
      </c>
      <c r="D2091">
        <f>5244.81</f>
        <v>5244.81</v>
      </c>
      <c r="E2091">
        <f>2008.292</f>
        <v>2008.2919999999999</v>
      </c>
      <c r="F2091">
        <f>1917.54</f>
        <v>1917.54</v>
      </c>
      <c r="G2091">
        <f>8367.114</f>
        <v>8367.1139999999996</v>
      </c>
      <c r="H2091">
        <f>2677.53</f>
        <v>2677.53</v>
      </c>
      <c r="I2091">
        <f>9013.392</f>
        <v>9013.3919999999998</v>
      </c>
      <c r="J2091">
        <f>2762.06</f>
        <v>2762.06</v>
      </c>
      <c r="K2091">
        <f>8129.59</f>
        <v>8129.59</v>
      </c>
      <c r="L2091">
        <f>1616.9</f>
        <v>1616.9</v>
      </c>
      <c r="M2091">
        <f>6740.67</f>
        <v>6740.67</v>
      </c>
      <c r="N2091">
        <f>321.591</f>
        <v>321.59100000000001</v>
      </c>
      <c r="O2091">
        <f>2766.14</f>
        <v>2766.14</v>
      </c>
      <c r="P2091">
        <f>207.22</f>
        <v>207.22</v>
      </c>
      <c r="Q2091">
        <f>1812.16</f>
        <v>1812.16</v>
      </c>
      <c r="R2091">
        <f>3887.04</f>
        <v>3887.04</v>
      </c>
      <c r="S2091">
        <f>2306.58</f>
        <v>2306.58</v>
      </c>
      <c r="T2091">
        <f>3628.889</f>
        <v>3628.8890000000001</v>
      </c>
      <c r="U2091">
        <f>52856.39</f>
        <v>52856.39</v>
      </c>
      <c r="V2091">
        <f>342.03</f>
        <v>342.03</v>
      </c>
    </row>
    <row r="2092" spans="1:22" x14ac:dyDescent="0.2">
      <c r="A2092" s="1">
        <v>42179</v>
      </c>
      <c r="B2092">
        <f>3106.42</f>
        <v>3106.42</v>
      </c>
      <c r="C2092">
        <f>9328.84</f>
        <v>9328.84</v>
      </c>
      <c r="D2092">
        <f>5271.77</f>
        <v>5271.77</v>
      </c>
      <c r="E2092">
        <f>2017.326</f>
        <v>2017.326</v>
      </c>
      <c r="F2092">
        <f>1936.66</f>
        <v>1936.66</v>
      </c>
      <c r="G2092">
        <f>8405.604</f>
        <v>8405.6039999999994</v>
      </c>
      <c r="H2092">
        <f>2683.95</f>
        <v>2683.95</v>
      </c>
      <c r="I2092">
        <f>9020.443</f>
        <v>9020.4429999999993</v>
      </c>
      <c r="J2092">
        <f>2770.1</f>
        <v>2770.1</v>
      </c>
      <c r="K2092">
        <f>8153.24</f>
        <v>8153.24</v>
      </c>
      <c r="L2092">
        <f>1621.73</f>
        <v>1621.73</v>
      </c>
      <c r="M2092">
        <f>6756.01</f>
        <v>6756.01</v>
      </c>
      <c r="N2092">
        <f>322.561</f>
        <v>322.56099999999998</v>
      </c>
      <c r="O2092">
        <f>2772.23</f>
        <v>2772.23</v>
      </c>
      <c r="P2092">
        <f>208.26</f>
        <v>208.26</v>
      </c>
      <c r="Q2092">
        <f>1819.07</f>
        <v>1819.07</v>
      </c>
      <c r="R2092">
        <f>3898.47</f>
        <v>3898.47</v>
      </c>
      <c r="S2092">
        <f>2318.98</f>
        <v>2318.98</v>
      </c>
      <c r="T2092">
        <f>3586.493</f>
        <v>3586.4929999999999</v>
      </c>
      <c r="U2092">
        <f>52783.85</f>
        <v>52783.85</v>
      </c>
      <c r="V2092">
        <f>339.82</f>
        <v>339.82</v>
      </c>
    </row>
    <row r="2093" spans="1:22" x14ac:dyDescent="0.2">
      <c r="A2093" s="1">
        <v>42178</v>
      </c>
      <c r="B2093">
        <f>3107.24</f>
        <v>3107.24</v>
      </c>
      <c r="C2093">
        <f>9293.02</f>
        <v>9293.02</v>
      </c>
      <c r="D2093">
        <f>5264.13</f>
        <v>5264.13</v>
      </c>
      <c r="E2093">
        <f>2011.618</f>
        <v>2011.6179999999999</v>
      </c>
      <c r="F2093">
        <f>1930.25</f>
        <v>1930.25</v>
      </c>
      <c r="G2093">
        <f>8397.563</f>
        <v>8397.5630000000001</v>
      </c>
      <c r="H2093">
        <f>2686.86</f>
        <v>2686.86</v>
      </c>
      <c r="I2093">
        <f>9069.495</f>
        <v>9069.4950000000008</v>
      </c>
      <c r="J2093">
        <f>2789.38</f>
        <v>2789.38</v>
      </c>
      <c r="K2093">
        <f>8215.89</f>
        <v>8215.89</v>
      </c>
      <c r="L2093">
        <f>1629.26</f>
        <v>1629.26</v>
      </c>
      <c r="M2093">
        <f>6794.78</f>
        <v>6794.78</v>
      </c>
      <c r="N2093">
        <f>324.908</f>
        <v>324.90800000000002</v>
      </c>
      <c r="O2093">
        <f>2783.76</f>
        <v>2783.76</v>
      </c>
      <c r="P2093">
        <f>207.24</f>
        <v>207.24</v>
      </c>
      <c r="Q2093">
        <f>1829.91</f>
        <v>1829.91</v>
      </c>
      <c r="R2093">
        <f>3927.23</f>
        <v>3927.23</v>
      </c>
      <c r="S2093">
        <f>2314.16</f>
        <v>2314.16</v>
      </c>
      <c r="T2093">
        <f>3598.164</f>
        <v>3598.1640000000002</v>
      </c>
      <c r="U2093">
        <f>52592</f>
        <v>52592</v>
      </c>
      <c r="V2093">
        <f>340.7</f>
        <v>340.7</v>
      </c>
    </row>
    <row r="2094" spans="1:22" x14ac:dyDescent="0.2">
      <c r="A2094" s="1">
        <v>42177</v>
      </c>
      <c r="B2094">
        <f>3090.1</f>
        <v>3090.1</v>
      </c>
      <c r="C2094">
        <f>9252.85</f>
        <v>9252.85</v>
      </c>
      <c r="D2094">
        <f>5257.04</f>
        <v>5257.04</v>
      </c>
      <c r="E2094">
        <f>2002.528</f>
        <v>2002.528</v>
      </c>
      <c r="F2094">
        <f>1940.17</f>
        <v>1940.17</v>
      </c>
      <c r="G2094">
        <f>8433.142</f>
        <v>8433.1419999999998</v>
      </c>
      <c r="H2094">
        <f>2664.53</f>
        <v>2664.53</v>
      </c>
      <c r="I2094">
        <f>9151.952</f>
        <v>9151.9519999999993</v>
      </c>
      <c r="J2094">
        <f>2794.58</f>
        <v>2794.58</v>
      </c>
      <c r="K2094">
        <f>8209.49</f>
        <v>8209.49</v>
      </c>
      <c r="L2094">
        <f>1633.98</f>
        <v>1633.98</v>
      </c>
      <c r="M2094">
        <f>6794.93</f>
        <v>6794.93</v>
      </c>
      <c r="N2094">
        <f>320.682</f>
        <v>320.68200000000002</v>
      </c>
      <c r="O2094">
        <f>2753.84</f>
        <v>2753.84</v>
      </c>
      <c r="P2094">
        <f>204.08</f>
        <v>204.08</v>
      </c>
      <c r="Q2094">
        <f>1830.55</f>
        <v>1830.55</v>
      </c>
      <c r="R2094">
        <f>3924.41</f>
        <v>3924.41</v>
      </c>
      <c r="S2094">
        <f>2275.8</f>
        <v>2275.8000000000002</v>
      </c>
      <c r="T2094">
        <f>3572.896</f>
        <v>3572.8960000000002</v>
      </c>
      <c r="U2094">
        <f>52189.32</f>
        <v>52189.32</v>
      </c>
      <c r="V2094">
        <f>337.09</f>
        <v>337.09</v>
      </c>
    </row>
    <row r="2095" spans="1:22" x14ac:dyDescent="0.2">
      <c r="A2095" s="1">
        <v>42174</v>
      </c>
      <c r="B2095">
        <f>3036.36</f>
        <v>3036.36</v>
      </c>
      <c r="C2095">
        <f>9138.5</f>
        <v>9138.5</v>
      </c>
      <c r="D2095">
        <f>5168.3</f>
        <v>5168.3</v>
      </c>
      <c r="E2095">
        <f>1976.444</f>
        <v>1976.444</v>
      </c>
      <c r="F2095">
        <f>1919.03</f>
        <v>1919.03</v>
      </c>
      <c r="G2095">
        <f>8328.363</f>
        <v>8328.3629999999994</v>
      </c>
      <c r="H2095">
        <f>2647.97</f>
        <v>2647.97</v>
      </c>
      <c r="I2095">
        <f>8827.947</f>
        <v>8827.9470000000001</v>
      </c>
      <c r="J2095">
        <f>2784.77</f>
        <v>2784.77</v>
      </c>
      <c r="K2095">
        <f>8161.2</f>
        <v>8161.2</v>
      </c>
      <c r="L2095">
        <f>1613.96</f>
        <v>1613.96</v>
      </c>
      <c r="M2095">
        <f>6714.17</f>
        <v>6714.17</v>
      </c>
      <c r="N2095">
        <f>316.254</f>
        <v>316.25400000000002</v>
      </c>
      <c r="O2095">
        <f>2688.96</f>
        <v>2688.96</v>
      </c>
      <c r="P2095">
        <f>202.3</f>
        <v>202.3</v>
      </c>
      <c r="Q2095">
        <f>1822.61</f>
        <v>1822.61</v>
      </c>
      <c r="R2095">
        <f>3900.64</f>
        <v>3900.64</v>
      </c>
      <c r="S2095">
        <f>2251.5</f>
        <v>2251.5</v>
      </c>
      <c r="T2095">
        <f>3563.568</f>
        <v>3563.5680000000002</v>
      </c>
      <c r="U2095">
        <f>51806.71</f>
        <v>51806.71</v>
      </c>
      <c r="V2095">
        <f>335.54</f>
        <v>335.54</v>
      </c>
    </row>
    <row r="2096" spans="1:22" x14ac:dyDescent="0.2">
      <c r="A2096" s="1">
        <v>42173</v>
      </c>
      <c r="B2096">
        <f>3034.81</f>
        <v>3034.81</v>
      </c>
      <c r="C2096">
        <f>9157.54</f>
        <v>9157.5400000000009</v>
      </c>
      <c r="D2096">
        <f>5166.32</f>
        <v>5166.32</v>
      </c>
      <c r="E2096">
        <f>1982.383</f>
        <v>1982.383</v>
      </c>
      <c r="F2096">
        <f>1921.05</f>
        <v>1921.05</v>
      </c>
      <c r="G2096">
        <f>8324.477</f>
        <v>8324.4770000000008</v>
      </c>
      <c r="H2096">
        <f>2617.5</f>
        <v>2617.5</v>
      </c>
      <c r="I2096">
        <f>8869.912</f>
        <v>8869.9120000000003</v>
      </c>
      <c r="J2096">
        <f>2800.29</f>
        <v>2800.29</v>
      </c>
      <c r="K2096">
        <f>8203.37</f>
        <v>8203.3700000000008</v>
      </c>
      <c r="L2096">
        <f>1622.1</f>
        <v>1622.1</v>
      </c>
      <c r="M2096">
        <f>6735.87</f>
        <v>6735.87</v>
      </c>
      <c r="N2096">
        <f>315.636</f>
        <v>315.63600000000002</v>
      </c>
      <c r="O2096">
        <f>2679.95</f>
        <v>2679.95</v>
      </c>
      <c r="P2096">
        <f>200.83</f>
        <v>200.83</v>
      </c>
      <c r="Q2096">
        <f>1828.37</f>
        <v>1828.37</v>
      </c>
      <c r="R2096">
        <f>3921.43</f>
        <v>3921.43</v>
      </c>
      <c r="S2096">
        <f>2231.69</f>
        <v>2231.69</v>
      </c>
      <c r="T2096">
        <f>3578.609</f>
        <v>3578.6089999999999</v>
      </c>
      <c r="U2096">
        <f>51900.53</f>
        <v>51900.53</v>
      </c>
      <c r="V2096">
        <f>337.37</f>
        <v>337.37</v>
      </c>
    </row>
    <row r="2097" spans="1:22" x14ac:dyDescent="0.2">
      <c r="A2097" s="1">
        <v>42172</v>
      </c>
      <c r="B2097">
        <f>3032.17</f>
        <v>3032.17</v>
      </c>
      <c r="C2097">
        <f>9082.79</f>
        <v>9082.7900000000009</v>
      </c>
      <c r="D2097">
        <f>5144.55</f>
        <v>5144.55</v>
      </c>
      <c r="E2097">
        <f>1965.577</f>
        <v>1965.577</v>
      </c>
      <c r="F2097">
        <f>1885.6</f>
        <v>1885.6</v>
      </c>
      <c r="G2097">
        <f>8204.118</f>
        <v>8204.1180000000004</v>
      </c>
      <c r="H2097">
        <f>2619.56</f>
        <v>2619.56</v>
      </c>
      <c r="I2097">
        <f>8716.697</f>
        <v>8716.6970000000001</v>
      </c>
      <c r="J2097">
        <f>2771.08</f>
        <v>2771.08</v>
      </c>
      <c r="K2097">
        <f>8122.13</f>
        <v>8122.13</v>
      </c>
      <c r="L2097">
        <f>1602.39</f>
        <v>1602.39</v>
      </c>
      <c r="M2097">
        <f>6665.06</f>
        <v>6665.06</v>
      </c>
      <c r="N2097">
        <f>314.532</f>
        <v>314.53199999999998</v>
      </c>
      <c r="O2097">
        <f>2675.42</f>
        <v>2675.42</v>
      </c>
      <c r="P2097">
        <f>202.1</f>
        <v>202.1</v>
      </c>
      <c r="Q2097">
        <f>1808.96</f>
        <v>1808.96</v>
      </c>
      <c r="R2097">
        <f>3882.49</f>
        <v>3882.49</v>
      </c>
      <c r="S2097">
        <f>2255.21</f>
        <v>2255.21</v>
      </c>
      <c r="T2097">
        <f>3550.745</f>
        <v>3550.7449999999999</v>
      </c>
      <c r="U2097">
        <f>51595.66</f>
        <v>51595.66</v>
      </c>
      <c r="V2097">
        <f>336.23</f>
        <v>336.23</v>
      </c>
    </row>
    <row r="2098" spans="1:22" x14ac:dyDescent="0.2">
      <c r="A2098" s="1">
        <v>42171</v>
      </c>
      <c r="B2098">
        <f>3034.35</f>
        <v>3034.35</v>
      </c>
      <c r="C2098">
        <f>9049.4</f>
        <v>9049.4</v>
      </c>
      <c r="D2098">
        <f>5167.3</f>
        <v>5167.3</v>
      </c>
      <c r="E2098">
        <f>1957.182</f>
        <v>1957.182</v>
      </c>
      <c r="F2098">
        <f>1885.26</f>
        <v>1885.26</v>
      </c>
      <c r="G2098">
        <f>8194.577</f>
        <v>8194.5769999999993</v>
      </c>
      <c r="H2098">
        <f>2643.98</f>
        <v>2643.98</v>
      </c>
      <c r="I2098">
        <f>8779.6</f>
        <v>8779.6</v>
      </c>
      <c r="J2098">
        <f>2760.13</f>
        <v>2760.13</v>
      </c>
      <c r="K2098">
        <f>8105.66</f>
        <v>8105.66</v>
      </c>
      <c r="L2098">
        <f>1602.18</f>
        <v>1602.18</v>
      </c>
      <c r="M2098">
        <f>6670.86</f>
        <v>6670.86</v>
      </c>
      <c r="N2098">
        <f>315.556</f>
        <v>315.55599999999998</v>
      </c>
      <c r="O2098">
        <f>2687.45</f>
        <v>2687.45</v>
      </c>
      <c r="P2098">
        <f>202.71</f>
        <v>202.71</v>
      </c>
      <c r="Q2098">
        <f>1802.18</f>
        <v>1802.18</v>
      </c>
      <c r="R2098">
        <f>3874.73</f>
        <v>3874.73</v>
      </c>
      <c r="S2098">
        <f>2263.69</f>
        <v>2263.69</v>
      </c>
      <c r="T2098" t="e">
        <f>NA()</f>
        <v>#N/A</v>
      </c>
      <c r="U2098" t="e">
        <f>NA()</f>
        <v>#N/A</v>
      </c>
      <c r="V2098" t="e">
        <f>NA()</f>
        <v>#N/A</v>
      </c>
    </row>
    <row r="2099" spans="1:22" x14ac:dyDescent="0.2">
      <c r="A2099" s="1">
        <v>42170</v>
      </c>
      <c r="B2099">
        <f>3028.52</f>
        <v>3028.52</v>
      </c>
      <c r="C2099">
        <f>9086.64</f>
        <v>9086.64</v>
      </c>
      <c r="D2099">
        <f>5167.63</f>
        <v>5167.63</v>
      </c>
      <c r="E2099">
        <f>1967.222</f>
        <v>1967.222</v>
      </c>
      <c r="F2099">
        <f>1869.08</f>
        <v>1869.08</v>
      </c>
      <c r="G2099">
        <f>8154.323</f>
        <v>8154.3230000000003</v>
      </c>
      <c r="H2099">
        <f>2654.34</f>
        <v>2654.34</v>
      </c>
      <c r="I2099">
        <f>8739.915</f>
        <v>8739.9150000000009</v>
      </c>
      <c r="J2099">
        <f>2740.83</f>
        <v>2740.83</v>
      </c>
      <c r="K2099">
        <f>8059.6</f>
        <v>8059.6</v>
      </c>
      <c r="L2099">
        <f>1592.37</f>
        <v>1592.37</v>
      </c>
      <c r="M2099">
        <f>6645.86</f>
        <v>6645.86</v>
      </c>
      <c r="N2099">
        <f>313.491</f>
        <v>313.49099999999999</v>
      </c>
      <c r="O2099">
        <f>2670.74</f>
        <v>2670.74</v>
      </c>
      <c r="P2099">
        <f>203.88</f>
        <v>203.88</v>
      </c>
      <c r="Q2099">
        <f>1789.86</f>
        <v>1789.86</v>
      </c>
      <c r="R2099">
        <f>3852.75</f>
        <v>3852.75</v>
      </c>
      <c r="S2099">
        <f>2280.34</f>
        <v>2280.34</v>
      </c>
      <c r="T2099">
        <f>3535.351</f>
        <v>3535.3510000000001</v>
      </c>
      <c r="U2099">
        <f>51297.88</f>
        <v>51297.88</v>
      </c>
      <c r="V2099">
        <f>337.82</f>
        <v>337.82</v>
      </c>
    </row>
    <row r="2100" spans="1:22" x14ac:dyDescent="0.2">
      <c r="A2100" s="1">
        <v>42167</v>
      </c>
      <c r="B2100">
        <f>3064.61</f>
        <v>3064.61</v>
      </c>
      <c r="C2100">
        <f>9158.01</f>
        <v>9158.01</v>
      </c>
      <c r="D2100">
        <f>5224.92</f>
        <v>5224.92</v>
      </c>
      <c r="E2100">
        <f>1985.028</f>
        <v>1985.028</v>
      </c>
      <c r="F2100">
        <f>1892.5</f>
        <v>1892.5</v>
      </c>
      <c r="G2100">
        <f>8258.42</f>
        <v>8258.42</v>
      </c>
      <c r="H2100">
        <f>2662.44</f>
        <v>2662.44</v>
      </c>
      <c r="I2100">
        <f>8914.833</f>
        <v>8914.8330000000005</v>
      </c>
      <c r="J2100">
        <f>2756.07</f>
        <v>2756.07</v>
      </c>
      <c r="K2100">
        <f>8096.87</f>
        <v>8096.87</v>
      </c>
      <c r="L2100">
        <f>1607.79</f>
        <v>1607.79</v>
      </c>
      <c r="M2100">
        <f>6695.23</f>
        <v>6695.23</v>
      </c>
      <c r="N2100">
        <f>317.353</f>
        <v>317.35300000000001</v>
      </c>
      <c r="O2100">
        <f>2714.32</f>
        <v>2714.32</v>
      </c>
      <c r="P2100">
        <f>204.08</f>
        <v>204.08</v>
      </c>
      <c r="Q2100">
        <f>1803.58</f>
        <v>1803.58</v>
      </c>
      <c r="R2100">
        <f>3870.56</f>
        <v>3870.56</v>
      </c>
      <c r="S2100">
        <f>2279.73</f>
        <v>2279.73</v>
      </c>
      <c r="T2100">
        <f>3551.92</f>
        <v>3551.92</v>
      </c>
      <c r="U2100">
        <f>51828.76</f>
        <v>51828.76</v>
      </c>
      <c r="V2100">
        <f>339.78</f>
        <v>339.78</v>
      </c>
    </row>
    <row r="2101" spans="1:22" x14ac:dyDescent="0.2">
      <c r="A2101" s="1">
        <v>42166</v>
      </c>
      <c r="B2101">
        <f>3090.09</f>
        <v>3090.09</v>
      </c>
      <c r="C2101">
        <f>9153.12</f>
        <v>9153.1200000000008</v>
      </c>
      <c r="D2101">
        <f>5272.53</f>
        <v>5272.53</v>
      </c>
      <c r="E2101">
        <f>1979.391</f>
        <v>1979.3910000000001</v>
      </c>
      <c r="F2101">
        <f>1902.4</f>
        <v>1902.4</v>
      </c>
      <c r="G2101">
        <f>8295.547</f>
        <v>8295.5470000000005</v>
      </c>
      <c r="H2101">
        <f>2652.95</f>
        <v>2652.95</v>
      </c>
      <c r="I2101">
        <f>8978.19</f>
        <v>8978.19</v>
      </c>
      <c r="J2101">
        <f>2780.31</f>
        <v>2780.31</v>
      </c>
      <c r="K2101">
        <f>8152.68</f>
        <v>8152.68</v>
      </c>
      <c r="L2101">
        <f>1618.7</f>
        <v>1618.7</v>
      </c>
      <c r="M2101">
        <f>6730.01</f>
        <v>6730.01</v>
      </c>
      <c r="N2101">
        <f>319.99</f>
        <v>319.99</v>
      </c>
      <c r="O2101">
        <f>2738.89</f>
        <v>2738.89</v>
      </c>
      <c r="P2101">
        <f>204.72</f>
        <v>204.72</v>
      </c>
      <c r="Q2101">
        <f>1815.39</f>
        <v>1815.39</v>
      </c>
      <c r="R2101">
        <f>3897.59</f>
        <v>3897.59</v>
      </c>
      <c r="S2101">
        <f>2276.14</f>
        <v>2276.14</v>
      </c>
      <c r="T2101">
        <f>3579.482</f>
        <v>3579.482</v>
      </c>
      <c r="U2101">
        <f>51881.45</f>
        <v>51881.45</v>
      </c>
      <c r="V2101">
        <f>341.98</f>
        <v>341.98</v>
      </c>
    </row>
    <row r="2102" spans="1:22" x14ac:dyDescent="0.2">
      <c r="A2102" s="1">
        <v>42165</v>
      </c>
      <c r="B2102">
        <f>3088.55</f>
        <v>3088.55</v>
      </c>
      <c r="C2102">
        <f>9191.83</f>
        <v>9191.83</v>
      </c>
      <c r="D2102">
        <f>5253.41</f>
        <v>5253.41</v>
      </c>
      <c r="E2102">
        <f>1981.328</f>
        <v>1981.328</v>
      </c>
      <c r="F2102">
        <f>1904.68</f>
        <v>1904.68</v>
      </c>
      <c r="G2102">
        <f>8289.325</f>
        <v>8289.3250000000007</v>
      </c>
      <c r="H2102">
        <f>2651.84</f>
        <v>2651.84</v>
      </c>
      <c r="I2102">
        <f>8984.352</f>
        <v>8984.3520000000008</v>
      </c>
      <c r="J2102">
        <f>2772.72</f>
        <v>2772.72</v>
      </c>
      <c r="K2102">
        <f>8133.62</f>
        <v>8133.62</v>
      </c>
      <c r="L2102">
        <f>1616.81</f>
        <v>1616.81</v>
      </c>
      <c r="M2102">
        <f>6717.79</f>
        <v>6717.79</v>
      </c>
      <c r="N2102">
        <f>318.06</f>
        <v>318.06</v>
      </c>
      <c r="O2102">
        <f>2721.94</f>
        <v>2721.94</v>
      </c>
      <c r="P2102">
        <f>201.78</f>
        <v>201.78</v>
      </c>
      <c r="Q2102">
        <f>1811.19</f>
        <v>1811.19</v>
      </c>
      <c r="R2102">
        <f>3889.7</f>
        <v>3889.7</v>
      </c>
      <c r="S2102">
        <f>2247.64</f>
        <v>2247.64</v>
      </c>
      <c r="T2102">
        <f>3560.509</f>
        <v>3560.509</v>
      </c>
      <c r="U2102">
        <f>51958.27</f>
        <v>51958.27</v>
      </c>
      <c r="V2102">
        <f>341.59</f>
        <v>341.59</v>
      </c>
    </row>
    <row r="2103" spans="1:22" x14ac:dyDescent="0.2">
      <c r="A2103" s="1">
        <v>42164</v>
      </c>
      <c r="B2103">
        <f>3043.02</f>
        <v>3043.02</v>
      </c>
      <c r="C2103">
        <f>9124.66</f>
        <v>9124.66</v>
      </c>
      <c r="D2103">
        <f>5194.59</f>
        <v>5194.59</v>
      </c>
      <c r="E2103">
        <f>1967.377</f>
        <v>1967.377</v>
      </c>
      <c r="F2103">
        <f>1853.49</f>
        <v>1853.49</v>
      </c>
      <c r="G2103">
        <f>8077.667</f>
        <v>8077.6670000000004</v>
      </c>
      <c r="H2103">
        <f>2621.56</f>
        <v>2621.56</v>
      </c>
      <c r="I2103">
        <f>8787.281</f>
        <v>8787.2810000000009</v>
      </c>
      <c r="J2103">
        <f>2743.3</f>
        <v>2743.3</v>
      </c>
      <c r="K2103">
        <f>8037.92</f>
        <v>8037.92</v>
      </c>
      <c r="L2103">
        <f>1593.69</f>
        <v>1593.69</v>
      </c>
      <c r="M2103">
        <f>6622.52</f>
        <v>6622.52</v>
      </c>
      <c r="N2103">
        <f>312.98</f>
        <v>312.98</v>
      </c>
      <c r="O2103">
        <f>2674.4</f>
        <v>2674.4</v>
      </c>
      <c r="P2103">
        <f>202.52</f>
        <v>202.52</v>
      </c>
      <c r="Q2103">
        <f>1790.46</f>
        <v>1790.46</v>
      </c>
      <c r="R2103">
        <f>3843.16</f>
        <v>3843.16</v>
      </c>
      <c r="S2103">
        <f>2256.11</f>
        <v>2256.11</v>
      </c>
      <c r="T2103">
        <f>3517.18</f>
        <v>3517.18</v>
      </c>
      <c r="U2103">
        <f>51080.26</f>
        <v>51080.26</v>
      </c>
      <c r="V2103">
        <f>333.88</f>
        <v>333.88</v>
      </c>
    </row>
    <row r="2104" spans="1:22" x14ac:dyDescent="0.2">
      <c r="A2104" s="1">
        <v>42163</v>
      </c>
      <c r="B2104">
        <f>3050.95</f>
        <v>3050.95</v>
      </c>
      <c r="C2104">
        <f>9162.65</f>
        <v>9162.65</v>
      </c>
      <c r="D2104">
        <f>5222.46</f>
        <v>5222.46</v>
      </c>
      <c r="E2104">
        <f>1979.4</f>
        <v>1979.4</v>
      </c>
      <c r="F2104">
        <f>1862.12</f>
        <v>1862.12</v>
      </c>
      <c r="G2104">
        <f>8095.61</f>
        <v>8095.61</v>
      </c>
      <c r="H2104">
        <f>2640.09</f>
        <v>2640.09</v>
      </c>
      <c r="I2104">
        <f>8785.815</f>
        <v>8785.8150000000005</v>
      </c>
      <c r="J2104">
        <f>2740.22</f>
        <v>2740.22</v>
      </c>
      <c r="K2104">
        <f>8034.78</f>
        <v>8034.78</v>
      </c>
      <c r="L2104">
        <f>1592.44</f>
        <v>1592.44</v>
      </c>
      <c r="M2104">
        <f>6624.45</f>
        <v>6624.45</v>
      </c>
      <c r="N2104">
        <f>314.606</f>
        <v>314.60599999999999</v>
      </c>
      <c r="O2104">
        <f>2684.9</f>
        <v>2684.9</v>
      </c>
      <c r="P2104">
        <f>205.06</f>
        <v>205.06</v>
      </c>
      <c r="Q2104">
        <f>1791.13</f>
        <v>1791.13</v>
      </c>
      <c r="R2104">
        <f>3841.45</f>
        <v>3841.45</v>
      </c>
      <c r="S2104">
        <f>2294.25</f>
        <v>2294.25</v>
      </c>
      <c r="T2104">
        <f>3541.662</f>
        <v>3541.6619999999998</v>
      </c>
      <c r="U2104">
        <f>51623.3</f>
        <v>51623.3</v>
      </c>
      <c r="V2104">
        <f>336.38</f>
        <v>336.38</v>
      </c>
    </row>
    <row r="2105" spans="1:22" x14ac:dyDescent="0.2">
      <c r="A2105" s="1">
        <v>42160</v>
      </c>
      <c r="B2105">
        <f>3060.63</f>
        <v>3060.63</v>
      </c>
      <c r="C2105">
        <f>9141.56</f>
        <v>9141.56</v>
      </c>
      <c r="D2105">
        <f>5233.66</f>
        <v>5233.66</v>
      </c>
      <c r="E2105">
        <f>1989.493</f>
        <v>1989.4929999999999</v>
      </c>
      <c r="F2105">
        <f>1868.85</f>
        <v>1868.85</v>
      </c>
      <c r="G2105">
        <f>8097.718</f>
        <v>8097.7179999999998</v>
      </c>
      <c r="H2105">
        <f>2643.08</f>
        <v>2643.08</v>
      </c>
      <c r="I2105">
        <f>8791.514</f>
        <v>8791.5139999999992</v>
      </c>
      <c r="J2105">
        <f>2753.29</f>
        <v>2753.29</v>
      </c>
      <c r="K2105">
        <f>8086.22</f>
        <v>8086.22</v>
      </c>
      <c r="L2105">
        <f>1596.2</f>
        <v>1596.2</v>
      </c>
      <c r="M2105">
        <f>6654.45</f>
        <v>6654.45</v>
      </c>
      <c r="N2105">
        <f>317.601</f>
        <v>317.601</v>
      </c>
      <c r="O2105">
        <f>2713.09</f>
        <v>2713.09</v>
      </c>
      <c r="P2105">
        <f>206.28</f>
        <v>206.28</v>
      </c>
      <c r="Q2105">
        <f>1798.18</f>
        <v>1798.18</v>
      </c>
      <c r="R2105">
        <f>3865.83</f>
        <v>3865.83</v>
      </c>
      <c r="S2105">
        <f>2301.24</f>
        <v>2301.2399999999998</v>
      </c>
      <c r="T2105">
        <f>3533.205</f>
        <v>3533.2049999999999</v>
      </c>
      <c r="U2105">
        <f>51694.25</f>
        <v>51694.25</v>
      </c>
      <c r="V2105">
        <f>337.41</f>
        <v>337.41</v>
      </c>
    </row>
    <row r="2106" spans="1:22" x14ac:dyDescent="0.2">
      <c r="A2106" s="1">
        <v>42159</v>
      </c>
      <c r="B2106">
        <f>3095.29</f>
        <v>3095.29</v>
      </c>
      <c r="C2106">
        <f>9192.87</f>
        <v>9192.8700000000008</v>
      </c>
      <c r="D2106">
        <f>5275.69</f>
        <v>5275.69</v>
      </c>
      <c r="E2106">
        <f>2001.255</f>
        <v>2001.2550000000001</v>
      </c>
      <c r="F2106">
        <f>1899.9</f>
        <v>1899.9</v>
      </c>
      <c r="G2106">
        <f>8227.812</f>
        <v>8227.8119999999999</v>
      </c>
      <c r="H2106">
        <f>2676.84</f>
        <v>2676.84</v>
      </c>
      <c r="I2106">
        <f>9043.504</f>
        <v>9043.5040000000008</v>
      </c>
      <c r="J2106">
        <f>2770.44</f>
        <v>2770.44</v>
      </c>
      <c r="K2106">
        <f>8093.35</f>
        <v>8093.35</v>
      </c>
      <c r="L2106">
        <f>1618.21</f>
        <v>1618.21</v>
      </c>
      <c r="M2106">
        <f>6710.96</f>
        <v>6710.96</v>
      </c>
      <c r="N2106">
        <f>319.27</f>
        <v>319.27</v>
      </c>
      <c r="O2106">
        <f>2736.36</f>
        <v>2736.36</v>
      </c>
      <c r="P2106">
        <f>206.65</f>
        <v>206.65</v>
      </c>
      <c r="Q2106">
        <f>1805.59</f>
        <v>1805.59</v>
      </c>
      <c r="R2106">
        <f>3871.23</f>
        <v>3871.23</v>
      </c>
      <c r="S2106">
        <f>2308.79</f>
        <v>2308.79</v>
      </c>
      <c r="T2106">
        <f>3519.718</f>
        <v>3519.7179999999998</v>
      </c>
      <c r="U2106">
        <f>51323.68</f>
        <v>51323.68</v>
      </c>
      <c r="V2106">
        <f>335.24</f>
        <v>335.24</v>
      </c>
    </row>
    <row r="2107" spans="1:22" x14ac:dyDescent="0.2">
      <c r="A2107" s="1">
        <v>42158</v>
      </c>
      <c r="B2107">
        <f>3134.72</f>
        <v>3134.72</v>
      </c>
      <c r="C2107">
        <f>9280.54</f>
        <v>9280.5400000000009</v>
      </c>
      <c r="D2107">
        <f>5341.47</f>
        <v>5341.47</v>
      </c>
      <c r="E2107">
        <f>2015.698</f>
        <v>2015.6980000000001</v>
      </c>
      <c r="F2107">
        <f>1920.82</f>
        <v>1920.82</v>
      </c>
      <c r="G2107">
        <f>8310.526</f>
        <v>8310.5259999999998</v>
      </c>
      <c r="H2107">
        <f>2688.41</f>
        <v>2688.41</v>
      </c>
      <c r="I2107">
        <f>9090.955</f>
        <v>9090.9549999999999</v>
      </c>
      <c r="J2107">
        <f>2793.42</f>
        <v>2793.42</v>
      </c>
      <c r="K2107">
        <f>8163.5</f>
        <v>8163.5</v>
      </c>
      <c r="L2107">
        <f>1630.66</f>
        <v>1630.66</v>
      </c>
      <c r="M2107">
        <f>6765.06</f>
        <v>6765.06</v>
      </c>
      <c r="N2107">
        <f>322.333</f>
        <v>322.33300000000003</v>
      </c>
      <c r="O2107">
        <f>2757.53</f>
        <v>2757.53</v>
      </c>
      <c r="P2107">
        <f>206.91</f>
        <v>206.91</v>
      </c>
      <c r="Q2107">
        <f>1821.1</f>
        <v>1821.1</v>
      </c>
      <c r="R2107">
        <f>3904.83</f>
        <v>3904.83</v>
      </c>
      <c r="S2107">
        <f>2303.41</f>
        <v>2303.41</v>
      </c>
      <c r="T2107">
        <f>3529.019</f>
        <v>3529.0189999999998</v>
      </c>
      <c r="U2107">
        <f>51850.67</f>
        <v>51850.67</v>
      </c>
      <c r="V2107">
        <f>339.03</f>
        <v>339.03</v>
      </c>
    </row>
    <row r="2108" spans="1:22" x14ac:dyDescent="0.2">
      <c r="A2108" s="1">
        <v>42157</v>
      </c>
      <c r="B2108">
        <f>3128.36</f>
        <v>3128.36</v>
      </c>
      <c r="C2108">
        <f>9332.55</f>
        <v>9332.5499999999993</v>
      </c>
      <c r="D2108">
        <f>5324.42</f>
        <v>5324.42</v>
      </c>
      <c r="E2108">
        <f>2023.455</f>
        <v>2023.4549999999999</v>
      </c>
      <c r="F2108">
        <f>1921.71</f>
        <v>1921.71</v>
      </c>
      <c r="G2108">
        <f>8282.893</f>
        <v>8282.893</v>
      </c>
      <c r="H2108">
        <f>2693.07</f>
        <v>2693.07</v>
      </c>
      <c r="I2108">
        <f>8960.45</f>
        <v>8960.4500000000007</v>
      </c>
      <c r="J2108">
        <f>2796.56</f>
        <v>2796.56</v>
      </c>
      <c r="K2108">
        <f>8143.42</f>
        <v>8143.42</v>
      </c>
      <c r="L2108">
        <f>1625.78</f>
        <v>1625.78</v>
      </c>
      <c r="M2108">
        <f>6735.78</f>
        <v>6735.78</v>
      </c>
      <c r="N2108">
        <f>323.79</f>
        <v>323.79000000000002</v>
      </c>
      <c r="O2108">
        <f>2760.85</f>
        <v>2760.85</v>
      </c>
      <c r="P2108">
        <f>207.47</f>
        <v>207.47</v>
      </c>
      <c r="Q2108">
        <f>1817.32</f>
        <v>1817.32</v>
      </c>
      <c r="R2108">
        <f>3895.85</f>
        <v>3895.85</v>
      </c>
      <c r="S2108">
        <f>2309.23</f>
        <v>2309.23</v>
      </c>
      <c r="T2108">
        <f>3562.181</f>
        <v>3562.181</v>
      </c>
      <c r="U2108">
        <f>52185.61</f>
        <v>52185.61</v>
      </c>
      <c r="V2108">
        <f>341.36</f>
        <v>341.36</v>
      </c>
    </row>
    <row r="2109" spans="1:22" x14ac:dyDescent="0.2">
      <c r="A2109" s="1">
        <v>42156</v>
      </c>
      <c r="B2109">
        <f>3137.1</f>
        <v>3137.1</v>
      </c>
      <c r="C2109">
        <f>9312.73</f>
        <v>9312.73</v>
      </c>
      <c r="D2109">
        <f>5343.87</f>
        <v>5343.87</v>
      </c>
      <c r="E2109">
        <f>2029.421</f>
        <v>2029.421</v>
      </c>
      <c r="F2109">
        <f>1908.46</f>
        <v>1908.46</v>
      </c>
      <c r="G2109">
        <f>8247.64</f>
        <v>8247.64</v>
      </c>
      <c r="H2109">
        <f>2697.85</f>
        <v>2697.85</v>
      </c>
      <c r="I2109">
        <f>8838.177</f>
        <v>8838.1769999999997</v>
      </c>
      <c r="J2109">
        <f>2805.9</f>
        <v>2805.9</v>
      </c>
      <c r="K2109">
        <f>8151.25</f>
        <v>8151.25</v>
      </c>
      <c r="L2109">
        <f>1622.59</f>
        <v>1622.59</v>
      </c>
      <c r="M2109">
        <f>6719.79</f>
        <v>6719.79</v>
      </c>
      <c r="N2109">
        <f>328.677</f>
        <v>328.67700000000002</v>
      </c>
      <c r="O2109">
        <f>2785.66</f>
        <v>2785.66</v>
      </c>
      <c r="P2109">
        <f>206.55</f>
        <v>206.55</v>
      </c>
      <c r="Q2109">
        <f>1816.43</f>
        <v>1816.43</v>
      </c>
      <c r="R2109">
        <f>3899.59</f>
        <v>3899.59</v>
      </c>
      <c r="S2109">
        <f>2315.23</f>
        <v>2315.23</v>
      </c>
      <c r="T2109">
        <f>3602.256</f>
        <v>3602.2559999999999</v>
      </c>
      <c r="U2109">
        <f>52073.88</f>
        <v>52073.88</v>
      </c>
      <c r="V2109">
        <f>340.14</f>
        <v>340.14</v>
      </c>
    </row>
    <row r="2110" spans="1:22" x14ac:dyDescent="0.2">
      <c r="A2110" s="1">
        <v>42153</v>
      </c>
      <c r="B2110">
        <f>3148.29</f>
        <v>3148.29</v>
      </c>
      <c r="C2110">
        <f>9321.39</f>
        <v>9321.39</v>
      </c>
      <c r="D2110">
        <f>5367.57</f>
        <v>5367.57</v>
      </c>
      <c r="E2110">
        <f>2031.755</f>
        <v>2031.7550000000001</v>
      </c>
      <c r="F2110">
        <f>1925.68</f>
        <v>1925.68</v>
      </c>
      <c r="G2110">
        <f>8312.629</f>
        <v>8312.6290000000008</v>
      </c>
      <c r="H2110">
        <f>2704.54</f>
        <v>2704.54</v>
      </c>
      <c r="I2110">
        <f>8866.226</f>
        <v>8866.2260000000006</v>
      </c>
      <c r="J2110">
        <f>2804.76</f>
        <v>2804.76</v>
      </c>
      <c r="K2110">
        <f>8135.42</f>
        <v>8135.42</v>
      </c>
      <c r="L2110">
        <f>1627.6</f>
        <v>1627.6</v>
      </c>
      <c r="M2110">
        <f>6723.06</f>
        <v>6723.06</v>
      </c>
      <c r="N2110">
        <f>328.8</f>
        <v>328.8</v>
      </c>
      <c r="O2110">
        <f>2784.21</f>
        <v>2784.21</v>
      </c>
      <c r="P2110">
        <f>205.49</f>
        <v>205.49</v>
      </c>
      <c r="Q2110">
        <f>1814.67</f>
        <v>1814.67</v>
      </c>
      <c r="R2110">
        <f>3891.18</f>
        <v>3891.18</v>
      </c>
      <c r="S2110">
        <f>2308.46</f>
        <v>2308.46</v>
      </c>
      <c r="T2110">
        <f>3641.374</f>
        <v>3641.3739999999998</v>
      </c>
      <c r="U2110">
        <f>52270.86</f>
        <v>52270.86</v>
      </c>
      <c r="V2110">
        <f>342.49</f>
        <v>342.49</v>
      </c>
    </row>
    <row r="2111" spans="1:22" x14ac:dyDescent="0.2">
      <c r="A2111" s="1">
        <v>42152</v>
      </c>
      <c r="B2111">
        <f>3169.06</f>
        <v>3169.06</v>
      </c>
      <c r="C2111">
        <f>9411.79</f>
        <v>9411.7900000000009</v>
      </c>
      <c r="D2111">
        <f>5410.99</f>
        <v>5410.99</v>
      </c>
      <c r="E2111">
        <f>2042.448</f>
        <v>2042.4480000000001</v>
      </c>
      <c r="F2111">
        <f>1950.12</f>
        <v>1950.12</v>
      </c>
      <c r="G2111">
        <f>8395.397</f>
        <v>8395.3970000000008</v>
      </c>
      <c r="H2111">
        <f>2710.78</f>
        <v>2710.78</v>
      </c>
      <c r="I2111">
        <f>8998.673</f>
        <v>8998.6730000000007</v>
      </c>
      <c r="J2111">
        <f>2819.35</f>
        <v>2819.35</v>
      </c>
      <c r="K2111">
        <f>8185.89</f>
        <v>8185.89</v>
      </c>
      <c r="L2111">
        <f>1639.48</f>
        <v>1639.48</v>
      </c>
      <c r="M2111">
        <f>6768.43</f>
        <v>6768.43</v>
      </c>
      <c r="N2111">
        <f>333.384</f>
        <v>333.38400000000001</v>
      </c>
      <c r="O2111">
        <f>2835.61</f>
        <v>2835.61</v>
      </c>
      <c r="P2111">
        <f>205.99</f>
        <v>205.99</v>
      </c>
      <c r="Q2111">
        <f>1828.73</f>
        <v>1828.73</v>
      </c>
      <c r="R2111">
        <f>3915.82</f>
        <v>3915.82</v>
      </c>
      <c r="S2111">
        <f>2307.23</f>
        <v>2307.23</v>
      </c>
      <c r="T2111">
        <f>3682.842</f>
        <v>3682.8420000000001</v>
      </c>
      <c r="U2111">
        <f>52810.36</f>
        <v>52810.36</v>
      </c>
      <c r="V2111">
        <f>344.88</f>
        <v>344.88</v>
      </c>
    </row>
    <row r="2112" spans="1:22" x14ac:dyDescent="0.2">
      <c r="A2112" s="1">
        <v>42151</v>
      </c>
      <c r="B2112">
        <f>3179.58</f>
        <v>3179.58</v>
      </c>
      <c r="C2112">
        <f>9564.34</f>
        <v>9564.34</v>
      </c>
      <c r="D2112">
        <f>5403.64</f>
        <v>5403.64</v>
      </c>
      <c r="E2112">
        <f>2061.622</f>
        <v>2061.6219999999998</v>
      </c>
      <c r="F2112">
        <f>1949.27</f>
        <v>1949.27</v>
      </c>
      <c r="G2112">
        <f>8406.168</f>
        <v>8406.1679999999997</v>
      </c>
      <c r="H2112">
        <f>2712.76</f>
        <v>2712.76</v>
      </c>
      <c r="I2112">
        <f>9001.763</f>
        <v>9001.7630000000008</v>
      </c>
      <c r="J2112">
        <f>2816.68</f>
        <v>2816.68</v>
      </c>
      <c r="K2112">
        <f>8195.03</f>
        <v>8195.0300000000007</v>
      </c>
      <c r="L2112">
        <f>1639.85</f>
        <v>1639.85</v>
      </c>
      <c r="M2112">
        <f>6775.38</f>
        <v>6775.38</v>
      </c>
      <c r="N2112">
        <f>334.023</f>
        <v>334.02300000000002</v>
      </c>
      <c r="O2112">
        <f>2846.89</f>
        <v>2846.89</v>
      </c>
      <c r="P2112">
        <f>206.19</f>
        <v>206.19</v>
      </c>
      <c r="Q2112">
        <f>1830.06</f>
        <v>1830.06</v>
      </c>
      <c r="R2112">
        <f>3920.11</f>
        <v>3920.11</v>
      </c>
      <c r="S2112">
        <f>2291.46</f>
        <v>2291.46</v>
      </c>
      <c r="T2112">
        <f>3675.931</f>
        <v>3675.931</v>
      </c>
      <c r="U2112">
        <f>52933.34</f>
        <v>52933.34</v>
      </c>
      <c r="V2112">
        <f>346.43</f>
        <v>346.43</v>
      </c>
    </row>
    <row r="2113" spans="1:22" x14ac:dyDescent="0.2">
      <c r="A2113" s="1">
        <v>42150</v>
      </c>
      <c r="B2113">
        <f>3148.48</f>
        <v>3148.48</v>
      </c>
      <c r="C2113">
        <f>9611.6</f>
        <v>9611.6</v>
      </c>
      <c r="D2113">
        <f>5338.85</f>
        <v>5338.85</v>
      </c>
      <c r="E2113">
        <f>2076.294</f>
        <v>2076.2939999999999</v>
      </c>
      <c r="F2113">
        <f>1932.21</f>
        <v>1932.21</v>
      </c>
      <c r="G2113">
        <f>8336.536</f>
        <v>8336.5360000000001</v>
      </c>
      <c r="H2113">
        <f>2735.46</f>
        <v>2735.46</v>
      </c>
      <c r="I2113">
        <f>8889.742</f>
        <v>8889.7420000000002</v>
      </c>
      <c r="J2113">
        <f>2796.83</f>
        <v>2796.83</v>
      </c>
      <c r="K2113">
        <f>8120.94</f>
        <v>8120.94</v>
      </c>
      <c r="L2113">
        <f>1630.79</f>
        <v>1630.79</v>
      </c>
      <c r="M2113">
        <f>6727.49</f>
        <v>6727.49</v>
      </c>
      <c r="N2113">
        <f>330.874</f>
        <v>330.87400000000002</v>
      </c>
      <c r="O2113">
        <f>2812.93</f>
        <v>2812.93</v>
      </c>
      <c r="P2113">
        <f>207.38</f>
        <v>207.38</v>
      </c>
      <c r="Q2113">
        <f>1816.76</f>
        <v>1816.76</v>
      </c>
      <c r="R2113">
        <f>3883.88</f>
        <v>3883.88</v>
      </c>
      <c r="S2113">
        <f>2288.98</f>
        <v>2288.98</v>
      </c>
      <c r="T2113">
        <f>3687.164</f>
        <v>3687.1640000000002</v>
      </c>
      <c r="U2113">
        <f>52963.39</f>
        <v>52963.39</v>
      </c>
      <c r="V2113">
        <f>345.69</f>
        <v>345.69</v>
      </c>
    </row>
    <row r="2114" spans="1:22" x14ac:dyDescent="0.2">
      <c r="A2114" s="1">
        <v>42149</v>
      </c>
      <c r="B2114">
        <f>3175.68</f>
        <v>3175.68</v>
      </c>
      <c r="C2114">
        <f>9668.74</f>
        <v>9668.74</v>
      </c>
      <c r="D2114">
        <f>5402.41</f>
        <v>5402.41</v>
      </c>
      <c r="E2114">
        <f>2093.827</f>
        <v>2093.8270000000002</v>
      </c>
      <c r="F2114">
        <f>1972.68</f>
        <v>1972.68</v>
      </c>
      <c r="G2114">
        <f>8501.334</f>
        <v>8501.3340000000007</v>
      </c>
      <c r="H2114">
        <f>2769.96</f>
        <v>2769.96</v>
      </c>
      <c r="I2114">
        <f>9060.164</f>
        <v>9060.1640000000007</v>
      </c>
      <c r="J2114">
        <f>2819.6</f>
        <v>2819.6</v>
      </c>
      <c r="K2114">
        <f>8204.08</f>
        <v>8204.08</v>
      </c>
      <c r="L2114">
        <f>1652.5</f>
        <v>1652.5</v>
      </c>
      <c r="M2114">
        <f>6812.74</f>
        <v>6812.74</v>
      </c>
      <c r="N2114">
        <f>332.358</f>
        <v>332.358</v>
      </c>
      <c r="O2114">
        <f>2835.14</f>
        <v>2835.14</v>
      </c>
      <c r="P2114">
        <f>207.54</f>
        <v>207.54</v>
      </c>
      <c r="Q2114" t="e">
        <f>NA()</f>
        <v>#N/A</v>
      </c>
      <c r="R2114" t="e">
        <f>NA()</f>
        <v>#N/A</v>
      </c>
      <c r="S2114">
        <f>2288.4</f>
        <v>2288.4</v>
      </c>
      <c r="T2114">
        <f>3743.215</f>
        <v>3743.2150000000001</v>
      </c>
      <c r="U2114">
        <f>53985.66</f>
        <v>53985.66</v>
      </c>
      <c r="V2114">
        <f>353.23</f>
        <v>353.23</v>
      </c>
    </row>
    <row r="2115" spans="1:22" x14ac:dyDescent="0.2">
      <c r="A2115" s="1">
        <v>42146</v>
      </c>
      <c r="B2115">
        <f>3175.68</f>
        <v>3175.68</v>
      </c>
      <c r="C2115">
        <f>9695.38</f>
        <v>9695.3799999999992</v>
      </c>
      <c r="D2115">
        <f>5402.41</f>
        <v>5402.41</v>
      </c>
      <c r="E2115">
        <f>2098.384</f>
        <v>2098.384</v>
      </c>
      <c r="F2115">
        <f>1972.68</f>
        <v>1972.68</v>
      </c>
      <c r="G2115">
        <f>8501.334</f>
        <v>8501.3340000000007</v>
      </c>
      <c r="H2115">
        <f>2748.2</f>
        <v>2748.2</v>
      </c>
      <c r="I2115">
        <f>9096.535</f>
        <v>9096.5349999999999</v>
      </c>
      <c r="J2115">
        <f>2819.6</f>
        <v>2819.6</v>
      </c>
      <c r="K2115">
        <f>8204.08</f>
        <v>8204.08</v>
      </c>
      <c r="L2115">
        <f>1652.46</f>
        <v>1652.46</v>
      </c>
      <c r="M2115">
        <f>6811.48</f>
        <v>6811.48</v>
      </c>
      <c r="N2115">
        <f>332.218</f>
        <v>332.21800000000002</v>
      </c>
      <c r="O2115">
        <f>2836.78</f>
        <v>2836.78</v>
      </c>
      <c r="P2115">
        <f>206.71</f>
        <v>206.71</v>
      </c>
      <c r="Q2115">
        <f>1832.89</f>
        <v>1832.89</v>
      </c>
      <c r="R2115">
        <f>3924.16</f>
        <v>3924.16</v>
      </c>
      <c r="S2115">
        <f>2272.82</f>
        <v>2272.8200000000002</v>
      </c>
      <c r="T2115">
        <f>3746.314</f>
        <v>3746.3139999999999</v>
      </c>
      <c r="U2115">
        <f>54055.38</f>
        <v>54055.38</v>
      </c>
      <c r="V2115">
        <f>353.88</f>
        <v>353.88</v>
      </c>
    </row>
    <row r="2116" spans="1:22" x14ac:dyDescent="0.2">
      <c r="A2116" s="1">
        <v>42145</v>
      </c>
      <c r="B2116">
        <f>3162.67</f>
        <v>3162.67</v>
      </c>
      <c r="C2116">
        <f>9643.99</f>
        <v>9643.99</v>
      </c>
      <c r="D2116">
        <f>5388.39</f>
        <v>5388.39</v>
      </c>
      <c r="E2116">
        <f>2087.812</f>
        <v>2087.8119999999999</v>
      </c>
      <c r="F2116">
        <f>1981.55</f>
        <v>1981.55</v>
      </c>
      <c r="G2116">
        <f>8569.1</f>
        <v>8569.1</v>
      </c>
      <c r="H2116">
        <f>2753.12</f>
        <v>2753.12</v>
      </c>
      <c r="I2116">
        <f>9181.355</f>
        <v>9181.3549999999996</v>
      </c>
      <c r="J2116">
        <f>2833.76</f>
        <v>2833.76</v>
      </c>
      <c r="K2116">
        <f>8221.11</f>
        <v>8221.11</v>
      </c>
      <c r="L2116">
        <f>1662.45</f>
        <v>1662.45</v>
      </c>
      <c r="M2116">
        <f>6838.32</f>
        <v>6838.32</v>
      </c>
      <c r="N2116">
        <f>332.461</f>
        <v>332.46100000000001</v>
      </c>
      <c r="O2116">
        <f>2839.22</f>
        <v>2839.22</v>
      </c>
      <c r="P2116">
        <f>206.82</f>
        <v>206.82</v>
      </c>
      <c r="Q2116">
        <f>1840.44</f>
        <v>1840.44</v>
      </c>
      <c r="R2116">
        <f>3932.9</f>
        <v>3932.9</v>
      </c>
      <c r="S2116">
        <f>2271.36</f>
        <v>2271.36</v>
      </c>
      <c r="T2116">
        <f>3752.917</f>
        <v>3752.9169999999999</v>
      </c>
      <c r="U2116">
        <f>54123.89</f>
        <v>54123.89</v>
      </c>
      <c r="V2116">
        <f>355.42</f>
        <v>355.42</v>
      </c>
    </row>
    <row r="2117" spans="1:22" x14ac:dyDescent="0.2">
      <c r="A2117" s="1">
        <v>42144</v>
      </c>
      <c r="B2117">
        <f>3157.25</f>
        <v>3157.25</v>
      </c>
      <c r="C2117">
        <f>9651.36</f>
        <v>9651.36</v>
      </c>
      <c r="D2117">
        <f>5379.42</f>
        <v>5379.42</v>
      </c>
      <c r="E2117">
        <f>2094.606</f>
        <v>2094.6060000000002</v>
      </c>
      <c r="F2117">
        <f>1961.47</f>
        <v>1961.47</v>
      </c>
      <c r="G2117">
        <f>8488.216</f>
        <v>8488.2160000000003</v>
      </c>
      <c r="H2117">
        <f>2741.15</f>
        <v>2741.15</v>
      </c>
      <c r="I2117">
        <f>9141.797</f>
        <v>9141.7970000000005</v>
      </c>
      <c r="J2117">
        <f>2832.22</f>
        <v>2832.22</v>
      </c>
      <c r="K2117">
        <f>8199.79</f>
        <v>8199.7900000000009</v>
      </c>
      <c r="L2117">
        <f>1653.71</f>
        <v>1653.71</v>
      </c>
      <c r="M2117">
        <f>6811.01</f>
        <v>6811.01</v>
      </c>
      <c r="N2117">
        <f>330.736</f>
        <v>330.73599999999999</v>
      </c>
      <c r="O2117">
        <f>2828.75</f>
        <v>2828.75</v>
      </c>
      <c r="P2117">
        <f>205.9</f>
        <v>205.9</v>
      </c>
      <c r="Q2117">
        <f>1837.55</f>
        <v>1837.55</v>
      </c>
      <c r="R2117">
        <f>3923.18</f>
        <v>3923.18</v>
      </c>
      <c r="S2117">
        <f>2266.68</f>
        <v>2266.6799999999998</v>
      </c>
      <c r="T2117">
        <f>3784.219</f>
        <v>3784.2190000000001</v>
      </c>
      <c r="U2117">
        <f>54192.07</f>
        <v>54192.07</v>
      </c>
      <c r="V2117">
        <f>353.87</f>
        <v>353.87</v>
      </c>
    </row>
    <row r="2118" spans="1:22" x14ac:dyDescent="0.2">
      <c r="A2118" s="1">
        <v>42143</v>
      </c>
      <c r="B2118">
        <f>3157.83</f>
        <v>3157.83</v>
      </c>
      <c r="C2118">
        <f>9697.76</f>
        <v>9697.76</v>
      </c>
      <c r="D2118">
        <f>5370.08</f>
        <v>5370.08</v>
      </c>
      <c r="E2118">
        <f>2103.967</f>
        <v>2103.9670000000001</v>
      </c>
      <c r="F2118">
        <f>1945.35</f>
        <v>1945.35</v>
      </c>
      <c r="G2118">
        <f>8445.289</f>
        <v>8445.2890000000007</v>
      </c>
      <c r="H2118">
        <f>2737.05</f>
        <v>2737.05</v>
      </c>
      <c r="I2118">
        <f>9132.506</f>
        <v>9132.5059999999994</v>
      </c>
      <c r="J2118">
        <f>2829.54</f>
        <v>2829.54</v>
      </c>
      <c r="K2118">
        <f>8202.34</f>
        <v>8202.34</v>
      </c>
      <c r="L2118">
        <f>1652.65</f>
        <v>1652.65</v>
      </c>
      <c r="M2118">
        <f>6809.25</f>
        <v>6809.25</v>
      </c>
      <c r="N2118">
        <f>329.574</f>
        <v>329.57400000000001</v>
      </c>
      <c r="O2118">
        <f>2812.29</f>
        <v>2812.29</v>
      </c>
      <c r="P2118">
        <f>204.08</f>
        <v>204.08</v>
      </c>
      <c r="Q2118">
        <f>1839.43</f>
        <v>1839.43</v>
      </c>
      <c r="R2118">
        <f>3926.41</f>
        <v>3926.41</v>
      </c>
      <c r="S2118">
        <f>2252.78</f>
        <v>2252.7800000000002</v>
      </c>
      <c r="T2118">
        <f>3787.107</f>
        <v>3787.107</v>
      </c>
      <c r="U2118">
        <f>54327.13</f>
        <v>54327.13</v>
      </c>
      <c r="V2118">
        <f>356.18</f>
        <v>356.18</v>
      </c>
    </row>
    <row r="2119" spans="1:22" x14ac:dyDescent="0.2">
      <c r="A2119" s="1">
        <v>42142</v>
      </c>
      <c r="B2119">
        <f>3138.09</f>
        <v>3138.09</v>
      </c>
      <c r="C2119">
        <f>9717.97</f>
        <v>9717.9699999999993</v>
      </c>
      <c r="D2119">
        <f>5349.94</f>
        <v>5349.94</v>
      </c>
      <c r="E2119">
        <f>2103.854</f>
        <v>2103.8539999999998</v>
      </c>
      <c r="F2119">
        <f>1964.37</f>
        <v>1964.37</v>
      </c>
      <c r="G2119">
        <f>8515.634</f>
        <v>8515.634</v>
      </c>
      <c r="H2119">
        <f>2746.15</f>
        <v>2746.15</v>
      </c>
      <c r="I2119">
        <f>9159.962</f>
        <v>9159.9619999999995</v>
      </c>
      <c r="J2119">
        <f>2833.69</f>
        <v>2833.69</v>
      </c>
      <c r="K2119">
        <f>8205.91</f>
        <v>8205.91</v>
      </c>
      <c r="L2119">
        <f>1660.82</f>
        <v>1660.82</v>
      </c>
      <c r="M2119">
        <f>6827.05</f>
        <v>6827.05</v>
      </c>
      <c r="N2119">
        <f>324.411</f>
        <v>324.411</v>
      </c>
      <c r="O2119">
        <f>2767.7</f>
        <v>2767.7</v>
      </c>
      <c r="P2119">
        <f>202.92</f>
        <v>202.92</v>
      </c>
      <c r="Q2119">
        <f>1840.23</f>
        <v>1840.23</v>
      </c>
      <c r="R2119">
        <f>3928.15</f>
        <v>3928.15</v>
      </c>
      <c r="S2119">
        <f>2243.59</f>
        <v>2243.59</v>
      </c>
      <c r="T2119">
        <f>3773.756</f>
        <v>3773.7559999999999</v>
      </c>
      <c r="U2119">
        <f>54409.43</f>
        <v>54409.43</v>
      </c>
      <c r="V2119">
        <f>358.12</f>
        <v>358.12</v>
      </c>
    </row>
    <row r="2120" spans="1:22" x14ac:dyDescent="0.2">
      <c r="A2120" s="1">
        <v>42139</v>
      </c>
      <c r="B2120">
        <f>3133.8</f>
        <v>3133.8</v>
      </c>
      <c r="C2120">
        <f>9761.89</f>
        <v>9761.89</v>
      </c>
      <c r="D2120">
        <f>5343.51</f>
        <v>5343.51</v>
      </c>
      <c r="E2120">
        <f>2108.744</f>
        <v>2108.7440000000001</v>
      </c>
      <c r="F2120">
        <f>1982.08</f>
        <v>1982.08</v>
      </c>
      <c r="G2120">
        <f>8565.019</f>
        <v>8565.0190000000002</v>
      </c>
      <c r="H2120">
        <f>2720.38</f>
        <v>2720.38</v>
      </c>
      <c r="I2120">
        <f>9158.926</f>
        <v>9158.9259999999995</v>
      </c>
      <c r="J2120">
        <f>2832.6</f>
        <v>2832.6</v>
      </c>
      <c r="K2120">
        <f>8178.64</f>
        <v>8178.64</v>
      </c>
      <c r="L2120">
        <f>1663.31</f>
        <v>1663.31</v>
      </c>
      <c r="M2120">
        <f>6819.14</f>
        <v>6819.14</v>
      </c>
      <c r="N2120">
        <f>322.164</f>
        <v>322.16399999999999</v>
      </c>
      <c r="O2120">
        <f>2752.64</f>
        <v>2752.64</v>
      </c>
      <c r="P2120">
        <f>202.02</f>
        <v>202.02</v>
      </c>
      <c r="Q2120">
        <f>1838.26</f>
        <v>1838.26</v>
      </c>
      <c r="R2120">
        <f>3915.99</f>
        <v>3915.99</v>
      </c>
      <c r="S2120">
        <f>2216.61</f>
        <v>2216.61</v>
      </c>
      <c r="T2120">
        <f>3735.322</f>
        <v>3735.3220000000001</v>
      </c>
      <c r="U2120">
        <f>54028.17</f>
        <v>54028.17</v>
      </c>
      <c r="V2120">
        <f>355.39</f>
        <v>355.39</v>
      </c>
    </row>
    <row r="2121" spans="1:22" x14ac:dyDescent="0.2">
      <c r="A2121" s="1">
        <v>42138</v>
      </c>
      <c r="B2121">
        <f>3128.14</f>
        <v>3128.14</v>
      </c>
      <c r="C2121">
        <f>9655.72</f>
        <v>9655.7199999999993</v>
      </c>
      <c r="D2121">
        <f>5353.14</f>
        <v>5353.14</v>
      </c>
      <c r="E2121">
        <f>2093.222</f>
        <v>2093.2220000000002</v>
      </c>
      <c r="F2121">
        <f>1984.66</f>
        <v>1984.66</v>
      </c>
      <c r="G2121">
        <f>8562.362</f>
        <v>8562.3619999999992</v>
      </c>
      <c r="H2121">
        <f>2700.33</f>
        <v>2700.33</v>
      </c>
      <c r="I2121">
        <f>9148.809</f>
        <v>9148.8089999999993</v>
      </c>
      <c r="J2121">
        <f>2825.42</f>
        <v>2825.42</v>
      </c>
      <c r="K2121">
        <f>8169.76</f>
        <v>8169.76</v>
      </c>
      <c r="L2121">
        <f>1659.26</f>
        <v>1659.26</v>
      </c>
      <c r="M2121">
        <f>6804.39</f>
        <v>6804.39</v>
      </c>
      <c r="N2121">
        <f>322.993</f>
        <v>322.99299999999999</v>
      </c>
      <c r="O2121">
        <f>2767.74</f>
        <v>2767.74</v>
      </c>
      <c r="P2121">
        <f>199.62</f>
        <v>199.62</v>
      </c>
      <c r="Q2121">
        <f>1834.74</f>
        <v>1834.74</v>
      </c>
      <c r="R2121">
        <f>3912.52</f>
        <v>3912.52</v>
      </c>
      <c r="S2121">
        <f>2195.07</f>
        <v>2195.0700000000002</v>
      </c>
      <c r="T2121">
        <f>3708.27</f>
        <v>3708.27</v>
      </c>
      <c r="U2121">
        <f>53874.59</f>
        <v>53874.59</v>
      </c>
      <c r="V2121">
        <f>355.23</f>
        <v>355.23</v>
      </c>
    </row>
    <row r="2122" spans="1:22" x14ac:dyDescent="0.2">
      <c r="A2122" s="1">
        <v>42137</v>
      </c>
      <c r="B2122">
        <f>3119.91</f>
        <v>3119.91</v>
      </c>
      <c r="C2122">
        <f>9675.3</f>
        <v>9675.2999999999993</v>
      </c>
      <c r="D2122">
        <f>5325.98</f>
        <v>5325.98</v>
      </c>
      <c r="E2122">
        <f>2089.199</f>
        <v>2089.1990000000001</v>
      </c>
      <c r="F2122">
        <f>1973.05</f>
        <v>1973.05</v>
      </c>
      <c r="G2122">
        <f>8504.301</f>
        <v>8504.3009999999995</v>
      </c>
      <c r="H2122">
        <f>2717.25</f>
        <v>2717.25</v>
      </c>
      <c r="I2122">
        <f>9051.553</f>
        <v>9051.5529999999999</v>
      </c>
      <c r="J2122">
        <f>2797.42</f>
        <v>2797.42</v>
      </c>
      <c r="K2122">
        <f>8083.08</f>
        <v>8083.08</v>
      </c>
      <c r="L2122">
        <f>1647.96</f>
        <v>1647.96</v>
      </c>
      <c r="M2122">
        <f>6751.64</f>
        <v>6751.64</v>
      </c>
      <c r="N2122">
        <f>320.303</f>
        <v>320.303</v>
      </c>
      <c r="O2122">
        <f>2745.57</f>
        <v>2745.57</v>
      </c>
      <c r="P2122">
        <f>200.38</f>
        <v>200.38</v>
      </c>
      <c r="Q2122">
        <f>1813.96</f>
        <v>1813.96</v>
      </c>
      <c r="R2122">
        <f>3870.36</f>
        <v>3870.36</v>
      </c>
      <c r="S2122">
        <f>2212.62</f>
        <v>2212.62</v>
      </c>
      <c r="T2122">
        <f>3729.052</f>
        <v>3729.0520000000001</v>
      </c>
      <c r="U2122">
        <f>54053.92</f>
        <v>54053.919999999998</v>
      </c>
      <c r="V2122">
        <f>357.35</f>
        <v>357.35</v>
      </c>
    </row>
    <row r="2123" spans="1:22" x14ac:dyDescent="0.2">
      <c r="A2123" s="1">
        <v>42136</v>
      </c>
      <c r="B2123">
        <f>3106.03</f>
        <v>3106.03</v>
      </c>
      <c r="C2123">
        <f>9643.61</f>
        <v>9643.61</v>
      </c>
      <c r="D2123">
        <f>5313.85</f>
        <v>5313.85</v>
      </c>
      <c r="E2123">
        <f>2079.249</f>
        <v>2079.2489999999998</v>
      </c>
      <c r="F2123">
        <f>1958.8</f>
        <v>1958.8</v>
      </c>
      <c r="G2123">
        <f>8451.061</f>
        <v>8451.0609999999997</v>
      </c>
      <c r="H2123">
        <f>2699.27</f>
        <v>2699.27</v>
      </c>
      <c r="I2123">
        <f>8978.126</f>
        <v>8978.1260000000002</v>
      </c>
      <c r="J2123">
        <f>2799.42</f>
        <v>2799.42</v>
      </c>
      <c r="K2123">
        <f>8084.93</f>
        <v>8084.93</v>
      </c>
      <c r="L2123">
        <f>1641.46</f>
        <v>1641.46</v>
      </c>
      <c r="M2123">
        <f>6730.68</f>
        <v>6730.68</v>
      </c>
      <c r="N2123">
        <f>321.521</f>
        <v>321.52100000000002</v>
      </c>
      <c r="O2123">
        <f>2752.88</f>
        <v>2752.88</v>
      </c>
      <c r="P2123">
        <f>200.98</f>
        <v>200.98</v>
      </c>
      <c r="Q2123">
        <f>1814.74</f>
        <v>1814.74</v>
      </c>
      <c r="R2123">
        <f>3870.69</f>
        <v>3870.69</v>
      </c>
      <c r="S2123">
        <f>2209.93</f>
        <v>2209.9299999999998</v>
      </c>
      <c r="T2123">
        <f>3743.295</f>
        <v>3743.2950000000001</v>
      </c>
      <c r="U2123">
        <f>53934.41</f>
        <v>53934.41</v>
      </c>
      <c r="V2123">
        <f>359.27</f>
        <v>359.27</v>
      </c>
    </row>
    <row r="2124" spans="1:22" x14ac:dyDescent="0.2">
      <c r="A2124" s="1">
        <v>42135</v>
      </c>
      <c r="B2124">
        <f>3151.77</f>
        <v>3151.77</v>
      </c>
      <c r="C2124">
        <f>9700.68</f>
        <v>9700.68</v>
      </c>
      <c r="D2124">
        <f>5387.46</f>
        <v>5387.46</v>
      </c>
      <c r="E2124">
        <f>2093.278</f>
        <v>2093.2779999999998</v>
      </c>
      <c r="F2124">
        <f>1977.73</f>
        <v>1977.73</v>
      </c>
      <c r="G2124">
        <f>8510.182</f>
        <v>8510.1820000000007</v>
      </c>
      <c r="H2124">
        <f>2684.49</f>
        <v>2684.49</v>
      </c>
      <c r="I2124">
        <f>9005.293</f>
        <v>9005.2929999999997</v>
      </c>
      <c r="J2124">
        <f>2808.01</f>
        <v>2808.01</v>
      </c>
      <c r="K2124">
        <f>8107.31</f>
        <v>8107.31</v>
      </c>
      <c r="L2124">
        <f>1645.48</f>
        <v>1645.48</v>
      </c>
      <c r="M2124">
        <f>6745.38</f>
        <v>6745.38</v>
      </c>
      <c r="N2124">
        <f>325.841</f>
        <v>325.84100000000001</v>
      </c>
      <c r="O2124">
        <f>2789.76</f>
        <v>2789.76</v>
      </c>
      <c r="P2124">
        <f>201.47</f>
        <v>201.47</v>
      </c>
      <c r="Q2124">
        <f>1818.44</f>
        <v>1818.44</v>
      </c>
      <c r="R2124">
        <f>3881.93</f>
        <v>3881.93</v>
      </c>
      <c r="S2124">
        <f>2204.5</f>
        <v>2204.5</v>
      </c>
      <c r="T2124">
        <f>3750.088</f>
        <v>3750.0880000000002</v>
      </c>
      <c r="U2124">
        <f>54161.05</f>
        <v>54161.05</v>
      </c>
      <c r="V2124">
        <f>358.77</f>
        <v>358.77</v>
      </c>
    </row>
    <row r="2125" spans="1:22" x14ac:dyDescent="0.2">
      <c r="A2125" s="1">
        <v>42132</v>
      </c>
      <c r="B2125">
        <f>3153.25</f>
        <v>3153.25</v>
      </c>
      <c r="C2125">
        <f>9736.46</f>
        <v>9736.4599999999991</v>
      </c>
      <c r="D2125">
        <f>5400.47</f>
        <v>5400.47</v>
      </c>
      <c r="E2125">
        <f>2090.98</f>
        <v>2090.98</v>
      </c>
      <c r="F2125">
        <f>1959.35</f>
        <v>1959.35</v>
      </c>
      <c r="G2125">
        <f>8454.549</f>
        <v>8454.5490000000009</v>
      </c>
      <c r="H2125">
        <f>2665.11</f>
        <v>2665.11</v>
      </c>
      <c r="I2125">
        <f>9058.423</f>
        <v>9058.4230000000007</v>
      </c>
      <c r="J2125">
        <f>2823.89</f>
        <v>2823.89</v>
      </c>
      <c r="K2125">
        <f>8146.95</f>
        <v>8146.95</v>
      </c>
      <c r="L2125">
        <f>1649.42</f>
        <v>1649.42</v>
      </c>
      <c r="M2125">
        <f>6763.9</f>
        <v>6763.9</v>
      </c>
      <c r="N2125">
        <f>322.93</f>
        <v>322.93</v>
      </c>
      <c r="O2125">
        <f>2775.55</f>
        <v>2775.55</v>
      </c>
      <c r="P2125">
        <f>198.96</f>
        <v>198.96</v>
      </c>
      <c r="Q2125">
        <f>1823.76</f>
        <v>1823.76</v>
      </c>
      <c r="R2125">
        <f>3901.01</f>
        <v>3901.01</v>
      </c>
      <c r="S2125">
        <f>2189.92</f>
        <v>2189.92</v>
      </c>
      <c r="T2125">
        <f>3737.274</f>
        <v>3737.2739999999999</v>
      </c>
      <c r="U2125">
        <f>53790.57</f>
        <v>53790.57</v>
      </c>
      <c r="V2125">
        <f>358.04</f>
        <v>358.04</v>
      </c>
    </row>
    <row r="2126" spans="1:22" x14ac:dyDescent="0.2">
      <c r="A2126" s="1">
        <v>42131</v>
      </c>
      <c r="B2126">
        <f>3065.83</f>
        <v>3065.83</v>
      </c>
      <c r="C2126">
        <f>9644.28</f>
        <v>9644.2800000000007</v>
      </c>
      <c r="D2126">
        <f>5277.95</f>
        <v>5277.95</v>
      </c>
      <c r="E2126">
        <f>2070.524</f>
        <v>2070.5239999999999</v>
      </c>
      <c r="F2126">
        <f>1880.16</f>
        <v>1880.16</v>
      </c>
      <c r="G2126">
        <f>8147.34</f>
        <v>8147.34</v>
      </c>
      <c r="H2126">
        <f>2666.61</f>
        <v>2666.61</v>
      </c>
      <c r="I2126">
        <f>8888.849</f>
        <v>8888.8490000000002</v>
      </c>
      <c r="J2126">
        <f>2788.21</f>
        <v>2788.21</v>
      </c>
      <c r="K2126">
        <f>8041.89</f>
        <v>8041.89</v>
      </c>
      <c r="L2126">
        <f>1623.45</f>
        <v>1623.45</v>
      </c>
      <c r="M2126">
        <f>6666.86</f>
        <v>6666.86</v>
      </c>
      <c r="N2126">
        <f>312.097</f>
        <v>312.09699999999998</v>
      </c>
      <c r="O2126">
        <f>2696.72</f>
        <v>2696.72</v>
      </c>
      <c r="P2126">
        <f>198.34</f>
        <v>198.34</v>
      </c>
      <c r="Q2126">
        <f>1803.91</f>
        <v>1803.91</v>
      </c>
      <c r="R2126">
        <f>3849.13</f>
        <v>3849.13</v>
      </c>
      <c r="S2126">
        <f>2171.82</f>
        <v>2171.8200000000002</v>
      </c>
      <c r="T2126">
        <f>3697.372</f>
        <v>3697.3719999999998</v>
      </c>
      <c r="U2126">
        <f>53238.17</f>
        <v>53238.17</v>
      </c>
      <c r="V2126">
        <f>357.16</f>
        <v>357.16</v>
      </c>
    </row>
    <row r="2127" spans="1:22" x14ac:dyDescent="0.2">
      <c r="A2127" s="1">
        <v>42130</v>
      </c>
      <c r="B2127">
        <f>3080.47</f>
        <v>3080.47</v>
      </c>
      <c r="C2127">
        <f>9807.98</f>
        <v>9807.98</v>
      </c>
      <c r="D2127">
        <f>5308.56</f>
        <v>5308.56</v>
      </c>
      <c r="E2127">
        <f>2101.734</f>
        <v>2101.7339999999999</v>
      </c>
      <c r="F2127">
        <f>1894.32</f>
        <v>1894.32</v>
      </c>
      <c r="G2127">
        <f>8225.829</f>
        <v>8225.8289999999997</v>
      </c>
      <c r="H2127">
        <f>2692.92</f>
        <v>2692.92</v>
      </c>
      <c r="I2127">
        <f>8946.877</f>
        <v>8946.8770000000004</v>
      </c>
      <c r="J2127">
        <f>2782.74</f>
        <v>2782.74</v>
      </c>
      <c r="K2127">
        <f>8010.11</f>
        <v>8010.11</v>
      </c>
      <c r="L2127">
        <f>1635</f>
        <v>1635</v>
      </c>
      <c r="M2127">
        <f>6677.72</f>
        <v>6677.72</v>
      </c>
      <c r="N2127">
        <f>312.581</f>
        <v>312.58100000000002</v>
      </c>
      <c r="O2127">
        <f>2695.45</f>
        <v>2695.45</v>
      </c>
      <c r="P2127" t="e">
        <f>NA()</f>
        <v>#N/A</v>
      </c>
      <c r="Q2127">
        <f>1795.49</f>
        <v>1795.49</v>
      </c>
      <c r="R2127">
        <f>3833.7</f>
        <v>3833.7</v>
      </c>
      <c r="S2127" t="e">
        <f>NA()</f>
        <v>#N/A</v>
      </c>
      <c r="T2127">
        <f>3734.959</f>
        <v>3734.9589999999998</v>
      </c>
      <c r="U2127">
        <f>53848.74</f>
        <v>53848.74</v>
      </c>
      <c r="V2127">
        <f>367.16</f>
        <v>367.16</v>
      </c>
    </row>
    <row r="2128" spans="1:22" x14ac:dyDescent="0.2">
      <c r="A2128" s="1">
        <v>42129</v>
      </c>
      <c r="B2128">
        <f>3083.91</f>
        <v>3083.91</v>
      </c>
      <c r="C2128">
        <f>9817.17</f>
        <v>9817.17</v>
      </c>
      <c r="D2128">
        <f>5303.84</f>
        <v>5303.84</v>
      </c>
      <c r="E2128">
        <f>2116.759</f>
        <v>2116.759</v>
      </c>
      <c r="F2128">
        <f>1886.38</f>
        <v>1886.38</v>
      </c>
      <c r="G2128">
        <f>8188.651</f>
        <v>8188.6509999999998</v>
      </c>
      <c r="H2128">
        <f>2678.78</f>
        <v>2678.78</v>
      </c>
      <c r="I2128">
        <f>8846.449</f>
        <v>8846.4490000000005</v>
      </c>
      <c r="J2128">
        <f>2792.83</f>
        <v>2792.83</v>
      </c>
      <c r="K2128">
        <f>8040.81</f>
        <v>8040.81</v>
      </c>
      <c r="L2128">
        <f>1631.55</f>
        <v>1631.55</v>
      </c>
      <c r="M2128">
        <f>6678.13</f>
        <v>6678.13</v>
      </c>
      <c r="N2128">
        <f>314.731</f>
        <v>314.73099999999999</v>
      </c>
      <c r="O2128">
        <f>2710.29</f>
        <v>2710.29</v>
      </c>
      <c r="P2128" t="e">
        <f>NA()</f>
        <v>#N/A</v>
      </c>
      <c r="Q2128">
        <f>1798.1</f>
        <v>1798.1</v>
      </c>
      <c r="R2128">
        <f>3849.41</f>
        <v>3849.41</v>
      </c>
      <c r="S2128" t="e">
        <f>NA()</f>
        <v>#N/A</v>
      </c>
      <c r="T2128">
        <f>3778.927</f>
        <v>3778.9270000000001</v>
      </c>
      <c r="U2128">
        <f>54574.99</f>
        <v>54574.99</v>
      </c>
      <c r="V2128">
        <f>368.74</f>
        <v>368.74</v>
      </c>
    </row>
    <row r="2129" spans="1:22" x14ac:dyDescent="0.2">
      <c r="A2129" s="1">
        <v>42128</v>
      </c>
      <c r="B2129">
        <f>3102.64</f>
        <v>3102.64</v>
      </c>
      <c r="C2129">
        <f>9838.9</f>
        <v>9838.9</v>
      </c>
      <c r="D2129">
        <f>5348.53</f>
        <v>5348.53</v>
      </c>
      <c r="E2129">
        <f>2117.241</f>
        <v>2117.241</v>
      </c>
      <c r="F2129">
        <f>1884.75</f>
        <v>1884.75</v>
      </c>
      <c r="G2129">
        <f>8215.608</f>
        <v>8215.6080000000002</v>
      </c>
      <c r="H2129">
        <f>2675.43</f>
        <v>2675.43</v>
      </c>
      <c r="I2129">
        <f>8982.666</f>
        <v>8982.6659999999993</v>
      </c>
      <c r="J2129">
        <f>2821.55</f>
        <v>2821.55</v>
      </c>
      <c r="K2129">
        <f>8136.76</f>
        <v>8136.76</v>
      </c>
      <c r="L2129">
        <f>1643.98</f>
        <v>1643.98</v>
      </c>
      <c r="M2129">
        <f>6742.63</f>
        <v>6742.63</v>
      </c>
      <c r="N2129">
        <f>318.597</f>
        <v>318.59699999999998</v>
      </c>
      <c r="O2129">
        <f>2749.68</f>
        <v>2749.68</v>
      </c>
      <c r="P2129" t="e">
        <f>NA()</f>
        <v>#N/A</v>
      </c>
      <c r="Q2129">
        <f>1814.47</f>
        <v>1814.47</v>
      </c>
      <c r="R2129">
        <f>3895.16</f>
        <v>3895.16</v>
      </c>
      <c r="S2129" t="e">
        <f>NA()</f>
        <v>#N/A</v>
      </c>
      <c r="T2129">
        <f>3757.366</f>
        <v>3757.366</v>
      </c>
      <c r="U2129">
        <f>54639.86</f>
        <v>54639.86</v>
      </c>
      <c r="V2129">
        <f>363.98</f>
        <v>363.98</v>
      </c>
    </row>
    <row r="2130" spans="1:22" x14ac:dyDescent="0.2">
      <c r="A2130" s="1">
        <v>42125</v>
      </c>
      <c r="B2130">
        <f>3102.64</f>
        <v>3102.64</v>
      </c>
      <c r="C2130">
        <f>9831.6</f>
        <v>9831.6</v>
      </c>
      <c r="D2130">
        <f>5348.53</f>
        <v>5348.53</v>
      </c>
      <c r="E2130">
        <f>2112.524</f>
        <v>2112.5239999999999</v>
      </c>
      <c r="F2130">
        <f>1892.29</f>
        <v>1892.29</v>
      </c>
      <c r="G2130">
        <f>8248.487</f>
        <v>8248.4869999999992</v>
      </c>
      <c r="H2130">
        <f>2676.32</f>
        <v>2676.32</v>
      </c>
      <c r="I2130">
        <f>8957.429</f>
        <v>8957.4290000000001</v>
      </c>
      <c r="J2130">
        <f>2816.75</f>
        <v>2816.75</v>
      </c>
      <c r="K2130">
        <f>8113.71</f>
        <v>8113.71</v>
      </c>
      <c r="L2130">
        <f>1641.35</f>
        <v>1641.35</v>
      </c>
      <c r="M2130">
        <f>6728.25</f>
        <v>6728.25</v>
      </c>
      <c r="N2130">
        <f>316.57</f>
        <v>316.57</v>
      </c>
      <c r="O2130">
        <f>2731.62</f>
        <v>2731.62</v>
      </c>
      <c r="P2130">
        <f>199.63</f>
        <v>199.63</v>
      </c>
      <c r="Q2130">
        <f>1807.92</f>
        <v>1807.92</v>
      </c>
      <c r="R2130">
        <f>3883.75</f>
        <v>3883.75</v>
      </c>
      <c r="S2130">
        <f>2186.94</f>
        <v>2186.94</v>
      </c>
      <c r="T2130" t="e">
        <f>NA()</f>
        <v>#N/A</v>
      </c>
      <c r="U2130" t="e">
        <f>NA()</f>
        <v>#N/A</v>
      </c>
      <c r="V2130" t="e">
        <f>NA()</f>
        <v>#N/A</v>
      </c>
    </row>
    <row r="2131" spans="1:22" x14ac:dyDescent="0.2">
      <c r="A2131" s="1">
        <v>42124</v>
      </c>
      <c r="B2131">
        <f>3101.81</f>
        <v>3101.81</v>
      </c>
      <c r="C2131">
        <f>9852.83</f>
        <v>9852.83</v>
      </c>
      <c r="D2131">
        <f>5329.14</f>
        <v>5329.14</v>
      </c>
      <c r="E2131">
        <f>2116.086</f>
        <v>2116.0859999999998</v>
      </c>
      <c r="F2131">
        <f>1921.33</f>
        <v>1921.33</v>
      </c>
      <c r="G2131">
        <f>8321.683</f>
        <v>8321.6830000000009</v>
      </c>
      <c r="H2131">
        <f>2677.65</f>
        <v>2677.65</v>
      </c>
      <c r="I2131">
        <f>8939.763</f>
        <v>8939.7630000000008</v>
      </c>
      <c r="J2131">
        <f>2794.92</f>
        <v>2794.92</v>
      </c>
      <c r="K2131">
        <f>8028.43</f>
        <v>8028.43</v>
      </c>
      <c r="L2131">
        <f>1638.52</f>
        <v>1638.52</v>
      </c>
      <c r="M2131">
        <f>6694.31</f>
        <v>6694.31</v>
      </c>
      <c r="N2131">
        <f>318.97</f>
        <v>318.97000000000003</v>
      </c>
      <c r="O2131">
        <f>2740.59</f>
        <v>2740.59</v>
      </c>
      <c r="P2131">
        <f>202.02</f>
        <v>202.02</v>
      </c>
      <c r="Q2131">
        <f>1790.88</f>
        <v>1790.88</v>
      </c>
      <c r="R2131">
        <f>3841.78</f>
        <v>3841.78</v>
      </c>
      <c r="S2131">
        <f>2196.84</f>
        <v>2196.84</v>
      </c>
      <c r="T2131">
        <f>3775.775</f>
        <v>3775.7750000000001</v>
      </c>
      <c r="U2131">
        <f>54440.43</f>
        <v>54440.43</v>
      </c>
      <c r="V2131">
        <f>363.87</f>
        <v>363.87</v>
      </c>
    </row>
    <row r="2132" spans="1:22" x14ac:dyDescent="0.2">
      <c r="A2132" s="1">
        <v>42123</v>
      </c>
      <c r="B2132">
        <f>3098.15</f>
        <v>3098.15</v>
      </c>
      <c r="C2132">
        <f>9981.92</f>
        <v>9981.92</v>
      </c>
      <c r="D2132">
        <f>5315.41</f>
        <v>5315.41</v>
      </c>
      <c r="E2132">
        <f>2139.602</f>
        <v>2139.6019999999999</v>
      </c>
      <c r="F2132">
        <f>1927.09</f>
        <v>1927.09</v>
      </c>
      <c r="G2132">
        <f>8347.703</f>
        <v>8347.7029999999995</v>
      </c>
      <c r="H2132">
        <f>2765.18</f>
        <v>2765.18</v>
      </c>
      <c r="I2132">
        <f>8903.163</f>
        <v>8903.1630000000005</v>
      </c>
      <c r="J2132">
        <f>2815.24</f>
        <v>2815.24</v>
      </c>
      <c r="K2132">
        <f>8110.3</f>
        <v>8110.3</v>
      </c>
      <c r="L2132">
        <f>1647.99</f>
        <v>1647.99</v>
      </c>
      <c r="M2132">
        <f>6758.3</f>
        <v>6758.3</v>
      </c>
      <c r="N2132">
        <f>319.433</f>
        <v>319.43299999999999</v>
      </c>
      <c r="O2132">
        <f>2748.97</f>
        <v>2748.97</v>
      </c>
      <c r="P2132" t="e">
        <f>NA()</f>
        <v>#N/A</v>
      </c>
      <c r="Q2132">
        <f>1809.6</f>
        <v>1809.6</v>
      </c>
      <c r="R2132">
        <f>3880.9</f>
        <v>3880.9</v>
      </c>
      <c r="S2132" t="e">
        <f>NA()</f>
        <v>#N/A</v>
      </c>
      <c r="T2132">
        <f>3777.164</f>
        <v>3777.1640000000002</v>
      </c>
      <c r="U2132">
        <f>54541.74</f>
        <v>54541.74</v>
      </c>
      <c r="V2132">
        <f>366.27</f>
        <v>366.27</v>
      </c>
    </row>
    <row r="2133" spans="1:22" x14ac:dyDescent="0.2">
      <c r="A2133" s="1">
        <v>42122</v>
      </c>
      <c r="B2133">
        <f>3132.73</f>
        <v>3132.73</v>
      </c>
      <c r="C2133">
        <f>10041.21</f>
        <v>10041.209999999999</v>
      </c>
      <c r="D2133">
        <f>5379.88</f>
        <v>5379.88</v>
      </c>
      <c r="E2133">
        <f>2154.562</f>
        <v>2154.5619999999999</v>
      </c>
      <c r="F2133">
        <f>1926.24</f>
        <v>1926.24</v>
      </c>
      <c r="G2133">
        <f>8373.319</f>
        <v>8373.3189999999995</v>
      </c>
      <c r="H2133">
        <f>2768.32</f>
        <v>2768.32</v>
      </c>
      <c r="I2133">
        <f>8981.639</f>
        <v>8981.6389999999992</v>
      </c>
      <c r="J2133">
        <f>2829.5</f>
        <v>2829.5</v>
      </c>
      <c r="K2133">
        <f>8138.7</f>
        <v>8138.7</v>
      </c>
      <c r="L2133">
        <f>1656.07</f>
        <v>1656.07</v>
      </c>
      <c r="M2133">
        <f>6785.83</f>
        <v>6785.83</v>
      </c>
      <c r="N2133">
        <f>325.641</f>
        <v>325.64100000000002</v>
      </c>
      <c r="O2133">
        <f>2810.91</f>
        <v>2810.91</v>
      </c>
      <c r="P2133">
        <f>205.41</f>
        <v>205.41</v>
      </c>
      <c r="Q2133">
        <f>1822.12</f>
        <v>1822.12</v>
      </c>
      <c r="R2133">
        <f>3895.21</f>
        <v>3895.21</v>
      </c>
      <c r="S2133">
        <f>2244.61</f>
        <v>2244.61</v>
      </c>
      <c r="T2133">
        <f>3823.616</f>
        <v>3823.616</v>
      </c>
      <c r="U2133">
        <f>55039.29</f>
        <v>55039.29</v>
      </c>
      <c r="V2133">
        <f>371.04</f>
        <v>371.04</v>
      </c>
    </row>
    <row r="2134" spans="1:22" x14ac:dyDescent="0.2">
      <c r="A2134" s="1">
        <v>42121</v>
      </c>
      <c r="B2134">
        <f>3161.14</f>
        <v>3161.14</v>
      </c>
      <c r="C2134">
        <f>10019.16</f>
        <v>10019.16</v>
      </c>
      <c r="D2134">
        <f>5436.08</f>
        <v>5436.08</v>
      </c>
      <c r="E2134">
        <f>2151.666</f>
        <v>2151.6660000000002</v>
      </c>
      <c r="F2134">
        <f>1931.63</f>
        <v>1931.63</v>
      </c>
      <c r="G2134">
        <f>8395.088</f>
        <v>8395.0879999999997</v>
      </c>
      <c r="H2134">
        <f>2745.52</f>
        <v>2745.52</v>
      </c>
      <c r="I2134">
        <f>9050.638</f>
        <v>9050.6380000000008</v>
      </c>
      <c r="J2134">
        <f>2807.17</f>
        <v>2807.17</v>
      </c>
      <c r="K2134">
        <f>8118.97</f>
        <v>8118.97</v>
      </c>
      <c r="L2134">
        <f>1652.21</f>
        <v>1652.21</v>
      </c>
      <c r="M2134">
        <f>6778.38</f>
        <v>6778.38</v>
      </c>
      <c r="N2134">
        <f>330.778</f>
        <v>330.77800000000002</v>
      </c>
      <c r="O2134">
        <f>2854.04</f>
        <v>2854.04</v>
      </c>
      <c r="P2134">
        <f>205.63</f>
        <v>205.63</v>
      </c>
      <c r="Q2134">
        <f>1816.03</f>
        <v>1816.03</v>
      </c>
      <c r="R2134">
        <f>3884.1</f>
        <v>3884.1</v>
      </c>
      <c r="S2134">
        <f>2233.09</f>
        <v>2233.09</v>
      </c>
      <c r="T2134" t="e">
        <f>NA()</f>
        <v>#N/A</v>
      </c>
      <c r="U2134" t="e">
        <f>NA()</f>
        <v>#N/A</v>
      </c>
      <c r="V2134" t="e">
        <f>NA()</f>
        <v>#N/A</v>
      </c>
    </row>
    <row r="2135" spans="1:22" x14ac:dyDescent="0.2">
      <c r="A2135" s="1">
        <v>42118</v>
      </c>
      <c r="B2135">
        <f>3150</f>
        <v>3150</v>
      </c>
      <c r="C2135">
        <f>9912.15</f>
        <v>9912.15</v>
      </c>
      <c r="D2135">
        <f>5410.62</f>
        <v>5410.62</v>
      </c>
      <c r="E2135">
        <f>2141.011</f>
        <v>2141.011</v>
      </c>
      <c r="F2135">
        <f>1921.09</f>
        <v>1921.09</v>
      </c>
      <c r="G2135">
        <f>8330.329</f>
        <v>8330.3289999999997</v>
      </c>
      <c r="H2135">
        <f>2740.43</f>
        <v>2740.43</v>
      </c>
      <c r="I2135">
        <f>8929.955</f>
        <v>8929.9549999999999</v>
      </c>
      <c r="J2135">
        <f>2817.51</f>
        <v>2817.51</v>
      </c>
      <c r="K2135">
        <f>8153.05</f>
        <v>8153.05</v>
      </c>
      <c r="L2135">
        <f>1646.35</f>
        <v>1646.35</v>
      </c>
      <c r="M2135">
        <f>6771.62</f>
        <v>6771.62</v>
      </c>
      <c r="N2135">
        <f>328.669</f>
        <v>328.66899999999998</v>
      </c>
      <c r="O2135">
        <f>2824.69</f>
        <v>2824.69</v>
      </c>
      <c r="P2135">
        <f>205.19</f>
        <v>205.19</v>
      </c>
      <c r="Q2135">
        <f>1823.38</f>
        <v>1823.38</v>
      </c>
      <c r="R2135">
        <f>3900.24</f>
        <v>3900.24</v>
      </c>
      <c r="S2135">
        <f>2232.74</f>
        <v>2232.7399999999998</v>
      </c>
      <c r="T2135">
        <f>3836.932</f>
        <v>3836.9319999999998</v>
      </c>
      <c r="U2135">
        <f>55188.34</f>
        <v>55188.34</v>
      </c>
      <c r="V2135">
        <f>367.07</f>
        <v>367.07</v>
      </c>
    </row>
    <row r="2136" spans="1:22" x14ac:dyDescent="0.2">
      <c r="A2136" s="1">
        <v>42117</v>
      </c>
      <c r="B2136">
        <f>3133.63</f>
        <v>3133.63</v>
      </c>
      <c r="C2136">
        <f>9836.2</f>
        <v>9836.2000000000007</v>
      </c>
      <c r="D2136">
        <f>5397.59</f>
        <v>5397.59</v>
      </c>
      <c r="E2136">
        <f>2127.527</f>
        <v>2127.527</v>
      </c>
      <c r="F2136">
        <f>1905.95</f>
        <v>1905.95</v>
      </c>
      <c r="G2136">
        <f>8251.935</f>
        <v>8251.9349999999995</v>
      </c>
      <c r="H2136">
        <f>2736.98</f>
        <v>2736.98</v>
      </c>
      <c r="I2136">
        <f>8850.434</f>
        <v>8850.4339999999993</v>
      </c>
      <c r="J2136">
        <f>2803.88</f>
        <v>2803.88</v>
      </c>
      <c r="K2136">
        <f>8138.18</f>
        <v>8138.18</v>
      </c>
      <c r="L2136">
        <f>1639.2</f>
        <v>1639.2</v>
      </c>
      <c r="M2136">
        <f>6742.4</f>
        <v>6742.4</v>
      </c>
      <c r="N2136">
        <f>327.616</f>
        <v>327.61599999999999</v>
      </c>
      <c r="O2136">
        <f>2815.47</f>
        <v>2815.47</v>
      </c>
      <c r="P2136">
        <f>205.93</f>
        <v>205.93</v>
      </c>
      <c r="Q2136">
        <f>1823.88</f>
        <v>1823.88</v>
      </c>
      <c r="R2136">
        <f>3891.46</f>
        <v>3891.46</v>
      </c>
      <c r="S2136">
        <f>2241.07</f>
        <v>2241.0700000000002</v>
      </c>
      <c r="T2136">
        <f>3832.799</f>
        <v>3832.799</v>
      </c>
      <c r="U2136">
        <f>54686.54</f>
        <v>54686.54</v>
      </c>
      <c r="V2136">
        <f>361.86</f>
        <v>361.86</v>
      </c>
    </row>
    <row r="2137" spans="1:22" x14ac:dyDescent="0.2">
      <c r="A2137" s="1">
        <v>42116</v>
      </c>
      <c r="B2137">
        <f>3118.91</f>
        <v>3118.91</v>
      </c>
      <c r="C2137">
        <f>9780.4</f>
        <v>9780.4</v>
      </c>
      <c r="D2137">
        <f>5370.64</f>
        <v>5370.64</v>
      </c>
      <c r="E2137">
        <f>2114.364</f>
        <v>2114.364</v>
      </c>
      <c r="F2137">
        <f>1900.98</f>
        <v>1900.98</v>
      </c>
      <c r="G2137">
        <f>8200.069</f>
        <v>8200.0689999999995</v>
      </c>
      <c r="H2137">
        <f>2701.59</f>
        <v>2701.59</v>
      </c>
      <c r="I2137">
        <f>8829.669</f>
        <v>8829.6689999999999</v>
      </c>
      <c r="J2137">
        <f>2798.45</f>
        <v>2798.45</v>
      </c>
      <c r="K2137">
        <f>8117.36</f>
        <v>8117.36</v>
      </c>
      <c r="L2137">
        <f>1631.5</f>
        <v>1631.5</v>
      </c>
      <c r="M2137">
        <f>6719.72</f>
        <v>6719.72</v>
      </c>
      <c r="N2137">
        <f>329.018</f>
        <v>329.01799999999997</v>
      </c>
      <c r="O2137">
        <f>2824.62</f>
        <v>2824.62</v>
      </c>
      <c r="P2137">
        <f>205.56</f>
        <v>205.56</v>
      </c>
      <c r="Q2137">
        <f>1819.61</f>
        <v>1819.61</v>
      </c>
      <c r="R2137">
        <f>3881.93</f>
        <v>3881.93</v>
      </c>
      <c r="S2137">
        <f>2236.82</f>
        <v>2236.8200000000002</v>
      </c>
      <c r="T2137">
        <f>3817.896</f>
        <v>3817.8960000000002</v>
      </c>
      <c r="U2137">
        <f>54281.56</f>
        <v>54281.56</v>
      </c>
      <c r="V2137">
        <f>356.45</f>
        <v>356.45</v>
      </c>
    </row>
    <row r="2138" spans="1:22" x14ac:dyDescent="0.2">
      <c r="A2138" s="1">
        <v>42115</v>
      </c>
      <c r="B2138">
        <f>3142.11</f>
        <v>3142.11</v>
      </c>
      <c r="C2138">
        <f>9804.53</f>
        <v>9804.5300000000007</v>
      </c>
      <c r="D2138">
        <f>5397.15</f>
        <v>5397.15</v>
      </c>
      <c r="E2138">
        <f>2103.366</f>
        <v>2103.366</v>
      </c>
      <c r="F2138">
        <f>1897.78</f>
        <v>1897.78</v>
      </c>
      <c r="G2138">
        <f>8179.377</f>
        <v>8179.3770000000004</v>
      </c>
      <c r="H2138">
        <f>2701.42</f>
        <v>2701.42</v>
      </c>
      <c r="I2138">
        <f>8863.804</f>
        <v>8863.8040000000001</v>
      </c>
      <c r="J2138">
        <f>2786.91</f>
        <v>2786.91</v>
      </c>
      <c r="K2138">
        <f>8077.09</f>
        <v>8077.09</v>
      </c>
      <c r="L2138">
        <f>1632.65</f>
        <v>1632.65</v>
      </c>
      <c r="M2138">
        <f>6701.36</f>
        <v>6701.36</v>
      </c>
      <c r="N2138">
        <f>328.601</f>
        <v>328.601</v>
      </c>
      <c r="O2138">
        <f>2825.46</f>
        <v>2825.46</v>
      </c>
      <c r="P2138">
        <f>205.23</f>
        <v>205.23</v>
      </c>
      <c r="Q2138">
        <f>1815.5</f>
        <v>1815.5</v>
      </c>
      <c r="R2138">
        <f>3862.15</f>
        <v>3862.15</v>
      </c>
      <c r="S2138">
        <f>2219.01</f>
        <v>2219.0100000000002</v>
      </c>
      <c r="T2138">
        <f>3827.802</f>
        <v>3827.8020000000001</v>
      </c>
      <c r="U2138">
        <f>54140.93</f>
        <v>54140.93</v>
      </c>
      <c r="V2138">
        <f>356.88</f>
        <v>356.88</v>
      </c>
    </row>
    <row r="2139" spans="1:22" x14ac:dyDescent="0.2">
      <c r="A2139" s="1">
        <v>42114</v>
      </c>
      <c r="B2139">
        <f>3125.95</f>
        <v>3125.95</v>
      </c>
      <c r="C2139">
        <f>9647.12</f>
        <v>9647.1200000000008</v>
      </c>
      <c r="D2139">
        <f>5388.89</f>
        <v>5388.89</v>
      </c>
      <c r="E2139">
        <f>2086.179</f>
        <v>2086.1790000000001</v>
      </c>
      <c r="F2139">
        <f>1891.09</f>
        <v>1891.09</v>
      </c>
      <c r="G2139">
        <f>8161.237</f>
        <v>8161.2370000000001</v>
      </c>
      <c r="H2139">
        <f>2677.16</f>
        <v>2677.16</v>
      </c>
      <c r="I2139">
        <f>8819.138</f>
        <v>8819.1380000000008</v>
      </c>
      <c r="J2139">
        <f>2795.52</f>
        <v>2795.52</v>
      </c>
      <c r="K2139">
        <f>8087.26</f>
        <v>8087.26</v>
      </c>
      <c r="L2139">
        <f>1633.03</f>
        <v>1633.03</v>
      </c>
      <c r="M2139">
        <f>6690.06</f>
        <v>6690.06</v>
      </c>
      <c r="N2139">
        <f>326.118</f>
        <v>326.11799999999999</v>
      </c>
      <c r="O2139">
        <f>2809.83</f>
        <v>2809.83</v>
      </c>
      <c r="P2139">
        <f>202.62</f>
        <v>202.62</v>
      </c>
      <c r="Q2139">
        <f>1817.83</f>
        <v>1817.83</v>
      </c>
      <c r="R2139">
        <f>3867.82</f>
        <v>3867.82</v>
      </c>
      <c r="S2139">
        <f>2182.88</f>
        <v>2182.88</v>
      </c>
      <c r="T2139">
        <f>3791.96</f>
        <v>3791.96</v>
      </c>
      <c r="U2139">
        <f>53839.71</f>
        <v>53839.71</v>
      </c>
      <c r="V2139">
        <f>357.47</f>
        <v>357.47</v>
      </c>
    </row>
    <row r="2140" spans="1:22" x14ac:dyDescent="0.2">
      <c r="A2140" s="1">
        <v>42111</v>
      </c>
      <c r="B2140">
        <f>3103.66</f>
        <v>3103.66</v>
      </c>
      <c r="C2140">
        <f>9741.66</f>
        <v>9741.66</v>
      </c>
      <c r="D2140">
        <f>5344.95</f>
        <v>5344.95</v>
      </c>
      <c r="E2140">
        <f>2103.929</f>
        <v>2103.9290000000001</v>
      </c>
      <c r="F2140">
        <f>1888.15</f>
        <v>1888.15</v>
      </c>
      <c r="G2140">
        <f>8119.903</f>
        <v>8119.9030000000002</v>
      </c>
      <c r="H2140">
        <f>2695.13</f>
        <v>2695.13</v>
      </c>
      <c r="I2140">
        <f>8750.593</f>
        <v>8750.5930000000008</v>
      </c>
      <c r="J2140">
        <f>2767.04</f>
        <v>2767.04</v>
      </c>
      <c r="K2140">
        <f>8015.1</f>
        <v>8015.1</v>
      </c>
      <c r="L2140">
        <f>1622.96</f>
        <v>1622.96</v>
      </c>
      <c r="M2140">
        <f>6650.34</f>
        <v>6650.34</v>
      </c>
      <c r="N2140">
        <f>324.388</f>
        <v>324.38799999999998</v>
      </c>
      <c r="O2140">
        <f>2783.81</f>
        <v>2783.81</v>
      </c>
      <c r="P2140">
        <f>203.77</f>
        <v>203.77</v>
      </c>
      <c r="Q2140">
        <f>1804.74</f>
        <v>1804.74</v>
      </c>
      <c r="R2140">
        <f>3832.33</f>
        <v>3832.33</v>
      </c>
      <c r="S2140">
        <f>2191.16</f>
        <v>2191.16</v>
      </c>
      <c r="T2140">
        <f>3771.196</f>
        <v>3771.1959999999999</v>
      </c>
      <c r="U2140">
        <f>53734.04</f>
        <v>53734.04</v>
      </c>
      <c r="V2140">
        <f>356.28</f>
        <v>356.28</v>
      </c>
    </row>
    <row r="2141" spans="1:22" x14ac:dyDescent="0.2">
      <c r="A2141" s="1">
        <v>42110</v>
      </c>
      <c r="B2141">
        <f>3136.25</f>
        <v>3136.25</v>
      </c>
      <c r="C2141">
        <f>9865.56</f>
        <v>9865.56</v>
      </c>
      <c r="D2141">
        <f>5395.25</f>
        <v>5395.25</v>
      </c>
      <c r="E2141">
        <f>2123.044</f>
        <v>2123.0439999999999</v>
      </c>
      <c r="F2141">
        <f>1899.48</f>
        <v>1899.48</v>
      </c>
      <c r="G2141">
        <f>8163.688</f>
        <v>8163.6880000000001</v>
      </c>
      <c r="H2141">
        <f>2682.09</f>
        <v>2682.09</v>
      </c>
      <c r="I2141">
        <f>8863.34</f>
        <v>8863.34</v>
      </c>
      <c r="J2141">
        <f>2792.72</f>
        <v>2792.72</v>
      </c>
      <c r="K2141">
        <f>8107.33</f>
        <v>8107.33</v>
      </c>
      <c r="L2141">
        <f>1634.15</f>
        <v>1634.15</v>
      </c>
      <c r="M2141">
        <f>6715.9</f>
        <v>6715.9</v>
      </c>
      <c r="N2141">
        <f>328.775</f>
        <v>328.77499999999998</v>
      </c>
      <c r="O2141">
        <f>2831.86</f>
        <v>2831.86</v>
      </c>
      <c r="P2141">
        <f>205.76</f>
        <v>205.76</v>
      </c>
      <c r="Q2141">
        <f>1824.3</f>
        <v>1824.3</v>
      </c>
      <c r="R2141">
        <f>3876.17</f>
        <v>3876.17</v>
      </c>
      <c r="S2141">
        <f>2205.96</f>
        <v>2205.96</v>
      </c>
      <c r="T2141">
        <f>3796.257</f>
        <v>3796.2570000000001</v>
      </c>
      <c r="U2141">
        <f>54262.27</f>
        <v>54262.27</v>
      </c>
      <c r="V2141">
        <f>358.69</f>
        <v>358.69</v>
      </c>
    </row>
    <row r="2142" spans="1:22" x14ac:dyDescent="0.2">
      <c r="A2142" s="1">
        <v>42109</v>
      </c>
      <c r="B2142">
        <f>3156.65</f>
        <v>3156.65</v>
      </c>
      <c r="C2142">
        <f>9717.97</f>
        <v>9717.9699999999993</v>
      </c>
      <c r="D2142">
        <f>5419.29</f>
        <v>5419.29</v>
      </c>
      <c r="E2142">
        <f>2091.992</f>
        <v>2091.9920000000002</v>
      </c>
      <c r="F2142">
        <f>1887.39</f>
        <v>1887.39</v>
      </c>
      <c r="G2142">
        <f>8124.592</f>
        <v>8124.5919999999996</v>
      </c>
      <c r="H2142">
        <f>2653.13</f>
        <v>2653.13</v>
      </c>
      <c r="I2142">
        <f>8863.99</f>
        <v>8863.99</v>
      </c>
      <c r="J2142">
        <f>2792.84</f>
        <v>2792.84</v>
      </c>
      <c r="K2142">
        <f>8113.23</f>
        <v>8113.23</v>
      </c>
      <c r="L2142">
        <f>1625.74</f>
        <v>1625.74</v>
      </c>
      <c r="M2142">
        <f>6704.77</f>
        <v>6704.77</v>
      </c>
      <c r="N2142">
        <f>331.343</f>
        <v>331.34300000000002</v>
      </c>
      <c r="O2142">
        <f>2857.75</f>
        <v>2857.75</v>
      </c>
      <c r="P2142">
        <f>204.01</f>
        <v>204.01</v>
      </c>
      <c r="Q2142">
        <f>1829.68</f>
        <v>1829.68</v>
      </c>
      <c r="R2142">
        <f>3879.1</f>
        <v>3879.1</v>
      </c>
      <c r="S2142">
        <f>2191.33</f>
        <v>2191.33</v>
      </c>
      <c r="T2142">
        <f>3784.019</f>
        <v>3784.0189999999998</v>
      </c>
      <c r="U2142">
        <f>53720.57</f>
        <v>53720.57</v>
      </c>
      <c r="V2142">
        <f>356.09</f>
        <v>356.09</v>
      </c>
    </row>
    <row r="2143" spans="1:22" x14ac:dyDescent="0.2">
      <c r="A2143" s="1">
        <v>42108</v>
      </c>
      <c r="B2143">
        <f>3148.34</f>
        <v>3148.34</v>
      </c>
      <c r="C2143">
        <f>9608.96</f>
        <v>9608.9599999999991</v>
      </c>
      <c r="D2143">
        <f>5402.86</f>
        <v>5402.86</v>
      </c>
      <c r="E2143">
        <f>2091.349</f>
        <v>2091.3490000000002</v>
      </c>
      <c r="F2143">
        <f>1884.61</f>
        <v>1884.61</v>
      </c>
      <c r="G2143">
        <f>8112.592</f>
        <v>8112.5919999999996</v>
      </c>
      <c r="H2143">
        <f>2655</f>
        <v>2655</v>
      </c>
      <c r="I2143">
        <f>8892.134</f>
        <v>8892.134</v>
      </c>
      <c r="J2143">
        <f>2774.15</f>
        <v>2774.15</v>
      </c>
      <c r="K2143">
        <f>8071.56</f>
        <v>8071.56</v>
      </c>
      <c r="L2143">
        <f>1621.26</f>
        <v>1621.26</v>
      </c>
      <c r="M2143">
        <f>6689.6</f>
        <v>6689.6</v>
      </c>
      <c r="N2143">
        <f>329.492</f>
        <v>329.49200000000002</v>
      </c>
      <c r="O2143">
        <f>2838.49</f>
        <v>2838.49</v>
      </c>
      <c r="P2143">
        <f>205.02</f>
        <v>205.02</v>
      </c>
      <c r="Q2143">
        <f>1825.48</f>
        <v>1825.48</v>
      </c>
      <c r="R2143">
        <f>3859.22</f>
        <v>3859.22</v>
      </c>
      <c r="S2143">
        <f>2194.1</f>
        <v>2194.1</v>
      </c>
      <c r="T2143">
        <f>3792.838</f>
        <v>3792.8380000000002</v>
      </c>
      <c r="U2143">
        <f>53311.46</f>
        <v>53311.46</v>
      </c>
      <c r="V2143">
        <f>353.18</f>
        <v>353.18</v>
      </c>
    </row>
    <row r="2144" spans="1:22" x14ac:dyDescent="0.2">
      <c r="A2144" s="1">
        <v>42107</v>
      </c>
      <c r="B2144">
        <f>3143.56</f>
        <v>3143.56</v>
      </c>
      <c r="C2144">
        <f>9653.63</f>
        <v>9653.6299999999992</v>
      </c>
      <c r="D2144">
        <f>5394.49</f>
        <v>5394.49</v>
      </c>
      <c r="E2144">
        <f>2100.724</f>
        <v>2100.7240000000002</v>
      </c>
      <c r="F2144">
        <f>1866.31</f>
        <v>1866.31</v>
      </c>
      <c r="G2144">
        <f>8015.698</f>
        <v>8015.6980000000003</v>
      </c>
      <c r="H2144">
        <f>2620.63</f>
        <v>2620.63</v>
      </c>
      <c r="I2144">
        <f>8847.185</f>
        <v>8847.1849999999995</v>
      </c>
      <c r="J2144">
        <f>2764.93</f>
        <v>2764.93</v>
      </c>
      <c r="K2144">
        <f>8059.48</f>
        <v>8059.48</v>
      </c>
      <c r="L2144">
        <f>1608.97</f>
        <v>1608.97</v>
      </c>
      <c r="M2144">
        <f>6660.29</f>
        <v>6660.29</v>
      </c>
      <c r="N2144">
        <f>329.318</f>
        <v>329.31799999999998</v>
      </c>
      <c r="O2144">
        <f>2849.08</f>
        <v>2849.08</v>
      </c>
      <c r="P2144">
        <f>204.64</f>
        <v>204.64</v>
      </c>
      <c r="Q2144">
        <f>1818.68</f>
        <v>1818.68</v>
      </c>
      <c r="R2144">
        <f>3852.93</f>
        <v>3852.93</v>
      </c>
      <c r="S2144">
        <f>2187.81</f>
        <v>2187.81</v>
      </c>
      <c r="T2144">
        <f>3820.47</f>
        <v>3820.47</v>
      </c>
      <c r="U2144">
        <f>53589.31</f>
        <v>53589.31</v>
      </c>
      <c r="V2144">
        <f>352.56</f>
        <v>352.56</v>
      </c>
    </row>
    <row r="2145" spans="1:22" x14ac:dyDescent="0.2">
      <c r="A2145" s="1">
        <v>42104</v>
      </c>
      <c r="B2145">
        <f>3161.77</f>
        <v>3161.77</v>
      </c>
      <c r="C2145">
        <f>9539.36</f>
        <v>9539.36</v>
      </c>
      <c r="D2145">
        <f>5412.96</f>
        <v>5412.96</v>
      </c>
      <c r="E2145">
        <f>2086.545</f>
        <v>2086.5450000000001</v>
      </c>
      <c r="F2145">
        <f>1876.68</f>
        <v>1876.68</v>
      </c>
      <c r="G2145">
        <f>8050.907</f>
        <v>8050.9070000000002</v>
      </c>
      <c r="H2145">
        <f>2621.76</f>
        <v>2621.76</v>
      </c>
      <c r="I2145">
        <f>8874.229</f>
        <v>8874.2289999999994</v>
      </c>
      <c r="J2145">
        <f>2781.78</f>
        <v>2781.78</v>
      </c>
      <c r="K2145">
        <f>8096.34</f>
        <v>8096.34</v>
      </c>
      <c r="L2145">
        <f>1618.43</f>
        <v>1618.43</v>
      </c>
      <c r="M2145">
        <f>6687.69</f>
        <v>6687.69</v>
      </c>
      <c r="N2145">
        <f>329.994</f>
        <v>329.99400000000003</v>
      </c>
      <c r="O2145">
        <f>2847.11</f>
        <v>2847.11</v>
      </c>
      <c r="P2145">
        <f>204.29</f>
        <v>204.29</v>
      </c>
      <c r="Q2145">
        <f>1825.03</f>
        <v>1825.03</v>
      </c>
      <c r="R2145">
        <f>3870.31</f>
        <v>3870.31</v>
      </c>
      <c r="S2145">
        <f>2192.34</f>
        <v>2192.34</v>
      </c>
      <c r="T2145">
        <f>3809.399</f>
        <v>3809.3989999999999</v>
      </c>
      <c r="U2145">
        <f>53420.78</f>
        <v>53420.78</v>
      </c>
      <c r="V2145">
        <f>354.03</f>
        <v>354.03</v>
      </c>
    </row>
    <row r="2146" spans="1:22" x14ac:dyDescent="0.2">
      <c r="A2146" s="1">
        <v>42103</v>
      </c>
      <c r="B2146">
        <f>3137.13</f>
        <v>3137.13</v>
      </c>
      <c r="C2146">
        <f>9492.91</f>
        <v>9492.91</v>
      </c>
      <c r="D2146">
        <f>5356.14</f>
        <v>5356.14</v>
      </c>
      <c r="E2146">
        <f>2074.382</f>
        <v>2074.3820000000001</v>
      </c>
      <c r="F2146">
        <f>1868.57</f>
        <v>1868.57</v>
      </c>
      <c r="G2146">
        <f>8011.436</f>
        <v>8011.4359999999997</v>
      </c>
      <c r="H2146">
        <f>2625.84</f>
        <v>2625.84</v>
      </c>
      <c r="I2146">
        <f>8835.249</f>
        <v>8835.2489999999998</v>
      </c>
      <c r="J2146">
        <f>2766.87</f>
        <v>2766.87</v>
      </c>
      <c r="K2146">
        <f>8054.86</f>
        <v>8054.86</v>
      </c>
      <c r="L2146">
        <f>1609.29</f>
        <v>1609.29</v>
      </c>
      <c r="M2146">
        <f>6658.81</f>
        <v>6658.81</v>
      </c>
      <c r="N2146">
        <f>325.671</f>
        <v>325.67099999999999</v>
      </c>
      <c r="O2146">
        <f>2818.86</f>
        <v>2818.86</v>
      </c>
      <c r="P2146">
        <f>205.85</f>
        <v>205.85</v>
      </c>
      <c r="Q2146">
        <f>1822.46</f>
        <v>1822.46</v>
      </c>
      <c r="R2146">
        <f>3850.29</f>
        <v>3850.29</v>
      </c>
      <c r="S2146">
        <f>2198.75</f>
        <v>2198.75</v>
      </c>
      <c r="T2146">
        <f>3763.405</f>
        <v>3763.4050000000002</v>
      </c>
      <c r="U2146">
        <f>52984.55</f>
        <v>52984.55</v>
      </c>
      <c r="V2146">
        <f>351.42</f>
        <v>351.42</v>
      </c>
    </row>
    <row r="2147" spans="1:22" x14ac:dyDescent="0.2">
      <c r="A2147" s="1">
        <v>42102</v>
      </c>
      <c r="B2147">
        <f>3094.57</f>
        <v>3094.57</v>
      </c>
      <c r="C2147">
        <f>9395.45</f>
        <v>9395.4500000000007</v>
      </c>
      <c r="D2147">
        <f>5295.34</f>
        <v>5295.34</v>
      </c>
      <c r="E2147">
        <f>2058.915</f>
        <v>2058.915</v>
      </c>
      <c r="F2147">
        <f>1868.75</f>
        <v>1868.75</v>
      </c>
      <c r="G2147">
        <f>8021.561</f>
        <v>8021.5609999999997</v>
      </c>
      <c r="H2147">
        <f>2620.93</f>
        <v>2620.9299999999998</v>
      </c>
      <c r="I2147">
        <f>8823.77</f>
        <v>8823.77</v>
      </c>
      <c r="J2147">
        <f>2753.92</f>
        <v>2753.92</v>
      </c>
      <c r="K2147">
        <f>8018.76</f>
        <v>8018.76</v>
      </c>
      <c r="L2147">
        <f>1604.85</f>
        <v>1604.85</v>
      </c>
      <c r="M2147">
        <f>6638.04</f>
        <v>6638.04</v>
      </c>
      <c r="N2147">
        <f>322.378</f>
        <v>322.37799999999999</v>
      </c>
      <c r="O2147">
        <f>2784.26</f>
        <v>2784.26</v>
      </c>
      <c r="P2147">
        <f>203.51</f>
        <v>203.51</v>
      </c>
      <c r="Q2147">
        <f>1817.05</f>
        <v>1817.05</v>
      </c>
      <c r="R2147">
        <f>3833.2</f>
        <v>3833.2</v>
      </c>
      <c r="S2147">
        <f>2190.86</f>
        <v>2190.86</v>
      </c>
      <c r="T2147">
        <f>3736.873</f>
        <v>3736.873</v>
      </c>
      <c r="U2147">
        <f>52806</f>
        <v>52806</v>
      </c>
      <c r="V2147">
        <f>352.83</f>
        <v>352.83</v>
      </c>
    </row>
    <row r="2148" spans="1:22" x14ac:dyDescent="0.2">
      <c r="A2148" s="1">
        <v>42101</v>
      </c>
      <c r="B2148">
        <f>3101.35</f>
        <v>3101.35</v>
      </c>
      <c r="C2148">
        <f>9219.48</f>
        <v>9219.48</v>
      </c>
      <c r="D2148">
        <f>5312.84</f>
        <v>5312.84</v>
      </c>
      <c r="E2148">
        <f>2029.072</f>
        <v>2029.0719999999999</v>
      </c>
      <c r="F2148">
        <f>1876.01</f>
        <v>1876.01</v>
      </c>
      <c r="G2148">
        <f>8022.106</f>
        <v>8022.1059999999998</v>
      </c>
      <c r="H2148">
        <f>2599.96</f>
        <v>2599.96</v>
      </c>
      <c r="I2148">
        <f>8907.444</f>
        <v>8907.4439999999995</v>
      </c>
      <c r="J2148">
        <f>2756.36</f>
        <v>2756.36</v>
      </c>
      <c r="K2148">
        <f>7993.09</f>
        <v>7993.09</v>
      </c>
      <c r="L2148">
        <f>1610.35</f>
        <v>1610.35</v>
      </c>
      <c r="M2148">
        <f>6628.23</f>
        <v>6628.23</v>
      </c>
      <c r="N2148">
        <f>319.707</f>
        <v>319.70699999999999</v>
      </c>
      <c r="O2148">
        <f>2786.46</f>
        <v>2786.46</v>
      </c>
      <c r="P2148">
        <f>201.17</f>
        <v>201.17</v>
      </c>
      <c r="Q2148">
        <f>1814.31</f>
        <v>1814.31</v>
      </c>
      <c r="R2148">
        <f>3821.49</f>
        <v>3821.49</v>
      </c>
      <c r="S2148">
        <f>2177.18</f>
        <v>2177.1799999999998</v>
      </c>
      <c r="T2148">
        <f>3715.258</f>
        <v>3715.2579999999998</v>
      </c>
      <c r="U2148">
        <f>52595.69</f>
        <v>52595.69</v>
      </c>
      <c r="V2148">
        <f>350.82</f>
        <v>350.82</v>
      </c>
    </row>
    <row r="2149" spans="1:22" x14ac:dyDescent="0.2">
      <c r="A2149" s="1">
        <v>42100</v>
      </c>
      <c r="B2149">
        <f>3051.22</f>
        <v>3051.22</v>
      </c>
      <c r="C2149">
        <f>9209.97</f>
        <v>9209.9699999999993</v>
      </c>
      <c r="D2149">
        <f>5214.93</f>
        <v>5214.93</v>
      </c>
      <c r="E2149">
        <f>2028.195</f>
        <v>2028.1949999999999</v>
      </c>
      <c r="F2149">
        <f>1859.4</f>
        <v>1859.4</v>
      </c>
      <c r="G2149">
        <f>7927.43</f>
        <v>7927.43</v>
      </c>
      <c r="H2149">
        <f>2595.55</f>
        <v>2595.5500000000002</v>
      </c>
      <c r="I2149">
        <f>8912.888</f>
        <v>8912.8880000000008</v>
      </c>
      <c r="J2149">
        <f>2757.22</f>
        <v>2757.22</v>
      </c>
      <c r="K2149">
        <f>8009.89</f>
        <v>8009.89</v>
      </c>
      <c r="L2149">
        <f>1604.59</f>
        <v>1604.59</v>
      </c>
      <c r="M2149">
        <f>6628.41</f>
        <v>6628.41</v>
      </c>
      <c r="N2149" t="e">
        <f>NA()</f>
        <v>#N/A</v>
      </c>
      <c r="O2149" t="e">
        <f>NA()</f>
        <v>#N/A</v>
      </c>
      <c r="P2149">
        <f>199.69</f>
        <v>199.69</v>
      </c>
      <c r="Q2149">
        <f>1818.84</f>
        <v>1818.84</v>
      </c>
      <c r="R2149">
        <f>3829.31</f>
        <v>3829.31</v>
      </c>
      <c r="S2149">
        <f>2152.57</f>
        <v>2152.5700000000002</v>
      </c>
      <c r="T2149" t="e">
        <f>NA()</f>
        <v>#N/A</v>
      </c>
      <c r="U2149" t="e">
        <f>NA()</f>
        <v>#N/A</v>
      </c>
      <c r="V2149" t="e">
        <f>NA()</f>
        <v>#N/A</v>
      </c>
    </row>
    <row r="2150" spans="1:22" x14ac:dyDescent="0.2">
      <c r="A2150" s="1">
        <v>42097</v>
      </c>
      <c r="B2150">
        <f>3051.22</f>
        <v>3051.22</v>
      </c>
      <c r="C2150">
        <f>9111.73</f>
        <v>9111.73</v>
      </c>
      <c r="D2150">
        <f>5214.93</f>
        <v>5214.93</v>
      </c>
      <c r="E2150">
        <f>2004.602</f>
        <v>2004.6020000000001</v>
      </c>
      <c r="F2150">
        <f>1841.09</f>
        <v>1841.09</v>
      </c>
      <c r="G2150">
        <f>7849.355</f>
        <v>7849.3549999999996</v>
      </c>
      <c r="H2150">
        <f>2579.8</f>
        <v>2579.8000000000002</v>
      </c>
      <c r="I2150">
        <f>8801.567</f>
        <v>8801.5669999999991</v>
      </c>
      <c r="J2150">
        <f>2734.37</f>
        <v>2734.37</v>
      </c>
      <c r="K2150">
        <f>7956</f>
        <v>7956</v>
      </c>
      <c r="L2150">
        <f>1590.03</f>
        <v>1590.03</v>
      </c>
      <c r="M2150">
        <f>6574.91</f>
        <v>6574.91</v>
      </c>
      <c r="N2150" t="e">
        <f>NA()</f>
        <v>#N/A</v>
      </c>
      <c r="O2150" t="e">
        <f>NA()</f>
        <v>#N/A</v>
      </c>
      <c r="P2150">
        <f>199.31</f>
        <v>199.31</v>
      </c>
      <c r="Q2150" t="e">
        <f>NA()</f>
        <v>#N/A</v>
      </c>
      <c r="R2150" t="e">
        <f>NA()</f>
        <v>#N/A</v>
      </c>
      <c r="S2150">
        <f>2157.33</f>
        <v>2157.33</v>
      </c>
      <c r="T2150" t="e">
        <f>NA()</f>
        <v>#N/A</v>
      </c>
      <c r="U2150" t="e">
        <f>NA()</f>
        <v>#N/A</v>
      </c>
      <c r="V2150" t="e">
        <f>NA()</f>
        <v>#N/A</v>
      </c>
    </row>
    <row r="2151" spans="1:22" x14ac:dyDescent="0.2">
      <c r="A2151" s="1">
        <v>42096</v>
      </c>
      <c r="B2151">
        <f>3051.22</f>
        <v>3051.22</v>
      </c>
      <c r="C2151">
        <f>9104.82</f>
        <v>9104.82</v>
      </c>
      <c r="D2151">
        <f>5214.93</f>
        <v>5214.93</v>
      </c>
      <c r="E2151">
        <f>2001.639</f>
        <v>2001.6389999999999</v>
      </c>
      <c r="F2151">
        <f>1841.09</f>
        <v>1841.09</v>
      </c>
      <c r="G2151">
        <f>7849.355</f>
        <v>7849.3549999999996</v>
      </c>
      <c r="H2151">
        <f>2563.57</f>
        <v>2563.5700000000002</v>
      </c>
      <c r="I2151">
        <f>8801.567</f>
        <v>8801.5669999999991</v>
      </c>
      <c r="J2151">
        <f>2734.37</f>
        <v>2734.37</v>
      </c>
      <c r="K2151">
        <f>7956</f>
        <v>7956</v>
      </c>
      <c r="L2151">
        <f>1589.8</f>
        <v>1589.8</v>
      </c>
      <c r="M2151">
        <f>6571.48</f>
        <v>6571.48</v>
      </c>
      <c r="N2151">
        <f>313.459</f>
        <v>313.459</v>
      </c>
      <c r="O2151">
        <f>2741.12</f>
        <v>2741.12</v>
      </c>
      <c r="P2151">
        <f>198.33</f>
        <v>198.33</v>
      </c>
      <c r="Q2151">
        <f>1804.51</f>
        <v>1804.51</v>
      </c>
      <c r="R2151">
        <f>3804.14</f>
        <v>3804.14</v>
      </c>
      <c r="S2151">
        <f>2143.56</f>
        <v>2143.56</v>
      </c>
      <c r="T2151">
        <f>3711.108</f>
        <v>3711.1080000000002</v>
      </c>
      <c r="U2151">
        <f>52229.32</f>
        <v>52229.32</v>
      </c>
      <c r="V2151">
        <f>348.62</f>
        <v>348.62</v>
      </c>
    </row>
    <row r="2152" spans="1:22" x14ac:dyDescent="0.2">
      <c r="A2152" s="1">
        <v>42095</v>
      </c>
      <c r="B2152">
        <f>3037.09</f>
        <v>3037.09</v>
      </c>
      <c r="C2152">
        <f>8991.99</f>
        <v>8991.99</v>
      </c>
      <c r="D2152">
        <f>5194.11</f>
        <v>5194.1099999999997</v>
      </c>
      <c r="E2152">
        <f>1981.441</f>
        <v>1981.441</v>
      </c>
      <c r="F2152">
        <f>1832.04</f>
        <v>1832.04</v>
      </c>
      <c r="G2152">
        <f>7810.082</f>
        <v>7810.0820000000003</v>
      </c>
      <c r="H2152">
        <f>2520.32</f>
        <v>2520.3200000000002</v>
      </c>
      <c r="I2152">
        <f>8695.443</f>
        <v>8695.4429999999993</v>
      </c>
      <c r="J2152">
        <f>2727.81</f>
        <v>2727.81</v>
      </c>
      <c r="K2152">
        <f>7926.06</f>
        <v>7926.06</v>
      </c>
      <c r="L2152">
        <f>1580.23</f>
        <v>1580.23</v>
      </c>
      <c r="M2152">
        <f>6528.19</f>
        <v>6528.19</v>
      </c>
      <c r="N2152">
        <f>313.287</f>
        <v>313.28699999999998</v>
      </c>
      <c r="O2152">
        <f>2743.66</f>
        <v>2743.66</v>
      </c>
      <c r="P2152">
        <f>195.5</f>
        <v>195.5</v>
      </c>
      <c r="Q2152">
        <f>1797.17</f>
        <v>1797.17</v>
      </c>
      <c r="R2152">
        <f>3790.66</f>
        <v>3790.66</v>
      </c>
      <c r="S2152">
        <f>2108.82</f>
        <v>2108.8200000000002</v>
      </c>
      <c r="T2152">
        <f>3683.549</f>
        <v>3683.549</v>
      </c>
      <c r="U2152">
        <f>52281.14</f>
        <v>52281.14</v>
      </c>
      <c r="V2152">
        <f>350.13</f>
        <v>350.13</v>
      </c>
    </row>
    <row r="2153" spans="1:22" x14ac:dyDescent="0.2">
      <c r="A2153" s="1">
        <v>42094</v>
      </c>
      <c r="B2153">
        <f>3022.5</f>
        <v>3022.5</v>
      </c>
      <c r="C2153">
        <f>8876.91</f>
        <v>8876.91</v>
      </c>
      <c r="D2153">
        <f>5166.3</f>
        <v>5166.3</v>
      </c>
      <c r="E2153">
        <f>1964.494</f>
        <v>1964.4939999999999</v>
      </c>
      <c r="F2153">
        <f>1824.92</f>
        <v>1824.92</v>
      </c>
      <c r="G2153">
        <f>7782.902</f>
        <v>7782.902</v>
      </c>
      <c r="H2153">
        <f>2547.35</f>
        <v>2547.35</v>
      </c>
      <c r="I2153">
        <f>8646.547</f>
        <v>8646.5470000000005</v>
      </c>
      <c r="J2153">
        <f>2737.33</f>
        <v>2737.33</v>
      </c>
      <c r="K2153">
        <f>7955.68</f>
        <v>7955.68</v>
      </c>
      <c r="L2153">
        <f>1580.34</f>
        <v>1580.34</v>
      </c>
      <c r="M2153">
        <f>6537.62</f>
        <v>6537.62</v>
      </c>
      <c r="N2153">
        <f>312.984</f>
        <v>312.98399999999998</v>
      </c>
      <c r="O2153">
        <f>2735.43</f>
        <v>2735.43</v>
      </c>
      <c r="P2153">
        <f>198.01</f>
        <v>198.01</v>
      </c>
      <c r="Q2153">
        <f>1806.33</f>
        <v>1806.33</v>
      </c>
      <c r="R2153">
        <f>3805.27</f>
        <v>3805.27</v>
      </c>
      <c r="S2153">
        <f>2128.3</f>
        <v>2128.3000000000002</v>
      </c>
      <c r="T2153">
        <f>3653.723</f>
        <v>3653.723</v>
      </c>
      <c r="U2153">
        <f>52181.95</f>
        <v>52181.95</v>
      </c>
      <c r="V2153">
        <f>350.82</f>
        <v>350.82</v>
      </c>
    </row>
    <row r="2154" spans="1:22" x14ac:dyDescent="0.2">
      <c r="A2154" s="1">
        <v>42093</v>
      </c>
      <c r="B2154">
        <f>3071.26</f>
        <v>3071.26</v>
      </c>
      <c r="C2154">
        <f>8841.03</f>
        <v>8841.0300000000007</v>
      </c>
      <c r="D2154">
        <f>5256.61</f>
        <v>5256.61</v>
      </c>
      <c r="E2154">
        <f>1953</f>
        <v>1953</v>
      </c>
      <c r="F2154">
        <f>1851.89</f>
        <v>1851.89</v>
      </c>
      <c r="G2154">
        <f>7898.661</f>
        <v>7898.6610000000001</v>
      </c>
      <c r="H2154">
        <f>2572.74</f>
        <v>2572.7399999999998</v>
      </c>
      <c r="I2154">
        <f>8778.64</f>
        <v>8778.64</v>
      </c>
      <c r="J2154">
        <f>2759.22</f>
        <v>2759.22</v>
      </c>
      <c r="K2154">
        <f>8023.78</f>
        <v>8023.78</v>
      </c>
      <c r="L2154">
        <f>1595.59</f>
        <v>1595.59</v>
      </c>
      <c r="M2154">
        <f>6599.06</f>
        <v>6599.06</v>
      </c>
      <c r="N2154">
        <f>313.957</f>
        <v>313.95699999999999</v>
      </c>
      <c r="O2154">
        <f>2754.74</f>
        <v>2754.74</v>
      </c>
      <c r="P2154">
        <f>199.62</f>
        <v>199.62</v>
      </c>
      <c r="Q2154">
        <f>1818.09</f>
        <v>1818.09</v>
      </c>
      <c r="R2154">
        <f>3838.65</f>
        <v>3838.65</v>
      </c>
      <c r="S2154">
        <f>2148.51</f>
        <v>2148.5100000000002</v>
      </c>
      <c r="T2154">
        <f>3634.055</f>
        <v>3634.0549999999998</v>
      </c>
      <c r="U2154">
        <f>52455.36</f>
        <v>52455.360000000001</v>
      </c>
      <c r="V2154">
        <f>353.33</f>
        <v>353.33</v>
      </c>
    </row>
    <row r="2155" spans="1:22" x14ac:dyDescent="0.2">
      <c r="A2155" s="1">
        <v>42090</v>
      </c>
      <c r="B2155">
        <f>3063.7</f>
        <v>3063.7</v>
      </c>
      <c r="C2155">
        <f>8717.25</f>
        <v>8717.25</v>
      </c>
      <c r="D2155">
        <f>5228.84</f>
        <v>5228.84</v>
      </c>
      <c r="E2155">
        <f>1931.042</f>
        <v>1931.0419999999999</v>
      </c>
      <c r="F2155">
        <f>1853.78</f>
        <v>1853.78</v>
      </c>
      <c r="G2155">
        <f>7895.845</f>
        <v>7895.8450000000003</v>
      </c>
      <c r="H2155">
        <f>2595.55</f>
        <v>2595.5500000000002</v>
      </c>
      <c r="I2155">
        <f>8712.449</f>
        <v>8712.4490000000005</v>
      </c>
      <c r="J2155">
        <f>2728.51</f>
        <v>2728.51</v>
      </c>
      <c r="K2155">
        <f>7927.26</f>
        <v>7927.26</v>
      </c>
      <c r="L2155">
        <f>1589.06</f>
        <v>1589.06</v>
      </c>
      <c r="M2155">
        <f>6551.77</f>
        <v>6551.77</v>
      </c>
      <c r="N2155">
        <f>312.19</f>
        <v>312.19</v>
      </c>
      <c r="O2155">
        <f>2721.69</f>
        <v>2721.69</v>
      </c>
      <c r="P2155">
        <f>199.1</f>
        <v>199.1</v>
      </c>
      <c r="Q2155">
        <f>1797.82</f>
        <v>1797.82</v>
      </c>
      <c r="R2155">
        <f>3791.9</f>
        <v>3791.9</v>
      </c>
      <c r="S2155">
        <f>2141.63</f>
        <v>2141.63</v>
      </c>
      <c r="T2155">
        <f>3590.129</f>
        <v>3590.1289999999999</v>
      </c>
      <c r="U2155">
        <f>51810.16</f>
        <v>51810.16</v>
      </c>
      <c r="V2155">
        <f>350.74</f>
        <v>350.74</v>
      </c>
    </row>
    <row r="2156" spans="1:22" x14ac:dyDescent="0.2">
      <c r="A2156" s="1">
        <v>42089</v>
      </c>
      <c r="B2156">
        <f>3079.63</f>
        <v>3079.63</v>
      </c>
      <c r="C2156">
        <f>8792.73</f>
        <v>8792.73</v>
      </c>
      <c r="D2156">
        <f>5259.58</f>
        <v>5259.58</v>
      </c>
      <c r="E2156">
        <f>1939.588</f>
        <v>1939.588</v>
      </c>
      <c r="F2156">
        <f>1858.07</f>
        <v>1858.07</v>
      </c>
      <c r="G2156">
        <f>7924.339</f>
        <v>7924.3389999999999</v>
      </c>
      <c r="H2156">
        <f>2606.63</f>
        <v>2606.63</v>
      </c>
      <c r="I2156">
        <f>8696.436</f>
        <v>8696.4359999999997</v>
      </c>
      <c r="J2156">
        <f>2717.8</f>
        <v>2717.8</v>
      </c>
      <c r="K2156">
        <f>7905.67</f>
        <v>7905.67</v>
      </c>
      <c r="L2156">
        <f>1587.99</f>
        <v>1587.99</v>
      </c>
      <c r="M2156">
        <f>6546.38</f>
        <v>6546.38</v>
      </c>
      <c r="N2156">
        <f>311.045</f>
        <v>311.04500000000002</v>
      </c>
      <c r="O2156">
        <f>2716.75</f>
        <v>2716.75</v>
      </c>
      <c r="P2156">
        <f>200.32</f>
        <v>200.32</v>
      </c>
      <c r="Q2156">
        <f>1791.35</f>
        <v>1791.35</v>
      </c>
      <c r="R2156">
        <f>3782.21</f>
        <v>3782.21</v>
      </c>
      <c r="S2156">
        <f>2147.19</f>
        <v>2147.19</v>
      </c>
      <c r="T2156">
        <f>3565.06</f>
        <v>3565.06</v>
      </c>
      <c r="U2156">
        <f>51603.93</f>
        <v>51603.93</v>
      </c>
      <c r="V2156">
        <f>352.85</f>
        <v>352.85</v>
      </c>
    </row>
    <row r="2157" spans="1:22" x14ac:dyDescent="0.2">
      <c r="A2157" s="1">
        <v>42088</v>
      </c>
      <c r="B2157">
        <f>3128.63</f>
        <v>3128.63</v>
      </c>
      <c r="C2157">
        <f>8857.36</f>
        <v>8857.36</v>
      </c>
      <c r="D2157">
        <f>5329.63</f>
        <v>5329.63</v>
      </c>
      <c r="E2157">
        <f>1967.021</f>
        <v>1967.021</v>
      </c>
      <c r="F2157">
        <f>1892.9</f>
        <v>1892.9</v>
      </c>
      <c r="G2157">
        <f>8068.353</f>
        <v>8068.3530000000001</v>
      </c>
      <c r="H2157">
        <f>2625.74</f>
        <v>2625.74</v>
      </c>
      <c r="I2157">
        <f>8805.547</f>
        <v>8805.5470000000005</v>
      </c>
      <c r="J2157">
        <f>2726.07</f>
        <v>2726.07</v>
      </c>
      <c r="K2157">
        <f>7922.83</f>
        <v>7922.83</v>
      </c>
      <c r="L2157">
        <f>1601.7</f>
        <v>1601.7</v>
      </c>
      <c r="M2157">
        <f>6588.97</f>
        <v>6588.97</v>
      </c>
      <c r="N2157">
        <f>314.094</f>
        <v>314.09399999999999</v>
      </c>
      <c r="O2157">
        <f>2737.32</f>
        <v>2737.32</v>
      </c>
      <c r="P2157">
        <f>203.49</f>
        <v>203.49</v>
      </c>
      <c r="Q2157">
        <f>1796.61</f>
        <v>1796.61</v>
      </c>
      <c r="R2157">
        <f>3791.13</f>
        <v>3791.13</v>
      </c>
      <c r="S2157">
        <f>2178.93</f>
        <v>2178.9299999999998</v>
      </c>
      <c r="T2157">
        <f>3611.358</f>
        <v>3611.3580000000002</v>
      </c>
      <c r="U2157">
        <f>52313.02</f>
        <v>52313.02</v>
      </c>
      <c r="V2157">
        <f>356.73</f>
        <v>356.73</v>
      </c>
    </row>
    <row r="2158" spans="1:22" x14ac:dyDescent="0.2">
      <c r="A2158" s="1">
        <v>42087</v>
      </c>
      <c r="B2158">
        <f>3138.51</f>
        <v>3138.51</v>
      </c>
      <c r="C2158">
        <f>8894.48</f>
        <v>8894.48</v>
      </c>
      <c r="D2158">
        <f>5351.52</f>
        <v>5351.52</v>
      </c>
      <c r="E2158">
        <f>1971.172</f>
        <v>1971.172</v>
      </c>
      <c r="F2158">
        <f>1896.91</f>
        <v>1896.91</v>
      </c>
      <c r="G2158">
        <f>8076.025</f>
        <v>8076.0249999999996</v>
      </c>
      <c r="H2158">
        <f>2605.6</f>
        <v>2605.6</v>
      </c>
      <c r="I2158">
        <f>8850.302</f>
        <v>8850.3019999999997</v>
      </c>
      <c r="J2158">
        <f>2753.47</f>
        <v>2753.47</v>
      </c>
      <c r="K2158">
        <f>8040.87</f>
        <v>8040.87</v>
      </c>
      <c r="L2158">
        <f>1609.44</f>
        <v>1609.44</v>
      </c>
      <c r="M2158">
        <f>6648.48</f>
        <v>6648.48</v>
      </c>
      <c r="N2158">
        <f>317.467</f>
        <v>317.46699999999998</v>
      </c>
      <c r="O2158">
        <f>2768.32</f>
        <v>2768.32</v>
      </c>
      <c r="P2158">
        <f>203.27</f>
        <v>203.27</v>
      </c>
      <c r="Q2158">
        <f>1815.62</f>
        <v>1815.62</v>
      </c>
      <c r="R2158">
        <f>3847.05</f>
        <v>3847.05</v>
      </c>
      <c r="S2158">
        <f>2172.87</f>
        <v>2172.87</v>
      </c>
      <c r="T2158">
        <f>3632.926</f>
        <v>3632.9259999999999</v>
      </c>
      <c r="U2158">
        <f>52858.12</f>
        <v>52858.12</v>
      </c>
      <c r="V2158">
        <f>360.17</f>
        <v>360.17</v>
      </c>
    </row>
    <row r="2159" spans="1:22" x14ac:dyDescent="0.2">
      <c r="A2159" s="1">
        <v>42086</v>
      </c>
      <c r="B2159">
        <f>3141.54</f>
        <v>3141.54</v>
      </c>
      <c r="C2159">
        <f>8856.42</f>
        <v>8856.42</v>
      </c>
      <c r="D2159">
        <f>5365.23</f>
        <v>5365.23</v>
      </c>
      <c r="E2159">
        <f>1965.285</f>
        <v>1965.2850000000001</v>
      </c>
      <c r="F2159">
        <f>1908.06</f>
        <v>1908.06</v>
      </c>
      <c r="G2159">
        <f>8135.104</f>
        <v>8135.1040000000003</v>
      </c>
      <c r="H2159">
        <f>2613.87</f>
        <v>2613.87</v>
      </c>
      <c r="I2159">
        <f>8809.646</f>
        <v>8809.6460000000006</v>
      </c>
      <c r="J2159">
        <f>2777.3</f>
        <v>2777.3</v>
      </c>
      <c r="K2159">
        <f>8089.22</f>
        <v>8089.22</v>
      </c>
      <c r="L2159">
        <f>1615.82</f>
        <v>1615.82</v>
      </c>
      <c r="M2159">
        <f>6668.99</f>
        <v>6668.99</v>
      </c>
      <c r="N2159">
        <f>318.743</f>
        <v>318.74299999999999</v>
      </c>
      <c r="O2159">
        <f>2761.85</f>
        <v>2761.85</v>
      </c>
      <c r="P2159">
        <f>202.46</f>
        <v>202.46</v>
      </c>
      <c r="Q2159">
        <f>1823.4</f>
        <v>1823.4</v>
      </c>
      <c r="R2159">
        <f>3870.49</f>
        <v>3870.49</v>
      </c>
      <c r="S2159">
        <f>2179.25</f>
        <v>2179.25</v>
      </c>
      <c r="T2159">
        <f>3578.124</f>
        <v>3578.1239999999998</v>
      </c>
      <c r="U2159">
        <f>52559.35</f>
        <v>52559.35</v>
      </c>
      <c r="V2159">
        <f>358.22</f>
        <v>358.22</v>
      </c>
    </row>
    <row r="2160" spans="1:22" x14ac:dyDescent="0.2">
      <c r="A2160" s="1">
        <v>42083</v>
      </c>
      <c r="B2160">
        <f>3119.37</f>
        <v>3119.37</v>
      </c>
      <c r="C2160">
        <f>8834.28</f>
        <v>8834.2800000000007</v>
      </c>
      <c r="D2160">
        <f>5353.67</f>
        <v>5353.67</v>
      </c>
      <c r="E2160">
        <f>1952.523</f>
        <v>1952.5229999999999</v>
      </c>
      <c r="F2160">
        <f>1904.63</f>
        <v>1904.63</v>
      </c>
      <c r="G2160">
        <f>8108.872</f>
        <v>8108.8720000000003</v>
      </c>
      <c r="H2160">
        <f>2574.71</f>
        <v>2574.71</v>
      </c>
      <c r="I2160">
        <f>8750.638</f>
        <v>8750.6380000000008</v>
      </c>
      <c r="J2160">
        <f>2772.62</f>
        <v>2772.62</v>
      </c>
      <c r="K2160">
        <f>8104.31</f>
        <v>8104.31</v>
      </c>
      <c r="L2160">
        <f>1605.98</f>
        <v>1605.98</v>
      </c>
      <c r="M2160">
        <f>6655.7</f>
        <v>6655.7</v>
      </c>
      <c r="N2160">
        <f>320.928</f>
        <v>320.928</v>
      </c>
      <c r="O2160">
        <f>2777.32</f>
        <v>2777.32</v>
      </c>
      <c r="P2160">
        <f>198.99</f>
        <v>198.99</v>
      </c>
      <c r="Q2160">
        <f>1825.33</f>
        <v>1825.33</v>
      </c>
      <c r="R2160">
        <f>3877.26</f>
        <v>3877.26</v>
      </c>
      <c r="S2160">
        <f>2163.18</f>
        <v>2163.1799999999998</v>
      </c>
      <c r="T2160">
        <f>3561.773</f>
        <v>3561.7730000000001</v>
      </c>
      <c r="U2160">
        <f>52631.78</f>
        <v>52631.78</v>
      </c>
      <c r="V2160">
        <f>356.18</f>
        <v>356.18</v>
      </c>
    </row>
    <row r="2161" spans="1:22" x14ac:dyDescent="0.2">
      <c r="A2161" s="1">
        <v>42082</v>
      </c>
      <c r="B2161">
        <f>3108.59</f>
        <v>3108.59</v>
      </c>
      <c r="C2161">
        <f>8763.45</f>
        <v>8763.4500000000007</v>
      </c>
      <c r="D2161">
        <f>5307.78</f>
        <v>5307.78</v>
      </c>
      <c r="E2161">
        <f>1943.348</f>
        <v>1943.348</v>
      </c>
      <c r="F2161">
        <f>1874.88</f>
        <v>1874.88</v>
      </c>
      <c r="G2161">
        <f>7938.164</f>
        <v>7938.1639999999998</v>
      </c>
      <c r="H2161">
        <f>2560.31</f>
        <v>2560.31</v>
      </c>
      <c r="I2161">
        <f>8524.379</f>
        <v>8524.3790000000008</v>
      </c>
      <c r="J2161">
        <f>2744.84</f>
        <v>2744.84</v>
      </c>
      <c r="K2161">
        <f>8033.29</f>
        <v>8033.29</v>
      </c>
      <c r="L2161">
        <f>1580.35</f>
        <v>1580.35</v>
      </c>
      <c r="M2161">
        <f>6567.69</f>
        <v>6567.69</v>
      </c>
      <c r="N2161">
        <f>320.024</f>
        <v>320.024</v>
      </c>
      <c r="O2161">
        <f>2753.99</f>
        <v>2753.99</v>
      </c>
      <c r="P2161">
        <f>199</f>
        <v>199</v>
      </c>
      <c r="Q2161">
        <f>1809.76</f>
        <v>1809.76</v>
      </c>
      <c r="R2161">
        <f>3842.62</f>
        <v>3842.62</v>
      </c>
      <c r="S2161">
        <f>2156.75</f>
        <v>2156.75</v>
      </c>
      <c r="T2161">
        <f>3606.87</f>
        <v>3606.87</v>
      </c>
      <c r="U2161">
        <f>52741.02</f>
        <v>52741.02</v>
      </c>
      <c r="V2161">
        <f>357.78</f>
        <v>357.78</v>
      </c>
    </row>
    <row r="2162" spans="1:22" x14ac:dyDescent="0.2">
      <c r="A2162" s="1">
        <v>42081</v>
      </c>
      <c r="B2162">
        <f>3096.99</f>
        <v>3096.99</v>
      </c>
      <c r="C2162">
        <f>8717.72</f>
        <v>8717.7199999999993</v>
      </c>
      <c r="D2162">
        <f>5287.46</f>
        <v>5287.46</v>
      </c>
      <c r="E2162">
        <f>1926.631</f>
        <v>1926.6310000000001</v>
      </c>
      <c r="F2162">
        <f>1865.69</f>
        <v>1865.69</v>
      </c>
      <c r="G2162">
        <f>7884.394</f>
        <v>7884.3940000000002</v>
      </c>
      <c r="H2162">
        <f>2572.96</f>
        <v>2572.96</v>
      </c>
      <c r="I2162">
        <f>8500.096</f>
        <v>8500.0959999999995</v>
      </c>
      <c r="J2162">
        <f>2761.49</f>
        <v>2761.49</v>
      </c>
      <c r="K2162">
        <f>8070.19</f>
        <v>8070.19</v>
      </c>
      <c r="L2162">
        <f>1580.1</f>
        <v>1580.1</v>
      </c>
      <c r="M2162">
        <f>6577.23</f>
        <v>6577.23</v>
      </c>
      <c r="N2162">
        <f>318.221</f>
        <v>318.221</v>
      </c>
      <c r="O2162">
        <f>2738.23</f>
        <v>2738.23</v>
      </c>
      <c r="P2162">
        <f>199.81</f>
        <v>199.81</v>
      </c>
      <c r="Q2162">
        <f>1822.33</f>
        <v>1822.33</v>
      </c>
      <c r="R2162">
        <f>3861.39</f>
        <v>3861.39</v>
      </c>
      <c r="S2162">
        <f>2165.85</f>
        <v>2165.85</v>
      </c>
      <c r="T2162">
        <f>3592.804</f>
        <v>3592.8040000000001</v>
      </c>
      <c r="U2162">
        <f>52187.48</f>
        <v>52187.48</v>
      </c>
      <c r="V2162">
        <f>355.84</f>
        <v>355.84</v>
      </c>
    </row>
    <row r="2163" spans="1:22" x14ac:dyDescent="0.2">
      <c r="A2163" s="1">
        <v>42080</v>
      </c>
      <c r="B2163">
        <f>3051.14</f>
        <v>3051.14</v>
      </c>
      <c r="C2163">
        <f>8619.67</f>
        <v>8619.67</v>
      </c>
      <c r="D2163">
        <f>5205.56</f>
        <v>5205.5600000000004</v>
      </c>
      <c r="E2163">
        <f>1911.102</f>
        <v>1911.1020000000001</v>
      </c>
      <c r="F2163">
        <f>1844.18</f>
        <v>1844.18</v>
      </c>
      <c r="G2163">
        <f>7797.173</f>
        <v>7797.1729999999998</v>
      </c>
      <c r="H2163">
        <f>2557.11</f>
        <v>2557.11</v>
      </c>
      <c r="I2163">
        <f>8453.969</f>
        <v>8453.9689999999991</v>
      </c>
      <c r="J2163">
        <f>2722.89</f>
        <v>2722.89</v>
      </c>
      <c r="K2163">
        <f>7973.26</f>
        <v>7973.26</v>
      </c>
      <c r="L2163">
        <f>1561.69</f>
        <v>1561.69</v>
      </c>
      <c r="M2163">
        <f>6511.37</f>
        <v>6511.37</v>
      </c>
      <c r="N2163">
        <f>316.845</f>
        <v>316.84500000000003</v>
      </c>
      <c r="O2163">
        <f>2728.93</f>
        <v>2728.93</v>
      </c>
      <c r="P2163">
        <f>198.36</f>
        <v>198.36</v>
      </c>
      <c r="Q2163">
        <f>1801.62</f>
        <v>1801.62</v>
      </c>
      <c r="R2163">
        <f>3814.91</f>
        <v>3814.91</v>
      </c>
      <c r="S2163">
        <f>2149.45</f>
        <v>2149.4499999999998</v>
      </c>
      <c r="T2163">
        <f>3590.219</f>
        <v>3590.2190000000001</v>
      </c>
      <c r="U2163">
        <f>52300.24</f>
        <v>52300.24</v>
      </c>
      <c r="V2163">
        <f>356.48</f>
        <v>356.48</v>
      </c>
    </row>
    <row r="2164" spans="1:22" x14ac:dyDescent="0.2">
      <c r="A2164" s="1">
        <v>42079</v>
      </c>
      <c r="B2164">
        <f>3045.99</f>
        <v>3045.99</v>
      </c>
      <c r="C2164">
        <f>8578.61</f>
        <v>8578.61</v>
      </c>
      <c r="D2164">
        <f>5180.03</f>
        <v>5180.03</v>
      </c>
      <c r="E2164">
        <f>1893.989</f>
        <v>1893.989</v>
      </c>
      <c r="F2164">
        <f>1843.93</f>
        <v>1843.93</v>
      </c>
      <c r="G2164">
        <f>7784.731</f>
        <v>7784.7309999999998</v>
      </c>
      <c r="H2164">
        <f>2540.44</f>
        <v>2540.44</v>
      </c>
      <c r="I2164">
        <f>8512.407</f>
        <v>8512.4069999999992</v>
      </c>
      <c r="J2164">
        <f>2738.4</f>
        <v>2738.4</v>
      </c>
      <c r="K2164">
        <f>7997.56</f>
        <v>7997.56</v>
      </c>
      <c r="L2164">
        <f>1566.32</f>
        <v>1566.32</v>
      </c>
      <c r="M2164">
        <f>6524.29</f>
        <v>6524.29</v>
      </c>
      <c r="N2164">
        <f>317.938</f>
        <v>317.93799999999999</v>
      </c>
      <c r="O2164">
        <f>2745.7</f>
        <v>2745.7</v>
      </c>
      <c r="P2164">
        <f>196.79</f>
        <v>196.79</v>
      </c>
      <c r="Q2164">
        <f>1811.38</f>
        <v>1811.38</v>
      </c>
      <c r="R2164">
        <f>3827.62</f>
        <v>3827.62</v>
      </c>
      <c r="S2164">
        <f>2132.62</f>
        <v>2132.62</v>
      </c>
      <c r="T2164">
        <f>3581.827</f>
        <v>3581.8270000000002</v>
      </c>
      <c r="U2164">
        <f>52139.15</f>
        <v>52139.15</v>
      </c>
      <c r="V2164">
        <f>355.43</f>
        <v>355.43</v>
      </c>
    </row>
    <row r="2165" spans="1:22" x14ac:dyDescent="0.2">
      <c r="A2165" s="1">
        <v>42076</v>
      </c>
      <c r="B2165">
        <f>3016.26</f>
        <v>3016.26</v>
      </c>
      <c r="C2165">
        <f>8565.41</f>
        <v>8565.41</v>
      </c>
      <c r="D2165">
        <f>5131.68</f>
        <v>5131.68</v>
      </c>
      <c r="E2165">
        <f>1891.827</f>
        <v>1891.827</v>
      </c>
      <c r="F2165">
        <f>1810.85</f>
        <v>1810.85</v>
      </c>
      <c r="G2165">
        <f>7683.206</f>
        <v>7683.2060000000001</v>
      </c>
      <c r="H2165">
        <f>2547.01</f>
        <v>2547.0100000000002</v>
      </c>
      <c r="I2165">
        <f>8382.115</f>
        <v>8382.1149999999998</v>
      </c>
      <c r="J2165">
        <f>2704.19</f>
        <v>2704.19</v>
      </c>
      <c r="K2165">
        <f>7891.58</f>
        <v>7891.58</v>
      </c>
      <c r="L2165">
        <f>1548.55</f>
        <v>1548.55</v>
      </c>
      <c r="M2165">
        <f>6448</f>
        <v>6448</v>
      </c>
      <c r="N2165">
        <f>314.814</f>
        <v>314.81400000000002</v>
      </c>
      <c r="O2165">
        <f>2720.99</f>
        <v>2720.99</v>
      </c>
      <c r="P2165">
        <f>197.12</f>
        <v>197.12</v>
      </c>
      <c r="Q2165">
        <f>1788.92</f>
        <v>1788.92</v>
      </c>
      <c r="R2165">
        <f>3776.44</f>
        <v>3776.44</v>
      </c>
      <c r="S2165">
        <f>2135.52</f>
        <v>2135.52</v>
      </c>
      <c r="T2165">
        <f>3550.218</f>
        <v>3550.2179999999998</v>
      </c>
      <c r="U2165">
        <f>51798.74</f>
        <v>51798.74</v>
      </c>
      <c r="V2165">
        <f>351.66</f>
        <v>351.66</v>
      </c>
    </row>
    <row r="2166" spans="1:22" x14ac:dyDescent="0.2">
      <c r="A2166" s="1">
        <v>42075</v>
      </c>
      <c r="B2166">
        <f>3019.11</f>
        <v>3019.11</v>
      </c>
      <c r="C2166">
        <f>8642.72</f>
        <v>8642.7199999999993</v>
      </c>
      <c r="D2166">
        <f>5147.29</f>
        <v>5147.29</v>
      </c>
      <c r="E2166">
        <f>1909.86</f>
        <v>1909.86</v>
      </c>
      <c r="F2166">
        <f>1828.58</f>
        <v>1828.58</v>
      </c>
      <c r="G2166">
        <f>7787.629</f>
        <v>7787.6289999999999</v>
      </c>
      <c r="H2166">
        <f>2538.03</f>
        <v>2538.0300000000002</v>
      </c>
      <c r="I2166">
        <f>8405.54</f>
        <v>8405.5400000000009</v>
      </c>
      <c r="J2166">
        <f>2719.48</f>
        <v>2719.48</v>
      </c>
      <c r="K2166">
        <f>7938.29</f>
        <v>7938.29</v>
      </c>
      <c r="L2166">
        <f>1559.87</f>
        <v>1559.87</v>
      </c>
      <c r="M2166">
        <f>6480.87</f>
        <v>6480.87</v>
      </c>
      <c r="N2166">
        <f>314.529</f>
        <v>314.529</v>
      </c>
      <c r="O2166">
        <f>2713.94</f>
        <v>2713.94</v>
      </c>
      <c r="P2166">
        <f>197.51</f>
        <v>197.51</v>
      </c>
      <c r="Q2166">
        <f>1799.36</f>
        <v>1799.36</v>
      </c>
      <c r="R2166">
        <f>3799.43</f>
        <v>3799.43</v>
      </c>
      <c r="S2166">
        <f>2116.77</f>
        <v>2116.77</v>
      </c>
      <c r="T2166">
        <f>3559.887</f>
        <v>3559.8870000000002</v>
      </c>
      <c r="U2166">
        <f>52240.06</f>
        <v>52240.06</v>
      </c>
      <c r="V2166">
        <f>353.78</f>
        <v>353.78</v>
      </c>
    </row>
    <row r="2167" spans="1:22" x14ac:dyDescent="0.2">
      <c r="A2167" s="1">
        <v>42074</v>
      </c>
      <c r="B2167">
        <f>3007.53</f>
        <v>3007.53</v>
      </c>
      <c r="C2167">
        <f>8559.52</f>
        <v>8559.52</v>
      </c>
      <c r="D2167">
        <f>5111</f>
        <v>5111</v>
      </c>
      <c r="E2167">
        <f>1898.636</f>
        <v>1898.636</v>
      </c>
      <c r="F2167">
        <f>1814.28</f>
        <v>1814.28</v>
      </c>
      <c r="G2167">
        <f>7755.905</f>
        <v>7755.9049999999997</v>
      </c>
      <c r="H2167">
        <f>2508.51</f>
        <v>2508.5100000000002</v>
      </c>
      <c r="I2167">
        <f>8374.205</f>
        <v>8374.2049999999999</v>
      </c>
      <c r="J2167">
        <f>2697.37</f>
        <v>2697.37</v>
      </c>
      <c r="K2167">
        <f>7839.36</f>
        <v>7839.36</v>
      </c>
      <c r="L2167">
        <f>1547.81</f>
        <v>1547.81</v>
      </c>
      <c r="M2167">
        <f>6412.38</f>
        <v>6412.38</v>
      </c>
      <c r="N2167">
        <f>314.252</f>
        <v>314.25200000000001</v>
      </c>
      <c r="O2167">
        <f>2713.86</f>
        <v>2713.86</v>
      </c>
      <c r="P2167">
        <f>194.89</f>
        <v>194.89</v>
      </c>
      <c r="Q2167">
        <f>1771.88</f>
        <v>1771.88</v>
      </c>
      <c r="R2167">
        <f>3751.2</f>
        <v>3751.2</v>
      </c>
      <c r="S2167">
        <f>2088.09</f>
        <v>2088.09</v>
      </c>
      <c r="T2167">
        <f>3539.069</f>
        <v>3539.069</v>
      </c>
      <c r="U2167">
        <f>51753.07</f>
        <v>51753.07</v>
      </c>
      <c r="V2167">
        <f>350.95</f>
        <v>350.95</v>
      </c>
    </row>
    <row r="2168" spans="1:22" x14ac:dyDescent="0.2">
      <c r="A2168" s="1">
        <v>42073</v>
      </c>
      <c r="B2168">
        <f>2992.16</f>
        <v>2992.16</v>
      </c>
      <c r="C2168">
        <f>8609.47</f>
        <v>8609.4699999999993</v>
      </c>
      <c r="D2168">
        <f>5096.8</f>
        <v>5096.8</v>
      </c>
      <c r="E2168">
        <f>1900.081</f>
        <v>1900.0809999999999</v>
      </c>
      <c r="F2168">
        <f>1822.61</f>
        <v>1822.61</v>
      </c>
      <c r="G2168">
        <f>7808.11</f>
        <v>7808.11</v>
      </c>
      <c r="H2168">
        <f>2521</f>
        <v>2521</v>
      </c>
      <c r="I2168">
        <f>8317.892</f>
        <v>8317.8919999999998</v>
      </c>
      <c r="J2168">
        <f>2707.43</f>
        <v>2707.43</v>
      </c>
      <c r="K2168">
        <f>7851.41</f>
        <v>7851.41</v>
      </c>
      <c r="L2168">
        <f>1552.01</f>
        <v>1552.01</v>
      </c>
      <c r="M2168">
        <f>6417.81</f>
        <v>6417.81</v>
      </c>
      <c r="N2168">
        <f>311.122</f>
        <v>311.12200000000001</v>
      </c>
      <c r="O2168">
        <f>2673.98</f>
        <v>2673.98</v>
      </c>
      <c r="P2168">
        <f>195.26</f>
        <v>195.26</v>
      </c>
      <c r="Q2168">
        <f>1776.5</f>
        <v>1776.5</v>
      </c>
      <c r="R2168">
        <f>3757.83</f>
        <v>3757.83</v>
      </c>
      <c r="S2168">
        <f>2086.83</f>
        <v>2086.83</v>
      </c>
      <c r="T2168">
        <f>3548.271</f>
        <v>3548.2710000000002</v>
      </c>
      <c r="U2168">
        <f>52088.54</f>
        <v>52088.54</v>
      </c>
      <c r="V2168">
        <f>353.71</f>
        <v>353.71</v>
      </c>
    </row>
    <row r="2169" spans="1:22" x14ac:dyDescent="0.2">
      <c r="A2169" s="1">
        <v>42072</v>
      </c>
      <c r="B2169">
        <f>3054.66</f>
        <v>3054.66</v>
      </c>
      <c r="C2169">
        <f>8780.49</f>
        <v>8780.49</v>
      </c>
      <c r="D2169">
        <f>5227.11</f>
        <v>5227.1099999999997</v>
      </c>
      <c r="E2169">
        <f>1931.099</f>
        <v>1931.0989999999999</v>
      </c>
      <c r="F2169">
        <f>1861.53</f>
        <v>1861.53</v>
      </c>
      <c r="G2169">
        <f>8014.689</f>
        <v>8014.6890000000003</v>
      </c>
      <c r="H2169">
        <f>2529.38</f>
        <v>2529.38</v>
      </c>
      <c r="I2169">
        <f>8491.477</f>
        <v>8491.4770000000008</v>
      </c>
      <c r="J2169">
        <f>2746.76</f>
        <v>2746.76</v>
      </c>
      <c r="K2169">
        <f>7984.56</f>
        <v>7984.56</v>
      </c>
      <c r="L2169">
        <f>1579.2</f>
        <v>1579.2</v>
      </c>
      <c r="M2169">
        <f>6527.16</f>
        <v>6527.16</v>
      </c>
      <c r="N2169">
        <f>314.228</f>
        <v>314.22800000000001</v>
      </c>
      <c r="O2169">
        <f>2699.8</f>
        <v>2699.8</v>
      </c>
      <c r="P2169">
        <f>196.19</f>
        <v>196.19</v>
      </c>
      <c r="Q2169">
        <f>1804.41</f>
        <v>1804.41</v>
      </c>
      <c r="R2169">
        <f>3822.42</f>
        <v>3822.42</v>
      </c>
      <c r="S2169">
        <f>2096.42</f>
        <v>2096.42</v>
      </c>
      <c r="T2169">
        <f>3580.983</f>
        <v>3580.9830000000002</v>
      </c>
      <c r="U2169">
        <f>52614.08</f>
        <v>52614.080000000002</v>
      </c>
      <c r="V2169">
        <f>356.95</f>
        <v>356.95</v>
      </c>
    </row>
    <row r="2170" spans="1:22" x14ac:dyDescent="0.2">
      <c r="A2170" s="1">
        <v>42069</v>
      </c>
      <c r="B2170">
        <f>3067.71</f>
        <v>3067.71</v>
      </c>
      <c r="C2170">
        <f>8826.92</f>
        <v>8826.92</v>
      </c>
      <c r="D2170">
        <f>5253.96</f>
        <v>5253.96</v>
      </c>
      <c r="E2170">
        <f>1955.089</f>
        <v>1955.0889999999999</v>
      </c>
      <c r="F2170">
        <f>1864.54</f>
        <v>1864.54</v>
      </c>
      <c r="G2170">
        <f>8035.395</f>
        <v>8035.3950000000004</v>
      </c>
      <c r="H2170">
        <f>2550.88</f>
        <v>2550.88</v>
      </c>
      <c r="I2170">
        <f>8528.549</f>
        <v>8528.5490000000009</v>
      </c>
      <c r="J2170">
        <f>2736.39</f>
        <v>2736.39</v>
      </c>
      <c r="K2170">
        <f>7953.18</f>
        <v>7953.18</v>
      </c>
      <c r="L2170">
        <f>1581.19</f>
        <v>1581.19</v>
      </c>
      <c r="M2170">
        <f>6527.28</f>
        <v>6527.28</v>
      </c>
      <c r="N2170">
        <f>314.913</f>
        <v>314.91300000000001</v>
      </c>
      <c r="O2170">
        <f>2705.1</f>
        <v>2705.1</v>
      </c>
      <c r="P2170">
        <f>197.79</f>
        <v>197.79</v>
      </c>
      <c r="Q2170">
        <f>1792.69</f>
        <v>1792.69</v>
      </c>
      <c r="R2170">
        <f>3807.04</f>
        <v>3807.04</v>
      </c>
      <c r="S2170">
        <f>2108.86</f>
        <v>2108.86</v>
      </c>
      <c r="T2170">
        <f>3625.015</f>
        <v>3625.0149999999999</v>
      </c>
      <c r="U2170">
        <f>53346.99</f>
        <v>53346.99</v>
      </c>
      <c r="V2170">
        <f>362.41</f>
        <v>362.41</v>
      </c>
    </row>
    <row r="2171" spans="1:22" x14ac:dyDescent="0.2">
      <c r="A2171" s="1">
        <v>42068</v>
      </c>
      <c r="B2171">
        <f>3091.94</f>
        <v>3091.94</v>
      </c>
      <c r="C2171">
        <f>8891.85</f>
        <v>8891.85</v>
      </c>
      <c r="D2171">
        <f>5291.47</f>
        <v>5291.47</v>
      </c>
      <c r="E2171">
        <f>1961.808</f>
        <v>1961.808</v>
      </c>
      <c r="F2171">
        <f>1897.19</f>
        <v>1897.19</v>
      </c>
      <c r="G2171">
        <f>8183.762</f>
        <v>8183.7619999999997</v>
      </c>
      <c r="H2171">
        <f>2542.74</f>
        <v>2542.7399999999998</v>
      </c>
      <c r="I2171">
        <f>8638.038</f>
        <v>8638.0380000000005</v>
      </c>
      <c r="J2171">
        <f>2784.83</f>
        <v>2784.83</v>
      </c>
      <c r="K2171">
        <f>8066.49</f>
        <v>8066.49</v>
      </c>
      <c r="L2171">
        <f>1606.28</f>
        <v>1606.28</v>
      </c>
      <c r="M2171">
        <f>6608.16</f>
        <v>6608.16</v>
      </c>
      <c r="N2171">
        <f>314.99</f>
        <v>314.99</v>
      </c>
      <c r="O2171">
        <f>2704.38</f>
        <v>2704.38</v>
      </c>
      <c r="P2171">
        <f>195.45</f>
        <v>195.45</v>
      </c>
      <c r="Q2171">
        <f>1823.66</f>
        <v>1823.66</v>
      </c>
      <c r="R2171">
        <f>3861.29</f>
        <v>3861.29</v>
      </c>
      <c r="S2171">
        <f>2085.16</f>
        <v>2085.16</v>
      </c>
      <c r="T2171">
        <f>3621.33</f>
        <v>3621.33</v>
      </c>
      <c r="U2171">
        <f>53285.6</f>
        <v>53285.599999999999</v>
      </c>
      <c r="V2171">
        <f>363.23</f>
        <v>363.23</v>
      </c>
    </row>
    <row r="2172" spans="1:22" x14ac:dyDescent="0.2">
      <c r="A2172" s="1">
        <v>42067</v>
      </c>
      <c r="B2172">
        <f>3056.65</f>
        <v>3056.65</v>
      </c>
      <c r="C2172">
        <f>8888.14</f>
        <v>8888.14</v>
      </c>
      <c r="D2172">
        <f>5248.41</f>
        <v>5248.41</v>
      </c>
      <c r="E2172">
        <f>1964.98</f>
        <v>1964.98</v>
      </c>
      <c r="F2172">
        <f>1883.14</f>
        <v>1883.14</v>
      </c>
      <c r="G2172">
        <f>8136.101</f>
        <v>8136.1009999999997</v>
      </c>
      <c r="H2172">
        <f>2544.42</f>
        <v>2544.42</v>
      </c>
      <c r="I2172">
        <f>8592.176</f>
        <v>8592.1759999999995</v>
      </c>
      <c r="J2172">
        <f>2786.83</f>
        <v>2786.83</v>
      </c>
      <c r="K2172">
        <f>8053.84</f>
        <v>8053.84</v>
      </c>
      <c r="L2172">
        <f>1605.92</f>
        <v>1605.92</v>
      </c>
      <c r="M2172">
        <f>6595.12</f>
        <v>6595.12</v>
      </c>
      <c r="N2172">
        <f>311.97</f>
        <v>311.97000000000003</v>
      </c>
      <c r="O2172">
        <f>2677.25</f>
        <v>2677.25</v>
      </c>
      <c r="P2172">
        <f>193.35</f>
        <v>193.35</v>
      </c>
      <c r="Q2172">
        <f>1818.44</f>
        <v>1818.44</v>
      </c>
      <c r="R2172">
        <f>3856.51</f>
        <v>3856.51</v>
      </c>
      <c r="S2172">
        <f>2075.97</f>
        <v>2075.9699999999998</v>
      </c>
      <c r="T2172">
        <f>3576.452</f>
        <v>3576.4520000000002</v>
      </c>
      <c r="U2172">
        <f>52891.3</f>
        <v>52891.3</v>
      </c>
      <c r="V2172">
        <f>361.52</f>
        <v>361.52</v>
      </c>
    </row>
    <row r="2173" spans="1:22" x14ac:dyDescent="0.2">
      <c r="A2173" s="1">
        <v>42066</v>
      </c>
      <c r="B2173">
        <f>3050.45</f>
        <v>3050.45</v>
      </c>
      <c r="C2173">
        <f>9003.65</f>
        <v>9003.65</v>
      </c>
      <c r="D2173">
        <f>5225.57</f>
        <v>5225.57</v>
      </c>
      <c r="E2173">
        <f>1984.955</f>
        <v>1984.9549999999999</v>
      </c>
      <c r="F2173">
        <f>1894.72</f>
        <v>1894.72</v>
      </c>
      <c r="G2173">
        <f>8156.896</f>
        <v>8156.8959999999997</v>
      </c>
      <c r="H2173">
        <f>2564.95</f>
        <v>2564.9499999999998</v>
      </c>
      <c r="I2173">
        <f>8616.401</f>
        <v>8616.4009999999998</v>
      </c>
      <c r="J2173">
        <f>2797.84</f>
        <v>2797.84</v>
      </c>
      <c r="K2173">
        <f>8087.87</f>
        <v>8087.87</v>
      </c>
      <c r="L2173">
        <f>1610.57</f>
        <v>1610.57</v>
      </c>
      <c r="M2173">
        <f>6622.89</f>
        <v>6622.89</v>
      </c>
      <c r="N2173">
        <f>309.872</f>
        <v>309.87200000000001</v>
      </c>
      <c r="O2173">
        <f>2655.53</f>
        <v>2655.53</v>
      </c>
      <c r="P2173">
        <f>194.51</f>
        <v>194.51</v>
      </c>
      <c r="Q2173">
        <f>1828.4</f>
        <v>1828.4</v>
      </c>
      <c r="R2173">
        <f>3872.71</f>
        <v>3872.71</v>
      </c>
      <c r="S2173">
        <f>2089.42</f>
        <v>2089.42</v>
      </c>
      <c r="T2173">
        <f>3573.647</f>
        <v>3573.6469999999999</v>
      </c>
      <c r="U2173">
        <f>53130.34</f>
        <v>53130.34</v>
      </c>
      <c r="V2173">
        <f>361.08</f>
        <v>361.08</v>
      </c>
    </row>
    <row r="2174" spans="1:22" x14ac:dyDescent="0.2">
      <c r="A2174" s="1">
        <v>42065</v>
      </c>
      <c r="B2174">
        <f>3065.41</f>
        <v>3065.41</v>
      </c>
      <c r="C2174">
        <f>9069.17</f>
        <v>9069.17</v>
      </c>
      <c r="D2174">
        <f>5264.64</f>
        <v>5264.64</v>
      </c>
      <c r="E2174">
        <f>1988.725</f>
        <v>1988.7249999999999</v>
      </c>
      <c r="F2174">
        <f>1902.54</f>
        <v>1902.54</v>
      </c>
      <c r="G2174">
        <f>8211.111</f>
        <v>8211.1110000000008</v>
      </c>
      <c r="H2174">
        <f>2542.35</f>
        <v>2542.35</v>
      </c>
      <c r="I2174">
        <f>8710.967</f>
        <v>8710.9670000000006</v>
      </c>
      <c r="J2174">
        <f>2812.34</f>
        <v>2812.34</v>
      </c>
      <c r="K2174">
        <f>8122.36</f>
        <v>8122.36</v>
      </c>
      <c r="L2174">
        <f>1617.32</f>
        <v>1617.32</v>
      </c>
      <c r="M2174">
        <f>6651.78</f>
        <v>6651.78</v>
      </c>
      <c r="N2174">
        <f>312.138</f>
        <v>312.13799999999998</v>
      </c>
      <c r="O2174">
        <f>2681.49</f>
        <v>2681.49</v>
      </c>
      <c r="P2174">
        <f>193.58</f>
        <v>193.58</v>
      </c>
      <c r="Q2174">
        <f>1837.35</f>
        <v>1837.35</v>
      </c>
      <c r="R2174">
        <f>3890.32</f>
        <v>3890.32</v>
      </c>
      <c r="S2174">
        <f>2086.87</f>
        <v>2086.87</v>
      </c>
      <c r="T2174">
        <f>3551.917</f>
        <v>3551.9169999999999</v>
      </c>
      <c r="U2174">
        <f>52952.91</f>
        <v>52952.91</v>
      </c>
      <c r="V2174">
        <f>362.19</f>
        <v>362.19</v>
      </c>
    </row>
    <row r="2175" spans="1:22" x14ac:dyDescent="0.2">
      <c r="A2175" s="1">
        <v>42062</v>
      </c>
      <c r="B2175">
        <f>3065.91</f>
        <v>3065.91</v>
      </c>
      <c r="C2175">
        <f>9087</f>
        <v>9087</v>
      </c>
      <c r="D2175">
        <f>5269.2</f>
        <v>5269.2</v>
      </c>
      <c r="E2175">
        <f>1992.428</f>
        <v>1992.4280000000001</v>
      </c>
      <c r="F2175">
        <f>1913.79</f>
        <v>1913.79</v>
      </c>
      <c r="G2175">
        <f>8266.271</f>
        <v>8266.2710000000006</v>
      </c>
      <c r="H2175">
        <f>2540.75</f>
        <v>2540.75</v>
      </c>
      <c r="I2175">
        <f>8738.622</f>
        <v>8738.6219999999994</v>
      </c>
      <c r="J2175">
        <f>2804.33</f>
        <v>2804.33</v>
      </c>
      <c r="K2175">
        <f>8072.21</f>
        <v>8072.21</v>
      </c>
      <c r="L2175">
        <f>1620.66</f>
        <v>1620.66</v>
      </c>
      <c r="M2175">
        <f>6637.22</f>
        <v>6637.22</v>
      </c>
      <c r="N2175">
        <f>313.248</f>
        <v>313.24799999999999</v>
      </c>
      <c r="O2175">
        <f>2687.01</f>
        <v>2687.01</v>
      </c>
      <c r="P2175">
        <f>192.99</f>
        <v>192.99</v>
      </c>
      <c r="Q2175">
        <f>1827.54</f>
        <v>1827.54</v>
      </c>
      <c r="R2175">
        <f>3866.42</f>
        <v>3866.42</v>
      </c>
      <c r="S2175">
        <f>2085.33</f>
        <v>2085.33</v>
      </c>
      <c r="T2175">
        <f>3582.345</f>
        <v>3582.3449999999998</v>
      </c>
      <c r="U2175">
        <f>53344.2</f>
        <v>53344.2</v>
      </c>
      <c r="V2175">
        <f>364.21</f>
        <v>364.21</v>
      </c>
    </row>
    <row r="2176" spans="1:22" x14ac:dyDescent="0.2">
      <c r="A2176" s="1">
        <v>42061</v>
      </c>
      <c r="B2176">
        <f>3070.31</f>
        <v>3070.31</v>
      </c>
      <c r="C2176">
        <f>9144.72</f>
        <v>9144.7199999999993</v>
      </c>
      <c r="D2176">
        <f>5271.54</f>
        <v>5271.54</v>
      </c>
      <c r="E2176">
        <f>1999.517</f>
        <v>1999.5170000000001</v>
      </c>
      <c r="F2176">
        <f>1910.76</f>
        <v>1910.76</v>
      </c>
      <c r="G2176">
        <f>8248.249</f>
        <v>8248.2489999999998</v>
      </c>
      <c r="H2176">
        <f>2548.84</f>
        <v>2548.84</v>
      </c>
      <c r="I2176">
        <f>8692.475</f>
        <v>8692.4750000000004</v>
      </c>
      <c r="J2176">
        <f>2809.31</f>
        <v>2809.31</v>
      </c>
      <c r="K2176">
        <f>8096.3</f>
        <v>8096.3</v>
      </c>
      <c r="L2176">
        <f>1620.43</f>
        <v>1620.43</v>
      </c>
      <c r="M2176">
        <f>6641.34</f>
        <v>6641.34</v>
      </c>
      <c r="N2176">
        <f>311.799</f>
        <v>311.79899999999998</v>
      </c>
      <c r="O2176">
        <f>2676.77</f>
        <v>2676.77</v>
      </c>
      <c r="P2176">
        <f>192.7</f>
        <v>192.7</v>
      </c>
      <c r="Q2176">
        <f>1832.5</f>
        <v>1832.5</v>
      </c>
      <c r="R2176">
        <f>3877.85</f>
        <v>3877.85</v>
      </c>
      <c r="S2176">
        <f>2082.37</f>
        <v>2082.37</v>
      </c>
      <c r="T2176">
        <f>3582.215</f>
        <v>3582.2150000000001</v>
      </c>
      <c r="U2176">
        <f>53331.16</f>
        <v>53331.16</v>
      </c>
      <c r="V2176">
        <f>365.46</f>
        <v>365.46</v>
      </c>
    </row>
    <row r="2177" spans="1:22" x14ac:dyDescent="0.2">
      <c r="A2177" s="1">
        <v>42060</v>
      </c>
      <c r="B2177">
        <f>3062.81</f>
        <v>3062.81</v>
      </c>
      <c r="C2177">
        <f>9091.66</f>
        <v>9091.66</v>
      </c>
      <c r="D2177">
        <f>5258.7</f>
        <v>5258.7</v>
      </c>
      <c r="E2177">
        <f>1997.458</f>
        <v>1997.4580000000001</v>
      </c>
      <c r="F2177">
        <f>1921.35</f>
        <v>1921.35</v>
      </c>
      <c r="G2177">
        <f>8272.287</f>
        <v>8272.2870000000003</v>
      </c>
      <c r="H2177">
        <f>2544.32</f>
        <v>2544.3200000000002</v>
      </c>
      <c r="I2177">
        <f>8713.351</f>
        <v>8713.3510000000006</v>
      </c>
      <c r="J2177">
        <f>2814.55</f>
        <v>2814.55</v>
      </c>
      <c r="K2177">
        <f>8107.29</f>
        <v>8107.29</v>
      </c>
      <c r="L2177">
        <f>1626.18</f>
        <v>1626.18</v>
      </c>
      <c r="M2177">
        <f>6651.2</f>
        <v>6651.2</v>
      </c>
      <c r="N2177">
        <f>308.843</f>
        <v>308.84300000000002</v>
      </c>
      <c r="O2177">
        <f>2648.18</f>
        <v>2648.18</v>
      </c>
      <c r="P2177">
        <f>191.7</f>
        <v>191.7</v>
      </c>
      <c r="Q2177">
        <f>1833.58</f>
        <v>1833.58</v>
      </c>
      <c r="R2177">
        <f>3882.95</f>
        <v>3882.95</v>
      </c>
      <c r="S2177">
        <f>2063.13</f>
        <v>2063.13</v>
      </c>
      <c r="T2177">
        <f>3589.845</f>
        <v>3589.8449999999998</v>
      </c>
      <c r="U2177">
        <f>53217.75</f>
        <v>53217.75</v>
      </c>
      <c r="V2177">
        <f>366.14</f>
        <v>366.14</v>
      </c>
    </row>
    <row r="2178" spans="1:22" x14ac:dyDescent="0.2">
      <c r="A2178" s="1">
        <v>42059</v>
      </c>
      <c r="B2178">
        <f>3067.32</f>
        <v>3067.32</v>
      </c>
      <c r="C2178">
        <f>9087.43</f>
        <v>9087.43</v>
      </c>
      <c r="D2178">
        <f>5269.5</f>
        <v>5269.5</v>
      </c>
      <c r="E2178">
        <f>1987.514</f>
        <v>1987.5139999999999</v>
      </c>
      <c r="F2178">
        <f>1916.91</f>
        <v>1916.91</v>
      </c>
      <c r="G2178">
        <f>8272.992</f>
        <v>8272.9920000000002</v>
      </c>
      <c r="H2178">
        <f>2539.26</f>
        <v>2539.2600000000002</v>
      </c>
      <c r="I2178">
        <f>8705.788</f>
        <v>8705.7880000000005</v>
      </c>
      <c r="J2178">
        <f>2818.11</f>
        <v>2818.11</v>
      </c>
      <c r="K2178">
        <f>8108.51</f>
        <v>8108.51</v>
      </c>
      <c r="L2178">
        <f>1622.57</f>
        <v>1622.57</v>
      </c>
      <c r="M2178">
        <f>6642.78</f>
        <v>6642.78</v>
      </c>
      <c r="N2178">
        <f>309.164</f>
        <v>309.16399999999999</v>
      </c>
      <c r="O2178">
        <f>2653.37</f>
        <v>2653.37</v>
      </c>
      <c r="P2178">
        <f>192.35</f>
        <v>192.35</v>
      </c>
      <c r="Q2178">
        <f>1834.73</f>
        <v>1834.73</v>
      </c>
      <c r="R2178">
        <f>3885.27</f>
        <v>3885.27</v>
      </c>
      <c r="S2178">
        <f>2063.55</f>
        <v>2063.5500000000002</v>
      </c>
      <c r="T2178">
        <f>3588.366</f>
        <v>3588.366</v>
      </c>
      <c r="U2178">
        <f>53374.88</f>
        <v>53374.879999999997</v>
      </c>
      <c r="V2178">
        <f>366.16</f>
        <v>366.16</v>
      </c>
    </row>
    <row r="2179" spans="1:22" x14ac:dyDescent="0.2">
      <c r="A2179" s="1">
        <v>42058</v>
      </c>
      <c r="B2179">
        <f>3054.93</f>
        <v>3054.93</v>
      </c>
      <c r="C2179">
        <f>9070.38</f>
        <v>9070.3799999999992</v>
      </c>
      <c r="D2179">
        <f>5241.09</f>
        <v>5241.09</v>
      </c>
      <c r="E2179">
        <f>1978.581</f>
        <v>1978.5809999999999</v>
      </c>
      <c r="F2179">
        <f>1916.97</f>
        <v>1916.97</v>
      </c>
      <c r="G2179">
        <f>8224.225</f>
        <v>8224.2250000000004</v>
      </c>
      <c r="H2179">
        <f>2533.4</f>
        <v>2533.4</v>
      </c>
      <c r="I2179">
        <f>8677.704</f>
        <v>8677.7039999999997</v>
      </c>
      <c r="J2179">
        <f>2808.14</f>
        <v>2808.14</v>
      </c>
      <c r="K2179">
        <f>8088.79</f>
        <v>8088.79</v>
      </c>
      <c r="L2179">
        <f>1616.36</f>
        <v>1616.36</v>
      </c>
      <c r="M2179">
        <f>6625.2</f>
        <v>6625.2</v>
      </c>
      <c r="N2179">
        <f>307.641</f>
        <v>307.64100000000002</v>
      </c>
      <c r="O2179">
        <f>2637.93</f>
        <v>2637.93</v>
      </c>
      <c r="P2179">
        <f>191.99</f>
        <v>191.99</v>
      </c>
      <c r="Q2179">
        <f>1827.54</f>
        <v>1827.54</v>
      </c>
      <c r="R2179">
        <f>3874.46</f>
        <v>3874.46</v>
      </c>
      <c r="S2179">
        <f>2056.09</f>
        <v>2056.09</v>
      </c>
      <c r="T2179">
        <f>3596.404</f>
        <v>3596.404</v>
      </c>
      <c r="U2179">
        <f>53336.46</f>
        <v>53336.46</v>
      </c>
      <c r="V2179">
        <f>367.5</f>
        <v>367.5</v>
      </c>
    </row>
    <row r="2180" spans="1:22" x14ac:dyDescent="0.2">
      <c r="A2180" s="1">
        <v>42055</v>
      </c>
      <c r="B2180">
        <f>3045.92</f>
        <v>3045.92</v>
      </c>
      <c r="C2180">
        <f>9113.77</f>
        <v>9113.77</v>
      </c>
      <c r="D2180">
        <f>5243.4</f>
        <v>5243.4</v>
      </c>
      <c r="E2180">
        <f>1980.379</f>
        <v>1980.3789999999999</v>
      </c>
      <c r="F2180">
        <f>1897.57</f>
        <v>1897.57</v>
      </c>
      <c r="G2180">
        <f>8187.406</f>
        <v>8187.4059999999999</v>
      </c>
      <c r="H2180">
        <f>2526</f>
        <v>2526</v>
      </c>
      <c r="I2180">
        <f>8621.164</f>
        <v>8621.1640000000007</v>
      </c>
      <c r="J2180">
        <f>2811.4</f>
        <v>2811.4</v>
      </c>
      <c r="K2180">
        <f>8091.48</f>
        <v>8091.48</v>
      </c>
      <c r="L2180">
        <f>1614.25</f>
        <v>1614.25</v>
      </c>
      <c r="M2180">
        <f>6616.57</f>
        <v>6616.57</v>
      </c>
      <c r="N2180">
        <f>304.054</f>
        <v>304.05399999999997</v>
      </c>
      <c r="O2180">
        <f>2619.29</f>
        <v>2619.29</v>
      </c>
      <c r="P2180">
        <f>191.28</f>
        <v>191.28</v>
      </c>
      <c r="Q2180">
        <f>1829.17</f>
        <v>1829.17</v>
      </c>
      <c r="R2180">
        <f>3875.6</f>
        <v>3875.6</v>
      </c>
      <c r="S2180">
        <f>2052.67</f>
        <v>2052.67</v>
      </c>
      <c r="T2180">
        <f>3571.696</f>
        <v>3571.6959999999999</v>
      </c>
      <c r="U2180">
        <f>53035.26</f>
        <v>53035.26</v>
      </c>
      <c r="V2180">
        <f>366.64</f>
        <v>366.64</v>
      </c>
    </row>
    <row r="2181" spans="1:22" x14ac:dyDescent="0.2">
      <c r="A2181" s="1">
        <v>42054</v>
      </c>
      <c r="B2181">
        <f>3034.16</f>
        <v>3034.16</v>
      </c>
      <c r="C2181">
        <f>9101.52</f>
        <v>9101.52</v>
      </c>
      <c r="D2181">
        <f>5223.45</f>
        <v>5223.45</v>
      </c>
      <c r="E2181">
        <f>1981.679</f>
        <v>1981.6790000000001</v>
      </c>
      <c r="F2181">
        <f>1901.41</f>
        <v>1901.41</v>
      </c>
      <c r="G2181">
        <f>8191.381</f>
        <v>8191.3810000000003</v>
      </c>
      <c r="H2181">
        <f>2517.98</f>
        <v>2517.98</v>
      </c>
      <c r="I2181">
        <f>8614.782</f>
        <v>8614.7819999999992</v>
      </c>
      <c r="J2181">
        <f>2799.91</f>
        <v>2799.91</v>
      </c>
      <c r="K2181">
        <f>8041.17</f>
        <v>8041.17</v>
      </c>
      <c r="L2181">
        <f>1611.48</f>
        <v>1611.48</v>
      </c>
      <c r="M2181">
        <f>6588.82</f>
        <v>6588.82</v>
      </c>
      <c r="N2181">
        <f>304.148</f>
        <v>304.14800000000002</v>
      </c>
      <c r="O2181">
        <f>2612.19</f>
        <v>2612.19</v>
      </c>
      <c r="P2181">
        <f>191.01</f>
        <v>191.01</v>
      </c>
      <c r="Q2181">
        <f>1817.16</f>
        <v>1817.16</v>
      </c>
      <c r="R2181">
        <f>3851.53</f>
        <v>3851.53</v>
      </c>
      <c r="S2181">
        <f>2045.27</f>
        <v>2045.27</v>
      </c>
      <c r="T2181">
        <f>3555.597</f>
        <v>3555.5970000000002</v>
      </c>
      <c r="U2181">
        <f>52835.55</f>
        <v>52835.55</v>
      </c>
      <c r="V2181">
        <f>365.73</f>
        <v>365.73</v>
      </c>
    </row>
    <row r="2182" spans="1:22" x14ac:dyDescent="0.2">
      <c r="A2182" s="1">
        <v>42053</v>
      </c>
      <c r="B2182">
        <f>3025.8</f>
        <v>3025.8</v>
      </c>
      <c r="C2182">
        <f>9128.33</f>
        <v>9128.33</v>
      </c>
      <c r="D2182">
        <f>5222.29</f>
        <v>5222.29</v>
      </c>
      <c r="E2182">
        <f>1981.459</f>
        <v>1981.4590000000001</v>
      </c>
      <c r="F2182">
        <f>1908.11</f>
        <v>1908.11</v>
      </c>
      <c r="G2182">
        <f>8193.896</f>
        <v>8193.8960000000006</v>
      </c>
      <c r="H2182">
        <f>2505.11</f>
        <v>2505.11</v>
      </c>
      <c r="I2182">
        <f>8546</f>
        <v>8546</v>
      </c>
      <c r="J2182">
        <f>2812.3</f>
        <v>2812.3</v>
      </c>
      <c r="K2182">
        <f>8047.63</f>
        <v>8047.63</v>
      </c>
      <c r="L2182">
        <f>1612.54</f>
        <v>1612.54</v>
      </c>
      <c r="M2182">
        <f>6580.72</f>
        <v>6580.72</v>
      </c>
      <c r="N2182">
        <f>303.96</f>
        <v>303.95999999999998</v>
      </c>
      <c r="O2182">
        <f>2605.34</f>
        <v>2605.34</v>
      </c>
      <c r="P2182">
        <f>189.83</f>
        <v>189.83</v>
      </c>
      <c r="Q2182">
        <f>1822.94</f>
        <v>1822.94</v>
      </c>
      <c r="R2182">
        <f>3855</f>
        <v>3855</v>
      </c>
      <c r="S2182">
        <f>2028.5</f>
        <v>2028.5</v>
      </c>
      <c r="T2182">
        <f>3515.537</f>
        <v>3515.5369999999998</v>
      </c>
      <c r="U2182">
        <f>52536.24</f>
        <v>52536.24</v>
      </c>
      <c r="V2182">
        <f>362.6</f>
        <v>362.6</v>
      </c>
    </row>
    <row r="2183" spans="1:22" x14ac:dyDescent="0.2">
      <c r="A2183" s="1">
        <v>42052</v>
      </c>
      <c r="B2183">
        <f>3019.04</f>
        <v>3019.04</v>
      </c>
      <c r="C2183">
        <f>9089.11</f>
        <v>9089.11</v>
      </c>
      <c r="D2183">
        <f>5222.33</f>
        <v>5222.33</v>
      </c>
      <c r="E2183">
        <f>1977.48</f>
        <v>1977.48</v>
      </c>
      <c r="F2183">
        <f>1901.79</f>
        <v>1901.79</v>
      </c>
      <c r="G2183">
        <f>8133.034</f>
        <v>8133.0339999999997</v>
      </c>
      <c r="H2183">
        <f>2480.63</f>
        <v>2480.63</v>
      </c>
      <c r="I2183">
        <f>8509.988</f>
        <v>8509.9879999999994</v>
      </c>
      <c r="J2183">
        <f>2812.26</f>
        <v>2812.26</v>
      </c>
      <c r="K2183">
        <f>8048.53</f>
        <v>8048.53</v>
      </c>
      <c r="L2183">
        <f>1610.63</f>
        <v>1610.63</v>
      </c>
      <c r="M2183">
        <f>6564.53</f>
        <v>6564.53</v>
      </c>
      <c r="N2183">
        <f>300.861</f>
        <v>300.86099999999999</v>
      </c>
      <c r="O2183">
        <f>2583.86</f>
        <v>2583.86</v>
      </c>
      <c r="P2183">
        <f>187.94</f>
        <v>187.94</v>
      </c>
      <c r="Q2183">
        <f>1819.67</f>
        <v>1819.67</v>
      </c>
      <c r="R2183">
        <f>3856.04</f>
        <v>3856.04</v>
      </c>
      <c r="S2183">
        <f>2000.29</f>
        <v>2000.29</v>
      </c>
      <c r="T2183">
        <f>3539.386</f>
        <v>3539.386</v>
      </c>
      <c r="U2183">
        <f>52833.48</f>
        <v>52833.48</v>
      </c>
      <c r="V2183">
        <f>363.64</f>
        <v>363.64</v>
      </c>
    </row>
    <row r="2184" spans="1:22" x14ac:dyDescent="0.2">
      <c r="A2184" s="1">
        <v>42051</v>
      </c>
      <c r="B2184">
        <f>3004.51</f>
        <v>3004.51</v>
      </c>
      <c r="C2184">
        <f>9108.06</f>
        <v>9108.06</v>
      </c>
      <c r="D2184">
        <f>5191.23</f>
        <v>5191.2299999999996</v>
      </c>
      <c r="E2184">
        <f>1979.4</f>
        <v>1979.4</v>
      </c>
      <c r="F2184">
        <f>1889.76</f>
        <v>1889.76</v>
      </c>
      <c r="G2184">
        <f>8106.014</f>
        <v>8106.0140000000001</v>
      </c>
      <c r="H2184">
        <f>2495.04</f>
        <v>2495.04</v>
      </c>
      <c r="I2184">
        <f>8509.985</f>
        <v>8509.9850000000006</v>
      </c>
      <c r="J2184">
        <f>2810.32</f>
        <v>2810.32</v>
      </c>
      <c r="K2184">
        <f>8034.87</f>
        <v>8034.87</v>
      </c>
      <c r="L2184">
        <f>1608.59</f>
        <v>1608.59</v>
      </c>
      <c r="M2184">
        <f>6556.4</f>
        <v>6556.4</v>
      </c>
      <c r="N2184">
        <f>300.184</f>
        <v>300.18400000000003</v>
      </c>
      <c r="O2184">
        <f>2580.8</f>
        <v>2580.8000000000002</v>
      </c>
      <c r="P2184">
        <f>187.93</f>
        <v>187.93</v>
      </c>
      <c r="Q2184" t="e">
        <f>NA()</f>
        <v>#N/A</v>
      </c>
      <c r="R2184" t="e">
        <f>NA()</f>
        <v>#N/A</v>
      </c>
      <c r="S2184">
        <f>1996.67</f>
        <v>1996.67</v>
      </c>
      <c r="T2184">
        <f>3549.487</f>
        <v>3549.4870000000001</v>
      </c>
      <c r="U2184">
        <f>52995.89</f>
        <v>52995.89</v>
      </c>
      <c r="V2184">
        <f>364.9</f>
        <v>364.9</v>
      </c>
    </row>
    <row r="2185" spans="1:22" x14ac:dyDescent="0.2">
      <c r="A2185" s="1">
        <v>42048</v>
      </c>
      <c r="B2185">
        <f>3009.26</f>
        <v>3009.26</v>
      </c>
      <c r="C2185">
        <f>9140.81</f>
        <v>9140.81</v>
      </c>
      <c r="D2185">
        <f>5203.7</f>
        <v>5203.7</v>
      </c>
      <c r="E2185">
        <f>1984.518</f>
        <v>1984.518</v>
      </c>
      <c r="F2185">
        <f>1906.48</f>
        <v>1906.48</v>
      </c>
      <c r="G2185">
        <f>8133.694</f>
        <v>8133.6940000000004</v>
      </c>
      <c r="H2185">
        <f>2469.82</f>
        <v>2469.8200000000002</v>
      </c>
      <c r="I2185">
        <f>8510.798</f>
        <v>8510.7980000000007</v>
      </c>
      <c r="J2185">
        <f>2810.32</f>
        <v>2810.32</v>
      </c>
      <c r="K2185">
        <f>8034.87</f>
        <v>8034.87</v>
      </c>
      <c r="L2185">
        <f>1609.32</f>
        <v>1609.32</v>
      </c>
      <c r="M2185">
        <f>6553.62</f>
        <v>6553.62</v>
      </c>
      <c r="N2185">
        <f>301.552</f>
        <v>301.55200000000002</v>
      </c>
      <c r="O2185">
        <f>2581.32</f>
        <v>2581.3200000000002</v>
      </c>
      <c r="P2185">
        <f>186.21</f>
        <v>186.21</v>
      </c>
      <c r="Q2185">
        <f>1819.04</f>
        <v>1819.04</v>
      </c>
      <c r="R2185">
        <f>3849.29</f>
        <v>3849.29</v>
      </c>
      <c r="S2185">
        <f>1982.94</f>
        <v>1982.94</v>
      </c>
      <c r="T2185">
        <f>3585.885</f>
        <v>3585.8850000000002</v>
      </c>
      <c r="U2185">
        <f>52967.63</f>
        <v>52967.63</v>
      </c>
      <c r="V2185">
        <f>367.63</f>
        <v>367.63</v>
      </c>
    </row>
    <row r="2186" spans="1:22" x14ac:dyDescent="0.2">
      <c r="A2186" s="1">
        <v>42047</v>
      </c>
      <c r="B2186">
        <f>3000.38</f>
        <v>3000.38</v>
      </c>
      <c r="C2186">
        <f>8970.09</f>
        <v>8970.09</v>
      </c>
      <c r="D2186">
        <f>5169.32</f>
        <v>5169.32</v>
      </c>
      <c r="E2186">
        <f>1953.276</f>
        <v>1953.2760000000001</v>
      </c>
      <c r="F2186">
        <f>1889.75</f>
        <v>1889.75</v>
      </c>
      <c r="G2186">
        <f>8063.141</f>
        <v>8063.1409999999996</v>
      </c>
      <c r="H2186">
        <f>2460.21</f>
        <v>2460.21</v>
      </c>
      <c r="I2186">
        <f>8435.071</f>
        <v>8435.0709999999999</v>
      </c>
      <c r="J2186">
        <f>2802.79</f>
        <v>2802.79</v>
      </c>
      <c r="K2186">
        <f>7998.39</f>
        <v>7998.39</v>
      </c>
      <c r="L2186">
        <f>1599.32</f>
        <v>1599.32</v>
      </c>
      <c r="M2186">
        <f>6512.27</f>
        <v>6512.27</v>
      </c>
      <c r="N2186">
        <f>300.832</f>
        <v>300.83199999999999</v>
      </c>
      <c r="O2186">
        <f>2563.09</f>
        <v>2563.09</v>
      </c>
      <c r="P2186">
        <f>186.63</f>
        <v>186.63</v>
      </c>
      <c r="Q2186">
        <f>1808.6</f>
        <v>1808.6</v>
      </c>
      <c r="R2186">
        <f>3833.35</f>
        <v>3833.35</v>
      </c>
      <c r="S2186">
        <f>1982.94</f>
        <v>1982.94</v>
      </c>
      <c r="T2186">
        <f>3554.648</f>
        <v>3554.6480000000001</v>
      </c>
      <c r="U2186">
        <f>52507.93</f>
        <v>52507.93</v>
      </c>
      <c r="V2186">
        <f>364.13</f>
        <v>364.13</v>
      </c>
    </row>
    <row r="2187" spans="1:22" x14ac:dyDescent="0.2">
      <c r="A2187" s="1">
        <v>42046</v>
      </c>
      <c r="B2187">
        <f>2985.19</f>
        <v>2985.19</v>
      </c>
      <c r="C2187">
        <f>8807.19</f>
        <v>8807.19</v>
      </c>
      <c r="D2187">
        <f>5152.67</f>
        <v>5152.67</v>
      </c>
      <c r="E2187">
        <f>1933.199</f>
        <v>1933.1990000000001</v>
      </c>
      <c r="F2187">
        <f>1878.17</f>
        <v>1878.17</v>
      </c>
      <c r="G2187">
        <f>7984.726</f>
        <v>7984.7259999999997</v>
      </c>
      <c r="H2187">
        <f>2406.19</f>
        <v>2406.19</v>
      </c>
      <c r="I2187">
        <f>8308.904</f>
        <v>8308.9040000000005</v>
      </c>
      <c r="J2187">
        <f>2775.54</f>
        <v>2775.54</v>
      </c>
      <c r="K2187">
        <f>7920.39</f>
        <v>7920.39</v>
      </c>
      <c r="L2187">
        <f>1585.94</f>
        <v>1585.94</v>
      </c>
      <c r="M2187">
        <f>6436.94</f>
        <v>6436.94</v>
      </c>
      <c r="N2187">
        <f>299.9</f>
        <v>299.89999999999998</v>
      </c>
      <c r="O2187">
        <f>2545.82</f>
        <v>2545.8200000000002</v>
      </c>
      <c r="P2187" t="e">
        <f>NA()</f>
        <v>#N/A</v>
      </c>
      <c r="Q2187">
        <f>1793.92</f>
        <v>1793.92</v>
      </c>
      <c r="R2187">
        <f>3795.82</f>
        <v>3795.82</v>
      </c>
      <c r="S2187" t="e">
        <f>NA()</f>
        <v>#N/A</v>
      </c>
      <c r="T2187">
        <f>3500.309</f>
        <v>3500.3090000000002</v>
      </c>
      <c r="U2187">
        <f>52069.3</f>
        <v>52069.3</v>
      </c>
      <c r="V2187">
        <f>358.45</f>
        <v>358.45</v>
      </c>
    </row>
    <row r="2188" spans="1:22" x14ac:dyDescent="0.2">
      <c r="A2188" s="1">
        <v>42045</v>
      </c>
      <c r="B2188">
        <f>2989.09</f>
        <v>2989.09</v>
      </c>
      <c r="C2188">
        <f>8876.42</f>
        <v>8876.42</v>
      </c>
      <c r="D2188">
        <f>5160.81</f>
        <v>5160.8100000000004</v>
      </c>
      <c r="E2188">
        <f>1943.765</f>
        <v>1943.7650000000001</v>
      </c>
      <c r="F2188">
        <f>1877.71</f>
        <v>1877.71</v>
      </c>
      <c r="G2188">
        <f>7996.329</f>
        <v>7996.3289999999997</v>
      </c>
      <c r="H2188">
        <f>2428.48</f>
        <v>2428.48</v>
      </c>
      <c r="I2188">
        <f>8354.996</f>
        <v>8354.9959999999992</v>
      </c>
      <c r="J2188">
        <f>2783.31</f>
        <v>2783.31</v>
      </c>
      <c r="K2188">
        <f>7916.55</f>
        <v>7916.55</v>
      </c>
      <c r="L2188">
        <f>1594.06</f>
        <v>1594.06</v>
      </c>
      <c r="M2188">
        <f>6451.38</f>
        <v>6451.38</v>
      </c>
      <c r="N2188">
        <f>300.788</f>
        <v>300.78800000000001</v>
      </c>
      <c r="O2188">
        <f>2554.45</f>
        <v>2554.4499999999998</v>
      </c>
      <c r="P2188">
        <f>183.31</f>
        <v>183.31</v>
      </c>
      <c r="Q2188">
        <f>1794.38</f>
        <v>1794.38</v>
      </c>
      <c r="R2188">
        <f>3794.62</f>
        <v>3794.62</v>
      </c>
      <c r="S2188">
        <f>1953.3</f>
        <v>1953.3</v>
      </c>
      <c r="T2188">
        <f>3526.116</f>
        <v>3526.116</v>
      </c>
      <c r="U2188">
        <f>52109.54</f>
        <v>52109.54</v>
      </c>
      <c r="V2188">
        <f>360.86</f>
        <v>360.86</v>
      </c>
    </row>
    <row r="2189" spans="1:22" x14ac:dyDescent="0.2">
      <c r="A2189" s="1">
        <v>42044</v>
      </c>
      <c r="B2189">
        <f>2975.55</f>
        <v>2975.55</v>
      </c>
      <c r="C2189">
        <f>8935.04</f>
        <v>8935.0400000000009</v>
      </c>
      <c r="D2189">
        <f>5166.87</f>
        <v>5166.87</v>
      </c>
      <c r="E2189">
        <f>1955.695</f>
        <v>1955.6949999999999</v>
      </c>
      <c r="F2189">
        <f>1868.71</f>
        <v>1868.71</v>
      </c>
      <c r="G2189">
        <f>8000.409</f>
        <v>8000.4089999999997</v>
      </c>
      <c r="H2189">
        <f>2436.41</f>
        <v>2436.41</v>
      </c>
      <c r="I2189">
        <f>8294.336</f>
        <v>8294.3359999999993</v>
      </c>
      <c r="J2189">
        <f>2753.1</f>
        <v>2753.1</v>
      </c>
      <c r="K2189">
        <f>7832.55</f>
        <v>7832.55</v>
      </c>
      <c r="L2189">
        <f>1585.84</f>
        <v>1585.84</v>
      </c>
      <c r="M2189">
        <f>6407.76</f>
        <v>6407.76</v>
      </c>
      <c r="N2189">
        <f>299.137</f>
        <v>299.137</v>
      </c>
      <c r="O2189">
        <f>2540.05</f>
        <v>2540.0500000000002</v>
      </c>
      <c r="P2189">
        <f>183.22</f>
        <v>183.22</v>
      </c>
      <c r="Q2189">
        <f>1780.99</f>
        <v>1780.99</v>
      </c>
      <c r="R2189">
        <f>3754.36</f>
        <v>3754.36</v>
      </c>
      <c r="S2189">
        <f>1949.47</f>
        <v>1949.47</v>
      </c>
      <c r="T2189">
        <f>3529.507</f>
        <v>3529.5070000000001</v>
      </c>
      <c r="U2189">
        <f>52105.38</f>
        <v>52105.38</v>
      </c>
      <c r="V2189">
        <f>361.92</f>
        <v>361.92</v>
      </c>
    </row>
    <row r="2190" spans="1:22" x14ac:dyDescent="0.2">
      <c r="A2190" s="1">
        <v>42041</v>
      </c>
      <c r="B2190">
        <f>3001.73</f>
        <v>3001.73</v>
      </c>
      <c r="C2190">
        <f>8991.35</f>
        <v>8991.35</v>
      </c>
      <c r="D2190">
        <f>5179.19</f>
        <v>5179.1899999999996</v>
      </c>
      <c r="E2190">
        <f>1967.167</f>
        <v>1967.1669999999999</v>
      </c>
      <c r="F2190">
        <f>1879.38</f>
        <v>1879.38</v>
      </c>
      <c r="G2190">
        <f>8032.557</f>
        <v>8032.5569999999998</v>
      </c>
      <c r="H2190">
        <f>2407.35</f>
        <v>2407.35</v>
      </c>
      <c r="I2190">
        <f>8374.306</f>
        <v>8374.3060000000005</v>
      </c>
      <c r="J2190">
        <f>2766.89</f>
        <v>2766.89</v>
      </c>
      <c r="K2190">
        <f>7865.27</f>
        <v>7865.27</v>
      </c>
      <c r="L2190">
        <f>1589.9</f>
        <v>1589.9</v>
      </c>
      <c r="M2190">
        <f>6431.22</f>
        <v>6431.22</v>
      </c>
      <c r="N2190">
        <f>300.931</f>
        <v>300.93099999999998</v>
      </c>
      <c r="O2190">
        <f>2558.12</f>
        <v>2558.12</v>
      </c>
      <c r="P2190">
        <f>182.61</f>
        <v>182.61</v>
      </c>
      <c r="Q2190">
        <f>1792.75</f>
        <v>1792.75</v>
      </c>
      <c r="R2190">
        <f>3770.2</f>
        <v>3770.2</v>
      </c>
      <c r="S2190">
        <f>1938.89</f>
        <v>1938.89</v>
      </c>
      <c r="T2190">
        <f>3532.255</f>
        <v>3532.2550000000001</v>
      </c>
      <c r="U2190">
        <f>51998.32</f>
        <v>51998.32</v>
      </c>
      <c r="V2190">
        <f>361.36</f>
        <v>361.36</v>
      </c>
    </row>
    <row r="2191" spans="1:22" x14ac:dyDescent="0.2">
      <c r="A2191" s="1">
        <v>42040</v>
      </c>
      <c r="B2191">
        <f>3001.78</f>
        <v>3001.78</v>
      </c>
      <c r="C2191">
        <f>9021.33</f>
        <v>9021.33</v>
      </c>
      <c r="D2191">
        <f>5188.62</f>
        <v>5188.62</v>
      </c>
      <c r="E2191">
        <f>1974.412</f>
        <v>1974.412</v>
      </c>
      <c r="F2191">
        <f>1882.89</f>
        <v>1882.89</v>
      </c>
      <c r="G2191">
        <f>8058.314</f>
        <v>8058.3140000000003</v>
      </c>
      <c r="H2191">
        <f>2431.84</f>
        <v>2431.84</v>
      </c>
      <c r="I2191">
        <f>8428.009</f>
        <v>8428.009</v>
      </c>
      <c r="J2191">
        <f>2785.22</f>
        <v>2785.22</v>
      </c>
      <c r="K2191">
        <f>7889.67</f>
        <v>7889.67</v>
      </c>
      <c r="L2191">
        <f>1600.1</f>
        <v>1600.1</v>
      </c>
      <c r="M2191">
        <f>6456.19</f>
        <v>6456.19</v>
      </c>
      <c r="N2191">
        <f>300.459</f>
        <v>300.459</v>
      </c>
      <c r="O2191">
        <f>2551.88</f>
        <v>2551.88</v>
      </c>
      <c r="P2191">
        <f>181.84</f>
        <v>181.84</v>
      </c>
      <c r="Q2191">
        <f>1796.82</f>
        <v>1796.82</v>
      </c>
      <c r="R2191">
        <f>3782.11</f>
        <v>3782.11</v>
      </c>
      <c r="S2191">
        <f>1929.2</f>
        <v>1929.2</v>
      </c>
      <c r="T2191">
        <f>3517.095</f>
        <v>3517.0949999999998</v>
      </c>
      <c r="U2191">
        <f>51688.7</f>
        <v>51688.7</v>
      </c>
      <c r="V2191">
        <f>360.4</f>
        <v>360.4</v>
      </c>
    </row>
    <row r="2192" spans="1:22" x14ac:dyDescent="0.2">
      <c r="A2192" s="1">
        <v>42039</v>
      </c>
      <c r="B2192">
        <f>3002.01</f>
        <v>3002.01</v>
      </c>
      <c r="C2192">
        <f>8955.48</f>
        <v>8955.48</v>
      </c>
      <c r="D2192">
        <f>5183.38</f>
        <v>5183.38</v>
      </c>
      <c r="E2192">
        <f>1971.596</f>
        <v>1971.596</v>
      </c>
      <c r="F2192">
        <f>1886.1</f>
        <v>1886.1</v>
      </c>
      <c r="G2192">
        <f>8004.875</f>
        <v>8004.875</v>
      </c>
      <c r="H2192">
        <f>2435.46</f>
        <v>2435.46</v>
      </c>
      <c r="I2192">
        <f>8432.835</f>
        <v>8432.8349999999991</v>
      </c>
      <c r="J2192">
        <f>2756.19</f>
        <v>2756.19</v>
      </c>
      <c r="K2192">
        <f>7805.52</f>
        <v>7805.52</v>
      </c>
      <c r="L2192">
        <f>1589.07</f>
        <v>1589.07</v>
      </c>
      <c r="M2192">
        <f>6408.67</f>
        <v>6408.67</v>
      </c>
      <c r="N2192">
        <f>298.756</f>
        <v>298.75599999999997</v>
      </c>
      <c r="O2192">
        <f>2550.33</f>
        <v>2550.33</v>
      </c>
      <c r="P2192">
        <f>182.75</f>
        <v>182.75</v>
      </c>
      <c r="Q2192">
        <f>1780.41</f>
        <v>1780.41</v>
      </c>
      <c r="R2192">
        <f>3742.84</f>
        <v>3742.84</v>
      </c>
      <c r="S2192">
        <f>1938.63</f>
        <v>1938.63</v>
      </c>
      <c r="T2192">
        <f>3502.366</f>
        <v>3502.366</v>
      </c>
      <c r="U2192">
        <f>51630.82</f>
        <v>51630.82</v>
      </c>
      <c r="V2192">
        <f>360.47</f>
        <v>360.47</v>
      </c>
    </row>
    <row r="2193" spans="1:22" x14ac:dyDescent="0.2">
      <c r="A2193" s="1">
        <v>42038</v>
      </c>
      <c r="B2193">
        <f>3008.53</f>
        <v>3008.53</v>
      </c>
      <c r="C2193">
        <f>8916.7</f>
        <v>8916.7000000000007</v>
      </c>
      <c r="D2193">
        <f>5192.27</f>
        <v>5192.2700000000004</v>
      </c>
      <c r="E2193">
        <f>1962.885</f>
        <v>1962.885</v>
      </c>
      <c r="F2193">
        <f>1874.84</f>
        <v>1874.84</v>
      </c>
      <c r="G2193">
        <f>7969.151</f>
        <v>7969.1509999999998</v>
      </c>
      <c r="H2193">
        <f>2394.67</f>
        <v>2394.67</v>
      </c>
      <c r="I2193">
        <f>8417.915</f>
        <v>8417.9150000000009</v>
      </c>
      <c r="J2193">
        <f>2773.03</f>
        <v>2773.03</v>
      </c>
      <c r="K2193">
        <f>7835.67</f>
        <v>7835.67</v>
      </c>
      <c r="L2193">
        <f>1591.02</f>
        <v>1591.02</v>
      </c>
      <c r="M2193">
        <f>6407.93</f>
        <v>6407.93</v>
      </c>
      <c r="N2193">
        <f>297.248</f>
        <v>297.24799999999999</v>
      </c>
      <c r="O2193">
        <f>2536.35</f>
        <v>2536.35</v>
      </c>
      <c r="P2193">
        <f>180.29</f>
        <v>180.29</v>
      </c>
      <c r="Q2193">
        <f>1790.88</f>
        <v>1790.88</v>
      </c>
      <c r="R2193">
        <f>3757.34</f>
        <v>3757.34</v>
      </c>
      <c r="S2193">
        <f>1904.96</f>
        <v>1904.96</v>
      </c>
      <c r="T2193">
        <f>3522.861</f>
        <v>3522.8609999999999</v>
      </c>
      <c r="U2193">
        <f>51949.33</f>
        <v>51949.33</v>
      </c>
      <c r="V2193">
        <f>364.14</f>
        <v>364.14</v>
      </c>
    </row>
    <row r="2194" spans="1:22" x14ac:dyDescent="0.2">
      <c r="A2194" s="1">
        <v>42037</v>
      </c>
      <c r="B2194">
        <f>2972.54</f>
        <v>2972.54</v>
      </c>
      <c r="C2194">
        <f>8747.1</f>
        <v>8747.1</v>
      </c>
      <c r="D2194">
        <f>5124.84</f>
        <v>5124.84</v>
      </c>
      <c r="E2194">
        <f>1937.355</f>
        <v>1937.355</v>
      </c>
      <c r="F2194">
        <f>1841.66</f>
        <v>1841.66</v>
      </c>
      <c r="G2194">
        <f>7823.834</f>
        <v>7823.8339999999998</v>
      </c>
      <c r="H2194">
        <f>2413.15</f>
        <v>2413.15</v>
      </c>
      <c r="I2194">
        <f>8275.946</f>
        <v>8275.9459999999999</v>
      </c>
      <c r="J2194">
        <f>2733.9</f>
        <v>2733.9</v>
      </c>
      <c r="K2194">
        <f>7722.85</f>
        <v>7722.85</v>
      </c>
      <c r="L2194">
        <f>1570.72</f>
        <v>1570.72</v>
      </c>
      <c r="M2194">
        <f>6329.85</f>
        <v>6329.85</v>
      </c>
      <c r="N2194">
        <f>296.293</f>
        <v>296.29300000000001</v>
      </c>
      <c r="O2194">
        <f>2515.75</f>
        <v>2515.75</v>
      </c>
      <c r="P2194">
        <f>181.34</f>
        <v>181.34</v>
      </c>
      <c r="Q2194">
        <f>1766.22</f>
        <v>1766.22</v>
      </c>
      <c r="R2194">
        <f>3703.77</f>
        <v>3703.77</v>
      </c>
      <c r="S2194">
        <f>1927.34</f>
        <v>1927.34</v>
      </c>
      <c r="T2194">
        <f>3490.293</f>
        <v>3490.2930000000001</v>
      </c>
      <c r="U2194">
        <f>51394.55</f>
        <v>51394.55</v>
      </c>
      <c r="V2194">
        <f>357.6</f>
        <v>357.6</v>
      </c>
    </row>
    <row r="2195" spans="1:22" x14ac:dyDescent="0.2">
      <c r="A2195" s="1">
        <v>42034</v>
      </c>
      <c r="B2195">
        <f>2966.11</f>
        <v>2966.11</v>
      </c>
      <c r="C2195">
        <f>8706.48</f>
        <v>8706.48</v>
      </c>
      <c r="D2195">
        <f>5099.79</f>
        <v>5099.79</v>
      </c>
      <c r="E2195">
        <f>1932.363</f>
        <v>1932.3630000000001</v>
      </c>
      <c r="F2195">
        <f>1829.88</f>
        <v>1829.88</v>
      </c>
      <c r="G2195">
        <f>7777.693</f>
        <v>7777.6930000000002</v>
      </c>
      <c r="H2195">
        <f>2411.25</f>
        <v>2411.25</v>
      </c>
      <c r="I2195">
        <f>8221.448</f>
        <v>8221.4480000000003</v>
      </c>
      <c r="J2195">
        <f>2696.64</f>
        <v>2696.64</v>
      </c>
      <c r="K2195">
        <f>7626.07</f>
        <v>7626.07</v>
      </c>
      <c r="L2195">
        <f>1555.14</f>
        <v>1555.14</v>
      </c>
      <c r="M2195">
        <f>6266.93</f>
        <v>6266.93</v>
      </c>
      <c r="N2195">
        <f>296.77</f>
        <v>296.77</v>
      </c>
      <c r="O2195">
        <f>2512.79</f>
        <v>2512.79</v>
      </c>
      <c r="P2195">
        <f>180.78</f>
        <v>180.78</v>
      </c>
      <c r="Q2195">
        <f>1744.469</f>
        <v>1744.4690000000001</v>
      </c>
      <c r="R2195">
        <f>3656.28</f>
        <v>3656.28</v>
      </c>
      <c r="S2195">
        <f>1935.98</f>
        <v>1935.98</v>
      </c>
      <c r="T2195">
        <f>3491.643</f>
        <v>3491.643</v>
      </c>
      <c r="U2195">
        <f>51266.81</f>
        <v>51266.81</v>
      </c>
      <c r="V2195">
        <f>358.46</f>
        <v>358.46</v>
      </c>
    </row>
    <row r="2196" spans="1:22" x14ac:dyDescent="0.2">
      <c r="A2196" s="1">
        <v>42033</v>
      </c>
      <c r="B2196">
        <f>2992.07</f>
        <v>2992.07</v>
      </c>
      <c r="C2196">
        <f>8810.09</f>
        <v>8810.09</v>
      </c>
      <c r="D2196">
        <f>5146.04</f>
        <v>5146.04</v>
      </c>
      <c r="E2196">
        <f>1955.497</f>
        <v>1955.4970000000001</v>
      </c>
      <c r="F2196">
        <f>1858.64</f>
        <v>1858.64</v>
      </c>
      <c r="G2196">
        <f>7875.702</f>
        <v>7875.7020000000002</v>
      </c>
      <c r="H2196">
        <f>2395.02</f>
        <v>2395.02</v>
      </c>
      <c r="I2196">
        <f>8290.432</f>
        <v>8290.4320000000007</v>
      </c>
      <c r="J2196">
        <f>2745</f>
        <v>2745</v>
      </c>
      <c r="K2196">
        <f>7723.85</f>
        <v>7723.85</v>
      </c>
      <c r="L2196">
        <f>1573.78</f>
        <v>1573.78</v>
      </c>
      <c r="M2196">
        <f>6327.64</f>
        <v>6327.64</v>
      </c>
      <c r="N2196">
        <f>298.655</f>
        <v>298.65499999999997</v>
      </c>
      <c r="O2196">
        <f>2525.83</f>
        <v>2525.83</v>
      </c>
      <c r="P2196">
        <f>179.21</f>
        <v>179.21</v>
      </c>
      <c r="Q2196">
        <f>1776.41</f>
        <v>1776.41</v>
      </c>
      <c r="R2196">
        <f>3704.35</f>
        <v>3704.35</v>
      </c>
      <c r="S2196">
        <f>1933.95</f>
        <v>1933.95</v>
      </c>
      <c r="T2196">
        <f>3497.981</f>
        <v>3497.9810000000002</v>
      </c>
      <c r="U2196">
        <f>50945.56</f>
        <v>50945.56</v>
      </c>
      <c r="V2196">
        <f>356.6</f>
        <v>356.6</v>
      </c>
    </row>
    <row r="2197" spans="1:22" x14ac:dyDescent="0.2">
      <c r="A2197" s="1">
        <v>42032</v>
      </c>
      <c r="B2197">
        <f>2994.89</f>
        <v>2994.89</v>
      </c>
      <c r="C2197">
        <f>8918.83</f>
        <v>8918.83</v>
      </c>
      <c r="D2197">
        <f>5157.62</f>
        <v>5157.62</v>
      </c>
      <c r="E2197">
        <f>1978.521</f>
        <v>1978.521</v>
      </c>
      <c r="F2197">
        <f>1873.85</f>
        <v>1873.85</v>
      </c>
      <c r="G2197">
        <f>7951.961</f>
        <v>7951.9610000000002</v>
      </c>
      <c r="H2197">
        <f>2439.75</f>
        <v>2439.75</v>
      </c>
      <c r="I2197">
        <f>8271.905</f>
        <v>8271.9050000000007</v>
      </c>
      <c r="J2197">
        <f>2717.56</f>
        <v>2717.56</v>
      </c>
      <c r="K2197">
        <f>7652.89</f>
        <v>7652.89</v>
      </c>
      <c r="L2197">
        <f>1573.6</f>
        <v>1573.6</v>
      </c>
      <c r="M2197">
        <f>6310.01</f>
        <v>6310.01</v>
      </c>
      <c r="N2197">
        <f>298.714</f>
        <v>298.714</v>
      </c>
      <c r="O2197">
        <f>2527.83</f>
        <v>2527.83</v>
      </c>
      <c r="P2197">
        <f>179.67</f>
        <v>179.67</v>
      </c>
      <c r="Q2197">
        <f>1755.76</f>
        <v>1755.76</v>
      </c>
      <c r="R2197">
        <f>3669.1</f>
        <v>3669.1</v>
      </c>
      <c r="S2197">
        <f>1956.3</f>
        <v>1956.3</v>
      </c>
      <c r="T2197">
        <f>3498.404</f>
        <v>3498.404</v>
      </c>
      <c r="U2197">
        <f>51200.57</f>
        <v>51200.57</v>
      </c>
      <c r="V2197">
        <f>358.71</f>
        <v>358.71</v>
      </c>
    </row>
    <row r="2198" spans="1:22" x14ac:dyDescent="0.2">
      <c r="A2198" s="1">
        <v>42031</v>
      </c>
      <c r="B2198">
        <f>2983.99</f>
        <v>2983.99</v>
      </c>
      <c r="C2198">
        <f>8933.99</f>
        <v>8933.99</v>
      </c>
      <c r="D2198">
        <f>5146.79</f>
        <v>5146.79</v>
      </c>
      <c r="E2198">
        <f>1988.941</f>
        <v>1988.941</v>
      </c>
      <c r="F2198">
        <f>1868.96</f>
        <v>1868.96</v>
      </c>
      <c r="G2198">
        <f>7947.32</f>
        <v>7947.32</v>
      </c>
      <c r="H2198">
        <f>2443.14</f>
        <v>2443.14</v>
      </c>
      <c r="I2198">
        <f>8322.377</f>
        <v>8322.3770000000004</v>
      </c>
      <c r="J2198">
        <f>2762.83</f>
        <v>2762.83</v>
      </c>
      <c r="K2198">
        <f>7756.95</f>
        <v>7756.95</v>
      </c>
      <c r="L2198">
        <f>1587.54</f>
        <v>1587.54</v>
      </c>
      <c r="M2198">
        <f>6370.28</f>
        <v>6370.28</v>
      </c>
      <c r="N2198">
        <f>298.207</f>
        <v>298.20699999999999</v>
      </c>
      <c r="O2198">
        <f>2528.8</f>
        <v>2528.8000000000002</v>
      </c>
      <c r="P2198">
        <f>178.12</f>
        <v>178.12</v>
      </c>
      <c r="Q2198">
        <f>1778.95</f>
        <v>1778.95</v>
      </c>
      <c r="R2198">
        <f>3718.99</f>
        <v>3718.99</v>
      </c>
      <c r="S2198">
        <f>1951.35</f>
        <v>1951.35</v>
      </c>
      <c r="T2198">
        <f>3471.488</f>
        <v>3471.4879999999998</v>
      </c>
      <c r="U2198">
        <f>50711.09</f>
        <v>50711.09</v>
      </c>
      <c r="V2198">
        <f>354.51</f>
        <v>354.51</v>
      </c>
    </row>
    <row r="2199" spans="1:22" x14ac:dyDescent="0.2">
      <c r="A2199" s="1">
        <v>42030</v>
      </c>
      <c r="B2199">
        <f>2994.92</f>
        <v>2994.92</v>
      </c>
      <c r="C2199">
        <f>8944.09</f>
        <v>8944.09</v>
      </c>
      <c r="D2199">
        <f>5177.62</f>
        <v>5177.62</v>
      </c>
      <c r="E2199">
        <f>1986.6</f>
        <v>1986.6</v>
      </c>
      <c r="F2199">
        <f>1852.43</f>
        <v>1852.43</v>
      </c>
      <c r="G2199">
        <f>7916.227</f>
        <v>7916.2269999999999</v>
      </c>
      <c r="H2199">
        <f>2392.29</f>
        <v>2392.29</v>
      </c>
      <c r="I2199">
        <f>8302.907</f>
        <v>8302.9069999999992</v>
      </c>
      <c r="J2199">
        <f>2805.28</f>
        <v>2805.28</v>
      </c>
      <c r="K2199">
        <f>7858.1</f>
        <v>7858.1</v>
      </c>
      <c r="L2199">
        <f>1588.04</f>
        <v>1588.04</v>
      </c>
      <c r="M2199">
        <f>6396.25</f>
        <v>6396.25</v>
      </c>
      <c r="N2199">
        <f>299.372</f>
        <v>299.37200000000001</v>
      </c>
      <c r="O2199">
        <f>2549.26</f>
        <v>2549.2600000000002</v>
      </c>
      <c r="P2199">
        <f>174.49</f>
        <v>174.49</v>
      </c>
      <c r="Q2199">
        <f>1793.12</f>
        <v>1793.12</v>
      </c>
      <c r="R2199">
        <f>3769.45</f>
        <v>3769.45</v>
      </c>
      <c r="S2199">
        <f>1918.11</f>
        <v>1918.11</v>
      </c>
      <c r="T2199">
        <f>3452.074</f>
        <v>3452.0740000000001</v>
      </c>
      <c r="U2199">
        <f>50337.98</f>
        <v>50337.98</v>
      </c>
      <c r="V2199">
        <f>351.52</f>
        <v>351.52</v>
      </c>
    </row>
    <row r="2200" spans="1:22" x14ac:dyDescent="0.2">
      <c r="A2200" s="1">
        <v>42027</v>
      </c>
      <c r="B2200">
        <f>2986.44</f>
        <v>2986.44</v>
      </c>
      <c r="C2200">
        <f>9002.54</f>
        <v>9002.5400000000009</v>
      </c>
      <c r="D2200">
        <f>5162.83</f>
        <v>5162.83</v>
      </c>
      <c r="E2200">
        <f>1990.819</f>
        <v>1990.819</v>
      </c>
      <c r="F2200">
        <f>1850.07</f>
        <v>1850.07</v>
      </c>
      <c r="G2200">
        <f>7880.12</f>
        <v>7880.12</v>
      </c>
      <c r="H2200">
        <f>2412.69</f>
        <v>2412.69</v>
      </c>
      <c r="I2200">
        <f>8246.333</f>
        <v>8246.3330000000005</v>
      </c>
      <c r="J2200">
        <f>2800.08</f>
        <v>2800.08</v>
      </c>
      <c r="K2200">
        <f>7833.21</f>
        <v>7833.21</v>
      </c>
      <c r="L2200">
        <f>1585.27</f>
        <v>1585.27</v>
      </c>
      <c r="M2200">
        <f>6378.23</f>
        <v>6378.23</v>
      </c>
      <c r="N2200">
        <f>297.575</f>
        <v>297.57499999999999</v>
      </c>
      <c r="O2200">
        <f>2534.26</f>
        <v>2534.2600000000002</v>
      </c>
      <c r="P2200">
        <f>173.84</f>
        <v>173.84</v>
      </c>
      <c r="Q2200">
        <f>1790.16</f>
        <v>1790.16</v>
      </c>
      <c r="R2200">
        <f>3759.76</f>
        <v>3759.76</v>
      </c>
      <c r="S2200">
        <f>1919.68</f>
        <v>1919.68</v>
      </c>
      <c r="T2200">
        <f>3431.45</f>
        <v>3431.45</v>
      </c>
      <c r="U2200">
        <f>49816.57</f>
        <v>49816.57</v>
      </c>
      <c r="V2200">
        <f>351.78</f>
        <v>351.78</v>
      </c>
    </row>
    <row r="2201" spans="1:22" x14ac:dyDescent="0.2">
      <c r="A2201" s="1">
        <v>42026</v>
      </c>
      <c r="B2201">
        <f>2965.35</f>
        <v>2965.35</v>
      </c>
      <c r="C2201">
        <f>8917.55</f>
        <v>8917.5499999999993</v>
      </c>
      <c r="D2201">
        <f>5135.48</f>
        <v>5135.4799999999996</v>
      </c>
      <c r="E2201">
        <f>1976.025</f>
        <v>1976.0250000000001</v>
      </c>
      <c r="F2201">
        <f>1846.54</f>
        <v>1846.54</v>
      </c>
      <c r="G2201">
        <f>7873.131</f>
        <v>7873.1310000000003</v>
      </c>
      <c r="H2201">
        <f>2388.25</f>
        <v>2388.25</v>
      </c>
      <c r="I2201">
        <f>8215.404</f>
        <v>8215.4040000000005</v>
      </c>
      <c r="J2201">
        <f>2829.22</f>
        <v>2829.22</v>
      </c>
      <c r="K2201">
        <f>7873.97</f>
        <v>7873.97</v>
      </c>
      <c r="L2201">
        <f>1587.48</f>
        <v>1587.48</v>
      </c>
      <c r="M2201">
        <f>6388.43</f>
        <v>6388.43</v>
      </c>
      <c r="N2201">
        <f>291.701</f>
        <v>291.70100000000002</v>
      </c>
      <c r="O2201">
        <f>2492.31</f>
        <v>2492.31</v>
      </c>
      <c r="P2201">
        <f>173.15</f>
        <v>173.15</v>
      </c>
      <c r="Q2201">
        <f>1806.68</f>
        <v>1806.68</v>
      </c>
      <c r="R2201">
        <f>3780.51</f>
        <v>3780.51</v>
      </c>
      <c r="S2201">
        <f>1900.8</f>
        <v>1900.8</v>
      </c>
      <c r="T2201">
        <f>3395.205</f>
        <v>3395.2049999999999</v>
      </c>
      <c r="U2201">
        <f>49872.69</f>
        <v>49872.69</v>
      </c>
      <c r="V2201">
        <f>349.45</f>
        <v>349.45</v>
      </c>
    </row>
    <row r="2202" spans="1:22" x14ac:dyDescent="0.2">
      <c r="A2202" s="1">
        <v>42025</v>
      </c>
      <c r="B2202">
        <f>2924.35</f>
        <v>2924.35</v>
      </c>
      <c r="C2202">
        <f>8791.92</f>
        <v>8791.92</v>
      </c>
      <c r="D2202">
        <f>5082</f>
        <v>5082</v>
      </c>
      <c r="E2202">
        <f>1960.973</f>
        <v>1960.973</v>
      </c>
      <c r="F2202">
        <f>1830.18</f>
        <v>1830.18</v>
      </c>
      <c r="G2202">
        <f>7808.624</f>
        <v>7808.6239999999998</v>
      </c>
      <c r="H2202">
        <f>2385.94</f>
        <v>2385.94</v>
      </c>
      <c r="I2202">
        <f>8224.335</f>
        <v>8224.3349999999991</v>
      </c>
      <c r="J2202">
        <f>2798.1</f>
        <v>2798.1</v>
      </c>
      <c r="K2202">
        <f>7756.47</f>
        <v>7756.47</v>
      </c>
      <c r="L2202">
        <f>1582.09</f>
        <v>1582.09</v>
      </c>
      <c r="M2202">
        <f>6327.81</f>
        <v>6327.81</v>
      </c>
      <c r="N2202">
        <f>288.078</f>
        <v>288.07799999999997</v>
      </c>
      <c r="O2202">
        <f>2452.68</f>
        <v>2452.6799999999998</v>
      </c>
      <c r="P2202">
        <f>173.3</f>
        <v>173.3</v>
      </c>
      <c r="Q2202">
        <f>1783.71</f>
        <v>1783.71</v>
      </c>
      <c r="R2202">
        <f>3723.62</f>
        <v>3723.62</v>
      </c>
      <c r="S2202">
        <f>1902.42</f>
        <v>1902.42</v>
      </c>
      <c r="T2202">
        <f>3364.625</f>
        <v>3364.625</v>
      </c>
      <c r="U2202">
        <f>49588.79</f>
        <v>49588.79</v>
      </c>
      <c r="V2202">
        <f>347.12</f>
        <v>347.12</v>
      </c>
    </row>
    <row r="2203" spans="1:22" x14ac:dyDescent="0.2">
      <c r="A2203" s="1">
        <v>42024</v>
      </c>
      <c r="B2203">
        <f>2878.32</f>
        <v>2878.32</v>
      </c>
      <c r="C2203">
        <f>8614.32</f>
        <v>8614.32</v>
      </c>
      <c r="D2203">
        <f>5000.46</f>
        <v>5000.46</v>
      </c>
      <c r="E2203">
        <f>1923.226</f>
        <v>1923.2260000000001</v>
      </c>
      <c r="F2203">
        <f>1810.18</f>
        <v>1810.18</v>
      </c>
      <c r="G2203">
        <f>7722.981</f>
        <v>7722.9809999999998</v>
      </c>
      <c r="H2203">
        <f>2384.06</f>
        <v>2384.06</v>
      </c>
      <c r="I2203">
        <f>8173.707</f>
        <v>8173.7070000000003</v>
      </c>
      <c r="J2203">
        <f>2790.11</f>
        <v>2790.11</v>
      </c>
      <c r="K2203">
        <f>7717.44</f>
        <v>7717.44</v>
      </c>
      <c r="L2203">
        <f>1573.35</f>
        <v>1573.35</v>
      </c>
      <c r="M2203">
        <f>6293.5</f>
        <v>6293.5</v>
      </c>
      <c r="N2203">
        <f>286.991</f>
        <v>286.99099999999999</v>
      </c>
      <c r="O2203">
        <f>2436.06</f>
        <v>2436.06</v>
      </c>
      <c r="P2203">
        <f>173.67</f>
        <v>173.67</v>
      </c>
      <c r="Q2203">
        <f>1777.3</f>
        <v>1777.3</v>
      </c>
      <c r="R2203">
        <f>3705.64</f>
        <v>3705.64</v>
      </c>
      <c r="S2203">
        <f>1912.02</f>
        <v>1912.02</v>
      </c>
      <c r="T2203">
        <f>3317.667</f>
        <v>3317.6669999999999</v>
      </c>
      <c r="U2203">
        <f>49124.77</f>
        <v>49124.77</v>
      </c>
      <c r="V2203">
        <f>342.48</f>
        <v>342.48</v>
      </c>
    </row>
    <row r="2204" spans="1:22" x14ac:dyDescent="0.2">
      <c r="A2204" s="1">
        <v>42023</v>
      </c>
      <c r="B2204">
        <f>2867.5</f>
        <v>2867.5</v>
      </c>
      <c r="C2204">
        <f>8574.99</f>
        <v>8574.99</v>
      </c>
      <c r="D2204">
        <f>4974.35</f>
        <v>4974.3500000000004</v>
      </c>
      <c r="E2204">
        <f>1913.656</f>
        <v>1913.6559999999999</v>
      </c>
      <c r="F2204">
        <f>1798.44</f>
        <v>1798.44</v>
      </c>
      <c r="G2204">
        <f>7667.663</f>
        <v>7667.6629999999996</v>
      </c>
      <c r="H2204">
        <f>2363.67</f>
        <v>2363.67</v>
      </c>
      <c r="I2204">
        <f>8166.552</f>
        <v>8166.5519999999997</v>
      </c>
      <c r="J2204">
        <f>2788.4</f>
        <v>2788.4</v>
      </c>
      <c r="K2204">
        <f>7706.34</f>
        <v>7706.34</v>
      </c>
      <c r="L2204">
        <f>1573.38</f>
        <v>1573.38</v>
      </c>
      <c r="M2204">
        <f>6280.75</f>
        <v>6280.75</v>
      </c>
      <c r="N2204">
        <f>284.983</f>
        <v>284.983</v>
      </c>
      <c r="O2204">
        <f>2414.92</f>
        <v>2414.92</v>
      </c>
      <c r="P2204">
        <f>170.88</f>
        <v>170.88</v>
      </c>
      <c r="Q2204" t="e">
        <f>NA()</f>
        <v>#N/A</v>
      </c>
      <c r="R2204" t="e">
        <f>NA()</f>
        <v>#N/A</v>
      </c>
      <c r="S2204">
        <f>1877.52</f>
        <v>1877.52</v>
      </c>
      <c r="T2204">
        <f>3306.351</f>
        <v>3306.3510000000001</v>
      </c>
      <c r="U2204">
        <f>48996.94</f>
        <v>48996.94</v>
      </c>
      <c r="V2204">
        <f>341.03</f>
        <v>341.03</v>
      </c>
    </row>
    <row r="2205" spans="1:22" x14ac:dyDescent="0.2">
      <c r="A2205" s="1">
        <v>42020</v>
      </c>
      <c r="B2205">
        <f>2849.48</f>
        <v>2849.48</v>
      </c>
      <c r="C2205">
        <f>8681.24</f>
        <v>8681.24</v>
      </c>
      <c r="D2205">
        <f>4947.72</f>
        <v>4947.72</v>
      </c>
      <c r="E2205">
        <f>1923.567</f>
        <v>1923.567</v>
      </c>
      <c r="F2205">
        <f>1783.3</f>
        <v>1783.3</v>
      </c>
      <c r="G2205">
        <f>7606.415</f>
        <v>7606.415</v>
      </c>
      <c r="H2205">
        <f>2337.82</f>
        <v>2337.8200000000002</v>
      </c>
      <c r="I2205">
        <f>8036.993</f>
        <v>8036.9930000000004</v>
      </c>
      <c r="J2205">
        <f>2788.4</f>
        <v>2788.4</v>
      </c>
      <c r="K2205">
        <f>7706.34</f>
        <v>7706.34</v>
      </c>
      <c r="L2205">
        <f>1566.15</f>
        <v>1566.15</v>
      </c>
      <c r="M2205">
        <f>6255.57</f>
        <v>6255.57</v>
      </c>
      <c r="N2205">
        <f>284.653</f>
        <v>284.65300000000002</v>
      </c>
      <c r="O2205">
        <f>2411.79</f>
        <v>2411.79</v>
      </c>
      <c r="P2205">
        <f>169.08</f>
        <v>169.08</v>
      </c>
      <c r="Q2205">
        <f>1779.6</f>
        <v>1779.6</v>
      </c>
      <c r="R2205">
        <f>3699.79</f>
        <v>3699.79</v>
      </c>
      <c r="S2205">
        <f>1865.66</f>
        <v>1865.66</v>
      </c>
      <c r="T2205">
        <f>3278.146</f>
        <v>3278.1460000000002</v>
      </c>
      <c r="U2205">
        <f>48458.25</f>
        <v>48458.25</v>
      </c>
      <c r="V2205">
        <f>337.81</f>
        <v>337.81</v>
      </c>
    </row>
    <row r="2206" spans="1:22" x14ac:dyDescent="0.2">
      <c r="A2206" s="1">
        <v>42019</v>
      </c>
      <c r="B2206">
        <f>2835.48</f>
        <v>2835.48</v>
      </c>
      <c r="C2206">
        <f>8699.29</f>
        <v>8699.2900000000009</v>
      </c>
      <c r="D2206">
        <f>4908.82</f>
        <v>4908.82</v>
      </c>
      <c r="E2206">
        <f>1928.623</f>
        <v>1928.623</v>
      </c>
      <c r="F2206">
        <f>1781.68</f>
        <v>1781.68</v>
      </c>
      <c r="G2206">
        <f>7572.968</f>
        <v>7572.9679999999998</v>
      </c>
      <c r="H2206">
        <f>2360.67</f>
        <v>2360.67</v>
      </c>
      <c r="I2206">
        <f>8007.611</f>
        <v>8007.6109999999999</v>
      </c>
      <c r="J2206">
        <f>2751.85</f>
        <v>2751.85</v>
      </c>
      <c r="K2206">
        <f>7604.54</f>
        <v>7604.54</v>
      </c>
      <c r="L2206">
        <f>1554.57</f>
        <v>1554.57</v>
      </c>
      <c r="M2206">
        <f>6208.01</f>
        <v>6208.01</v>
      </c>
      <c r="N2206">
        <f>282.009</f>
        <v>282.00900000000001</v>
      </c>
      <c r="O2206">
        <f>2386.67</f>
        <v>2386.67</v>
      </c>
      <c r="P2206">
        <f>170.56</f>
        <v>170.56</v>
      </c>
      <c r="Q2206">
        <f>1760.31</f>
        <v>1760.31</v>
      </c>
      <c r="R2206">
        <f>3650.74</f>
        <v>3650.74</v>
      </c>
      <c r="S2206">
        <f>1883.25</f>
        <v>1883.25</v>
      </c>
      <c r="T2206">
        <f>3297.061</f>
        <v>3297.0610000000001</v>
      </c>
      <c r="U2206">
        <f>48524.25</f>
        <v>48524.25</v>
      </c>
      <c r="V2206">
        <f>338.12</f>
        <v>338.12</v>
      </c>
    </row>
    <row r="2207" spans="1:22" x14ac:dyDescent="0.2">
      <c r="A2207" s="1">
        <v>42018</v>
      </c>
      <c r="B2207">
        <f>2810.82</f>
        <v>2810.82</v>
      </c>
      <c r="C2207">
        <f>8648.08</f>
        <v>8648.08</v>
      </c>
      <c r="D2207">
        <f>4822.89</f>
        <v>4822.8900000000003</v>
      </c>
      <c r="E2207">
        <f>1920.09</f>
        <v>1920.09</v>
      </c>
      <c r="F2207">
        <f>1753.77</f>
        <v>1753.77</v>
      </c>
      <c r="G2207">
        <f>7462.289</f>
        <v>7462.2889999999998</v>
      </c>
      <c r="H2207">
        <f>2334.02</f>
        <v>2334.02</v>
      </c>
      <c r="I2207">
        <f>7950.618</f>
        <v>7950.6180000000004</v>
      </c>
      <c r="J2207">
        <f>2764.24</f>
        <v>2764.24</v>
      </c>
      <c r="K2207">
        <f>7675.94</f>
        <v>7675.94</v>
      </c>
      <c r="L2207">
        <f>1546.2</f>
        <v>1546.2</v>
      </c>
      <c r="M2207">
        <f>6218.63</f>
        <v>6218.63</v>
      </c>
      <c r="N2207">
        <f>274.552</f>
        <v>274.55200000000002</v>
      </c>
      <c r="O2207">
        <f>2318.85</f>
        <v>2318.85</v>
      </c>
      <c r="P2207">
        <f>167.62</f>
        <v>167.62</v>
      </c>
      <c r="Q2207">
        <f>1766.97</f>
        <v>1766.97</v>
      </c>
      <c r="R2207">
        <f>3684.72</f>
        <v>3684.72</v>
      </c>
      <c r="S2207">
        <f>1857.79</f>
        <v>1857.79</v>
      </c>
      <c r="T2207">
        <f>3288.792</f>
        <v>3288.7919999999999</v>
      </c>
      <c r="U2207">
        <f>48057.46</f>
        <v>48057.46</v>
      </c>
      <c r="V2207">
        <f>337.72</f>
        <v>337.72</v>
      </c>
    </row>
    <row r="2208" spans="1:22" x14ac:dyDescent="0.2">
      <c r="A2208" s="1">
        <v>42017</v>
      </c>
      <c r="B2208">
        <f>2860.51</f>
        <v>2860.51</v>
      </c>
      <c r="C2208">
        <f>8692.04</f>
        <v>8692.0400000000009</v>
      </c>
      <c r="D2208">
        <f>4938.95</f>
        <v>4938.95</v>
      </c>
      <c r="E2208">
        <f>1928.454</f>
        <v>1928.454</v>
      </c>
      <c r="F2208">
        <f>1782.87</f>
        <v>1782.87</v>
      </c>
      <c r="G2208">
        <f>7622.237</f>
        <v>7622.2370000000001</v>
      </c>
      <c r="H2208">
        <f>2323.59</f>
        <v>2323.59</v>
      </c>
      <c r="I2208">
        <f>8044.993</f>
        <v>8044.9930000000004</v>
      </c>
      <c r="J2208">
        <f>2774.24</f>
        <v>2774.24</v>
      </c>
      <c r="K2208">
        <f>7720.3</f>
        <v>7720.3</v>
      </c>
      <c r="L2208">
        <f>1558.12</f>
        <v>1558.12</v>
      </c>
      <c r="M2208">
        <f>6266.36</f>
        <v>6266.36</v>
      </c>
      <c r="N2208">
        <f>278.256</f>
        <v>278.25599999999997</v>
      </c>
      <c r="O2208">
        <f>2354.73</f>
        <v>2354.73</v>
      </c>
      <c r="P2208">
        <f>168.2</f>
        <v>168.2</v>
      </c>
      <c r="Q2208">
        <f>1777.84</f>
        <v>1777.84</v>
      </c>
      <c r="R2208">
        <f>3706.15</f>
        <v>3706.15</v>
      </c>
      <c r="S2208">
        <f>1880.64</f>
        <v>1880.64</v>
      </c>
      <c r="T2208">
        <f>3329.465</f>
        <v>3329.4650000000001</v>
      </c>
      <c r="U2208">
        <f>49433</f>
        <v>49433</v>
      </c>
      <c r="V2208">
        <f>343.37</f>
        <v>343.37</v>
      </c>
    </row>
    <row r="2209" spans="1:22" x14ac:dyDescent="0.2">
      <c r="A2209" s="1">
        <v>42016</v>
      </c>
      <c r="B2209">
        <f>2823.52</f>
        <v>2823.52</v>
      </c>
      <c r="C2209">
        <f>8662.03</f>
        <v>8662.0300000000007</v>
      </c>
      <c r="D2209">
        <f>4908.17</f>
        <v>4908.17</v>
      </c>
      <c r="E2209">
        <f>1919.684</f>
        <v>1919.684</v>
      </c>
      <c r="F2209">
        <f>1753.42</f>
        <v>1753.42</v>
      </c>
      <c r="G2209">
        <f>7558.755</f>
        <v>7558.7550000000001</v>
      </c>
      <c r="H2209">
        <f>2330.29</f>
        <v>2330.29</v>
      </c>
      <c r="I2209">
        <f>7947.438</f>
        <v>7947.4380000000001</v>
      </c>
      <c r="J2209">
        <f>2781.77</f>
        <v>2781.77</v>
      </c>
      <c r="K2209">
        <f>7737.84</f>
        <v>7737.84</v>
      </c>
      <c r="L2209">
        <f>1553.6</f>
        <v>1553.6</v>
      </c>
      <c r="M2209">
        <f>6260.41</f>
        <v>6260.41</v>
      </c>
      <c r="N2209">
        <f>275.51</f>
        <v>275.51</v>
      </c>
      <c r="O2209">
        <f>2323.04</f>
        <v>2323.04</v>
      </c>
      <c r="P2209" t="e">
        <f>NA()</f>
        <v>#N/A</v>
      </c>
      <c r="Q2209">
        <f>1780.34</f>
        <v>1780.34</v>
      </c>
      <c r="R2209">
        <f>3715.36</f>
        <v>3715.36</v>
      </c>
      <c r="S2209" t="e">
        <f>NA()</f>
        <v>#N/A</v>
      </c>
      <c r="T2209">
        <f>3280.228</f>
        <v>3280.2280000000001</v>
      </c>
      <c r="U2209">
        <f>48468.39</f>
        <v>48468.39</v>
      </c>
      <c r="V2209">
        <f>336.65</f>
        <v>336.65</v>
      </c>
    </row>
    <row r="2210" spans="1:22" x14ac:dyDescent="0.2">
      <c r="A2210" s="1">
        <v>42013</v>
      </c>
      <c r="B2210">
        <f>2828.15</f>
        <v>2828.15</v>
      </c>
      <c r="C2210">
        <f>8767.03</f>
        <v>8767.0300000000007</v>
      </c>
      <c r="D2210">
        <f>4907.96</f>
        <v>4907.96</v>
      </c>
      <c r="E2210">
        <f>1931.339</f>
        <v>1931.3389999999999</v>
      </c>
      <c r="F2210">
        <f>1754.28</f>
        <v>1754.28</v>
      </c>
      <c r="G2210">
        <f>7565.5</f>
        <v>7565.5</v>
      </c>
      <c r="H2210">
        <f>2325.98</f>
        <v>2325.98</v>
      </c>
      <c r="I2210">
        <f>7894.191</f>
        <v>7894.1909999999998</v>
      </c>
      <c r="J2210">
        <f>2797.78</f>
        <v>2797.78</v>
      </c>
      <c r="K2210">
        <f>7799.94</f>
        <v>7799.94</v>
      </c>
      <c r="L2210">
        <f>1556.14</f>
        <v>1556.14</v>
      </c>
      <c r="M2210">
        <f>6286.85</f>
        <v>6286.85</v>
      </c>
      <c r="N2210">
        <f>274.642</f>
        <v>274.642</v>
      </c>
      <c r="O2210">
        <f>2308.62</f>
        <v>2308.62</v>
      </c>
      <c r="P2210">
        <f>167.52</f>
        <v>167.52</v>
      </c>
      <c r="Q2210">
        <f>1791.86</f>
        <v>1791.86</v>
      </c>
      <c r="R2210">
        <f>3745.67</f>
        <v>3745.67</v>
      </c>
      <c r="S2210">
        <f>1888.7</f>
        <v>1888.7</v>
      </c>
      <c r="T2210">
        <f>3300.111</f>
        <v>3300.1109999999999</v>
      </c>
      <c r="U2210">
        <f>48950.5</f>
        <v>48950.5</v>
      </c>
      <c r="V2210">
        <f>339.96</f>
        <v>339.96</v>
      </c>
    </row>
    <row r="2211" spans="1:22" x14ac:dyDescent="0.2">
      <c r="A2211" s="1">
        <v>42012</v>
      </c>
      <c r="B2211">
        <f>2848.73</f>
        <v>2848.73</v>
      </c>
      <c r="C2211">
        <f>8796</f>
        <v>8796</v>
      </c>
      <c r="D2211">
        <f>4959.91</f>
        <v>4959.91</v>
      </c>
      <c r="E2211">
        <f>1926.24</f>
        <v>1926.24</v>
      </c>
      <c r="F2211">
        <f>1761.92</f>
        <v>1761.92</v>
      </c>
      <c r="G2211">
        <f>7607.153</f>
        <v>7607.1530000000002</v>
      </c>
      <c r="H2211">
        <f>2299.64</f>
        <v>2299.64</v>
      </c>
      <c r="I2211">
        <f>7990.861</f>
        <v>7990.8609999999999</v>
      </c>
      <c r="J2211">
        <f>2817.17</f>
        <v>2817.17</v>
      </c>
      <c r="K2211">
        <f>7864.49</f>
        <v>7864.49</v>
      </c>
      <c r="L2211">
        <f>1563.22</f>
        <v>1563.22</v>
      </c>
      <c r="M2211">
        <f>6325.56</f>
        <v>6325.56</v>
      </c>
      <c r="N2211">
        <f>276.086</f>
        <v>276.08600000000001</v>
      </c>
      <c r="O2211">
        <f>2342.61</f>
        <v>2342.61</v>
      </c>
      <c r="P2211">
        <f>167.38</f>
        <v>167.38</v>
      </c>
      <c r="Q2211">
        <f>1809.21</f>
        <v>1809.21</v>
      </c>
      <c r="R2211">
        <f>3777.4</f>
        <v>3777.4</v>
      </c>
      <c r="S2211">
        <f>1884.72</f>
        <v>1884.72</v>
      </c>
      <c r="T2211">
        <f>3331.634</f>
        <v>3331.634</v>
      </c>
      <c r="U2211">
        <f>49595.44</f>
        <v>49595.44</v>
      </c>
      <c r="V2211">
        <f>343.44</f>
        <v>343.44</v>
      </c>
    </row>
    <row r="2212" spans="1:22" x14ac:dyDescent="0.2">
      <c r="A2212" s="1">
        <v>42011</v>
      </c>
      <c r="B2212">
        <f>2789.6</f>
        <v>2789.6</v>
      </c>
      <c r="C2212">
        <f>8636.62</f>
        <v>8636.6200000000008</v>
      </c>
      <c r="D2212">
        <f>4846.37</f>
        <v>4846.37</v>
      </c>
      <c r="E2212">
        <f>1890.674</f>
        <v>1890.674</v>
      </c>
      <c r="F2212">
        <f>1707.82</f>
        <v>1707.82</v>
      </c>
      <c r="G2212">
        <f>7422.996</f>
        <v>7422.9960000000001</v>
      </c>
      <c r="H2212">
        <f>2273.16</f>
        <v>2273.16</v>
      </c>
      <c r="I2212">
        <f>7772.842</f>
        <v>7772.8419999999996</v>
      </c>
      <c r="J2212">
        <f>2770.56</f>
        <v>2770.56</v>
      </c>
      <c r="K2212">
        <f>7727.03</f>
        <v>7727.03</v>
      </c>
      <c r="L2212">
        <f>1532.52</f>
        <v>1532.52</v>
      </c>
      <c r="M2212">
        <f>6206.09</f>
        <v>6206.09</v>
      </c>
      <c r="N2212">
        <f>268.576</f>
        <v>268.57600000000002</v>
      </c>
      <c r="O2212">
        <f>2276.23</f>
        <v>2276.23</v>
      </c>
      <c r="P2212">
        <f>164.79</f>
        <v>164.79</v>
      </c>
      <c r="Q2212">
        <f>1781.18</f>
        <v>1781.18</v>
      </c>
      <c r="R2212">
        <f>3710.94</f>
        <v>3710.94</v>
      </c>
      <c r="S2212">
        <f>1860.27</f>
        <v>1860.27</v>
      </c>
      <c r="T2212">
        <f>3280.497</f>
        <v>3280.4969999999998</v>
      </c>
      <c r="U2212">
        <f>48961.06</f>
        <v>48961.06</v>
      </c>
      <c r="V2212">
        <f>339.69</f>
        <v>339.69</v>
      </c>
    </row>
    <row r="2213" spans="1:22" x14ac:dyDescent="0.2">
      <c r="A2213" s="1">
        <v>42010</v>
      </c>
      <c r="B2213">
        <f>2774.87</f>
        <v>2774.87</v>
      </c>
      <c r="C2213">
        <f>8594.9</f>
        <v>8594.9</v>
      </c>
      <c r="D2213">
        <f>4806.12</f>
        <v>4806.12</v>
      </c>
      <c r="E2213">
        <f>1877.729</f>
        <v>1877.729</v>
      </c>
      <c r="F2213">
        <f>1713.58</f>
        <v>1713.58</v>
      </c>
      <c r="G2213">
        <f>7414.885</f>
        <v>7414.8850000000002</v>
      </c>
      <c r="H2213">
        <f>2285.67</f>
        <v>2285.67</v>
      </c>
      <c r="I2213">
        <f>7832.38</f>
        <v>7832.38</v>
      </c>
      <c r="J2213">
        <f>2736.76</f>
        <v>2736.76</v>
      </c>
      <c r="K2213">
        <f>7635.33</f>
        <v>7635.33</v>
      </c>
      <c r="L2213">
        <f>1527.58</f>
        <v>1527.58</v>
      </c>
      <c r="M2213">
        <f>6175.71</f>
        <v>6175.71</v>
      </c>
      <c r="N2213">
        <f>267.122</f>
        <v>267.12200000000001</v>
      </c>
      <c r="O2213">
        <f>2264.58</f>
        <v>2264.58</v>
      </c>
      <c r="P2213">
        <f>164.54</f>
        <v>164.54</v>
      </c>
      <c r="Q2213">
        <f>1754.56</f>
        <v>1754.56</v>
      </c>
      <c r="R2213">
        <f>3667.14</f>
        <v>3667.14</v>
      </c>
      <c r="S2213">
        <f>1862.11</f>
        <v>1862.11</v>
      </c>
      <c r="T2213">
        <f>3247.004</f>
        <v>3247.0039999999999</v>
      </c>
      <c r="U2213">
        <f>48598.19</f>
        <v>48598.19</v>
      </c>
      <c r="V2213">
        <f>336.4</f>
        <v>336.4</v>
      </c>
    </row>
    <row r="2214" spans="1:22" x14ac:dyDescent="0.2">
      <c r="A2214" s="1">
        <v>42009</v>
      </c>
      <c r="B2214">
        <f>2799.49</f>
        <v>2799.49</v>
      </c>
      <c r="C2214">
        <f>8642.35</f>
        <v>8642.35</v>
      </c>
      <c r="D2214">
        <f>4844.35</f>
        <v>4844.3500000000004</v>
      </c>
      <c r="E2214">
        <f>1889.75</f>
        <v>1889.75</v>
      </c>
      <c r="F2214">
        <f>1735.24</f>
        <v>1735.24</v>
      </c>
      <c r="G2214">
        <f>7505.262</f>
        <v>7505.2619999999997</v>
      </c>
      <c r="H2214">
        <f>2331.38</f>
        <v>2331.38</v>
      </c>
      <c r="I2214">
        <f>7883.363</f>
        <v>7883.3630000000003</v>
      </c>
      <c r="J2214">
        <f>2748.74</f>
        <v>2748.74</v>
      </c>
      <c r="K2214">
        <f>7704.4</f>
        <v>7704.4</v>
      </c>
      <c r="L2214">
        <f>1535.82</f>
        <v>1535.82</v>
      </c>
      <c r="M2214">
        <f>6238.69</f>
        <v>6238.69</v>
      </c>
      <c r="N2214">
        <f>269.507</f>
        <v>269.50700000000001</v>
      </c>
      <c r="O2214">
        <f>2282.09</f>
        <v>2282.09</v>
      </c>
      <c r="P2214">
        <f>168.7</f>
        <v>168.7</v>
      </c>
      <c r="Q2214">
        <f>1764.95</f>
        <v>1764.95</v>
      </c>
      <c r="R2214">
        <f>3700.03</f>
        <v>3700.03</v>
      </c>
      <c r="S2214">
        <f>1916.75</f>
        <v>1916.75</v>
      </c>
      <c r="T2214">
        <f>3211.843</f>
        <v>3211.8429999999998</v>
      </c>
      <c r="U2214">
        <f>47831.04</f>
        <v>47831.040000000001</v>
      </c>
      <c r="V2214">
        <f>330.82</f>
        <v>330.82</v>
      </c>
    </row>
    <row r="2215" spans="1:22" x14ac:dyDescent="0.2">
      <c r="A2215" s="1">
        <v>42006</v>
      </c>
      <c r="B2215">
        <f>2842.4</f>
        <v>2842.4</v>
      </c>
      <c r="C2215">
        <f>8749.88</f>
        <v>8749.8799999999992</v>
      </c>
      <c r="D2215">
        <f>4942.97</f>
        <v>4942.97</v>
      </c>
      <c r="E2215">
        <f>1915.816</f>
        <v>1915.816</v>
      </c>
      <c r="F2215">
        <f>1786.39</f>
        <v>1786.39</v>
      </c>
      <c r="G2215">
        <f>7733.618</f>
        <v>7733.6180000000004</v>
      </c>
      <c r="H2215">
        <f>2335.52</f>
        <v>2335.52</v>
      </c>
      <c r="I2215">
        <f>8127.727</f>
        <v>8127.7269999999999</v>
      </c>
      <c r="J2215">
        <f>2790.82</f>
        <v>2790.82</v>
      </c>
      <c r="K2215">
        <f>7846.91</f>
        <v>7846.91</v>
      </c>
      <c r="L2215">
        <f>1567.1</f>
        <v>1567.1</v>
      </c>
      <c r="M2215">
        <f>6363.34</f>
        <v>6363.34</v>
      </c>
      <c r="N2215">
        <f>273.328</f>
        <v>273.32799999999997</v>
      </c>
      <c r="O2215">
        <f>2333.81</f>
        <v>2333.81</v>
      </c>
      <c r="P2215" t="e">
        <f>NA()</f>
        <v>#N/A</v>
      </c>
      <c r="Q2215">
        <f>1791.75</f>
        <v>1791.75</v>
      </c>
      <c r="R2215">
        <f>3768.68</f>
        <v>3768.68</v>
      </c>
      <c r="S2215" t="e">
        <f>NA()</f>
        <v>#N/A</v>
      </c>
      <c r="T2215">
        <f>3275.282</f>
        <v>3275.2820000000002</v>
      </c>
      <c r="U2215">
        <f>49518.48</f>
        <v>49518.48</v>
      </c>
      <c r="V2215">
        <f>339.72</f>
        <v>339.72</v>
      </c>
    </row>
    <row r="2216" spans="1:22" x14ac:dyDescent="0.2">
      <c r="A2216" s="1">
        <v>42005</v>
      </c>
      <c r="B2216">
        <f>2848.26</f>
        <v>2848.26</v>
      </c>
      <c r="C2216">
        <f>8753.06</f>
        <v>8753.06</v>
      </c>
      <c r="D2216">
        <f>4956.47</f>
        <v>4956.47</v>
      </c>
      <c r="E2216">
        <f>1920.64</f>
        <v>1920.64</v>
      </c>
      <c r="F2216">
        <f>1815.92</f>
        <v>1815.92</v>
      </c>
      <c r="G2216">
        <f>7857.156</f>
        <v>7857.1559999999999</v>
      </c>
      <c r="H2216">
        <f>2341.55</f>
        <v>2341.5500000000002</v>
      </c>
      <c r="I2216">
        <f>8181.353</f>
        <v>8181.3530000000001</v>
      </c>
      <c r="J2216">
        <f>2787.74</f>
        <v>2787.74</v>
      </c>
      <c r="K2216">
        <f>7847.6</f>
        <v>7847.6</v>
      </c>
      <c r="L2216">
        <f>1573.63</f>
        <v>1573.63</v>
      </c>
      <c r="M2216">
        <f>6381.09</f>
        <v>6381.09</v>
      </c>
      <c r="N2216" t="e">
        <f>NA()</f>
        <v>#N/A</v>
      </c>
      <c r="O2216" t="e">
        <f>NA()</f>
        <v>#N/A</v>
      </c>
      <c r="P2216" t="e">
        <f>NA()</f>
        <v>#N/A</v>
      </c>
      <c r="Q2216" t="e">
        <f>NA()</f>
        <v>#N/A</v>
      </c>
      <c r="R2216" t="e">
        <f>NA()</f>
        <v>#N/A</v>
      </c>
      <c r="S2216" t="e">
        <f>NA()</f>
        <v>#N/A</v>
      </c>
      <c r="T2216" t="e">
        <f>NA()</f>
        <v>#N/A</v>
      </c>
      <c r="U2216" t="e">
        <f>NA()</f>
        <v>#N/A</v>
      </c>
      <c r="V2216" t="e">
        <f>NA()</f>
        <v>#N/A</v>
      </c>
    </row>
    <row r="2217" spans="1:22" x14ac:dyDescent="0.2">
      <c r="A2217" s="1">
        <v>42004</v>
      </c>
      <c r="B2217">
        <f>2848.26</f>
        <v>2848.26</v>
      </c>
      <c r="C2217">
        <f>8753.87</f>
        <v>8753.8700000000008</v>
      </c>
      <c r="D2217">
        <f>4956.47</f>
        <v>4956.47</v>
      </c>
      <c r="E2217">
        <f>1920.693</f>
        <v>1920.693</v>
      </c>
      <c r="F2217">
        <f>1815.92</f>
        <v>1815.92</v>
      </c>
      <c r="G2217">
        <f>7857.156</f>
        <v>7857.1559999999999</v>
      </c>
      <c r="H2217">
        <f>2341.55</f>
        <v>2341.5500000000002</v>
      </c>
      <c r="I2217">
        <f>8181.353</f>
        <v>8181.3530000000001</v>
      </c>
      <c r="J2217">
        <f>2787.74</f>
        <v>2787.74</v>
      </c>
      <c r="K2217">
        <f>7847.6</f>
        <v>7847.6</v>
      </c>
      <c r="L2217">
        <f>1573.62</f>
        <v>1573.62</v>
      </c>
      <c r="M2217">
        <f>6381.05</f>
        <v>6381.05</v>
      </c>
      <c r="N2217">
        <f>274.798</f>
        <v>274.798</v>
      </c>
      <c r="O2217">
        <f>2342.49</f>
        <v>2342.4899999999998</v>
      </c>
      <c r="P2217" t="e">
        <f>NA()</f>
        <v>#N/A</v>
      </c>
      <c r="Q2217">
        <f>1793.55</f>
        <v>1793.55</v>
      </c>
      <c r="R2217">
        <f>3769.44</f>
        <v>3769.44</v>
      </c>
      <c r="S2217" t="e">
        <f>NA()</f>
        <v>#N/A</v>
      </c>
      <c r="T2217">
        <f>3276.628</f>
        <v>3276.6280000000002</v>
      </c>
      <c r="U2217">
        <f>49770.6</f>
        <v>49770.6</v>
      </c>
      <c r="V2217">
        <f>341.67</f>
        <v>341.67</v>
      </c>
    </row>
    <row r="2218" spans="1:22" x14ac:dyDescent="0.2">
      <c r="A2218" s="1">
        <v>42003</v>
      </c>
      <c r="B2218">
        <f>2837.24</f>
        <v>2837.24</v>
      </c>
      <c r="C2218">
        <f>8767.41</f>
        <v>8767.41</v>
      </c>
      <c r="D2218">
        <f>4942.07</f>
        <v>4942.07</v>
      </c>
      <c r="E2218">
        <f>1917.228</f>
        <v>1917.2280000000001</v>
      </c>
      <c r="F2218">
        <f>1807.9</f>
        <v>1807.9</v>
      </c>
      <c r="G2218">
        <f>7820.033</f>
        <v>7820.0330000000004</v>
      </c>
      <c r="H2218">
        <f>2351.75</f>
        <v>2351.75</v>
      </c>
      <c r="I2218">
        <f>8211.368</f>
        <v>8211.3680000000004</v>
      </c>
      <c r="J2218">
        <f>2819.12</f>
        <v>2819.12</v>
      </c>
      <c r="K2218">
        <f>7928.21</f>
        <v>7928.21</v>
      </c>
      <c r="L2218">
        <f>1582.37</f>
        <v>1582.37</v>
      </c>
      <c r="M2218">
        <f>6423.37</f>
        <v>6423.37</v>
      </c>
      <c r="N2218">
        <f>273.418</f>
        <v>273.41800000000001</v>
      </c>
      <c r="O2218">
        <f>2332.71</f>
        <v>2332.71</v>
      </c>
      <c r="P2218">
        <f>169.31</f>
        <v>169.31</v>
      </c>
      <c r="Q2218">
        <f>1811.62</f>
        <v>1811.62</v>
      </c>
      <c r="R2218">
        <f>3808.69</f>
        <v>3808.69</v>
      </c>
      <c r="S2218">
        <f>1925.54</f>
        <v>1925.54</v>
      </c>
      <c r="T2218">
        <f>3274.39</f>
        <v>3274.39</v>
      </c>
      <c r="U2218">
        <f>49755.61</f>
        <v>49755.61</v>
      </c>
      <c r="V2218">
        <f>339.75</f>
        <v>339.75</v>
      </c>
    </row>
    <row r="2219" spans="1:22" x14ac:dyDescent="0.2">
      <c r="A2219" s="1">
        <v>42002</v>
      </c>
      <c r="B2219">
        <f>2869.96</f>
        <v>2869.96</v>
      </c>
      <c r="C2219">
        <f>8839.72</f>
        <v>8839.7199999999993</v>
      </c>
      <c r="D2219">
        <f>5007.37</f>
        <v>5007.37</v>
      </c>
      <c r="E2219">
        <f>1925.474</f>
        <v>1925.4739999999999</v>
      </c>
      <c r="F2219">
        <f>1827.92</f>
        <v>1827.92</v>
      </c>
      <c r="G2219">
        <f>7908.372</f>
        <v>7908.3720000000003</v>
      </c>
      <c r="H2219">
        <f>2352.32</f>
        <v>2352.3200000000002</v>
      </c>
      <c r="I2219">
        <f>8304.813</f>
        <v>8304.8130000000001</v>
      </c>
      <c r="J2219">
        <f>2833.83</f>
        <v>2833.83</v>
      </c>
      <c r="K2219">
        <f>7967.04</f>
        <v>7967.04</v>
      </c>
      <c r="L2219">
        <f>1594.07</f>
        <v>1594.07</v>
      </c>
      <c r="M2219">
        <f>6462.8</f>
        <v>6462.8</v>
      </c>
      <c r="N2219">
        <f>275.688</f>
        <v>275.68799999999999</v>
      </c>
      <c r="O2219">
        <f>2356.69</f>
        <v>2356.69</v>
      </c>
      <c r="P2219">
        <f>170.52</f>
        <v>170.52</v>
      </c>
      <c r="Q2219">
        <f>1817.06</f>
        <v>1817.06</v>
      </c>
      <c r="R2219">
        <f>3826.95</f>
        <v>3826.95</v>
      </c>
      <c r="S2219">
        <f>1949.01</f>
        <v>1949.01</v>
      </c>
      <c r="T2219">
        <f>3286.051</f>
        <v>3286.0509999999999</v>
      </c>
      <c r="U2219">
        <f>50254.08</f>
        <v>50254.080000000002</v>
      </c>
      <c r="V2219">
        <f>343.15</f>
        <v>343.15</v>
      </c>
    </row>
    <row r="2220" spans="1:22" x14ac:dyDescent="0.2">
      <c r="A2220" s="1">
        <v>41999</v>
      </c>
      <c r="B2220">
        <f>2861.15</f>
        <v>2861.15</v>
      </c>
      <c r="C2220">
        <f>8745.39</f>
        <v>8745.39</v>
      </c>
      <c r="D2220">
        <f>4988.5</f>
        <v>4988.5</v>
      </c>
      <c r="E2220">
        <f>1909.91</f>
        <v>1909.91</v>
      </c>
      <c r="F2220">
        <f>1827.02</f>
        <v>1827.02</v>
      </c>
      <c r="G2220">
        <f>7894.322</f>
        <v>7894.3220000000001</v>
      </c>
      <c r="H2220">
        <f>2360.03</f>
        <v>2360.0300000000002</v>
      </c>
      <c r="I2220">
        <f>8292.435</f>
        <v>8292.4349999999995</v>
      </c>
      <c r="J2220">
        <f>2836.83</f>
        <v>2836.83</v>
      </c>
      <c r="K2220">
        <f>7959.03</f>
        <v>7959.03</v>
      </c>
      <c r="L2220">
        <f>1589.45</f>
        <v>1589.45</v>
      </c>
      <c r="M2220">
        <f>6452.83</f>
        <v>6452.83</v>
      </c>
      <c r="N2220" t="e">
        <f>NA()</f>
        <v>#N/A</v>
      </c>
      <c r="O2220" t="e">
        <f>NA()</f>
        <v>#N/A</v>
      </c>
      <c r="P2220">
        <f>170.62</f>
        <v>170.62</v>
      </c>
      <c r="Q2220">
        <f>1816.17</f>
        <v>1816.17</v>
      </c>
      <c r="R2220">
        <f>3823</f>
        <v>3823</v>
      </c>
      <c r="S2220">
        <f>1952.89</f>
        <v>1952.89</v>
      </c>
      <c r="T2220" t="e">
        <f>NA()</f>
        <v>#N/A</v>
      </c>
      <c r="U2220" t="e">
        <f>NA()</f>
        <v>#N/A</v>
      </c>
      <c r="V2220" t="e">
        <f>NA()</f>
        <v>#N/A</v>
      </c>
    </row>
    <row r="2221" spans="1:22" x14ac:dyDescent="0.2">
      <c r="A2221" s="1">
        <v>41998</v>
      </c>
      <c r="B2221">
        <f>2861.15</f>
        <v>2861.15</v>
      </c>
      <c r="C2221">
        <f>8720.08</f>
        <v>8720.08</v>
      </c>
      <c r="D2221">
        <f>4988.5</f>
        <v>4988.5</v>
      </c>
      <c r="E2221">
        <f>1906.053</f>
        <v>1906.0530000000001</v>
      </c>
      <c r="F2221">
        <f>1825.61</f>
        <v>1825.61</v>
      </c>
      <c r="G2221">
        <f>7888.235</f>
        <v>7888.2349999999997</v>
      </c>
      <c r="H2221">
        <f>2352.53</f>
        <v>2352.5300000000002</v>
      </c>
      <c r="I2221">
        <f>8307.227</f>
        <v>8307.2270000000008</v>
      </c>
      <c r="J2221">
        <f>2828.9</f>
        <v>2828.9</v>
      </c>
      <c r="K2221">
        <f>7931.82</f>
        <v>7931.82</v>
      </c>
      <c r="L2221">
        <f>1586.53</f>
        <v>1586.53</v>
      </c>
      <c r="M2221">
        <f>6438.66</f>
        <v>6438.66</v>
      </c>
      <c r="N2221" t="e">
        <f>NA()</f>
        <v>#N/A</v>
      </c>
      <c r="O2221" t="e">
        <f>NA()</f>
        <v>#N/A</v>
      </c>
      <c r="P2221">
        <f>170.15</f>
        <v>170.15</v>
      </c>
      <c r="Q2221" t="e">
        <f>NA()</f>
        <v>#N/A</v>
      </c>
      <c r="R2221" t="e">
        <f>NA()</f>
        <v>#N/A</v>
      </c>
      <c r="S2221">
        <f>1942.28</f>
        <v>1942.28</v>
      </c>
      <c r="T2221" t="e">
        <f>NA()</f>
        <v>#N/A</v>
      </c>
      <c r="U2221" t="e">
        <f>NA()</f>
        <v>#N/A</v>
      </c>
      <c r="V2221" t="e">
        <f>NA()</f>
        <v>#N/A</v>
      </c>
    </row>
    <row r="2222" spans="1:22" x14ac:dyDescent="0.2">
      <c r="A2222" s="1">
        <v>41997</v>
      </c>
      <c r="B2222">
        <f>2861.15</f>
        <v>2861.15</v>
      </c>
      <c r="C2222">
        <f>8729.15</f>
        <v>8729.15</v>
      </c>
      <c r="D2222">
        <f>4988.5</f>
        <v>4988.5</v>
      </c>
      <c r="E2222">
        <f>1906.946</f>
        <v>1906.9459999999999</v>
      </c>
      <c r="F2222">
        <f>1825.61</f>
        <v>1825.61</v>
      </c>
      <c r="G2222">
        <f>7888.235</f>
        <v>7888.2349999999997</v>
      </c>
      <c r="H2222">
        <f>2358.81</f>
        <v>2358.81</v>
      </c>
      <c r="I2222">
        <f>8307.227</f>
        <v>8307.2270000000008</v>
      </c>
      <c r="J2222">
        <f>2828.9</f>
        <v>2828.9</v>
      </c>
      <c r="K2222">
        <f>7931.82</f>
        <v>7931.82</v>
      </c>
      <c r="L2222">
        <f>1586.64</f>
        <v>1586.64</v>
      </c>
      <c r="M2222">
        <f>6440.3</f>
        <v>6440.3</v>
      </c>
      <c r="N2222">
        <f>275.243</f>
        <v>275.24299999999999</v>
      </c>
      <c r="O2222">
        <f>2353.44</f>
        <v>2353.44</v>
      </c>
      <c r="P2222">
        <f>170.71</f>
        <v>170.71</v>
      </c>
      <c r="Q2222">
        <f>1814.35</f>
        <v>1814.35</v>
      </c>
      <c r="R2222">
        <f>3810.39</f>
        <v>3810.39</v>
      </c>
      <c r="S2222">
        <f>1948.79</f>
        <v>1948.79</v>
      </c>
      <c r="T2222">
        <f>3247.445</f>
        <v>3247.4450000000002</v>
      </c>
      <c r="U2222">
        <f>49478.57</f>
        <v>49478.57</v>
      </c>
      <c r="V2222">
        <f>337.2</f>
        <v>337.2</v>
      </c>
    </row>
    <row r="2223" spans="1:22" x14ac:dyDescent="0.2">
      <c r="A2223" s="1">
        <v>41996</v>
      </c>
      <c r="B2223">
        <f>2859.59</f>
        <v>2859.59</v>
      </c>
      <c r="C2223">
        <f>8751.16</f>
        <v>8751.16</v>
      </c>
      <c r="D2223">
        <f>4979.63</f>
        <v>4979.63</v>
      </c>
      <c r="E2223">
        <f>1908.405</f>
        <v>1908.405</v>
      </c>
      <c r="F2223">
        <f>1817.95</f>
        <v>1817.95</v>
      </c>
      <c r="G2223">
        <f>7860.62</f>
        <v>7860.62</v>
      </c>
      <c r="H2223">
        <f>2342.12</f>
        <v>2342.12</v>
      </c>
      <c r="I2223">
        <f>8312.437</f>
        <v>8312.4369999999999</v>
      </c>
      <c r="J2223">
        <f>2828.89</f>
        <v>2828.89</v>
      </c>
      <c r="K2223">
        <f>7932.28</f>
        <v>7932.28</v>
      </c>
      <c r="L2223">
        <f>1583.55</f>
        <v>1583.55</v>
      </c>
      <c r="M2223">
        <f>6432.18</f>
        <v>6432.18</v>
      </c>
      <c r="N2223">
        <f>275.357</f>
        <v>275.35700000000003</v>
      </c>
      <c r="O2223">
        <f>2353.67</f>
        <v>2353.67</v>
      </c>
      <c r="P2223" t="e">
        <f>NA()</f>
        <v>#N/A</v>
      </c>
      <c r="Q2223">
        <f>1814.63</f>
        <v>1814.63</v>
      </c>
      <c r="R2223">
        <f>3810.78</f>
        <v>3810.78</v>
      </c>
      <c r="S2223" t="e">
        <f>NA()</f>
        <v>#N/A</v>
      </c>
      <c r="T2223">
        <f>3247.367</f>
        <v>3247.3670000000002</v>
      </c>
      <c r="U2223">
        <f>49568</f>
        <v>49568</v>
      </c>
      <c r="V2223">
        <f>339.09</f>
        <v>339.09</v>
      </c>
    </row>
    <row r="2224" spans="1:22" x14ac:dyDescent="0.2">
      <c r="A2224" s="1">
        <v>41995</v>
      </c>
      <c r="B2224">
        <f>2843.45</f>
        <v>2843.45</v>
      </c>
      <c r="C2224">
        <f>8815.57</f>
        <v>8815.57</v>
      </c>
      <c r="D2224">
        <f>4963.45</f>
        <v>4963.45</v>
      </c>
      <c r="E2224">
        <f>1919.273</f>
        <v>1919.2729999999999</v>
      </c>
      <c r="F2224">
        <f>1821.34</f>
        <v>1821.34</v>
      </c>
      <c r="G2224">
        <f>7887.796</f>
        <v>7887.7960000000003</v>
      </c>
      <c r="H2224">
        <f>2357.45</f>
        <v>2357.4499999999998</v>
      </c>
      <c r="I2224">
        <f>8304.166</f>
        <v>8304.1659999999993</v>
      </c>
      <c r="J2224">
        <f>2823.44</f>
        <v>2823.44</v>
      </c>
      <c r="K2224">
        <f>7917.75</f>
        <v>7917.75</v>
      </c>
      <c r="L2224">
        <f>1587</f>
        <v>1587</v>
      </c>
      <c r="M2224">
        <f>6428.82</f>
        <v>6428.82</v>
      </c>
      <c r="N2224">
        <f>274.66</f>
        <v>274.66000000000003</v>
      </c>
      <c r="O2224">
        <f>2339.44</f>
        <v>2339.44</v>
      </c>
      <c r="P2224">
        <f>169.49</f>
        <v>169.49</v>
      </c>
      <c r="Q2224">
        <f>1809.99</f>
        <v>1809.99</v>
      </c>
      <c r="R2224">
        <f>3803.94</f>
        <v>3803.94</v>
      </c>
      <c r="S2224">
        <f>1931.06</f>
        <v>1931.06</v>
      </c>
      <c r="T2224">
        <f>3241.028</f>
        <v>3241.0279999999998</v>
      </c>
      <c r="U2224">
        <f>49339.32</f>
        <v>49339.32</v>
      </c>
      <c r="V2224">
        <f>338.03</f>
        <v>338.03</v>
      </c>
    </row>
    <row r="2225" spans="1:22" x14ac:dyDescent="0.2">
      <c r="A2225" s="1">
        <v>41992</v>
      </c>
      <c r="B2225">
        <f>2824.21</f>
        <v>2824.21</v>
      </c>
      <c r="C2225">
        <f>8625.5</f>
        <v>8625.5</v>
      </c>
      <c r="D2225">
        <f>4939.7</f>
        <v>4939.7</v>
      </c>
      <c r="E2225">
        <f>1893.259</f>
        <v>1893.259</v>
      </c>
      <c r="F2225">
        <f>1806.92</f>
        <v>1806.92</v>
      </c>
      <c r="G2225">
        <f>7853.788</f>
        <v>7853.7879999999996</v>
      </c>
      <c r="H2225">
        <f>2349.23</f>
        <v>2349.23</v>
      </c>
      <c r="I2225">
        <f>8265.858</f>
        <v>8265.8580000000002</v>
      </c>
      <c r="J2225">
        <f>2809.83</f>
        <v>2809.83</v>
      </c>
      <c r="K2225">
        <f>7887.48</f>
        <v>7887.48</v>
      </c>
      <c r="L2225">
        <f>1579.47</f>
        <v>1579.47</v>
      </c>
      <c r="M2225">
        <f>6404.94</f>
        <v>6404.94</v>
      </c>
      <c r="N2225">
        <f>273.62</f>
        <v>273.62</v>
      </c>
      <c r="O2225">
        <f>2329.02</f>
        <v>2329.02</v>
      </c>
      <c r="P2225">
        <f>168.19</f>
        <v>168.19</v>
      </c>
      <c r="Q2225">
        <f>1801</f>
        <v>1801</v>
      </c>
      <c r="R2225">
        <f>3788.97</f>
        <v>3788.97</v>
      </c>
      <c r="S2225">
        <f>1926.35</f>
        <v>1926.35</v>
      </c>
      <c r="T2225">
        <f>3250.737</f>
        <v>3250.7370000000001</v>
      </c>
      <c r="U2225">
        <f>49386.71</f>
        <v>49386.71</v>
      </c>
      <c r="V2225">
        <f>338.04</f>
        <v>338.04</v>
      </c>
    </row>
    <row r="2226" spans="1:22" x14ac:dyDescent="0.2">
      <c r="A2226" s="1">
        <v>41991</v>
      </c>
      <c r="B2226">
        <f>2798.57</f>
        <v>2798.57</v>
      </c>
      <c r="C2226">
        <f>8576.88</f>
        <v>8576.8799999999992</v>
      </c>
      <c r="D2226">
        <f>4879.88</f>
        <v>4879.88</v>
      </c>
      <c r="E2226">
        <f>1873.891</f>
        <v>1873.8910000000001</v>
      </c>
      <c r="F2226">
        <f>1794.44</f>
        <v>1794.44</v>
      </c>
      <c r="G2226">
        <f>7758.856</f>
        <v>7758.8559999999998</v>
      </c>
      <c r="H2226">
        <f>2308.61</f>
        <v>2308.61</v>
      </c>
      <c r="I2226">
        <f>8280.222</f>
        <v>8280.2219999999998</v>
      </c>
      <c r="J2226">
        <f>2799.35</f>
        <v>2799.35</v>
      </c>
      <c r="K2226">
        <f>7850.21</f>
        <v>7850.21</v>
      </c>
      <c r="L2226">
        <f>1572.77</f>
        <v>1572.77</v>
      </c>
      <c r="M2226">
        <f>6364.99</f>
        <v>6364.99</v>
      </c>
      <c r="N2226">
        <f>272.13</f>
        <v>272.13</v>
      </c>
      <c r="O2226">
        <f>2320.26</f>
        <v>2320.2600000000002</v>
      </c>
      <c r="P2226">
        <f>165.8</f>
        <v>165.8</v>
      </c>
      <c r="Q2226">
        <f>1793.07</f>
        <v>1793.07</v>
      </c>
      <c r="R2226">
        <f>3771.72</f>
        <v>3771.72</v>
      </c>
      <c r="S2226">
        <f>1880.86</f>
        <v>1880.86</v>
      </c>
      <c r="T2226">
        <f>3240.773</f>
        <v>3240.7730000000001</v>
      </c>
      <c r="U2226">
        <f>49290.56</f>
        <v>49290.559999999998</v>
      </c>
      <c r="V2226">
        <f>337.88</f>
        <v>337.88</v>
      </c>
    </row>
    <row r="2227" spans="1:22" x14ac:dyDescent="0.2">
      <c r="A2227" s="1">
        <v>41990</v>
      </c>
      <c r="B2227">
        <f>2745.42</f>
        <v>2745.42</v>
      </c>
      <c r="C2227">
        <f>8380.57</f>
        <v>8380.57</v>
      </c>
      <c r="D2227">
        <f>4781.87</f>
        <v>4781.87</v>
      </c>
      <c r="E2227">
        <f>1839.889</f>
        <v>1839.8889999999999</v>
      </c>
      <c r="F2227">
        <f>1756.44</f>
        <v>1756.44</v>
      </c>
      <c r="G2227">
        <f>7609.173</f>
        <v>7609.1729999999998</v>
      </c>
      <c r="H2227">
        <f>2299.78</f>
        <v>2299.7800000000002</v>
      </c>
      <c r="I2227">
        <f>8118.663</f>
        <v>8118.6629999999996</v>
      </c>
      <c r="J2227">
        <f>2731.62</f>
        <v>2731.62</v>
      </c>
      <c r="K2227">
        <f>7665.81</f>
        <v>7665.81</v>
      </c>
      <c r="L2227">
        <f>1542.52</f>
        <v>1542.52</v>
      </c>
      <c r="M2227">
        <f>6238.13</f>
        <v>6238.13</v>
      </c>
      <c r="N2227">
        <f>264.163</f>
        <v>264.16300000000001</v>
      </c>
      <c r="O2227">
        <f>2252.69</f>
        <v>2252.69</v>
      </c>
      <c r="P2227">
        <f>162.95</f>
        <v>162.94999999999999</v>
      </c>
      <c r="Q2227">
        <f>1759.43</f>
        <v>1759.43</v>
      </c>
      <c r="R2227">
        <f>3682.7</f>
        <v>3682.7</v>
      </c>
      <c r="S2227">
        <f>1847.64</f>
        <v>1847.64</v>
      </c>
      <c r="T2227">
        <f>3134.663</f>
        <v>3134.663</v>
      </c>
      <c r="U2227">
        <f>47282.48</f>
        <v>47282.48</v>
      </c>
      <c r="V2227">
        <f>326.75</f>
        <v>326.75</v>
      </c>
    </row>
    <row r="2228" spans="1:22" x14ac:dyDescent="0.2">
      <c r="A2228" s="1">
        <v>41989</v>
      </c>
      <c r="B2228">
        <f>2736.13</f>
        <v>2736.13</v>
      </c>
      <c r="C2228">
        <f>8208.35</f>
        <v>8208.35</v>
      </c>
      <c r="D2228">
        <f>4778.06</f>
        <v>4778.0600000000004</v>
      </c>
      <c r="E2228">
        <f>1823.414</f>
        <v>1823.414</v>
      </c>
      <c r="F2228">
        <f>1761.97</f>
        <v>1761.97</v>
      </c>
      <c r="G2228">
        <f>7641.501</f>
        <v>7641.5010000000002</v>
      </c>
      <c r="H2228">
        <f>2306.94</f>
        <v>2306.94</v>
      </c>
      <c r="I2228">
        <f>8193.064</f>
        <v>8193.0640000000003</v>
      </c>
      <c r="J2228">
        <f>2681.8</f>
        <v>2681.8</v>
      </c>
      <c r="K2228">
        <f>7510.99</f>
        <v>7510.99</v>
      </c>
      <c r="L2228">
        <f>1532.39</f>
        <v>1532.39</v>
      </c>
      <c r="M2228">
        <f>6174.72</f>
        <v>6174.72</v>
      </c>
      <c r="N2228">
        <f>263.811</f>
        <v>263.81099999999998</v>
      </c>
      <c r="O2228">
        <f>2250.21</f>
        <v>2250.21</v>
      </c>
      <c r="P2228">
        <f>162.75</f>
        <v>162.75</v>
      </c>
      <c r="Q2228">
        <f>1728.17</f>
        <v>1728.17</v>
      </c>
      <c r="R2228">
        <f>3609.06</f>
        <v>3609.06</v>
      </c>
      <c r="S2228">
        <f>1849.49</f>
        <v>1849.49</v>
      </c>
      <c r="T2228" t="e">
        <f>NA()</f>
        <v>#N/A</v>
      </c>
      <c r="U2228" t="e">
        <f>NA()</f>
        <v>#N/A</v>
      </c>
      <c r="V2228" t="e">
        <f>NA()</f>
        <v>#N/A</v>
      </c>
    </row>
    <row r="2229" spans="1:22" x14ac:dyDescent="0.2">
      <c r="A2229" s="1">
        <v>41988</v>
      </c>
      <c r="B2229">
        <f>2687.17</f>
        <v>2687.17</v>
      </c>
      <c r="C2229">
        <f>8382.52</f>
        <v>8382.52</v>
      </c>
      <c r="D2229">
        <f>4665.54</f>
        <v>4665.54</v>
      </c>
      <c r="E2229">
        <f>1851.549</f>
        <v>1851.549</v>
      </c>
      <c r="F2229">
        <f>1711.88</f>
        <v>1711.88</v>
      </c>
      <c r="G2229">
        <f>7408.622</f>
        <v>7408.6220000000003</v>
      </c>
      <c r="H2229">
        <f>2328.94</f>
        <v>2328.94</v>
      </c>
      <c r="I2229">
        <f>8015.856</f>
        <v>8015.8559999999998</v>
      </c>
      <c r="J2229">
        <f>2695.53</f>
        <v>2695.53</v>
      </c>
      <c r="K2229">
        <f>7574.51</f>
        <v>7574.51</v>
      </c>
      <c r="L2229">
        <f>1518.54</f>
        <v>1518.54</v>
      </c>
      <c r="M2229">
        <f>6171.07</f>
        <v>6171.07</v>
      </c>
      <c r="N2229">
        <f>258.151</f>
        <v>258.15100000000001</v>
      </c>
      <c r="O2229">
        <f>2207.9</f>
        <v>2207.9</v>
      </c>
      <c r="P2229">
        <f>165.53</f>
        <v>165.53</v>
      </c>
      <c r="Q2229">
        <f>1734.5</f>
        <v>1734.5</v>
      </c>
      <c r="R2229">
        <f>3639.97</f>
        <v>3639.97</v>
      </c>
      <c r="S2229">
        <f>1884.92</f>
        <v>1884.92</v>
      </c>
      <c r="T2229">
        <f>3132.084</f>
        <v>3132.0839999999998</v>
      </c>
      <c r="U2229">
        <f>47397.44</f>
        <v>47397.440000000002</v>
      </c>
      <c r="V2229">
        <f>326.45</f>
        <v>326.45</v>
      </c>
    </row>
    <row r="2230" spans="1:22" x14ac:dyDescent="0.2">
      <c r="A2230" s="1">
        <v>41985</v>
      </c>
      <c r="B2230">
        <f>2726.81</f>
        <v>2726.81</v>
      </c>
      <c r="C2230">
        <f>8552.29</f>
        <v>8552.2900000000009</v>
      </c>
      <c r="D2230">
        <f>4754.52</f>
        <v>4754.5200000000004</v>
      </c>
      <c r="E2230">
        <f>1880.31</f>
        <v>1880.31</v>
      </c>
      <c r="F2230">
        <f>1750.95</f>
        <v>1750.95</v>
      </c>
      <c r="G2230">
        <f>7589.318</f>
        <v>7589.3180000000002</v>
      </c>
      <c r="H2230">
        <f>2362.48</f>
        <v>2362.48</v>
      </c>
      <c r="I2230">
        <f>8228.563</f>
        <v>8228.5630000000001</v>
      </c>
      <c r="J2230">
        <f>2710.99</f>
        <v>2710.99</v>
      </c>
      <c r="K2230">
        <f>7623.72</f>
        <v>7623.72</v>
      </c>
      <c r="L2230">
        <f>1542.17</f>
        <v>1542.17</v>
      </c>
      <c r="M2230">
        <f>6246.94</f>
        <v>6246.94</v>
      </c>
      <c r="N2230">
        <f>262.523</f>
        <v>262.52300000000002</v>
      </c>
      <c r="O2230">
        <f>2259.94</f>
        <v>2259.94</v>
      </c>
      <c r="P2230">
        <f>166.76</f>
        <v>166.76</v>
      </c>
      <c r="Q2230">
        <f>1741.09</f>
        <v>1741.09</v>
      </c>
      <c r="R2230">
        <f>3663.1</f>
        <v>3663.1</v>
      </c>
      <c r="S2230">
        <f>1912.74</f>
        <v>1912.74</v>
      </c>
      <c r="T2230">
        <f>3165.043</f>
        <v>3165.0430000000001</v>
      </c>
      <c r="U2230">
        <f>48043.19</f>
        <v>48043.19</v>
      </c>
      <c r="V2230">
        <f>330.78</f>
        <v>330.78</v>
      </c>
    </row>
    <row r="2231" spans="1:22" x14ac:dyDescent="0.2">
      <c r="A2231" s="1">
        <v>41984</v>
      </c>
      <c r="B2231">
        <f>2789.76</f>
        <v>2789.76</v>
      </c>
      <c r="C2231">
        <f>8619.42</f>
        <v>8619.42</v>
      </c>
      <c r="D2231">
        <f>4876.06</f>
        <v>4876.0600000000004</v>
      </c>
      <c r="E2231">
        <f>1895.523</f>
        <v>1895.5229999999999</v>
      </c>
      <c r="F2231">
        <f>1794.05</f>
        <v>1794.05</v>
      </c>
      <c r="G2231">
        <f>7781.162</f>
        <v>7781.1620000000003</v>
      </c>
      <c r="H2231">
        <f>2347.6</f>
        <v>2347.6</v>
      </c>
      <c r="I2231">
        <f>8379.529</f>
        <v>8379.5290000000005</v>
      </c>
      <c r="J2231">
        <f>2760.34</f>
        <v>2760.34</v>
      </c>
      <c r="K2231">
        <f>7747.2</f>
        <v>7747.2</v>
      </c>
      <c r="L2231">
        <f>1568.46</f>
        <v>1568.46</v>
      </c>
      <c r="M2231">
        <f>6336.36</f>
        <v>6336.36</v>
      </c>
      <c r="N2231">
        <f>269.726</f>
        <v>269.726</v>
      </c>
      <c r="O2231">
        <f>2321.64</f>
        <v>2321.64</v>
      </c>
      <c r="P2231">
        <f>166.88</f>
        <v>166.88</v>
      </c>
      <c r="Q2231">
        <f>1769.44</f>
        <v>1769.44</v>
      </c>
      <c r="R2231">
        <f>3723.32</f>
        <v>3723.32</v>
      </c>
      <c r="S2231">
        <f>1909.18</f>
        <v>1909.18</v>
      </c>
      <c r="T2231">
        <f>3175.416</f>
        <v>3175.4160000000002</v>
      </c>
      <c r="U2231">
        <f>48110.52</f>
        <v>48110.52</v>
      </c>
      <c r="V2231">
        <f>331.83</f>
        <v>331.83</v>
      </c>
    </row>
    <row r="2232" spans="1:22" x14ac:dyDescent="0.2">
      <c r="A2232" s="1">
        <v>41983</v>
      </c>
      <c r="B2232">
        <f>2807.51</f>
        <v>2807.51</v>
      </c>
      <c r="C2232">
        <f>8751.33</f>
        <v>8751.33</v>
      </c>
      <c r="D2232">
        <f>4904.25</f>
        <v>4904.25</v>
      </c>
      <c r="E2232">
        <f>1920.819</f>
        <v>1920.819</v>
      </c>
      <c r="F2232">
        <f>1797.44</f>
        <v>1797.44</v>
      </c>
      <c r="G2232">
        <f>7824.694</f>
        <v>7824.6940000000004</v>
      </c>
      <c r="H2232">
        <f>2376.62</f>
        <v>2376.62</v>
      </c>
      <c r="I2232">
        <f>8387.487</f>
        <v>8387.4869999999992</v>
      </c>
      <c r="J2232">
        <f>2748.8</f>
        <v>2748.8</v>
      </c>
      <c r="K2232">
        <f>7710.8</f>
        <v>7710.8</v>
      </c>
      <c r="L2232">
        <f>1567.75</f>
        <v>1567.75</v>
      </c>
      <c r="M2232">
        <f>6332.73</f>
        <v>6332.73</v>
      </c>
      <c r="N2232">
        <f>270.146</f>
        <v>270.14600000000002</v>
      </c>
      <c r="O2232">
        <f>2320.13</f>
        <v>2320.13</v>
      </c>
      <c r="P2232">
        <f>168.04</f>
        <v>168.04</v>
      </c>
      <c r="Q2232">
        <f>1757.07</f>
        <v>1757.07</v>
      </c>
      <c r="R2232">
        <f>3705.51</f>
        <v>3705.51</v>
      </c>
      <c r="S2232">
        <f>1922.55</f>
        <v>1922.55</v>
      </c>
      <c r="T2232">
        <f>3194.419</f>
        <v>3194.4189999999999</v>
      </c>
      <c r="U2232">
        <f>48745.43</f>
        <v>48745.43</v>
      </c>
      <c r="V2232">
        <f>336.02</f>
        <v>336.02</v>
      </c>
    </row>
    <row r="2233" spans="1:22" x14ac:dyDescent="0.2">
      <c r="A2233" s="1">
        <v>41982</v>
      </c>
      <c r="B2233">
        <f>2812.03</f>
        <v>2812.03</v>
      </c>
      <c r="C2233">
        <f>8801.24</f>
        <v>8801.24</v>
      </c>
      <c r="D2233">
        <f>4926.45</f>
        <v>4926.45</v>
      </c>
      <c r="E2233">
        <f>1934.308</f>
        <v>1934.308</v>
      </c>
      <c r="F2233">
        <f>1806.56</f>
        <v>1806.56</v>
      </c>
      <c r="G2233">
        <f>7858.297</f>
        <v>7858.2969999999996</v>
      </c>
      <c r="H2233">
        <f>2420.9</f>
        <v>2420.9</v>
      </c>
      <c r="I2233">
        <f>8425.245</f>
        <v>8425.2450000000008</v>
      </c>
      <c r="J2233">
        <f>2789.62</f>
        <v>2789.62</v>
      </c>
      <c r="K2233">
        <f>7840.28</f>
        <v>7840.28</v>
      </c>
      <c r="L2233">
        <f>1583.37</f>
        <v>1583.37</v>
      </c>
      <c r="M2233">
        <f>6420.16</f>
        <v>6420.16</v>
      </c>
      <c r="N2233">
        <f>271.061</f>
        <v>271.06099999999998</v>
      </c>
      <c r="O2233">
        <f>2330.99</f>
        <v>2330.9899999999998</v>
      </c>
      <c r="P2233">
        <f>170.46</f>
        <v>170.46</v>
      </c>
      <c r="Q2233">
        <f>1782.63</f>
        <v>1782.63</v>
      </c>
      <c r="R2233">
        <f>3766.83</f>
        <v>3766.83</v>
      </c>
      <c r="S2233">
        <f>1962.53</f>
        <v>1962.53</v>
      </c>
      <c r="T2233">
        <f>3189.151</f>
        <v>3189.1509999999998</v>
      </c>
      <c r="U2233">
        <f>48556.55</f>
        <v>48556.55</v>
      </c>
      <c r="V2233">
        <f>335.13</f>
        <v>335.13</v>
      </c>
    </row>
    <row r="2234" spans="1:22" x14ac:dyDescent="0.2">
      <c r="A2234" s="1">
        <v>41981</v>
      </c>
      <c r="B2234">
        <f>2874.88</f>
        <v>2874.88</v>
      </c>
      <c r="C2234">
        <f>8978.47</f>
        <v>8978.4699999999993</v>
      </c>
      <c r="D2234">
        <f>5034.1</f>
        <v>5034.1000000000004</v>
      </c>
      <c r="E2234">
        <f>1957.179</f>
        <v>1957.1790000000001</v>
      </c>
      <c r="F2234">
        <f>1838.54</f>
        <v>1838.54</v>
      </c>
      <c r="G2234">
        <f>7992.019</f>
        <v>7992.0190000000002</v>
      </c>
      <c r="H2234">
        <f>2399.61</f>
        <v>2399.61</v>
      </c>
      <c r="I2234">
        <f>8514.034</f>
        <v>8514.0339999999997</v>
      </c>
      <c r="J2234">
        <f>2800.14</f>
        <v>2800.14</v>
      </c>
      <c r="K2234">
        <f>7840.71</f>
        <v>7840.71</v>
      </c>
      <c r="L2234">
        <f>1592.38</f>
        <v>1592.38</v>
      </c>
      <c r="M2234">
        <f>6436.87</f>
        <v>6436.87</v>
      </c>
      <c r="N2234">
        <f>276.689</f>
        <v>276.68900000000002</v>
      </c>
      <c r="O2234">
        <f>2386.14</f>
        <v>2386.14</v>
      </c>
      <c r="P2234">
        <f>170.76</f>
        <v>170.76</v>
      </c>
      <c r="Q2234">
        <f>1786.4</f>
        <v>1786.4</v>
      </c>
      <c r="R2234">
        <f>3767.7</f>
        <v>3767.7</v>
      </c>
      <c r="S2234">
        <f>1978.25</f>
        <v>1978.25</v>
      </c>
      <c r="T2234">
        <f>3221.361</f>
        <v>3221.3609999999999</v>
      </c>
      <c r="U2234">
        <f>49590.2</f>
        <v>49590.2</v>
      </c>
      <c r="V2234">
        <f>340.18</f>
        <v>340.18</v>
      </c>
    </row>
    <row r="2235" spans="1:22" x14ac:dyDescent="0.2">
      <c r="A2235" s="1">
        <v>41978</v>
      </c>
      <c r="B2235">
        <f>2890.68</f>
        <v>2890.68</v>
      </c>
      <c r="C2235">
        <f>9031.16</f>
        <v>9031.16</v>
      </c>
      <c r="D2235">
        <f>5087.44</f>
        <v>5087.4399999999996</v>
      </c>
      <c r="E2235">
        <f>1974.709</f>
        <v>1974.7090000000001</v>
      </c>
      <c r="F2235">
        <f>1850.73</f>
        <v>1850.73</v>
      </c>
      <c r="G2235">
        <f>8060.464</f>
        <v>8060.4639999999999</v>
      </c>
      <c r="H2235">
        <f>2382.2</f>
        <v>2382.1999999999998</v>
      </c>
      <c r="I2235">
        <f>8575.706</f>
        <v>8575.7060000000001</v>
      </c>
      <c r="J2235">
        <f>2823.44</f>
        <v>2823.44</v>
      </c>
      <c r="K2235">
        <f>7899.53</f>
        <v>7899.53</v>
      </c>
      <c r="L2235">
        <f>1605.51</f>
        <v>1605.51</v>
      </c>
      <c r="M2235">
        <f>6481.16</f>
        <v>6481.16</v>
      </c>
      <c r="N2235">
        <f>277.814</f>
        <v>277.81400000000002</v>
      </c>
      <c r="O2235">
        <f>2402.55</f>
        <v>2402.5500000000002</v>
      </c>
      <c r="P2235">
        <f>170.15</f>
        <v>170.15</v>
      </c>
      <c r="Q2235">
        <f>1792.89</f>
        <v>1792.89</v>
      </c>
      <c r="R2235">
        <f>3794.68</f>
        <v>3794.68</v>
      </c>
      <c r="S2235">
        <f>1975.63</f>
        <v>1975.63</v>
      </c>
      <c r="T2235">
        <f>3220.411</f>
        <v>3220.4110000000001</v>
      </c>
      <c r="U2235">
        <f>49506.59</f>
        <v>49506.59</v>
      </c>
      <c r="V2235">
        <f>338.32</f>
        <v>338.32</v>
      </c>
    </row>
    <row r="2236" spans="1:22" x14ac:dyDescent="0.2">
      <c r="A2236" s="1">
        <v>41977</v>
      </c>
      <c r="B2236">
        <f>2854.3</f>
        <v>2854.3</v>
      </c>
      <c r="C2236">
        <f>9034.07</f>
        <v>9034.07</v>
      </c>
      <c r="D2236">
        <f>5039.56</f>
        <v>5039.5600000000004</v>
      </c>
      <c r="E2236">
        <f>1977.113</f>
        <v>1977.1130000000001</v>
      </c>
      <c r="F2236">
        <f>1844.76</f>
        <v>1844.76</v>
      </c>
      <c r="G2236">
        <f>8042.448</f>
        <v>8042.4480000000003</v>
      </c>
      <c r="H2236">
        <f>2413.6</f>
        <v>2413.6</v>
      </c>
      <c r="I2236">
        <f>8507.595</f>
        <v>8507.5949999999993</v>
      </c>
      <c r="J2236">
        <f>2823.94</f>
        <v>2823.94</v>
      </c>
      <c r="K2236">
        <f>7887.22</f>
        <v>7887.22</v>
      </c>
      <c r="L2236">
        <f>1606.41</f>
        <v>1606.41</v>
      </c>
      <c r="M2236">
        <f>6473.97</f>
        <v>6473.97</v>
      </c>
      <c r="N2236">
        <f>274.129</f>
        <v>274.12900000000002</v>
      </c>
      <c r="O2236">
        <f>2360.55</f>
        <v>2360.5500000000002</v>
      </c>
      <c r="P2236">
        <f>169.95</f>
        <v>169.95</v>
      </c>
      <c r="Q2236">
        <f>1793.08</f>
        <v>1793.08</v>
      </c>
      <c r="R2236">
        <f>3788.34</f>
        <v>3788.34</v>
      </c>
      <c r="S2236">
        <f>1968.28</f>
        <v>1968.28</v>
      </c>
      <c r="T2236">
        <f>3208.149</f>
        <v>3208.1489999999999</v>
      </c>
      <c r="U2236">
        <f>49392.59</f>
        <v>49392.59</v>
      </c>
      <c r="V2236">
        <f>338.26</f>
        <v>338.26</v>
      </c>
    </row>
    <row r="2237" spans="1:22" x14ac:dyDescent="0.2">
      <c r="A2237" s="1">
        <v>41976</v>
      </c>
      <c r="B2237">
        <f>2863.32</f>
        <v>2863.32</v>
      </c>
      <c r="C2237">
        <f>8997.81</f>
        <v>8997.81</v>
      </c>
      <c r="D2237">
        <f>5066.81</f>
        <v>5066.8100000000004</v>
      </c>
      <c r="E2237">
        <f>1975.033</f>
        <v>1975.0329999999999</v>
      </c>
      <c r="F2237">
        <f>1859.68</f>
        <v>1859.68</v>
      </c>
      <c r="G2237">
        <f>8092.883</f>
        <v>8092.8829999999998</v>
      </c>
      <c r="H2237">
        <f>2398.81</f>
        <v>2398.81</v>
      </c>
      <c r="I2237">
        <f>8532.116</f>
        <v>8532.116</v>
      </c>
      <c r="J2237">
        <f>2826.66</f>
        <v>2826.66</v>
      </c>
      <c r="K2237">
        <f>7896.66</f>
        <v>7896.66</v>
      </c>
      <c r="L2237">
        <f>1612.45</f>
        <v>1612.45</v>
      </c>
      <c r="M2237">
        <f>6485.32</f>
        <v>6485.32</v>
      </c>
      <c r="N2237">
        <f>276.648</f>
        <v>276.64800000000002</v>
      </c>
      <c r="O2237">
        <f>2392.43</f>
        <v>2392.4299999999998</v>
      </c>
      <c r="P2237">
        <f>169.33</f>
        <v>169.33</v>
      </c>
      <c r="Q2237">
        <f>1795.1</f>
        <v>1795.1</v>
      </c>
      <c r="R2237">
        <f>3792.69</f>
        <v>3792.69</v>
      </c>
      <c r="S2237">
        <f>1953.44</f>
        <v>1953.44</v>
      </c>
      <c r="T2237">
        <f>3218.281</f>
        <v>3218.2809999999999</v>
      </c>
      <c r="U2237">
        <f>49857.18</f>
        <v>49857.18</v>
      </c>
      <c r="V2237">
        <f>340.65</f>
        <v>340.65</v>
      </c>
    </row>
    <row r="2238" spans="1:22" x14ac:dyDescent="0.2">
      <c r="A2238" s="1">
        <v>41975</v>
      </c>
      <c r="B2238">
        <f>2875.79</f>
        <v>2875.79</v>
      </c>
      <c r="C2238">
        <f>8997.82</f>
        <v>8997.82</v>
      </c>
      <c r="D2238">
        <f>5086.03</f>
        <v>5086.03</v>
      </c>
      <c r="E2238">
        <f>1972.19</f>
        <v>1972.19</v>
      </c>
      <c r="F2238">
        <f>1858.33</f>
        <v>1858.33</v>
      </c>
      <c r="G2238">
        <f>8093.485</f>
        <v>8093.4849999999997</v>
      </c>
      <c r="H2238">
        <f>2411.2</f>
        <v>2411.1999999999998</v>
      </c>
      <c r="I2238">
        <f>8547.252</f>
        <v>8547.2520000000004</v>
      </c>
      <c r="J2238">
        <f>2824.52</f>
        <v>2824.52</v>
      </c>
      <c r="K2238">
        <f>7863.34</f>
        <v>7863.34</v>
      </c>
      <c r="L2238">
        <f>1612.92</f>
        <v>1612.92</v>
      </c>
      <c r="M2238">
        <f>6470.43</f>
        <v>6470.43</v>
      </c>
      <c r="N2238">
        <f>275.607</f>
        <v>275.60700000000003</v>
      </c>
      <c r="O2238">
        <f>2380.7</f>
        <v>2380.6999999999998</v>
      </c>
      <c r="P2238">
        <f>168.81</f>
        <v>168.81</v>
      </c>
      <c r="Q2238">
        <f>1789.98</f>
        <v>1789.98</v>
      </c>
      <c r="R2238">
        <f>3777.47</f>
        <v>3777.47</v>
      </c>
      <c r="S2238">
        <f>1950.86</f>
        <v>1950.86</v>
      </c>
      <c r="T2238">
        <f>3202.982</f>
        <v>3202.982</v>
      </c>
      <c r="U2238">
        <f>49591.43</f>
        <v>49591.43</v>
      </c>
      <c r="V2238">
        <f>340.44</f>
        <v>340.44</v>
      </c>
    </row>
    <row r="2239" spans="1:22" x14ac:dyDescent="0.2">
      <c r="A2239" s="1">
        <v>41974</v>
      </c>
      <c r="B2239">
        <f>2846.25</f>
        <v>2846.25</v>
      </c>
      <c r="C2239">
        <f>8964.3</f>
        <v>8964.2999999999993</v>
      </c>
      <c r="D2239">
        <f>5021.36</f>
        <v>5021.3599999999997</v>
      </c>
      <c r="E2239">
        <f>1973.319</f>
        <v>1973.319</v>
      </c>
      <c r="F2239">
        <f>1843.73</f>
        <v>1843.73</v>
      </c>
      <c r="G2239">
        <f>8025.744</f>
        <v>8025.7439999999997</v>
      </c>
      <c r="H2239">
        <f>2418.73</f>
        <v>2418.73</v>
      </c>
      <c r="I2239">
        <f>8587.796</f>
        <v>8587.7960000000003</v>
      </c>
      <c r="J2239">
        <f>2806.33</f>
        <v>2806.33</v>
      </c>
      <c r="K2239">
        <f>7814.54</f>
        <v>7814.54</v>
      </c>
      <c r="L2239">
        <f>1609.53</f>
        <v>1609.53</v>
      </c>
      <c r="M2239">
        <f>6447.38</f>
        <v>6447.38</v>
      </c>
      <c r="N2239">
        <f>274.003</f>
        <v>274.00299999999999</v>
      </c>
      <c r="O2239">
        <f>2367.24</f>
        <v>2367.2399999999998</v>
      </c>
      <c r="P2239">
        <f>167.61</f>
        <v>167.61</v>
      </c>
      <c r="Q2239">
        <f>1781.46</f>
        <v>1781.46</v>
      </c>
      <c r="R2239">
        <f>3753.31</f>
        <v>3753.31</v>
      </c>
      <c r="S2239">
        <f>1942.38</f>
        <v>1942.38</v>
      </c>
      <c r="T2239">
        <f>3183.774</f>
        <v>3183.7739999999999</v>
      </c>
      <c r="U2239">
        <f>48858.76</f>
        <v>48858.76</v>
      </c>
      <c r="V2239">
        <f>337.72</f>
        <v>337.72</v>
      </c>
    </row>
    <row r="2240" spans="1:22" x14ac:dyDescent="0.2">
      <c r="A2240" s="1">
        <v>41971</v>
      </c>
      <c r="B2240">
        <f>2871.74</f>
        <v>2871.74</v>
      </c>
      <c r="C2240">
        <f>9195.56</f>
        <v>9195.56</v>
      </c>
      <c r="D2240">
        <f>5071.33</f>
        <v>5071.33</v>
      </c>
      <c r="E2240">
        <f>2012.492</f>
        <v>2012.492</v>
      </c>
      <c r="F2240">
        <f>1858.5</f>
        <v>1858.5</v>
      </c>
      <c r="G2240">
        <f>8074.483</f>
        <v>8074.4830000000002</v>
      </c>
      <c r="H2240">
        <f>2400.99</f>
        <v>2400.9899999999998</v>
      </c>
      <c r="I2240">
        <f>8612.388</f>
        <v>8612.3880000000008</v>
      </c>
      <c r="J2240">
        <f>2808.53</f>
        <v>2808.53</v>
      </c>
      <c r="K2240">
        <f>7871.62</f>
        <v>7871.62</v>
      </c>
      <c r="L2240">
        <f>1615.45</f>
        <v>1615.45</v>
      </c>
      <c r="M2240">
        <f>6482.9</f>
        <v>6482.9</v>
      </c>
      <c r="N2240">
        <f>275.006</f>
        <v>275.00599999999997</v>
      </c>
      <c r="O2240">
        <f>2379.33</f>
        <v>2379.33</v>
      </c>
      <c r="P2240">
        <f>166.48</f>
        <v>166.48</v>
      </c>
      <c r="Q2240">
        <f>1790.8</f>
        <v>1790.8</v>
      </c>
      <c r="R2240">
        <f>3778.96</f>
        <v>3778.96</v>
      </c>
      <c r="S2240">
        <f>1926.93</f>
        <v>1926.93</v>
      </c>
      <c r="T2240">
        <f>3230.206</f>
        <v>3230.2060000000001</v>
      </c>
      <c r="U2240">
        <f>49911.37</f>
        <v>49911.37</v>
      </c>
      <c r="V2240">
        <f>344.84</f>
        <v>344.84</v>
      </c>
    </row>
    <row r="2241" spans="1:22" x14ac:dyDescent="0.2">
      <c r="A2241" s="1">
        <v>41970</v>
      </c>
      <c r="B2241">
        <f>2863.99</f>
        <v>2863.99</v>
      </c>
      <c r="C2241">
        <f>9293.76</f>
        <v>9293.76</v>
      </c>
      <c r="D2241">
        <f>5071.94</f>
        <v>5071.9399999999996</v>
      </c>
      <c r="E2241">
        <f>2028.322</f>
        <v>2028.3219999999999</v>
      </c>
      <c r="F2241">
        <f>1856.75</f>
        <v>1856.75</v>
      </c>
      <c r="G2241">
        <f>8111.109</f>
        <v>8111.1090000000004</v>
      </c>
      <c r="H2241">
        <f>2395.91</f>
        <v>2395.91</v>
      </c>
      <c r="I2241">
        <f>8619.388</f>
        <v>8619.3880000000008</v>
      </c>
      <c r="J2241">
        <f>2815.75</f>
        <v>2815.75</v>
      </c>
      <c r="K2241">
        <f>7893.14</f>
        <v>7893.14</v>
      </c>
      <c r="L2241">
        <f>1622.23</f>
        <v>1622.23</v>
      </c>
      <c r="M2241">
        <f>6502.14</f>
        <v>6502.14</v>
      </c>
      <c r="N2241">
        <f>275.011</f>
        <v>275.01100000000002</v>
      </c>
      <c r="O2241">
        <f>2380.5</f>
        <v>2380.5</v>
      </c>
      <c r="P2241">
        <f>165.35</f>
        <v>165.35</v>
      </c>
      <c r="Q2241" t="e">
        <f>NA()</f>
        <v>#N/A</v>
      </c>
      <c r="R2241" t="e">
        <f>NA()</f>
        <v>#N/A</v>
      </c>
      <c r="S2241">
        <f>1901.74</f>
        <v>1901.74</v>
      </c>
      <c r="T2241">
        <f>3216.738</f>
        <v>3216.7379999999998</v>
      </c>
      <c r="U2241">
        <f>50557.83</f>
        <v>50557.83</v>
      </c>
      <c r="V2241">
        <f>345.89</f>
        <v>345.89</v>
      </c>
    </row>
    <row r="2242" spans="1:22" x14ac:dyDescent="0.2">
      <c r="A2242" s="1">
        <v>41969</v>
      </c>
      <c r="B2242">
        <f>2855.52</f>
        <v>2855.52</v>
      </c>
      <c r="C2242">
        <f>9321.46</f>
        <v>9321.4599999999991</v>
      </c>
      <c r="D2242">
        <f>5075.58</f>
        <v>5075.58</v>
      </c>
      <c r="E2242">
        <f>2027.013</f>
        <v>2027.0129999999999</v>
      </c>
      <c r="F2242">
        <f>1859.22</f>
        <v>1859.22</v>
      </c>
      <c r="G2242">
        <f>8154.976</f>
        <v>8154.9759999999997</v>
      </c>
      <c r="H2242">
        <f>2429.72</f>
        <v>2429.7199999999998</v>
      </c>
      <c r="I2242">
        <f>8609.012</f>
        <v>8609.0120000000006</v>
      </c>
      <c r="J2242">
        <f>2815.75</f>
        <v>2815.75</v>
      </c>
      <c r="K2242">
        <f>7893.14</f>
        <v>7893.14</v>
      </c>
      <c r="L2242">
        <f>1626.32</f>
        <v>1626.32</v>
      </c>
      <c r="M2242">
        <f>6514.33</f>
        <v>6514.33</v>
      </c>
      <c r="N2242">
        <f>274.085</f>
        <v>274.08499999999998</v>
      </c>
      <c r="O2242">
        <f>2374.49</f>
        <v>2374.4899999999998</v>
      </c>
      <c r="P2242">
        <f>166.52</f>
        <v>166.52</v>
      </c>
      <c r="Q2242">
        <f>1788.31</f>
        <v>1788.31</v>
      </c>
      <c r="R2242">
        <f>3788.42</f>
        <v>3788.42</v>
      </c>
      <c r="S2242">
        <f>1921.55</f>
        <v>1921.55</v>
      </c>
      <c r="T2242">
        <f>3194.291</f>
        <v>3194.2910000000002</v>
      </c>
      <c r="U2242">
        <f>50355.78</f>
        <v>50355.78</v>
      </c>
      <c r="V2242">
        <f>342.66</f>
        <v>342.66</v>
      </c>
    </row>
    <row r="2243" spans="1:22" x14ac:dyDescent="0.2">
      <c r="A2243" s="1">
        <v>41968</v>
      </c>
      <c r="B2243">
        <f>2853.63</f>
        <v>2853.63</v>
      </c>
      <c r="C2243">
        <f>9307.35</f>
        <v>9307.35</v>
      </c>
      <c r="D2243">
        <f>5077.07</f>
        <v>5077.07</v>
      </c>
      <c r="E2243">
        <f>2021.054</f>
        <v>2021.0540000000001</v>
      </c>
      <c r="F2243">
        <f>1852.65</f>
        <v>1852.65</v>
      </c>
      <c r="G2243">
        <f>8120.995</f>
        <v>8120.9949999999999</v>
      </c>
      <c r="H2243">
        <f>2424.1</f>
        <v>2424.1</v>
      </c>
      <c r="I2243">
        <f>8581.181</f>
        <v>8581.1810000000005</v>
      </c>
      <c r="J2243">
        <f>2806.13</f>
        <v>2806.13</v>
      </c>
      <c r="K2243">
        <f>7869.11</f>
        <v>7869.11</v>
      </c>
      <c r="L2243">
        <f>1618.35</f>
        <v>1618.35</v>
      </c>
      <c r="M2243">
        <f>6494.01</f>
        <v>6494.01</v>
      </c>
      <c r="N2243">
        <f>274.526</f>
        <v>274.52600000000001</v>
      </c>
      <c r="O2243">
        <f>2373.74</f>
        <v>2373.7399999999998</v>
      </c>
      <c r="P2243">
        <f>166.33</f>
        <v>166.33</v>
      </c>
      <c r="Q2243">
        <f>1783.36</f>
        <v>1783.36</v>
      </c>
      <c r="R2243">
        <f>3776.94</f>
        <v>3776.94</v>
      </c>
      <c r="S2243">
        <f>1925.26</f>
        <v>1925.26</v>
      </c>
      <c r="T2243">
        <f>3204.021</f>
        <v>3204.0210000000002</v>
      </c>
      <c r="U2243">
        <f>50507.59</f>
        <v>50507.59</v>
      </c>
      <c r="V2243">
        <f>343.49</f>
        <v>343.49</v>
      </c>
    </row>
    <row r="2244" spans="1:22" x14ac:dyDescent="0.2">
      <c r="A2244" s="1">
        <v>41967</v>
      </c>
      <c r="B2244">
        <f>2841.12</f>
        <v>2841.12</v>
      </c>
      <c r="C2244">
        <f>9343.5</f>
        <v>9343.5</v>
      </c>
      <c r="D2244">
        <f>5076.04</f>
        <v>5076.04</v>
      </c>
      <c r="E2244">
        <f>2025.303</f>
        <v>2025.3030000000001</v>
      </c>
      <c r="F2244">
        <f>1852.89</f>
        <v>1852.89</v>
      </c>
      <c r="G2244">
        <f>8103.317</f>
        <v>8103.317</v>
      </c>
      <c r="H2244">
        <f>2406.94</f>
        <v>2406.94</v>
      </c>
      <c r="I2244">
        <f>8520.775</f>
        <v>8520.7749999999996</v>
      </c>
      <c r="J2244">
        <f>2809.58</f>
        <v>2809.58</v>
      </c>
      <c r="K2244">
        <f>7877</f>
        <v>7877</v>
      </c>
      <c r="L2244">
        <f>1617.72</f>
        <v>1617.72</v>
      </c>
      <c r="M2244">
        <f>6483.33</f>
        <v>6483.33</v>
      </c>
      <c r="N2244">
        <f>274.487</f>
        <v>274.48700000000002</v>
      </c>
      <c r="O2244">
        <f>2370.29</f>
        <v>2370.29</v>
      </c>
      <c r="P2244" t="e">
        <f>NA()</f>
        <v>#N/A</v>
      </c>
      <c r="Q2244">
        <f>1785.82</f>
        <v>1785.82</v>
      </c>
      <c r="R2244">
        <f>3780.88</f>
        <v>3780.88</v>
      </c>
      <c r="S2244" t="e">
        <f>NA()</f>
        <v>#N/A</v>
      </c>
      <c r="T2244">
        <f>3218.338</f>
        <v>3218.3380000000002</v>
      </c>
      <c r="U2244">
        <f>50727.22</f>
        <v>50727.22</v>
      </c>
      <c r="V2244">
        <f>344.01</f>
        <v>344.01</v>
      </c>
    </row>
    <row r="2245" spans="1:22" x14ac:dyDescent="0.2">
      <c r="A2245" s="1">
        <v>41964</v>
      </c>
      <c r="B2245">
        <f>2841.53</f>
        <v>2841.53</v>
      </c>
      <c r="C2245">
        <f>9254.77</f>
        <v>9254.77</v>
      </c>
      <c r="D2245">
        <f>5091.86</f>
        <v>5091.8599999999997</v>
      </c>
      <c r="E2245">
        <f>2011.261</f>
        <v>2011.261</v>
      </c>
      <c r="F2245">
        <f>1864.31</f>
        <v>1864.31</v>
      </c>
      <c r="G2245">
        <f>8121.128</f>
        <v>8121.1279999999997</v>
      </c>
      <c r="H2245">
        <f>2423.93</f>
        <v>2423.9299999999998</v>
      </c>
      <c r="I2245">
        <f>8473.25</f>
        <v>8473.25</v>
      </c>
      <c r="J2245">
        <f>2811.87</f>
        <v>2811.87</v>
      </c>
      <c r="K2245">
        <f>7853.84</f>
        <v>7853.84</v>
      </c>
      <c r="L2245">
        <f>1621.16</f>
        <v>1621.16</v>
      </c>
      <c r="M2245">
        <f>6472.52</f>
        <v>6472.52</v>
      </c>
      <c r="N2245">
        <f>275.407</f>
        <v>275.40699999999998</v>
      </c>
      <c r="O2245">
        <f>2367.39</f>
        <v>2367.39</v>
      </c>
      <c r="P2245">
        <f>166.77</f>
        <v>166.77</v>
      </c>
      <c r="Q2245">
        <f>1782.62</f>
        <v>1782.62</v>
      </c>
      <c r="R2245">
        <f>3770.03</f>
        <v>3770.03</v>
      </c>
      <c r="S2245">
        <f>1913</f>
        <v>1913</v>
      </c>
      <c r="T2245">
        <f>3196.488</f>
        <v>3196.4879999999998</v>
      </c>
      <c r="U2245">
        <f>50855.09</f>
        <v>50855.09</v>
      </c>
      <c r="V2245">
        <f>343.92</f>
        <v>343.92</v>
      </c>
    </row>
    <row r="2246" spans="1:22" x14ac:dyDescent="0.2">
      <c r="A2246" s="1">
        <v>41963</v>
      </c>
      <c r="B2246">
        <f>2822.3</f>
        <v>2822.3</v>
      </c>
      <c r="C2246">
        <f>9111.86</f>
        <v>9111.86</v>
      </c>
      <c r="D2246">
        <f>5037.66</f>
        <v>5037.66</v>
      </c>
      <c r="E2246">
        <f>1982.721</f>
        <v>1982.721</v>
      </c>
      <c r="F2246">
        <f>1859.01</f>
        <v>1859.01</v>
      </c>
      <c r="G2246">
        <f>8047.187</f>
        <v>8047.1869999999999</v>
      </c>
      <c r="H2246">
        <f>2415.32</f>
        <v>2415.3200000000002</v>
      </c>
      <c r="I2246">
        <f>8380.979</f>
        <v>8380.9789999999994</v>
      </c>
      <c r="J2246">
        <f>2799.99</f>
        <v>2799.99</v>
      </c>
      <c r="K2246">
        <f>7810.77</f>
        <v>7810.77</v>
      </c>
      <c r="L2246">
        <f>1611.96</f>
        <v>1611.96</v>
      </c>
      <c r="M2246">
        <f>6428.05</f>
        <v>6428.05</v>
      </c>
      <c r="N2246">
        <f>271.589</f>
        <v>271.589</v>
      </c>
      <c r="O2246">
        <f>2317.42</f>
        <v>2317.42</v>
      </c>
      <c r="P2246">
        <f>166.14</f>
        <v>166.14</v>
      </c>
      <c r="Q2246">
        <f>1771.52</f>
        <v>1771.52</v>
      </c>
      <c r="R2246">
        <f>3749.87</f>
        <v>3749.87</v>
      </c>
      <c r="S2246">
        <f>1909.53</f>
        <v>1909.53</v>
      </c>
      <c r="T2246">
        <f>3141.87</f>
        <v>3141.87</v>
      </c>
      <c r="U2246">
        <f>49272.05</f>
        <v>49272.05</v>
      </c>
      <c r="V2246">
        <f>334.17</f>
        <v>334.17</v>
      </c>
    </row>
    <row r="2247" spans="1:22" x14ac:dyDescent="0.2">
      <c r="A2247" s="1">
        <v>41962</v>
      </c>
      <c r="B2247">
        <f>2824.32</f>
        <v>2824.32</v>
      </c>
      <c r="C2247">
        <f>9093.42</f>
        <v>9093.42</v>
      </c>
      <c r="D2247">
        <f>5046.22</f>
        <v>5046.22</v>
      </c>
      <c r="E2247">
        <f>1982.275</f>
        <v>1982.2750000000001</v>
      </c>
      <c r="F2247">
        <f>1855.42</f>
        <v>1855.42</v>
      </c>
      <c r="G2247">
        <f>8044.703</f>
        <v>8044.7030000000004</v>
      </c>
      <c r="H2247">
        <f>2422.18</f>
        <v>2422.1799999999998</v>
      </c>
      <c r="I2247">
        <f>8410.146</f>
        <v>8410.1460000000006</v>
      </c>
      <c r="J2247">
        <f>2791.86</f>
        <v>2791.86</v>
      </c>
      <c r="K2247">
        <f>7793.8</f>
        <v>7793.8</v>
      </c>
      <c r="L2247">
        <f>1612.41</f>
        <v>1612.41</v>
      </c>
      <c r="M2247">
        <f>6424.63</f>
        <v>6424.63</v>
      </c>
      <c r="N2247">
        <f>271.279</f>
        <v>271.279</v>
      </c>
      <c r="O2247">
        <f>2322.93</f>
        <v>2322.9299999999998</v>
      </c>
      <c r="P2247">
        <f>166.18</f>
        <v>166.18</v>
      </c>
      <c r="Q2247">
        <f>1770.86</f>
        <v>1770.86</v>
      </c>
      <c r="R2247">
        <f>3742.35</f>
        <v>3742.35</v>
      </c>
      <c r="S2247">
        <f>1908.03</f>
        <v>1908.03</v>
      </c>
      <c r="T2247">
        <f>3173.82</f>
        <v>3173.82</v>
      </c>
      <c r="U2247">
        <f>50150.48</f>
        <v>50150.48</v>
      </c>
      <c r="V2247">
        <f>337.74</f>
        <v>337.74</v>
      </c>
    </row>
    <row r="2248" spans="1:22" x14ac:dyDescent="0.2">
      <c r="A2248" s="1">
        <v>41961</v>
      </c>
      <c r="B2248">
        <f>2842.27</f>
        <v>2842.27</v>
      </c>
      <c r="C2248">
        <f>9112.56</f>
        <v>9112.56</v>
      </c>
      <c r="D2248">
        <f>5055.66</f>
        <v>5055.66</v>
      </c>
      <c r="E2248">
        <f>1979.75</f>
        <v>1979.75</v>
      </c>
      <c r="F2248">
        <f>1850.83</f>
        <v>1850.83</v>
      </c>
      <c r="G2248">
        <f>8052.138</f>
        <v>8052.1379999999999</v>
      </c>
      <c r="H2248">
        <f>2446.21</f>
        <v>2446.21</v>
      </c>
      <c r="I2248">
        <f>8399.568</f>
        <v>8399.5679999999993</v>
      </c>
      <c r="J2248">
        <f>2791.78</f>
        <v>2791.78</v>
      </c>
      <c r="K2248">
        <f>7805.17</f>
        <v>7805.17</v>
      </c>
      <c r="L2248">
        <f>1614.91</f>
        <v>1614.91</v>
      </c>
      <c r="M2248">
        <f>6437.4</f>
        <v>6437.4</v>
      </c>
      <c r="N2248">
        <f>271.847</f>
        <v>271.84699999999998</v>
      </c>
      <c r="O2248">
        <f>2323.62</f>
        <v>2323.62</v>
      </c>
      <c r="P2248">
        <f>166.88</f>
        <v>166.88</v>
      </c>
      <c r="Q2248">
        <f>1767.08</f>
        <v>1767.08</v>
      </c>
      <c r="R2248">
        <f>3747.74</f>
        <v>3747.74</v>
      </c>
      <c r="S2248">
        <f>1905.76</f>
        <v>1905.76</v>
      </c>
      <c r="T2248">
        <f>3170.733</f>
        <v>3170.7330000000002</v>
      </c>
      <c r="U2248">
        <f>50372.05</f>
        <v>50372.05</v>
      </c>
      <c r="V2248">
        <f>337.83</f>
        <v>337.83</v>
      </c>
    </row>
    <row r="2249" spans="1:22" x14ac:dyDescent="0.2">
      <c r="A2249" s="1">
        <v>41960</v>
      </c>
      <c r="B2249">
        <f>2821.36</f>
        <v>2821.36</v>
      </c>
      <c r="C2249">
        <f>9082.35</f>
        <v>9082.35</v>
      </c>
      <c r="D2249">
        <f>5027.66</f>
        <v>5027.66</v>
      </c>
      <c r="E2249">
        <f>1974.108</f>
        <v>1974.1079999999999</v>
      </c>
      <c r="F2249">
        <f>1841.92</f>
        <v>1841.92</v>
      </c>
      <c r="G2249">
        <f>8010.422</f>
        <v>8010.4219999999996</v>
      </c>
      <c r="H2249">
        <f>2407.11</f>
        <v>2407.11</v>
      </c>
      <c r="I2249">
        <f>8272.5</f>
        <v>8272.5</v>
      </c>
      <c r="J2249">
        <f>2780.94</f>
        <v>2780.94</v>
      </c>
      <c r="K2249">
        <f>7763.4</f>
        <v>7763.4</v>
      </c>
      <c r="L2249">
        <f>1603.54</f>
        <v>1603.54</v>
      </c>
      <c r="M2249">
        <f>6387.1</f>
        <v>6387.1</v>
      </c>
      <c r="N2249">
        <f>271.548</f>
        <v>271.548</v>
      </c>
      <c r="O2249">
        <f>2309.5</f>
        <v>2309.5</v>
      </c>
      <c r="P2249">
        <f>163.76</f>
        <v>163.76</v>
      </c>
      <c r="Q2249">
        <f>1758.78</f>
        <v>1758.78</v>
      </c>
      <c r="R2249">
        <f>3727.86</f>
        <v>3727.86</v>
      </c>
      <c r="S2249">
        <f>1866.48</f>
        <v>1866.48</v>
      </c>
      <c r="T2249">
        <f>3168.994</f>
        <v>3168.9940000000001</v>
      </c>
      <c r="U2249">
        <f>50511.52</f>
        <v>50511.519999999997</v>
      </c>
      <c r="V2249">
        <f>336.41</f>
        <v>336.41</v>
      </c>
    </row>
    <row r="2250" spans="1:22" x14ac:dyDescent="0.2">
      <c r="A2250" s="1">
        <v>41957</v>
      </c>
      <c r="B2250">
        <f>2814.45</f>
        <v>2814.45</v>
      </c>
      <c r="C2250">
        <f>9134.65</f>
        <v>9134.65</v>
      </c>
      <c r="D2250">
        <f>5014.4</f>
        <v>5014.3999999999996</v>
      </c>
      <c r="E2250">
        <f>1983.959</f>
        <v>1983.9590000000001</v>
      </c>
      <c r="F2250">
        <f>1837.11</f>
        <v>1837.11</v>
      </c>
      <c r="G2250">
        <f>7988.471</f>
        <v>7988.4709999999995</v>
      </c>
      <c r="H2250">
        <f>2460.94</f>
        <v>2460.94</v>
      </c>
      <c r="I2250">
        <f>8247.16</f>
        <v>8247.16</v>
      </c>
      <c r="J2250">
        <f>2774.4</f>
        <v>2774.4</v>
      </c>
      <c r="K2250">
        <f>7758.51</f>
        <v>7758.51</v>
      </c>
      <c r="L2250">
        <f>1600.37</f>
        <v>1600.37</v>
      </c>
      <c r="M2250">
        <f>6395.17</f>
        <v>6395.17</v>
      </c>
      <c r="N2250">
        <f>270.498</f>
        <v>270.49799999999999</v>
      </c>
      <c r="O2250">
        <f>2297.16</f>
        <v>2297.16</v>
      </c>
      <c r="P2250">
        <f>167.46</f>
        <v>167.46</v>
      </c>
      <c r="Q2250">
        <f>1753.34</f>
        <v>1753.34</v>
      </c>
      <c r="R2250">
        <f>3724.92</f>
        <v>3724.92</v>
      </c>
      <c r="S2250">
        <f>1913.31</f>
        <v>1913.31</v>
      </c>
      <c r="T2250">
        <f>3169.53</f>
        <v>3169.53</v>
      </c>
      <c r="U2250">
        <f>50598.02</f>
        <v>50598.02</v>
      </c>
      <c r="V2250">
        <f>336.33</f>
        <v>336.33</v>
      </c>
    </row>
    <row r="2251" spans="1:22" x14ac:dyDescent="0.2">
      <c r="A2251" s="1">
        <v>41956</v>
      </c>
      <c r="B2251">
        <f>2804.44</f>
        <v>2804.44</v>
      </c>
      <c r="C2251">
        <f>9158.17</f>
        <v>9158.17</v>
      </c>
      <c r="D2251">
        <f>5000.14</f>
        <v>5000.1400000000003</v>
      </c>
      <c r="E2251">
        <f>1987.792</f>
        <v>1987.7919999999999</v>
      </c>
      <c r="F2251">
        <f>1846.62</f>
        <v>1846.62</v>
      </c>
      <c r="G2251">
        <f>8010.839</f>
        <v>8010.8389999999999</v>
      </c>
      <c r="H2251">
        <f>2462.78</f>
        <v>2462.7800000000002</v>
      </c>
      <c r="I2251">
        <f>8239.662</f>
        <v>8239.6620000000003</v>
      </c>
      <c r="J2251">
        <f>2772.46</f>
        <v>2772.46</v>
      </c>
      <c r="K2251">
        <f>7754.74</f>
        <v>7754.74</v>
      </c>
      <c r="L2251">
        <f>1600.89</f>
        <v>1600.89</v>
      </c>
      <c r="M2251">
        <f>6391.1</f>
        <v>6391.1</v>
      </c>
      <c r="N2251">
        <f>271.587</f>
        <v>271.58699999999999</v>
      </c>
      <c r="O2251">
        <f>2298.52</f>
        <v>2298.52</v>
      </c>
      <c r="P2251">
        <f>166.18</f>
        <v>166.18</v>
      </c>
      <c r="Q2251">
        <f>1757.18</f>
        <v>1757.18</v>
      </c>
      <c r="R2251">
        <f>3723.58</f>
        <v>3723.58</v>
      </c>
      <c r="S2251">
        <f>1898.42</f>
        <v>1898.42</v>
      </c>
      <c r="T2251">
        <f>3142.811</f>
        <v>3142.8110000000001</v>
      </c>
      <c r="U2251">
        <f>50588.4</f>
        <v>50588.4</v>
      </c>
      <c r="V2251">
        <f>337.2</f>
        <v>337.2</v>
      </c>
    </row>
    <row r="2252" spans="1:22" x14ac:dyDescent="0.2">
      <c r="A2252" s="1">
        <v>41955</v>
      </c>
      <c r="B2252">
        <f>2786.94</f>
        <v>2786.94</v>
      </c>
      <c r="C2252">
        <f>9217.58</f>
        <v>9217.58</v>
      </c>
      <c r="D2252">
        <f>4975.7</f>
        <v>4975.7</v>
      </c>
      <c r="E2252">
        <f>1994.48</f>
        <v>1994.48</v>
      </c>
      <c r="F2252">
        <f>1844.26</f>
        <v>1844.26</v>
      </c>
      <c r="G2252">
        <f>8020.492</f>
        <v>8020.4920000000002</v>
      </c>
      <c r="H2252">
        <f>2461.53</f>
        <v>2461.5300000000002</v>
      </c>
      <c r="I2252">
        <f>8206.62</f>
        <v>8206.6200000000008</v>
      </c>
      <c r="J2252">
        <f>2767.11</f>
        <v>2767.11</v>
      </c>
      <c r="K2252">
        <f>7751.15</f>
        <v>7751.15</v>
      </c>
      <c r="L2252">
        <f>1599.6</f>
        <v>1599.6</v>
      </c>
      <c r="M2252">
        <f>6385.58</f>
        <v>6385.58</v>
      </c>
      <c r="N2252">
        <f>271.154</f>
        <v>271.154</v>
      </c>
      <c r="O2252">
        <f>2293.55</f>
        <v>2293.5500000000002</v>
      </c>
      <c r="P2252">
        <f>164.58</f>
        <v>164.58</v>
      </c>
      <c r="Q2252">
        <f>1754.56</f>
        <v>1754.56</v>
      </c>
      <c r="R2252">
        <f>3721.3</f>
        <v>3721.3</v>
      </c>
      <c r="S2252">
        <f>1881.4</f>
        <v>1881.4</v>
      </c>
      <c r="T2252">
        <f>3120.873</f>
        <v>3120.873</v>
      </c>
      <c r="U2252">
        <f>50374.85</f>
        <v>50374.85</v>
      </c>
      <c r="V2252">
        <f>334.95</f>
        <v>334.95</v>
      </c>
    </row>
    <row r="2253" spans="1:22" x14ac:dyDescent="0.2">
      <c r="A2253" s="1">
        <v>41954</v>
      </c>
      <c r="B2253">
        <f>2797.43</f>
        <v>2797.43</v>
      </c>
      <c r="C2253">
        <f>9174.78</f>
        <v>9174.7800000000007</v>
      </c>
      <c r="D2253">
        <f>4988.01</f>
        <v>4988.01</v>
      </c>
      <c r="E2253">
        <f>1989.715</f>
        <v>1989.7149999999999</v>
      </c>
      <c r="F2253">
        <f>1857.36</f>
        <v>1857.36</v>
      </c>
      <c r="G2253">
        <f>8060.382</f>
        <v>8060.3819999999996</v>
      </c>
      <c r="H2253">
        <f>2452.7</f>
        <v>2452.6999999999998</v>
      </c>
      <c r="I2253">
        <f>8274.635</f>
        <v>8274.6350000000002</v>
      </c>
      <c r="J2253">
        <f>2768.34</f>
        <v>2768.34</v>
      </c>
      <c r="K2253">
        <f>7753.32</f>
        <v>7753.32</v>
      </c>
      <c r="L2253">
        <f>1602.3</f>
        <v>1602.3</v>
      </c>
      <c r="M2253">
        <f>6390.95</f>
        <v>6390.95</v>
      </c>
      <c r="N2253">
        <f>273.378</f>
        <v>273.37799999999999</v>
      </c>
      <c r="O2253">
        <f>2318.21</f>
        <v>2318.21</v>
      </c>
      <c r="P2253">
        <f>164.62</f>
        <v>164.62</v>
      </c>
      <c r="Q2253">
        <f>1752.24</f>
        <v>1752.24</v>
      </c>
      <c r="R2253">
        <f>3722.84</f>
        <v>3722.84</v>
      </c>
      <c r="S2253">
        <f>1878.88</f>
        <v>1878.88</v>
      </c>
      <c r="T2253">
        <f>3085.648</f>
        <v>3085.6480000000001</v>
      </c>
      <c r="U2253">
        <f>50355.38</f>
        <v>50355.38</v>
      </c>
      <c r="V2253">
        <f>331.52</f>
        <v>331.52</v>
      </c>
    </row>
    <row r="2254" spans="1:22" x14ac:dyDescent="0.2">
      <c r="A2254" s="1">
        <v>41953</v>
      </c>
      <c r="B2254">
        <f>2777.69</f>
        <v>2777.69</v>
      </c>
      <c r="C2254">
        <f>9202.58</f>
        <v>9202.58</v>
      </c>
      <c r="D2254">
        <f>4975.85</f>
        <v>4975.8500000000004</v>
      </c>
      <c r="E2254">
        <f>1997.467</f>
        <v>1997.4670000000001</v>
      </c>
      <c r="F2254">
        <f>1833.29</f>
        <v>1833.29</v>
      </c>
      <c r="G2254">
        <f>8039.941</f>
        <v>8039.9409999999998</v>
      </c>
      <c r="H2254">
        <f>2448.68</f>
        <v>2448.6799999999998</v>
      </c>
      <c r="I2254">
        <f>8256.162</f>
        <v>8256.1620000000003</v>
      </c>
      <c r="J2254">
        <f>2766.91</f>
        <v>2766.91</v>
      </c>
      <c r="K2254">
        <f>7746.72</f>
        <v>7746.72</v>
      </c>
      <c r="L2254">
        <f>1600.39</f>
        <v>1600.39</v>
      </c>
      <c r="M2254">
        <f>6382.45</f>
        <v>6382.45</v>
      </c>
      <c r="N2254">
        <f>271.532</f>
        <v>271.53199999999998</v>
      </c>
      <c r="O2254">
        <f>2310.8</f>
        <v>2310.8000000000002</v>
      </c>
      <c r="P2254">
        <f>162.91</f>
        <v>162.91</v>
      </c>
      <c r="Q2254">
        <f>1752.8</f>
        <v>1752.8</v>
      </c>
      <c r="R2254">
        <f>3720.25</f>
        <v>3720.25</v>
      </c>
      <c r="S2254">
        <f>1858.25</f>
        <v>1858.25</v>
      </c>
      <c r="T2254">
        <f>3069.199</f>
        <v>3069.1990000000001</v>
      </c>
      <c r="U2254">
        <f>50484.09</f>
        <v>50484.09</v>
      </c>
      <c r="V2254">
        <f>330.52</f>
        <v>330.52</v>
      </c>
    </row>
    <row r="2255" spans="1:22" x14ac:dyDescent="0.2">
      <c r="A2255" s="1">
        <v>41950</v>
      </c>
      <c r="B2255">
        <f>2751.34</f>
        <v>2751.34</v>
      </c>
      <c r="C2255">
        <f>9120.55</f>
        <v>9120.5499999999993</v>
      </c>
      <c r="D2255">
        <f>4942.73</f>
        <v>4942.7299999999996</v>
      </c>
      <c r="E2255">
        <f>1977.233</f>
        <v>1977.2329999999999</v>
      </c>
      <c r="F2255">
        <f>1820.04</f>
        <v>1820.04</v>
      </c>
      <c r="G2255">
        <f>7973.249</f>
        <v>7973.2489999999998</v>
      </c>
      <c r="H2255">
        <f>2452.9</f>
        <v>2452.9</v>
      </c>
      <c r="I2255">
        <f>8174.083</f>
        <v>8174.0829999999996</v>
      </c>
      <c r="J2255">
        <f>2759.83</f>
        <v>2759.83</v>
      </c>
      <c r="K2255">
        <f>7723.58</f>
        <v>7723.58</v>
      </c>
      <c r="L2255">
        <f>1590.54</f>
        <v>1590.54</v>
      </c>
      <c r="M2255">
        <f>6353.6</f>
        <v>6353.6</v>
      </c>
      <c r="N2255">
        <f>270.993</f>
        <v>270.99299999999999</v>
      </c>
      <c r="O2255">
        <f>2293.89</f>
        <v>2293.89</v>
      </c>
      <c r="P2255">
        <f>163.33</f>
        <v>163.33000000000001</v>
      </c>
      <c r="Q2255">
        <f>1744.3</f>
        <v>1744.3</v>
      </c>
      <c r="R2255">
        <f>3708.46</f>
        <v>3708.46</v>
      </c>
      <c r="S2255">
        <f>1863.11</f>
        <v>1863.11</v>
      </c>
      <c r="T2255">
        <f>3043.634</f>
        <v>3043.634</v>
      </c>
      <c r="U2255">
        <f>50079.44</f>
        <v>50079.44</v>
      </c>
      <c r="V2255">
        <f>329</f>
        <v>329</v>
      </c>
    </row>
    <row r="2256" spans="1:22" x14ac:dyDescent="0.2">
      <c r="A2256" s="1">
        <v>41949</v>
      </c>
      <c r="B2256">
        <f>2760.02</f>
        <v>2760.02</v>
      </c>
      <c r="C2256">
        <f>9148.84</f>
        <v>9148.84</v>
      </c>
      <c r="D2256">
        <f>4930.62</f>
        <v>4930.62</v>
      </c>
      <c r="E2256">
        <f>1984.566</f>
        <v>1984.566</v>
      </c>
      <c r="F2256">
        <f>1824.43</f>
        <v>1824.43</v>
      </c>
      <c r="G2256">
        <f>7981.133</f>
        <v>7981.1329999999998</v>
      </c>
      <c r="H2256">
        <f>2438.46</f>
        <v>2438.46</v>
      </c>
      <c r="I2256">
        <f>8251.492</f>
        <v>8251.4920000000002</v>
      </c>
      <c r="J2256">
        <f>2755.64</f>
        <v>2755.64</v>
      </c>
      <c r="K2256">
        <f>7718.06</f>
        <v>7718.06</v>
      </c>
      <c r="L2256">
        <f>1590.6</f>
        <v>1590.6</v>
      </c>
      <c r="M2256">
        <f>6353.97</f>
        <v>6353.97</v>
      </c>
      <c r="N2256">
        <f>272.084</f>
        <v>272.084</v>
      </c>
      <c r="O2256">
        <f>2305.59</f>
        <v>2305.59</v>
      </c>
      <c r="P2256">
        <f>162.03</f>
        <v>162.03</v>
      </c>
      <c r="Q2256">
        <f>1740.63</f>
        <v>1740.63</v>
      </c>
      <c r="R2256">
        <f>3706.45</f>
        <v>3706.45</v>
      </c>
      <c r="S2256">
        <f>1853.11</f>
        <v>1853.11</v>
      </c>
      <c r="T2256">
        <f>3048.088</f>
        <v>3048.0880000000002</v>
      </c>
      <c r="U2256">
        <f>49587.24</f>
        <v>49587.24</v>
      </c>
      <c r="V2256">
        <f>328.84</f>
        <v>328.84</v>
      </c>
    </row>
    <row r="2257" spans="1:22" x14ac:dyDescent="0.2">
      <c r="A2257" s="1">
        <v>41948</v>
      </c>
      <c r="B2257">
        <f>2753.21</f>
        <v>2753.21</v>
      </c>
      <c r="C2257">
        <f>9236.47</f>
        <v>9236.4699999999993</v>
      </c>
      <c r="D2257">
        <f>4914.01</f>
        <v>4914.01</v>
      </c>
      <c r="E2257">
        <f>1998.798</f>
        <v>1998.798</v>
      </c>
      <c r="F2257">
        <f>1826.66</f>
        <v>1826.66</v>
      </c>
      <c r="G2257">
        <f>7989.784</f>
        <v>7989.7839999999997</v>
      </c>
      <c r="H2257">
        <f>2470.96</f>
        <v>2470.96</v>
      </c>
      <c r="I2257">
        <f>8261.562</f>
        <v>8261.5619999999999</v>
      </c>
      <c r="J2257">
        <f>2750.22</f>
        <v>2750.22</v>
      </c>
      <c r="K2257">
        <f>7685.34</f>
        <v>7685.34</v>
      </c>
      <c r="L2257">
        <f>1593.18</f>
        <v>1593.18</v>
      </c>
      <c r="M2257">
        <f>6348.18</f>
        <v>6348.18</v>
      </c>
      <c r="N2257">
        <f>271.372</f>
        <v>271.37200000000001</v>
      </c>
      <c r="O2257">
        <f>2299.58</f>
        <v>2299.58</v>
      </c>
      <c r="P2257">
        <f>164.65</f>
        <v>164.65</v>
      </c>
      <c r="Q2257">
        <f>1735.14</f>
        <v>1735.14</v>
      </c>
      <c r="R2257">
        <f>3691.38</f>
        <v>3691.38</v>
      </c>
      <c r="S2257">
        <f>1874.16</f>
        <v>1874.16</v>
      </c>
      <c r="T2257">
        <f>3089.586</f>
        <v>3089.5859999999998</v>
      </c>
      <c r="U2257">
        <f>49717.07</f>
        <v>49717.07</v>
      </c>
      <c r="V2257">
        <f>330.71</f>
        <v>330.71</v>
      </c>
    </row>
    <row r="2258" spans="1:22" x14ac:dyDescent="0.2">
      <c r="A2258" s="1">
        <v>41947</v>
      </c>
      <c r="B2258">
        <f>2710.9</f>
        <v>2710.9</v>
      </c>
      <c r="C2258">
        <f>9376.61</f>
        <v>9376.61</v>
      </c>
      <c r="D2258">
        <f>4850.01</f>
        <v>4850.01</v>
      </c>
      <c r="E2258">
        <f>2016.12</f>
        <v>2016.12</v>
      </c>
      <c r="F2258">
        <f>1806.97</f>
        <v>1806.97</v>
      </c>
      <c r="G2258">
        <f>7901.982</f>
        <v>7901.982</v>
      </c>
      <c r="H2258">
        <f>2485.81</f>
        <v>2485.81</v>
      </c>
      <c r="I2258">
        <f>8183.697</f>
        <v>8183.6970000000001</v>
      </c>
      <c r="J2258">
        <f>2733.81</f>
        <v>2733.81</v>
      </c>
      <c r="K2258">
        <f>7641.58</f>
        <v>7641.58</v>
      </c>
      <c r="L2258">
        <f>1582.66</f>
        <v>1582.66</v>
      </c>
      <c r="M2258">
        <f>6316.07</f>
        <v>6316.07</v>
      </c>
      <c r="N2258">
        <f>267.115</f>
        <v>267.11500000000001</v>
      </c>
      <c r="O2258">
        <f>2261.14</f>
        <v>2261.14</v>
      </c>
      <c r="P2258">
        <f>163.7</f>
        <v>163.69999999999999</v>
      </c>
      <c r="Q2258">
        <f>1723.91</f>
        <v>1723.91</v>
      </c>
      <c r="R2258">
        <f>3669.18</f>
        <v>3669.18</v>
      </c>
      <c r="S2258">
        <f>1869.92</f>
        <v>1869.92</v>
      </c>
      <c r="T2258">
        <f>3093.624</f>
        <v>3093.6239999999998</v>
      </c>
      <c r="U2258">
        <f>49788.32</f>
        <v>49788.32</v>
      </c>
      <c r="V2258">
        <f>332.27</f>
        <v>332.27</v>
      </c>
    </row>
    <row r="2259" spans="1:22" x14ac:dyDescent="0.2">
      <c r="A2259" s="1">
        <v>41946</v>
      </c>
      <c r="B2259">
        <f>2715.86</f>
        <v>2715.86</v>
      </c>
      <c r="C2259">
        <f>9392.51</f>
        <v>9392.51</v>
      </c>
      <c r="D2259">
        <f>4875.56</f>
        <v>4875.5600000000004</v>
      </c>
      <c r="E2259">
        <f>2022.582</f>
        <v>2022.5820000000001</v>
      </c>
      <c r="F2259">
        <f>1806.7</f>
        <v>1806.7</v>
      </c>
      <c r="G2259">
        <f>7929.717</f>
        <v>7929.7169999999996</v>
      </c>
      <c r="H2259">
        <f>2413.49</f>
        <v>2413.4899999999998</v>
      </c>
      <c r="I2259">
        <f>8214.052</f>
        <v>8214.0519999999997</v>
      </c>
      <c r="J2259">
        <f>2733.57</f>
        <v>2733.57</v>
      </c>
      <c r="K2259">
        <f>7667.31</f>
        <v>7667.31</v>
      </c>
      <c r="L2259">
        <f>1582.42</f>
        <v>1582.42</v>
      </c>
      <c r="M2259">
        <f>6319.22</f>
        <v>6319.22</v>
      </c>
      <c r="N2259">
        <f>269.176</f>
        <v>269.17599999999999</v>
      </c>
      <c r="O2259">
        <f>2285.61</f>
        <v>2285.61</v>
      </c>
      <c r="P2259" t="e">
        <f>NA()</f>
        <v>#N/A</v>
      </c>
      <c r="Q2259">
        <f>1720.65</f>
        <v>1720.65</v>
      </c>
      <c r="R2259">
        <f>3679.58</f>
        <v>3679.58</v>
      </c>
      <c r="S2259" t="e">
        <f>NA()</f>
        <v>#N/A</v>
      </c>
      <c r="T2259">
        <f>3087.812</f>
        <v>3087.8119999999999</v>
      </c>
      <c r="U2259">
        <f>50022.64</f>
        <v>50022.64</v>
      </c>
      <c r="V2259">
        <f>333.51</f>
        <v>333.51</v>
      </c>
    </row>
    <row r="2260" spans="1:22" x14ac:dyDescent="0.2">
      <c r="A2260" s="1">
        <v>41943</v>
      </c>
      <c r="B2260">
        <f>2733.32</f>
        <v>2733.32</v>
      </c>
      <c r="C2260">
        <f>9427.67</f>
        <v>9427.67</v>
      </c>
      <c r="D2260">
        <f>4919.51</f>
        <v>4919.51</v>
      </c>
      <c r="E2260">
        <f>2033.883</f>
        <v>2033.883</v>
      </c>
      <c r="F2260">
        <f>1824.35</f>
        <v>1824.35</v>
      </c>
      <c r="G2260">
        <f>8011.825</f>
        <v>8011.8249999999998</v>
      </c>
      <c r="H2260">
        <f>2458.38</f>
        <v>2458.38</v>
      </c>
      <c r="I2260">
        <f>8315.602</f>
        <v>8315.6020000000008</v>
      </c>
      <c r="J2260">
        <f>2731.96</f>
        <v>2731.96</v>
      </c>
      <c r="K2260">
        <f>7668.26</f>
        <v>7668.26</v>
      </c>
      <c r="L2260">
        <f>1592.77</f>
        <v>1592.77</v>
      </c>
      <c r="M2260">
        <f>6352.6</f>
        <v>6352.6</v>
      </c>
      <c r="N2260">
        <f>270.936</f>
        <v>270.93599999999998</v>
      </c>
      <c r="O2260">
        <f>2304.04</f>
        <v>2304.04</v>
      </c>
      <c r="P2260">
        <f>162.34</f>
        <v>162.34</v>
      </c>
      <c r="Q2260">
        <f>1723.44</f>
        <v>1723.44</v>
      </c>
      <c r="R2260">
        <f>3679.99</f>
        <v>3679.99</v>
      </c>
      <c r="S2260">
        <f>1822.08</f>
        <v>1822.08</v>
      </c>
      <c r="T2260">
        <f>3082.925</f>
        <v>3082.9250000000002</v>
      </c>
      <c r="U2260">
        <f>49722.88</f>
        <v>49722.879999999997</v>
      </c>
      <c r="V2260">
        <f>332.28</f>
        <v>332.28</v>
      </c>
    </row>
    <row r="2261" spans="1:22" x14ac:dyDescent="0.2">
      <c r="A2261" s="1">
        <v>41942</v>
      </c>
      <c r="B2261">
        <f>2701.1</f>
        <v>2701.1</v>
      </c>
      <c r="C2261">
        <f>9366.81</f>
        <v>9366.81</v>
      </c>
      <c r="D2261">
        <f>4857.2</f>
        <v>4857.2</v>
      </c>
      <c r="E2261">
        <f>2016.75</f>
        <v>2016.75</v>
      </c>
      <c r="F2261">
        <f>1807.99</f>
        <v>1807.99</v>
      </c>
      <c r="G2261">
        <f>7923.418</f>
        <v>7923.4179999999997</v>
      </c>
      <c r="H2261">
        <f>2439.01</f>
        <v>2439.0100000000002</v>
      </c>
      <c r="I2261">
        <f>8228.943</f>
        <v>8228.9429999999993</v>
      </c>
      <c r="J2261">
        <f>2698.85</f>
        <v>2698.85</v>
      </c>
      <c r="K2261">
        <f>7578.69</f>
        <v>7578.69</v>
      </c>
      <c r="L2261">
        <f>1579.22</f>
        <v>1579.22</v>
      </c>
      <c r="M2261">
        <f>6282.39</f>
        <v>6282.39</v>
      </c>
      <c r="N2261">
        <f>267.401</f>
        <v>267.40100000000001</v>
      </c>
      <c r="O2261">
        <f>2263.22</f>
        <v>2263.2199999999998</v>
      </c>
      <c r="P2261">
        <f>156.89</f>
        <v>156.88999999999999</v>
      </c>
      <c r="Q2261">
        <f>1703.62</f>
        <v>1703.62</v>
      </c>
      <c r="R2261">
        <f>3637.3</f>
        <v>3637.3</v>
      </c>
      <c r="S2261">
        <f>1747.3</f>
        <v>1747.3</v>
      </c>
      <c r="T2261">
        <f>3024.24</f>
        <v>3024.24</v>
      </c>
      <c r="U2261">
        <f>48660.44</f>
        <v>48660.44</v>
      </c>
      <c r="V2261">
        <f>326.21</f>
        <v>326.20999999999998</v>
      </c>
    </row>
    <row r="2262" spans="1:22" x14ac:dyDescent="0.2">
      <c r="A2262" s="1">
        <v>41941</v>
      </c>
      <c r="B2262">
        <f>2696.25</f>
        <v>2696.25</v>
      </c>
      <c r="C2262">
        <f>9373.68</f>
        <v>9373.68</v>
      </c>
      <c r="D2262">
        <f>4849.5</f>
        <v>4849.5</v>
      </c>
      <c r="E2262">
        <f>2011.363</f>
        <v>2011.3630000000001</v>
      </c>
      <c r="F2262">
        <f>1811.18</f>
        <v>1811.18</v>
      </c>
      <c r="G2262">
        <f>7976.366</f>
        <v>7976.366</v>
      </c>
      <c r="H2262">
        <f>2448.7</f>
        <v>2448.6999999999998</v>
      </c>
      <c r="I2262">
        <f>8266.235</f>
        <v>8266.2350000000006</v>
      </c>
      <c r="J2262">
        <f>2683.34</f>
        <v>2683.34</v>
      </c>
      <c r="K2262">
        <f>7530.7</f>
        <v>7530.7</v>
      </c>
      <c r="L2262">
        <f>1577.81</f>
        <v>1577.81</v>
      </c>
      <c r="M2262">
        <f>6271.31</f>
        <v>6271.31</v>
      </c>
      <c r="N2262">
        <f>265.105</f>
        <v>265.10500000000002</v>
      </c>
      <c r="O2262">
        <f>2249.29</f>
        <v>2249.29</v>
      </c>
      <c r="P2262">
        <f>155.84</f>
        <v>155.84</v>
      </c>
      <c r="Q2262">
        <f>1689.4</f>
        <v>1689.4</v>
      </c>
      <c r="R2262">
        <f>3614.53</f>
        <v>3614.53</v>
      </c>
      <c r="S2262">
        <f>1736.01</f>
        <v>1736.01</v>
      </c>
      <c r="T2262">
        <f>3017.994</f>
        <v>3017.9940000000001</v>
      </c>
      <c r="U2262">
        <f>49116.76</f>
        <v>49116.76</v>
      </c>
      <c r="V2262">
        <f>328.12</f>
        <v>328.12</v>
      </c>
    </row>
    <row r="2263" spans="1:22" x14ac:dyDescent="0.2">
      <c r="A2263" s="1">
        <v>41940</v>
      </c>
      <c r="B2263">
        <f>2679.07</f>
        <v>2679.07</v>
      </c>
      <c r="C2263">
        <f>9247.33</f>
        <v>9247.33</v>
      </c>
      <c r="D2263">
        <f>4810.65</f>
        <v>4810.6499999999996</v>
      </c>
      <c r="E2263">
        <f>1986.528</f>
        <v>1986.528</v>
      </c>
      <c r="F2263">
        <f>1793.73</f>
        <v>1793.73</v>
      </c>
      <c r="G2263">
        <f>7913.181</f>
        <v>7913.1809999999996</v>
      </c>
      <c r="H2263">
        <f>2412.69</f>
        <v>2412.69</v>
      </c>
      <c r="I2263">
        <f>8259.193</f>
        <v>8259.1929999999993</v>
      </c>
      <c r="J2263">
        <f>2680.05</f>
        <v>2680.05</v>
      </c>
      <c r="K2263">
        <f>7542.97</f>
        <v>7542.97</v>
      </c>
      <c r="L2263">
        <f>1572.71</f>
        <v>1572.71</v>
      </c>
      <c r="M2263">
        <f>6264.14</f>
        <v>6264.14</v>
      </c>
      <c r="N2263">
        <f>263.575</f>
        <v>263.57499999999999</v>
      </c>
      <c r="O2263">
        <f>2245.07</f>
        <v>2245.0700000000002</v>
      </c>
      <c r="P2263">
        <f>153.53</f>
        <v>153.53</v>
      </c>
      <c r="Q2263">
        <f>1693.35</f>
        <v>1693.35</v>
      </c>
      <c r="R2263">
        <f>3619.16</f>
        <v>3619.16</v>
      </c>
      <c r="S2263">
        <f>1710.49</f>
        <v>1710.49</v>
      </c>
      <c r="T2263">
        <f>2981.104</f>
        <v>2981.1039999999998</v>
      </c>
      <c r="U2263">
        <f>48460.93</f>
        <v>48460.93</v>
      </c>
      <c r="V2263">
        <f>323.25</f>
        <v>323.25</v>
      </c>
    </row>
    <row r="2264" spans="1:22" x14ac:dyDescent="0.2">
      <c r="A2264" s="1">
        <v>41939</v>
      </c>
      <c r="B2264">
        <f>2663.2</f>
        <v>2663.2</v>
      </c>
      <c r="C2264">
        <f>9085.25</f>
        <v>9085.25</v>
      </c>
      <c r="D2264">
        <f>4781.56</f>
        <v>4781.5600000000004</v>
      </c>
      <c r="E2264">
        <f>1956.787</f>
        <v>1956.787</v>
      </c>
      <c r="F2264">
        <f>1779.13</f>
        <v>1779.13</v>
      </c>
      <c r="G2264">
        <f>7856.585</f>
        <v>7856.585</v>
      </c>
      <c r="H2264">
        <f>2426.85</f>
        <v>2426.85</v>
      </c>
      <c r="I2264">
        <f>8140.366</f>
        <v>8140.366</v>
      </c>
      <c r="J2264">
        <f>2658.94</f>
        <v>2658.94</v>
      </c>
      <c r="K2264">
        <f>7453.29</f>
        <v>7453.29</v>
      </c>
      <c r="L2264">
        <f>1561.19</f>
        <v>1561.19</v>
      </c>
      <c r="M2264">
        <f>6198.2</f>
        <v>6198.2</v>
      </c>
      <c r="N2264">
        <f>262.673</f>
        <v>262.673</v>
      </c>
      <c r="O2264">
        <f>2223.63</f>
        <v>2223.63</v>
      </c>
      <c r="P2264">
        <f>153.52</f>
        <v>153.52000000000001</v>
      </c>
      <c r="Q2264">
        <f>1679.56</f>
        <v>1679.56</v>
      </c>
      <c r="R2264">
        <f>3576.47</f>
        <v>3576.47</v>
      </c>
      <c r="S2264">
        <f>1713.61</f>
        <v>1713.61</v>
      </c>
      <c r="T2264">
        <f>2940.853</f>
        <v>2940.8530000000001</v>
      </c>
      <c r="U2264">
        <f>48051.05</f>
        <v>48051.05</v>
      </c>
      <c r="V2264">
        <f>319.7</f>
        <v>319.7</v>
      </c>
    </row>
    <row r="2265" spans="1:22" x14ac:dyDescent="0.2">
      <c r="A2265" s="1">
        <v>41936</v>
      </c>
      <c r="B2265">
        <f>2676.71</f>
        <v>2676.71</v>
      </c>
      <c r="C2265">
        <f>9119.39</f>
        <v>9119.39</v>
      </c>
      <c r="D2265">
        <f>4800.55</f>
        <v>4800.55</v>
      </c>
      <c r="E2265">
        <f>1969.962</f>
        <v>1969.962</v>
      </c>
      <c r="F2265">
        <f>1774.37</f>
        <v>1774.37</v>
      </c>
      <c r="G2265">
        <f>7863.663</f>
        <v>7863.6629999999996</v>
      </c>
      <c r="H2265">
        <f>2387.51</f>
        <v>2387.5100000000002</v>
      </c>
      <c r="I2265">
        <f>8170.353</f>
        <v>8170.3530000000001</v>
      </c>
      <c r="J2265">
        <f>2664.31</f>
        <v>2664.31</v>
      </c>
      <c r="K2265">
        <f>7465.72</f>
        <v>7465.72</v>
      </c>
      <c r="L2265">
        <f>1561.2</f>
        <v>1561.2</v>
      </c>
      <c r="M2265">
        <f>6202.06</f>
        <v>6202.06</v>
      </c>
      <c r="N2265">
        <f>262.698</f>
        <v>262.69799999999998</v>
      </c>
      <c r="O2265">
        <f>2237.94</f>
        <v>2237.94</v>
      </c>
      <c r="P2265">
        <f>151.9</f>
        <v>151.9</v>
      </c>
      <c r="Q2265">
        <f>1679.64</f>
        <v>1679.64</v>
      </c>
      <c r="R2265">
        <f>3581.82</f>
        <v>3581.82</v>
      </c>
      <c r="S2265">
        <f>1697.27</f>
        <v>1697.27</v>
      </c>
      <c r="T2265">
        <f>2915.137</f>
        <v>2915.1370000000002</v>
      </c>
      <c r="U2265">
        <f>47879.45</f>
        <v>47879.45</v>
      </c>
      <c r="V2265">
        <f>318.44</f>
        <v>318.44</v>
      </c>
    </row>
    <row r="2266" spans="1:22" x14ac:dyDescent="0.2">
      <c r="A2266" s="1">
        <v>41935</v>
      </c>
      <c r="B2266">
        <f>2685.5</f>
        <v>2685.5</v>
      </c>
      <c r="C2266">
        <f>9106.34</f>
        <v>9106.34</v>
      </c>
      <c r="D2266">
        <f>4823.4</f>
        <v>4823.3999999999996</v>
      </c>
      <c r="E2266">
        <f>1964.616</f>
        <v>1964.616</v>
      </c>
      <c r="F2266">
        <f>1772.87</f>
        <v>1772.87</v>
      </c>
      <c r="G2266">
        <f>7876.837</f>
        <v>7876.8370000000004</v>
      </c>
      <c r="H2266">
        <f>2365.51</f>
        <v>2365.5100000000002</v>
      </c>
      <c r="I2266">
        <f>8184.967</f>
        <v>8184.9669999999996</v>
      </c>
      <c r="J2266">
        <f>2641.37</f>
        <v>2641.37</v>
      </c>
      <c r="K2266">
        <f>7413.03</f>
        <v>7413.03</v>
      </c>
      <c r="L2266">
        <f>1556.9</f>
        <v>1556.9</v>
      </c>
      <c r="M2266">
        <f>6172.62</f>
        <v>6172.62</v>
      </c>
      <c r="N2266">
        <f>263.481</f>
        <v>263.48099999999999</v>
      </c>
      <c r="O2266">
        <f>2245.07</f>
        <v>2245.0700000000002</v>
      </c>
      <c r="P2266">
        <f>150.58</f>
        <v>150.58000000000001</v>
      </c>
      <c r="Q2266">
        <f>1665.49</f>
        <v>1665.49</v>
      </c>
      <c r="R2266">
        <f>3556.7</f>
        <v>3556.7</v>
      </c>
      <c r="S2266">
        <f>1683.63</f>
        <v>1683.63</v>
      </c>
      <c r="T2266">
        <f>2927.696</f>
        <v>2927.6959999999999</v>
      </c>
      <c r="U2266">
        <f>48104.66</f>
        <v>48104.66</v>
      </c>
      <c r="V2266">
        <f>318.94</f>
        <v>318.94</v>
      </c>
    </row>
    <row r="2267" spans="1:22" x14ac:dyDescent="0.2">
      <c r="A2267" s="1">
        <v>41934</v>
      </c>
      <c r="B2267">
        <f>2693.38</f>
        <v>2693.38</v>
      </c>
      <c r="C2267">
        <f>9167.81</f>
        <v>9167.81</v>
      </c>
      <c r="D2267">
        <f>4803.9</f>
        <v>4803.8999999999996</v>
      </c>
      <c r="E2267">
        <f>1975.297</f>
        <v>1975.297</v>
      </c>
      <c r="F2267">
        <f>1773.81</f>
        <v>1773.81</v>
      </c>
      <c r="G2267">
        <f>7857.872</f>
        <v>7857.8720000000003</v>
      </c>
      <c r="H2267">
        <f>2403.36</f>
        <v>2403.36</v>
      </c>
      <c r="I2267">
        <f>8125.07</f>
        <v>8125.07</v>
      </c>
      <c r="J2267">
        <f>2618.63</f>
        <v>2618.63</v>
      </c>
      <c r="K2267">
        <f>7322.41</f>
        <v>7322.41</v>
      </c>
      <c r="L2267">
        <f>1550.01</f>
        <v>1550.01</v>
      </c>
      <c r="M2267">
        <f>6124.33</f>
        <v>6124.33</v>
      </c>
      <c r="N2267">
        <f>262.212</f>
        <v>262.21199999999999</v>
      </c>
      <c r="O2267">
        <f>2230.24</f>
        <v>2230.2399999999998</v>
      </c>
      <c r="P2267">
        <f>150.97</f>
        <v>150.97</v>
      </c>
      <c r="Q2267">
        <f>1651.94</f>
        <v>1651.94</v>
      </c>
      <c r="R2267">
        <f>3513.47</f>
        <v>3513.47</v>
      </c>
      <c r="S2267">
        <f>1689.2</f>
        <v>1689.2</v>
      </c>
      <c r="T2267">
        <f>2920.967</f>
        <v>2920.9670000000001</v>
      </c>
      <c r="U2267">
        <f>48202.91</f>
        <v>48202.91</v>
      </c>
      <c r="V2267">
        <f>319.25</f>
        <v>319.25</v>
      </c>
    </row>
    <row r="2268" spans="1:22" x14ac:dyDescent="0.2">
      <c r="A2268" s="1">
        <v>41933</v>
      </c>
      <c r="B2268">
        <f>2669.83</f>
        <v>2669.83</v>
      </c>
      <c r="C2268">
        <f>9158.48</f>
        <v>9158.48</v>
      </c>
      <c r="D2268">
        <f>4783.33</f>
        <v>4783.33</v>
      </c>
      <c r="E2268">
        <f>1964.665</f>
        <v>1964.665</v>
      </c>
      <c r="F2268">
        <f>1775.16</f>
        <v>1775.16</v>
      </c>
      <c r="G2268">
        <f>7863.168</f>
        <v>7863.1679999999997</v>
      </c>
      <c r="H2268">
        <f>2352.64</f>
        <v>2352.64</v>
      </c>
      <c r="I2268">
        <f>8097.415</f>
        <v>8097.415</v>
      </c>
      <c r="J2268">
        <f>2625.56</f>
        <v>2625.56</v>
      </c>
      <c r="K2268">
        <f>7378.3</f>
        <v>7378.3</v>
      </c>
      <c r="L2268">
        <f>1547.26</f>
        <v>1547.26</v>
      </c>
      <c r="M2268">
        <f>6138.53</f>
        <v>6138.53</v>
      </c>
      <c r="N2268">
        <f>259.964</f>
        <v>259.964</v>
      </c>
      <c r="O2268">
        <f>2213.9</f>
        <v>2213.9</v>
      </c>
      <c r="P2268">
        <f>147.2</f>
        <v>147.19999999999999</v>
      </c>
      <c r="Q2268">
        <f>1656.88</f>
        <v>1656.88</v>
      </c>
      <c r="R2268">
        <f>3538.9</f>
        <v>3538.9</v>
      </c>
      <c r="S2268">
        <f>1646.77</f>
        <v>1646.77</v>
      </c>
      <c r="T2268">
        <f>2931.771</f>
        <v>2931.7710000000002</v>
      </c>
      <c r="U2268">
        <f>48530.47</f>
        <v>48530.47</v>
      </c>
      <c r="V2268">
        <f>319.31</f>
        <v>319.31</v>
      </c>
    </row>
    <row r="2269" spans="1:22" x14ac:dyDescent="0.2">
      <c r="A2269" s="1">
        <v>41932</v>
      </c>
      <c r="B2269">
        <f>2621.72</f>
        <v>2621.72</v>
      </c>
      <c r="C2269">
        <f>9127.68</f>
        <v>9127.68</v>
      </c>
      <c r="D2269">
        <f>4704.31</f>
        <v>4704.3100000000004</v>
      </c>
      <c r="E2269">
        <f>1964.076</f>
        <v>1964.076</v>
      </c>
      <c r="F2269">
        <f>1747.15</f>
        <v>1747.15</v>
      </c>
      <c r="G2269">
        <f>7733.633</f>
        <v>7733.6329999999998</v>
      </c>
      <c r="H2269">
        <f>2386.16</f>
        <v>2386.16</v>
      </c>
      <c r="I2269">
        <f>7963.212</f>
        <v>7963.2120000000004</v>
      </c>
      <c r="J2269">
        <f>2585.99</f>
        <v>2585.9899999999998</v>
      </c>
      <c r="K2269">
        <f>7234.9</f>
        <v>7234.9</v>
      </c>
      <c r="L2269">
        <f>1527.04</f>
        <v>1527.04</v>
      </c>
      <c r="M2269">
        <f>6045.19</f>
        <v>6045.19</v>
      </c>
      <c r="N2269">
        <f>255.685</f>
        <v>255.685</v>
      </c>
      <c r="O2269">
        <f>2168.64</f>
        <v>2168.64</v>
      </c>
      <c r="P2269">
        <f>149.26</f>
        <v>149.26</v>
      </c>
      <c r="Q2269">
        <f>1629.9</f>
        <v>1629.9</v>
      </c>
      <c r="R2269">
        <f>3470.89</f>
        <v>3470.89</v>
      </c>
      <c r="S2269">
        <f>1672.71</f>
        <v>1672.71</v>
      </c>
      <c r="T2269">
        <f>2875.266</f>
        <v>2875.2660000000001</v>
      </c>
      <c r="U2269">
        <f>47599.25</f>
        <v>47599.25</v>
      </c>
      <c r="V2269">
        <f>315.12</f>
        <v>315.12</v>
      </c>
    </row>
    <row r="2270" spans="1:22" x14ac:dyDescent="0.2">
      <c r="A2270" s="1">
        <v>41929</v>
      </c>
      <c r="B2270">
        <f>2621.89</f>
        <v>2621.89</v>
      </c>
      <c r="C2270">
        <f>9123.03</f>
        <v>9123.0300000000007</v>
      </c>
      <c r="D2270">
        <f>4736.76</f>
        <v>4736.76</v>
      </c>
      <c r="E2270">
        <f>1954.59</f>
        <v>1954.59</v>
      </c>
      <c r="F2270">
        <f>1752.37</f>
        <v>1752.37</v>
      </c>
      <c r="G2270">
        <f>7770.142</f>
        <v>7770.1419999999998</v>
      </c>
      <c r="H2270">
        <f>2298.5</f>
        <v>2298.5</v>
      </c>
      <c r="I2270">
        <f>7997.908</f>
        <v>7997.9080000000004</v>
      </c>
      <c r="J2270">
        <f>2562.42</f>
        <v>2562.42</v>
      </c>
      <c r="K2270">
        <f>7168.88</f>
        <v>7168.88</v>
      </c>
      <c r="L2270">
        <f>1521.99</f>
        <v>1521.99</v>
      </c>
      <c r="M2270">
        <f>5998.64</f>
        <v>5998.64</v>
      </c>
      <c r="N2270">
        <f>256.745</f>
        <v>256.745</v>
      </c>
      <c r="O2270">
        <f>2180.8</f>
        <v>2180.8000000000002</v>
      </c>
      <c r="P2270">
        <f>144.29</f>
        <v>144.29</v>
      </c>
      <c r="Q2270">
        <f>1614.44</f>
        <v>1614.44</v>
      </c>
      <c r="R2270">
        <f>3439.39</f>
        <v>3439.39</v>
      </c>
      <c r="S2270">
        <f>1608.33</f>
        <v>1608.33</v>
      </c>
      <c r="T2270">
        <f>2875.006</f>
        <v>2875.0059999999999</v>
      </c>
      <c r="U2270">
        <f>47836.69</f>
        <v>47836.69</v>
      </c>
      <c r="V2270">
        <f>317.18</f>
        <v>317.18</v>
      </c>
    </row>
    <row r="2271" spans="1:22" x14ac:dyDescent="0.2">
      <c r="A2271" s="1">
        <v>41928</v>
      </c>
      <c r="B2271">
        <f>2570.82</f>
        <v>2570.8200000000002</v>
      </c>
      <c r="C2271">
        <f>9023.71</f>
        <v>9023.7099999999991</v>
      </c>
      <c r="D2271">
        <f>4650.9</f>
        <v>4650.8999999999996</v>
      </c>
      <c r="E2271">
        <f>1941.691</f>
        <v>1941.691</v>
      </c>
      <c r="F2271">
        <f>1709.72</f>
        <v>1709.72</v>
      </c>
      <c r="G2271">
        <f>7594.087</f>
        <v>7594.0870000000004</v>
      </c>
      <c r="H2271">
        <f>2354.92</f>
        <v>2354.92</v>
      </c>
      <c r="I2271">
        <f>7777.515</f>
        <v>7777.5150000000003</v>
      </c>
      <c r="J2271">
        <f>2532.99</f>
        <v>2532.9899999999998</v>
      </c>
      <c r="K2271">
        <f>7078.32</f>
        <v>7078.32</v>
      </c>
      <c r="L2271">
        <f>1498.85</f>
        <v>1498.85</v>
      </c>
      <c r="M2271">
        <f>5920.74</f>
        <v>5920.74</v>
      </c>
      <c r="N2271">
        <f>249.775</f>
        <v>249.77500000000001</v>
      </c>
      <c r="O2271">
        <f>2121.81</f>
        <v>2121.81</v>
      </c>
      <c r="P2271">
        <f>146.77</f>
        <v>146.77000000000001</v>
      </c>
      <c r="Q2271">
        <f>1595.51</f>
        <v>1595.51</v>
      </c>
      <c r="R2271">
        <f>3395.64</f>
        <v>3395.64</v>
      </c>
      <c r="S2271">
        <f>1633.31</f>
        <v>1633.31</v>
      </c>
      <c r="T2271">
        <f>2835.641</f>
        <v>2835.6410000000001</v>
      </c>
      <c r="U2271">
        <f>46881.12</f>
        <v>46881.120000000003</v>
      </c>
      <c r="V2271">
        <f>312.47</f>
        <v>312.47000000000003</v>
      </c>
    </row>
    <row r="2272" spans="1:22" x14ac:dyDescent="0.2">
      <c r="A2272" s="1">
        <v>41927</v>
      </c>
      <c r="B2272">
        <f>2561.4</f>
        <v>2561.4</v>
      </c>
      <c r="C2272">
        <f>9119.4</f>
        <v>9119.4</v>
      </c>
      <c r="D2272">
        <f>4662.28</f>
        <v>4662.28</v>
      </c>
      <c r="E2272">
        <f>1965.483</f>
        <v>1965.4829999999999</v>
      </c>
      <c r="F2272">
        <f>1708.15</f>
        <v>1708.15</v>
      </c>
      <c r="G2272">
        <f>7576.478</f>
        <v>7576.4780000000001</v>
      </c>
      <c r="H2272">
        <f>2391.82</f>
        <v>2391.8200000000002</v>
      </c>
      <c r="I2272">
        <f>7818.754</f>
        <v>7818.7539999999999</v>
      </c>
      <c r="J2272">
        <f>2542.64</f>
        <v>2542.64</v>
      </c>
      <c r="K2272">
        <f>7073.58</f>
        <v>7073.58</v>
      </c>
      <c r="L2272">
        <f>1504.34</f>
        <v>1504.34</v>
      </c>
      <c r="M2272">
        <f>5930.3</f>
        <v>5930.3</v>
      </c>
      <c r="N2272">
        <f>249.421</f>
        <v>249.42099999999999</v>
      </c>
      <c r="O2272">
        <f>2131.06</f>
        <v>2131.06</v>
      </c>
      <c r="P2272">
        <f>150.2</f>
        <v>150.19999999999999</v>
      </c>
      <c r="Q2272">
        <f>1599.01</f>
        <v>1599.01</v>
      </c>
      <c r="R2272">
        <f>3395.03</f>
        <v>3395.03</v>
      </c>
      <c r="S2272">
        <f>1671.79</f>
        <v>1671.79</v>
      </c>
      <c r="T2272">
        <f>2832.418</f>
        <v>2832.4180000000001</v>
      </c>
      <c r="U2272">
        <f>46673.38</f>
        <v>46673.38</v>
      </c>
      <c r="V2272">
        <f>310.47</f>
        <v>310.47000000000003</v>
      </c>
    </row>
    <row r="2273" spans="1:22" x14ac:dyDescent="0.2">
      <c r="A2273" s="1">
        <v>41926</v>
      </c>
      <c r="B2273">
        <f>2607.71</f>
        <v>2607.71</v>
      </c>
      <c r="C2273">
        <f>9194.06</f>
        <v>9194.06</v>
      </c>
      <c r="D2273">
        <f>4798.16</f>
        <v>4798.16</v>
      </c>
      <c r="E2273">
        <f>1984.348</f>
        <v>1984.348</v>
      </c>
      <c r="F2273">
        <f>1750.38</f>
        <v>1750.38</v>
      </c>
      <c r="G2273">
        <f>7784.809</f>
        <v>7784.8090000000002</v>
      </c>
      <c r="H2273">
        <f>2367.43</f>
        <v>2367.4299999999998</v>
      </c>
      <c r="I2273">
        <f>8008.326</f>
        <v>8008.326</v>
      </c>
      <c r="J2273">
        <f>2560.28</f>
        <v>2560.2800000000002</v>
      </c>
      <c r="K2273">
        <f>7126.31</f>
        <v>7126.31</v>
      </c>
      <c r="L2273">
        <f>1522.4</f>
        <v>1522.4</v>
      </c>
      <c r="M2273">
        <f>5987.69</f>
        <v>5987.69</v>
      </c>
      <c r="N2273">
        <f>256.032</f>
        <v>256.03199999999998</v>
      </c>
      <c r="O2273">
        <f>2202.78</f>
        <v>2202.7800000000002</v>
      </c>
      <c r="P2273">
        <f>149.55</f>
        <v>149.55000000000001</v>
      </c>
      <c r="Q2273">
        <f>1607.92</f>
        <v>1607.92</v>
      </c>
      <c r="R2273">
        <f>3422.43</f>
        <v>3422.43</v>
      </c>
      <c r="S2273">
        <f>1658.95</f>
        <v>1658.95</v>
      </c>
      <c r="T2273">
        <f>2884.498</f>
        <v>2884.498</v>
      </c>
      <c r="U2273">
        <f>47686.85</f>
        <v>47686.85</v>
      </c>
      <c r="V2273">
        <f>317.4</f>
        <v>317.39999999999998</v>
      </c>
    </row>
    <row r="2274" spans="1:22" x14ac:dyDescent="0.2">
      <c r="A2274" s="1">
        <v>41925</v>
      </c>
      <c r="B2274">
        <f>2593.78</f>
        <v>2593.7800000000002</v>
      </c>
      <c r="C2274">
        <f>9201.38</f>
        <v>9201.3799999999992</v>
      </c>
      <c r="D2274">
        <f>4778.32</f>
        <v>4778.32</v>
      </c>
      <c r="E2274">
        <f>1983.18</f>
        <v>1983.18</v>
      </c>
      <c r="F2274">
        <f>1761.84</f>
        <v>1761.84</v>
      </c>
      <c r="G2274">
        <f>7822.658</f>
        <v>7822.6580000000004</v>
      </c>
      <c r="H2274">
        <f>2409.2</f>
        <v>2409.1999999999998</v>
      </c>
      <c r="I2274">
        <f>8005.357</f>
        <v>8005.357</v>
      </c>
      <c r="J2274">
        <f>2559.72</f>
        <v>2559.7199999999998</v>
      </c>
      <c r="K2274">
        <f>7114.93</f>
        <v>7114.93</v>
      </c>
      <c r="L2274">
        <f>1525.16</f>
        <v>1525.16</v>
      </c>
      <c r="M2274">
        <f>5998.34</f>
        <v>5998.34</v>
      </c>
      <c r="N2274">
        <f>256.056</f>
        <v>256.05599999999998</v>
      </c>
      <c r="O2274">
        <f>2202.77</f>
        <v>2202.77</v>
      </c>
      <c r="P2274" t="e">
        <f>NA()</f>
        <v>#N/A</v>
      </c>
      <c r="Q2274">
        <f>1601.05</f>
        <v>1601.05</v>
      </c>
      <c r="R2274">
        <f>3417.01</f>
        <v>3417.01</v>
      </c>
      <c r="S2274" t="e">
        <f>NA()</f>
        <v>#N/A</v>
      </c>
      <c r="T2274">
        <f>2869.658</f>
        <v>2869.6579999999999</v>
      </c>
      <c r="U2274">
        <f>47368.34</f>
        <v>47368.34</v>
      </c>
      <c r="V2274">
        <f>314.09</f>
        <v>314.08999999999997</v>
      </c>
    </row>
    <row r="2275" spans="1:22" x14ac:dyDescent="0.2">
      <c r="A2275" s="1">
        <v>41922</v>
      </c>
      <c r="B2275">
        <f>2595.58</f>
        <v>2595.58</v>
      </c>
      <c r="C2275">
        <f>9172.28</f>
        <v>9172.2800000000007</v>
      </c>
      <c r="D2275">
        <f>4758.6</f>
        <v>4758.6000000000004</v>
      </c>
      <c r="E2275">
        <f>1979.909</f>
        <v>1979.9090000000001</v>
      </c>
      <c r="F2275">
        <f>1758.19</f>
        <v>1758.19</v>
      </c>
      <c r="G2275">
        <f>7777.206</f>
        <v>7777.2060000000001</v>
      </c>
      <c r="H2275">
        <f>2396.7</f>
        <v>2396.6999999999998</v>
      </c>
      <c r="I2275">
        <f>7973.286</f>
        <v>7973.2860000000001</v>
      </c>
      <c r="J2275">
        <f>2598.92</f>
        <v>2598.92</v>
      </c>
      <c r="K2275">
        <f>7235.67</f>
        <v>7235.67</v>
      </c>
      <c r="L2275">
        <f>1530.67</f>
        <v>1530.67</v>
      </c>
      <c r="M2275">
        <f>6046.76</f>
        <v>6046.76</v>
      </c>
      <c r="N2275">
        <f>257.091</f>
        <v>257.09100000000001</v>
      </c>
      <c r="O2275">
        <f>2201.84</f>
        <v>2201.84</v>
      </c>
      <c r="P2275">
        <f>152.11</f>
        <v>152.11000000000001</v>
      </c>
      <c r="Q2275">
        <f>1626.09</f>
        <v>1626.09</v>
      </c>
      <c r="R2275">
        <f>3474.23</f>
        <v>3474.23</v>
      </c>
      <c r="S2275">
        <f>1698.32</f>
        <v>1698.32</v>
      </c>
      <c r="T2275">
        <f>2855.301</f>
        <v>2855.3009999999999</v>
      </c>
      <c r="U2275">
        <f>47092.24</f>
        <v>47092.24</v>
      </c>
      <c r="V2275">
        <f>311.18</f>
        <v>311.18</v>
      </c>
    </row>
    <row r="2276" spans="1:22" x14ac:dyDescent="0.2">
      <c r="A2276" s="1">
        <v>41921</v>
      </c>
      <c r="B2276">
        <f>2631.97</f>
        <v>2631.97</v>
      </c>
      <c r="C2276">
        <f>9361.48</f>
        <v>9361.48</v>
      </c>
      <c r="D2276">
        <f>4827.56</f>
        <v>4827.5600000000004</v>
      </c>
      <c r="E2276">
        <f>2016.784</f>
        <v>2016.7840000000001</v>
      </c>
      <c r="F2276">
        <f>1791.65</f>
        <v>1791.65</v>
      </c>
      <c r="G2276">
        <f>7954.022</f>
        <v>7954.0219999999999</v>
      </c>
      <c r="H2276">
        <f>2422.25</f>
        <v>2422.25</v>
      </c>
      <c r="I2276">
        <f>8157.772</f>
        <v>8157.7719999999999</v>
      </c>
      <c r="J2276">
        <f>2619.89</f>
        <v>2619.89</v>
      </c>
      <c r="K2276">
        <f>7322.42</f>
        <v>7322.42</v>
      </c>
      <c r="L2276">
        <f>1556.19</f>
        <v>1556.19</v>
      </c>
      <c r="M2276">
        <f>6143.98</f>
        <v>6143.98</v>
      </c>
      <c r="N2276">
        <f>260.461</f>
        <v>260.46100000000001</v>
      </c>
      <c r="O2276">
        <f>2236.63</f>
        <v>2236.63</v>
      </c>
      <c r="P2276">
        <f>153.44</f>
        <v>153.44</v>
      </c>
      <c r="Q2276">
        <f>1631.99</f>
        <v>1631.99</v>
      </c>
      <c r="R2276">
        <f>3514.12</f>
        <v>3514.12</v>
      </c>
      <c r="S2276">
        <f>1722.49</f>
        <v>1722.49</v>
      </c>
      <c r="T2276">
        <f>2904.972</f>
        <v>2904.9720000000002</v>
      </c>
      <c r="U2276">
        <f>48133.52</f>
        <v>48133.52</v>
      </c>
      <c r="V2276">
        <f>317.35</f>
        <v>317.35000000000002</v>
      </c>
    </row>
    <row r="2277" spans="1:22" x14ac:dyDescent="0.2">
      <c r="A2277" s="1">
        <v>41920</v>
      </c>
      <c r="B2277">
        <f>2654.28</f>
        <v>2654.28</v>
      </c>
      <c r="C2277">
        <f>9261.55</f>
        <v>9261.5499999999993</v>
      </c>
      <c r="D2277">
        <f>4864.02</f>
        <v>4864.0200000000004</v>
      </c>
      <c r="E2277">
        <f>1997.504</f>
        <v>1997.5039999999999</v>
      </c>
      <c r="F2277">
        <f>1801.04</f>
        <v>1801.04</v>
      </c>
      <c r="G2277">
        <f>7969.747</f>
        <v>7969.7470000000003</v>
      </c>
      <c r="H2277">
        <f>2440.62</f>
        <v>2440.62</v>
      </c>
      <c r="I2277">
        <f>8172.444</f>
        <v>8172.4440000000004</v>
      </c>
      <c r="J2277">
        <f>2667.38</f>
        <v>2667.38</v>
      </c>
      <c r="K2277">
        <f>7476.76</f>
        <v>7476.76</v>
      </c>
      <c r="L2277">
        <f>1566.67</f>
        <v>1566.67</v>
      </c>
      <c r="M2277">
        <f>6219.98</f>
        <v>6219.98</v>
      </c>
      <c r="N2277">
        <f>260.844</f>
        <v>260.84399999999999</v>
      </c>
      <c r="O2277">
        <f>2245.18</f>
        <v>2245.1799999999998</v>
      </c>
      <c r="P2277">
        <f>154.92</f>
        <v>154.91999999999999</v>
      </c>
      <c r="Q2277">
        <f>1660.51</f>
        <v>1660.51</v>
      </c>
      <c r="R2277">
        <f>3588.07</f>
        <v>3588.07</v>
      </c>
      <c r="S2277">
        <f>1741.71</f>
        <v>1741.71</v>
      </c>
      <c r="T2277">
        <f>2897.236</f>
        <v>2897.2359999999999</v>
      </c>
      <c r="U2277">
        <f>48033.62</f>
        <v>48033.62</v>
      </c>
      <c r="V2277">
        <f>315.47</f>
        <v>315.47000000000003</v>
      </c>
    </row>
    <row r="2278" spans="1:22" x14ac:dyDescent="0.2">
      <c r="A2278" s="1">
        <v>41919</v>
      </c>
      <c r="B2278">
        <f>2661.97</f>
        <v>2661.97</v>
      </c>
      <c r="C2278">
        <f>9361.63</f>
        <v>9361.6299999999992</v>
      </c>
      <c r="D2278">
        <f>4874.02</f>
        <v>4874.0200000000004</v>
      </c>
      <c r="E2278">
        <f>2021.698</f>
        <v>2021.6980000000001</v>
      </c>
      <c r="F2278">
        <f>1801.17</f>
        <v>1801.17</v>
      </c>
      <c r="G2278">
        <f>7989.105</f>
        <v>7989.1049999999996</v>
      </c>
      <c r="H2278">
        <f>2461.4</f>
        <v>2461.4</v>
      </c>
      <c r="I2278">
        <f>8207.7</f>
        <v>8207.7000000000007</v>
      </c>
      <c r="J2278">
        <f>2622.39</f>
        <v>2622.39</v>
      </c>
      <c r="K2278">
        <f>7348.29</f>
        <v>7348.29</v>
      </c>
      <c r="L2278">
        <f>1559.19</f>
        <v>1559.19</v>
      </c>
      <c r="M2278">
        <f>6173.76</f>
        <v>6173.76</v>
      </c>
      <c r="N2278">
        <f>262.279</f>
        <v>262.279</v>
      </c>
      <c r="O2278">
        <f>2263.62</f>
        <v>2263.62</v>
      </c>
      <c r="P2278">
        <f>156.4</f>
        <v>156.4</v>
      </c>
      <c r="Q2278">
        <f>1633.53</f>
        <v>1633.53</v>
      </c>
      <c r="R2278">
        <f>3525.29</f>
        <v>3525.29</v>
      </c>
      <c r="S2278">
        <f>1763.63</f>
        <v>1763.63</v>
      </c>
      <c r="T2278">
        <f>2932.768</f>
        <v>2932.768</v>
      </c>
      <c r="U2278">
        <f>48712.45</f>
        <v>48712.45</v>
      </c>
      <c r="V2278">
        <f>318.85</f>
        <v>318.85000000000002</v>
      </c>
    </row>
    <row r="2279" spans="1:22" x14ac:dyDescent="0.2">
      <c r="A2279" s="1">
        <v>41918</v>
      </c>
      <c r="B2279">
        <f>2691.19</f>
        <v>2691.19</v>
      </c>
      <c r="C2279">
        <f>9356.46</f>
        <v>9356.4599999999991</v>
      </c>
      <c r="D2279">
        <f>4925.1</f>
        <v>4925.1000000000004</v>
      </c>
      <c r="E2279">
        <f>2020.584</f>
        <v>2020.5840000000001</v>
      </c>
      <c r="F2279">
        <f>1804.75</f>
        <v>1804.75</v>
      </c>
      <c r="G2279">
        <f>8031.1</f>
        <v>8031.1</v>
      </c>
      <c r="H2279">
        <f>2448.55</f>
        <v>2448.5500000000002</v>
      </c>
      <c r="I2279">
        <f>8311.729</f>
        <v>8311.7289999999994</v>
      </c>
      <c r="J2279">
        <f>2656.43</f>
        <v>2656.43</v>
      </c>
      <c r="K2279">
        <f>7460.52</f>
        <v>7460.52</v>
      </c>
      <c r="L2279">
        <f>1573.21</f>
        <v>1573.21</v>
      </c>
      <c r="M2279">
        <f>6242.34</f>
        <v>6242.34</v>
      </c>
      <c r="N2279">
        <f>266.183</f>
        <v>266.18299999999999</v>
      </c>
      <c r="O2279">
        <f>2298.84</f>
        <v>2298.84</v>
      </c>
      <c r="P2279">
        <f>157.31</f>
        <v>157.31</v>
      </c>
      <c r="Q2279">
        <f>1654.57</f>
        <v>1654.57</v>
      </c>
      <c r="R2279">
        <f>3579.42</f>
        <v>3579.42</v>
      </c>
      <c r="S2279">
        <f>1771.16</f>
        <v>1771.16</v>
      </c>
      <c r="T2279">
        <f>2953.835</f>
        <v>2953.835</v>
      </c>
      <c r="U2279">
        <f>49166.2</f>
        <v>49166.2</v>
      </c>
      <c r="V2279">
        <f>322.46</f>
        <v>322.45999999999998</v>
      </c>
    </row>
    <row r="2280" spans="1:22" x14ac:dyDescent="0.2">
      <c r="A2280" s="1">
        <v>41915</v>
      </c>
      <c r="B2280">
        <f>2677.79</f>
        <v>2677.79</v>
      </c>
      <c r="C2280">
        <f>9237.79</f>
        <v>9237.7900000000009</v>
      </c>
      <c r="D2280">
        <f>4898.28</f>
        <v>4898.28</v>
      </c>
      <c r="E2280">
        <f>1993.924</f>
        <v>1993.924</v>
      </c>
      <c r="F2280">
        <f>1792.26</f>
        <v>1792.26</v>
      </c>
      <c r="G2280">
        <f>7963.245</f>
        <v>7963.2449999999999</v>
      </c>
      <c r="H2280">
        <f>2409.32</f>
        <v>2409.3200000000002</v>
      </c>
      <c r="I2280">
        <f>8260.352</f>
        <v>8260.3520000000008</v>
      </c>
      <c r="J2280">
        <f>2658.28</f>
        <v>2658.28</v>
      </c>
      <c r="K2280">
        <f>7471.2</f>
        <v>7471.2</v>
      </c>
      <c r="L2280">
        <f>1569.15</f>
        <v>1569.15</v>
      </c>
      <c r="M2280">
        <f>6225.4</f>
        <v>6225.4</v>
      </c>
      <c r="N2280">
        <f>266.119</f>
        <v>266.11900000000003</v>
      </c>
      <c r="O2280">
        <f>2293.36</f>
        <v>2293.36</v>
      </c>
      <c r="P2280">
        <f>156.41</f>
        <v>156.41</v>
      </c>
      <c r="Q2280">
        <f>1655.88</f>
        <v>1655.88</v>
      </c>
      <c r="R2280">
        <f>3584.94</f>
        <v>3584.94</v>
      </c>
      <c r="S2280">
        <f>1752.22</f>
        <v>1752.22</v>
      </c>
      <c r="T2280">
        <f>2924.625</f>
        <v>2924.625</v>
      </c>
      <c r="U2280">
        <f>48613.19</f>
        <v>48613.19</v>
      </c>
      <c r="V2280">
        <f>318.34</f>
        <v>318.33999999999997</v>
      </c>
    </row>
    <row r="2281" spans="1:22" x14ac:dyDescent="0.2">
      <c r="A2281" s="1">
        <v>41914</v>
      </c>
      <c r="B2281">
        <f>2644.39</f>
        <v>2644.39</v>
      </c>
      <c r="C2281">
        <f>9192.18</f>
        <v>9192.18</v>
      </c>
      <c r="D2281">
        <f>4837.11</f>
        <v>4837.1099999999997</v>
      </c>
      <c r="E2281">
        <f>1984.426</f>
        <v>1984.4259999999999</v>
      </c>
      <c r="F2281">
        <f>1791.11</f>
        <v>1791.11</v>
      </c>
      <c r="G2281">
        <f>7943.121</f>
        <v>7943.1210000000001</v>
      </c>
      <c r="H2281">
        <f>2432.74</f>
        <v>2432.7399999999998</v>
      </c>
      <c r="I2281">
        <f>8295.237</f>
        <v>8295.2369999999992</v>
      </c>
      <c r="J2281">
        <f>2634.46</f>
        <v>2634.46</v>
      </c>
      <c r="K2281">
        <f>7389.27</f>
        <v>7389.27</v>
      </c>
      <c r="L2281">
        <f>1568.75</f>
        <v>1568.75</v>
      </c>
      <c r="M2281">
        <f>6198.07</f>
        <v>6198.07</v>
      </c>
      <c r="N2281">
        <f>263.483</f>
        <v>263.483</v>
      </c>
      <c r="O2281">
        <f>2272.31</f>
        <v>2272.31</v>
      </c>
      <c r="P2281">
        <f>155.57</f>
        <v>155.57</v>
      </c>
      <c r="Q2281">
        <f>1638.73</f>
        <v>1638.73</v>
      </c>
      <c r="R2281">
        <f>3545.3</f>
        <v>3545.3</v>
      </c>
      <c r="S2281">
        <f>1748.95</f>
        <v>1748.95</v>
      </c>
      <c r="T2281">
        <f>2899.092</f>
        <v>2899.0920000000001</v>
      </c>
      <c r="U2281">
        <f>48189.06</f>
        <v>48189.06</v>
      </c>
      <c r="V2281">
        <f>316.59</f>
        <v>316.58999999999997</v>
      </c>
    </row>
    <row r="2282" spans="1:22" x14ac:dyDescent="0.2">
      <c r="A2282" s="1">
        <v>41913</v>
      </c>
      <c r="B2282">
        <f>2689.79</f>
        <v>2689.79</v>
      </c>
      <c r="C2282">
        <f>9235.34</f>
        <v>9235.34</v>
      </c>
      <c r="D2282">
        <f>4920.5</f>
        <v>4920.5</v>
      </c>
      <c r="E2282">
        <f>1993.052</f>
        <v>1993.0519999999999</v>
      </c>
      <c r="F2282">
        <f>1828.56</f>
        <v>1828.56</v>
      </c>
      <c r="G2282">
        <f>8119.496</f>
        <v>8119.4960000000001</v>
      </c>
      <c r="H2282">
        <f>2469.37</f>
        <v>2469.37</v>
      </c>
      <c r="I2282">
        <f>8453.02</f>
        <v>8453.02</v>
      </c>
      <c r="J2282">
        <f>2636.73</f>
        <v>2636.73</v>
      </c>
      <c r="K2282">
        <f>7388.37</f>
        <v>7388.37</v>
      </c>
      <c r="L2282">
        <f>1583.27</f>
        <v>1583.27</v>
      </c>
      <c r="M2282">
        <f>6239.37</f>
        <v>6239.37</v>
      </c>
      <c r="N2282">
        <f>269.474</f>
        <v>269.47399999999999</v>
      </c>
      <c r="O2282">
        <f>2328.29</f>
        <v>2328.29</v>
      </c>
      <c r="P2282">
        <f>159.19</f>
        <v>159.19</v>
      </c>
      <c r="Q2282">
        <f>1633.22</f>
        <v>1633.22</v>
      </c>
      <c r="R2282">
        <f>3544.98</f>
        <v>3544.98</v>
      </c>
      <c r="S2282">
        <f>1800.95</f>
        <v>1800.95</v>
      </c>
      <c r="T2282">
        <f>2913.058</f>
        <v>2913.058</v>
      </c>
      <c r="U2282">
        <f>48875.03</f>
        <v>48875.03</v>
      </c>
      <c r="V2282">
        <f>318.36</f>
        <v>318.36</v>
      </c>
    </row>
    <row r="2283" spans="1:22" x14ac:dyDescent="0.2">
      <c r="A2283" s="1">
        <v>41912</v>
      </c>
      <c r="B2283">
        <f>2721.13</f>
        <v>2721.13</v>
      </c>
      <c r="C2283">
        <f>9284.88</f>
        <v>9284.8799999999992</v>
      </c>
      <c r="D2283">
        <f>4968.88</f>
        <v>4968.88</v>
      </c>
      <c r="E2283">
        <f>2009.951</f>
        <v>2009.951</v>
      </c>
      <c r="F2283">
        <f>1849.89</f>
        <v>1849.89</v>
      </c>
      <c r="G2283">
        <f>8204.187</f>
        <v>8204.1869999999999</v>
      </c>
      <c r="H2283">
        <f>2482</f>
        <v>2482</v>
      </c>
      <c r="I2283">
        <f>8552.407</f>
        <v>8552.4069999999992</v>
      </c>
      <c r="J2283">
        <f>2667.7</f>
        <v>2667.7</v>
      </c>
      <c r="K2283">
        <f>7487.56</f>
        <v>7487.56</v>
      </c>
      <c r="L2283">
        <f>1597.92</f>
        <v>1597.92</v>
      </c>
      <c r="M2283">
        <f>6310.27</f>
        <v>6310.27</v>
      </c>
      <c r="N2283">
        <f>271.553</f>
        <v>271.553</v>
      </c>
      <c r="O2283">
        <f>2349.81</f>
        <v>2349.81</v>
      </c>
      <c r="P2283">
        <f>159.64</f>
        <v>159.63999999999999</v>
      </c>
      <c r="Q2283">
        <f>1650.36</f>
        <v>1650.36</v>
      </c>
      <c r="R2283">
        <f>3592.25</f>
        <v>3592.25</v>
      </c>
      <c r="S2283">
        <f>1811.98</f>
        <v>1811.98</v>
      </c>
      <c r="T2283">
        <f>2926.612</f>
        <v>2926.6120000000001</v>
      </c>
      <c r="U2283">
        <f>49336.31</f>
        <v>49336.31</v>
      </c>
      <c r="V2283">
        <f>319.97</f>
        <v>319.97000000000003</v>
      </c>
    </row>
    <row r="2284" spans="1:22" x14ac:dyDescent="0.2">
      <c r="A2284" s="1">
        <v>41911</v>
      </c>
      <c r="B2284">
        <f>2732.38</f>
        <v>2732.38</v>
      </c>
      <c r="C2284">
        <f>9319.06</f>
        <v>9319.06</v>
      </c>
      <c r="D2284">
        <f>4986.8</f>
        <v>4986.8</v>
      </c>
      <c r="E2284">
        <f>2018.136</f>
        <v>2018.136</v>
      </c>
      <c r="F2284">
        <f>1860.95</f>
        <v>1860.95</v>
      </c>
      <c r="G2284">
        <f>8249.173</f>
        <v>8249.1730000000007</v>
      </c>
      <c r="H2284">
        <f>2528.62</f>
        <v>2528.62</v>
      </c>
      <c r="I2284">
        <f>8511.614</f>
        <v>8511.6139999999996</v>
      </c>
      <c r="J2284">
        <f>2673.67</f>
        <v>2673.67</v>
      </c>
      <c r="K2284">
        <f>7509.87</f>
        <v>7509.87</v>
      </c>
      <c r="L2284">
        <f>1599.48</f>
        <v>1599.48</v>
      </c>
      <c r="M2284">
        <f>6324.08</f>
        <v>6324.08</v>
      </c>
      <c r="N2284">
        <f>269.725</f>
        <v>269.72500000000002</v>
      </c>
      <c r="O2284">
        <f>2335.04</f>
        <v>2335.04</v>
      </c>
      <c r="P2284">
        <f>161.09</f>
        <v>161.09</v>
      </c>
      <c r="Q2284">
        <f>1656.07</f>
        <v>1656.07</v>
      </c>
      <c r="R2284">
        <f>3602.09</f>
        <v>3602.09</v>
      </c>
      <c r="S2284">
        <f>1827.03</f>
        <v>1827.03</v>
      </c>
      <c r="T2284">
        <f>2921.016</f>
        <v>2921.0160000000001</v>
      </c>
      <c r="U2284">
        <f>49371.12</f>
        <v>49371.12</v>
      </c>
      <c r="V2284">
        <f>318.65</f>
        <v>318.64999999999998</v>
      </c>
    </row>
    <row r="2285" spans="1:22" x14ac:dyDescent="0.2">
      <c r="A2285" s="1">
        <v>41908</v>
      </c>
      <c r="B2285">
        <f>2745.98</f>
        <v>2745.98</v>
      </c>
      <c r="C2285">
        <f>9447.24</f>
        <v>9447.24</v>
      </c>
      <c r="D2285">
        <f>4988.89</f>
        <v>4988.8900000000003</v>
      </c>
      <c r="E2285">
        <f>2046.787</f>
        <v>2046.787</v>
      </c>
      <c r="F2285">
        <f>1858.66</f>
        <v>1858.66</v>
      </c>
      <c r="G2285">
        <f>8254.573</f>
        <v>8254.5730000000003</v>
      </c>
      <c r="H2285">
        <f>2523.67</f>
        <v>2523.67</v>
      </c>
      <c r="I2285">
        <f>8565.936</f>
        <v>8565.9359999999997</v>
      </c>
      <c r="J2285">
        <f>2677.8</f>
        <v>2677.8</v>
      </c>
      <c r="K2285">
        <f>7528.2</f>
        <v>7528.2</v>
      </c>
      <c r="L2285">
        <f>1602.92</f>
        <v>1602.92</v>
      </c>
      <c r="M2285">
        <f>6344.86</f>
        <v>6344.86</v>
      </c>
      <c r="N2285">
        <f>269.297</f>
        <v>269.29700000000003</v>
      </c>
      <c r="O2285">
        <f>2344.78</f>
        <v>2344.7800000000002</v>
      </c>
      <c r="P2285">
        <f>160.66</f>
        <v>160.66</v>
      </c>
      <c r="Q2285">
        <f>1658.08</f>
        <v>1658.08</v>
      </c>
      <c r="R2285">
        <f>3610.98</f>
        <v>3610.98</v>
      </c>
      <c r="S2285">
        <f>1819.72</f>
        <v>1819.72</v>
      </c>
      <c r="T2285">
        <f>2923.587</f>
        <v>2923.587</v>
      </c>
      <c r="U2285">
        <f>49663.64</f>
        <v>49663.64</v>
      </c>
      <c r="V2285">
        <f>318.95</f>
        <v>318.95</v>
      </c>
    </row>
    <row r="2286" spans="1:22" x14ac:dyDescent="0.2">
      <c r="A2286" s="1">
        <v>41907</v>
      </c>
      <c r="B2286">
        <f>2748.82</f>
        <v>2748.82</v>
      </c>
      <c r="C2286">
        <f>9489.17</f>
        <v>9489.17</v>
      </c>
      <c r="D2286">
        <f>4981.63</f>
        <v>4981.63</v>
      </c>
      <c r="E2286">
        <f>2050.098</f>
        <v>2050.098</v>
      </c>
      <c r="F2286">
        <f>1866.72</f>
        <v>1866.72</v>
      </c>
      <c r="G2286">
        <f>8284.363</f>
        <v>8284.3629999999994</v>
      </c>
      <c r="H2286">
        <f>2543.27</f>
        <v>2543.27</v>
      </c>
      <c r="I2286">
        <f>8569.215</f>
        <v>8569.2150000000001</v>
      </c>
      <c r="J2286">
        <f>2657.51</f>
        <v>2657.51</v>
      </c>
      <c r="K2286">
        <f>7462.17</f>
        <v>7462.17</v>
      </c>
      <c r="L2286">
        <f>1604.5</f>
        <v>1604.5</v>
      </c>
      <c r="M2286">
        <f>6322.36</f>
        <v>6322.36</v>
      </c>
      <c r="N2286">
        <f>268.589</f>
        <v>268.589</v>
      </c>
      <c r="O2286">
        <f>2336.56</f>
        <v>2336.56</v>
      </c>
      <c r="P2286">
        <f>161.21</f>
        <v>161.21</v>
      </c>
      <c r="Q2286">
        <f>1648.78</f>
        <v>1648.78</v>
      </c>
      <c r="R2286">
        <f>3579.61</f>
        <v>3579.61</v>
      </c>
      <c r="S2286">
        <f>1826.66</f>
        <v>1826.66</v>
      </c>
      <c r="T2286">
        <f>2912.236</f>
        <v>2912.2359999999999</v>
      </c>
      <c r="U2286">
        <f>49503.55</f>
        <v>49503.55</v>
      </c>
      <c r="V2286">
        <f>317.31</f>
        <v>317.31</v>
      </c>
    </row>
    <row r="2287" spans="1:22" x14ac:dyDescent="0.2">
      <c r="A2287" s="1">
        <v>41906</v>
      </c>
      <c r="B2287">
        <f>2772.44</f>
        <v>2772.44</v>
      </c>
      <c r="C2287">
        <f>9588.66</f>
        <v>9588.66</v>
      </c>
      <c r="D2287">
        <f>5031.57</f>
        <v>5031.57</v>
      </c>
      <c r="E2287">
        <f>2069.22</f>
        <v>2069.2199999999998</v>
      </c>
      <c r="F2287">
        <f>1879.2</f>
        <v>1879.2</v>
      </c>
      <c r="G2287">
        <f>8378.414</f>
        <v>8378.4140000000007</v>
      </c>
      <c r="H2287">
        <f>2513.97</f>
        <v>2513.9699999999998</v>
      </c>
      <c r="I2287">
        <f>8686.085</f>
        <v>8686.0849999999991</v>
      </c>
      <c r="J2287">
        <f>2697.16</f>
        <v>2697.16</v>
      </c>
      <c r="K2287">
        <f>7583.67</f>
        <v>7583.67</v>
      </c>
      <c r="L2287">
        <f>1622.83</f>
        <v>1622.83</v>
      </c>
      <c r="M2287">
        <f>6398.67</f>
        <v>6398.67</v>
      </c>
      <c r="N2287">
        <f>269.851</f>
        <v>269.851</v>
      </c>
      <c r="O2287">
        <f>2358.2</f>
        <v>2358.1999999999998</v>
      </c>
      <c r="P2287">
        <f>159.24</f>
        <v>159.24</v>
      </c>
      <c r="Q2287">
        <f>1670.36</f>
        <v>1670.36</v>
      </c>
      <c r="R2287">
        <f>3638.44</f>
        <v>3638.44</v>
      </c>
      <c r="S2287">
        <f>1799.18</f>
        <v>1799.18</v>
      </c>
      <c r="T2287" t="e">
        <f>NA()</f>
        <v>#N/A</v>
      </c>
      <c r="U2287" t="e">
        <f>NA()</f>
        <v>#N/A</v>
      </c>
      <c r="V2287" t="e">
        <f>NA()</f>
        <v>#N/A</v>
      </c>
    </row>
    <row r="2288" spans="1:22" x14ac:dyDescent="0.2">
      <c r="A2288" s="1">
        <v>41905</v>
      </c>
      <c r="B2288">
        <f>2771.31</f>
        <v>2771.31</v>
      </c>
      <c r="C2288">
        <f>9533.8</f>
        <v>9533.7999999999993</v>
      </c>
      <c r="D2288">
        <f>5007.8</f>
        <v>5007.8</v>
      </c>
      <c r="E2288">
        <f>2064.138</f>
        <v>2064.1379999999999</v>
      </c>
      <c r="F2288">
        <f>1873.13</f>
        <v>1873.13</v>
      </c>
      <c r="G2288">
        <f>8345.287</f>
        <v>8345.2870000000003</v>
      </c>
      <c r="H2288">
        <f>2520.34</f>
        <v>2520.34</v>
      </c>
      <c r="I2288">
        <f>8673.294</f>
        <v>8673.2939999999999</v>
      </c>
      <c r="J2288">
        <f>2677.95</f>
        <v>2677.95</v>
      </c>
      <c r="K2288">
        <f>7524.33</f>
        <v>7524.33</v>
      </c>
      <c r="L2288">
        <f>1617.78</f>
        <v>1617.78</v>
      </c>
      <c r="M2288">
        <f>6370.81</f>
        <v>6370.81</v>
      </c>
      <c r="N2288">
        <f>268.088</f>
        <v>268.08800000000002</v>
      </c>
      <c r="O2288">
        <f>2340.47</f>
        <v>2340.4699999999998</v>
      </c>
      <c r="P2288" t="e">
        <f>NA()</f>
        <v>#N/A</v>
      </c>
      <c r="Q2288">
        <f>1656.45</f>
        <v>1656.45</v>
      </c>
      <c r="R2288">
        <f>3610.1</f>
        <v>3610.1</v>
      </c>
      <c r="S2288" t="e">
        <f>NA()</f>
        <v>#N/A</v>
      </c>
      <c r="T2288">
        <f>2932.938</f>
        <v>2932.9380000000001</v>
      </c>
      <c r="U2288">
        <f>50053.91</f>
        <v>50053.91</v>
      </c>
      <c r="V2288">
        <f>320.89</f>
        <v>320.89</v>
      </c>
    </row>
    <row r="2289" spans="1:22" x14ac:dyDescent="0.2">
      <c r="A2289" s="1">
        <v>41904</v>
      </c>
      <c r="B2289">
        <f>2828.02</f>
        <v>2828.02</v>
      </c>
      <c r="C2289">
        <f>9568.37</f>
        <v>9568.3700000000008</v>
      </c>
      <c r="D2289">
        <f>5080.97</f>
        <v>5080.97</v>
      </c>
      <c r="E2289">
        <f>2079.087</f>
        <v>2079.087</v>
      </c>
      <c r="F2289">
        <f>1908.24</f>
        <v>1908.24</v>
      </c>
      <c r="G2289">
        <f>8453.038</f>
        <v>8453.0380000000005</v>
      </c>
      <c r="H2289">
        <f>2517.34</f>
        <v>2517.34</v>
      </c>
      <c r="I2289">
        <f>8755.142</f>
        <v>8755.1419999999998</v>
      </c>
      <c r="J2289">
        <f>2694.66</f>
        <v>2694.66</v>
      </c>
      <c r="K2289">
        <f>7567.46</f>
        <v>7567.46</v>
      </c>
      <c r="L2289">
        <f>1628.82</f>
        <v>1628.82</v>
      </c>
      <c r="M2289">
        <f>6408.08</f>
        <v>6408.08</v>
      </c>
      <c r="N2289">
        <f>271.95</f>
        <v>271.95</v>
      </c>
      <c r="O2289">
        <f>2372.06</f>
        <v>2372.06</v>
      </c>
      <c r="P2289">
        <f>159.23</f>
        <v>159.22999999999999</v>
      </c>
      <c r="Q2289">
        <f>1670.78</f>
        <v>1670.78</v>
      </c>
      <c r="R2289">
        <f>3630.7</f>
        <v>3630.7</v>
      </c>
      <c r="S2289">
        <f>1805.57</f>
        <v>1805.57</v>
      </c>
      <c r="T2289">
        <f>2966.464</f>
        <v>2966.4639999999999</v>
      </c>
      <c r="U2289">
        <f>50485.53</f>
        <v>50485.53</v>
      </c>
      <c r="V2289">
        <f>324.32</f>
        <v>324.32</v>
      </c>
    </row>
    <row r="2290" spans="1:22" x14ac:dyDescent="0.2">
      <c r="A2290" s="1">
        <v>41901</v>
      </c>
      <c r="B2290">
        <f>2845.24</f>
        <v>2845.24</v>
      </c>
      <c r="C2290">
        <f>9718.23</f>
        <v>9718.23</v>
      </c>
      <c r="D2290">
        <f>5129.2</f>
        <v>5129.2</v>
      </c>
      <c r="E2290">
        <f>2106.275</f>
        <v>2106.2750000000001</v>
      </c>
      <c r="F2290">
        <f>1926.16</f>
        <v>1926.16</v>
      </c>
      <c r="G2290">
        <f>8523.027</f>
        <v>8523.027</v>
      </c>
      <c r="H2290">
        <f>2506.07</f>
        <v>2506.0700000000002</v>
      </c>
      <c r="I2290">
        <f>8804.255</f>
        <v>8804.2549999999992</v>
      </c>
      <c r="J2290">
        <f>2707.12</f>
        <v>2707.12</v>
      </c>
      <c r="K2290">
        <f>7631.8</f>
        <v>7631.8</v>
      </c>
      <c r="L2290">
        <f>1638.23</f>
        <v>1638.23</v>
      </c>
      <c r="M2290">
        <f>6459.1</f>
        <v>6459.1</v>
      </c>
      <c r="N2290">
        <f>272.898</f>
        <v>272.89800000000002</v>
      </c>
      <c r="O2290">
        <f>2384.95</f>
        <v>2384.9499999999998</v>
      </c>
      <c r="P2290">
        <f>158.9</f>
        <v>158.9</v>
      </c>
      <c r="Q2290">
        <f>1668.73</f>
        <v>1668.73</v>
      </c>
      <c r="R2290">
        <f>3660.03</f>
        <v>3660.03</v>
      </c>
      <c r="S2290">
        <f>1806.96</f>
        <v>1806.96</v>
      </c>
      <c r="T2290">
        <f>3007.149</f>
        <v>3007.1489999999999</v>
      </c>
      <c r="U2290">
        <f>51462.42</f>
        <v>51462.42</v>
      </c>
      <c r="V2290">
        <f>332.32</f>
        <v>332.32</v>
      </c>
    </row>
    <row r="2291" spans="1:22" x14ac:dyDescent="0.2">
      <c r="A2291" s="1">
        <v>41900</v>
      </c>
      <c r="B2291">
        <f>2823.77</f>
        <v>2823.77</v>
      </c>
      <c r="C2291">
        <f>9745.6</f>
        <v>9745.6</v>
      </c>
      <c r="D2291">
        <f>5115.22</f>
        <v>5115.22</v>
      </c>
      <c r="E2291">
        <f>2111.067</f>
        <v>2111.067</v>
      </c>
      <c r="F2291">
        <f>1925.04</f>
        <v>1925.04</v>
      </c>
      <c r="G2291">
        <f>8539.932</f>
        <v>8539.9320000000007</v>
      </c>
      <c r="H2291">
        <f>2493.71</f>
        <v>2493.71</v>
      </c>
      <c r="I2291">
        <f>8852.292</f>
        <v>8852.2919999999995</v>
      </c>
      <c r="J2291">
        <f>2701.31</f>
        <v>2701.31</v>
      </c>
      <c r="K2291">
        <f>7636.06</f>
        <v>7636.06</v>
      </c>
      <c r="L2291">
        <f>1641.1</f>
        <v>1641.1</v>
      </c>
      <c r="M2291">
        <f>6467.89</f>
        <v>6467.89</v>
      </c>
      <c r="N2291">
        <f>271.654</f>
        <v>271.654</v>
      </c>
      <c r="O2291">
        <f>2379.83</f>
        <v>2379.83</v>
      </c>
      <c r="P2291">
        <f>157.72</f>
        <v>157.72</v>
      </c>
      <c r="Q2291">
        <f>1668.5</f>
        <v>1668.5</v>
      </c>
      <c r="R2291">
        <f>3661.73</f>
        <v>3661.73</v>
      </c>
      <c r="S2291">
        <f>1787.97</f>
        <v>1787.97</v>
      </c>
      <c r="T2291">
        <f>3023.223</f>
        <v>3023.223</v>
      </c>
      <c r="U2291">
        <f>51547.02</f>
        <v>51547.02</v>
      </c>
      <c r="V2291">
        <f>333.99</f>
        <v>333.99</v>
      </c>
    </row>
    <row r="2292" spans="1:22" x14ac:dyDescent="0.2">
      <c r="A2292" s="1">
        <v>41899</v>
      </c>
      <c r="B2292">
        <f>2803.97</f>
        <v>2803.97</v>
      </c>
      <c r="C2292">
        <f>9810.74</f>
        <v>9810.74</v>
      </c>
      <c r="D2292">
        <f>5086.43</f>
        <v>5086.43</v>
      </c>
      <c r="E2292">
        <f>2123.021</f>
        <v>2123.0210000000002</v>
      </c>
      <c r="F2292">
        <f>1902.9</f>
        <v>1902.9</v>
      </c>
      <c r="G2292">
        <f>8458.627</f>
        <v>8458.6270000000004</v>
      </c>
      <c r="H2292">
        <f>2504.19</f>
        <v>2504.19</v>
      </c>
      <c r="I2292">
        <f>8801.938</f>
        <v>8801.9380000000001</v>
      </c>
      <c r="J2292">
        <f>2693.11</f>
        <v>2693.11</v>
      </c>
      <c r="K2292">
        <f>7599.8</f>
        <v>7599.8</v>
      </c>
      <c r="L2292">
        <f>1636.21</f>
        <v>1636.21</v>
      </c>
      <c r="M2292">
        <f>6439.9</f>
        <v>6439.9</v>
      </c>
      <c r="N2292">
        <f>269.394</f>
        <v>269.39400000000001</v>
      </c>
      <c r="O2292">
        <f>2356.88</f>
        <v>2356.88</v>
      </c>
      <c r="P2292">
        <f>157.21</f>
        <v>157.21</v>
      </c>
      <c r="Q2292">
        <f>1660.48</f>
        <v>1660.48</v>
      </c>
      <c r="R2292">
        <f>3643.4</f>
        <v>3643.4</v>
      </c>
      <c r="S2292">
        <f>1770.4</f>
        <v>1770.4</v>
      </c>
      <c r="T2292">
        <f>3017.93</f>
        <v>3017.93</v>
      </c>
      <c r="U2292">
        <f>51173.03</f>
        <v>51173.03</v>
      </c>
      <c r="V2292">
        <f>331.68</f>
        <v>331.68</v>
      </c>
    </row>
    <row r="2293" spans="1:22" x14ac:dyDescent="0.2">
      <c r="A2293" s="1">
        <v>41898</v>
      </c>
      <c r="B2293">
        <f>2799.27</f>
        <v>2799.27</v>
      </c>
      <c r="C2293">
        <f>9750.4</f>
        <v>9750.4</v>
      </c>
      <c r="D2293">
        <f>5094.75</f>
        <v>5094.75</v>
      </c>
      <c r="E2293">
        <f>2106.347</f>
        <v>2106.3470000000002</v>
      </c>
      <c r="F2293">
        <f>1889.94</f>
        <v>1889.94</v>
      </c>
      <c r="G2293">
        <f>8418.613</f>
        <v>8418.6129999999994</v>
      </c>
      <c r="H2293">
        <f>2516.7</f>
        <v>2516.6999999999998</v>
      </c>
      <c r="I2293">
        <f>8749.274</f>
        <v>8749.2739999999994</v>
      </c>
      <c r="J2293">
        <f>2689.94</f>
        <v>2689.94</v>
      </c>
      <c r="K2293">
        <f>7590.17</f>
        <v>7590.17</v>
      </c>
      <c r="L2293">
        <f>1632.08</f>
        <v>1632.08</v>
      </c>
      <c r="M2293">
        <f>6429.34</f>
        <v>6429.34</v>
      </c>
      <c r="N2293">
        <f>268.681</f>
        <v>268.68099999999998</v>
      </c>
      <c r="O2293">
        <f>2346.45</f>
        <v>2346.4499999999998</v>
      </c>
      <c r="P2293">
        <f>157.51</f>
        <v>157.51</v>
      </c>
      <c r="Q2293">
        <f>1659.07</f>
        <v>1659.07</v>
      </c>
      <c r="R2293">
        <f>3638.6</f>
        <v>3638.6</v>
      </c>
      <c r="S2293">
        <f>1778.39</f>
        <v>1778.39</v>
      </c>
      <c r="T2293">
        <f>2992.401</f>
        <v>2992.4009999999998</v>
      </c>
      <c r="U2293">
        <f>51178.07</f>
        <v>51178.07</v>
      </c>
      <c r="V2293">
        <f>331.11</f>
        <v>331.11</v>
      </c>
    </row>
    <row r="2294" spans="1:22" x14ac:dyDescent="0.2">
      <c r="A2294" s="1">
        <v>41897</v>
      </c>
      <c r="B2294">
        <f>2806.91</f>
        <v>2806.91</v>
      </c>
      <c r="C2294">
        <f>9763.69</f>
        <v>9763.69</v>
      </c>
      <c r="D2294">
        <f>5103.73</f>
        <v>5103.7299999999996</v>
      </c>
      <c r="E2294">
        <f>2109.647</f>
        <v>2109.6469999999999</v>
      </c>
      <c r="F2294">
        <f>1895.15</f>
        <v>1895.15</v>
      </c>
      <c r="G2294">
        <f>8441.178</f>
        <v>8441.1779999999999</v>
      </c>
      <c r="H2294">
        <f>2517.01</f>
        <v>2517.0100000000002</v>
      </c>
      <c r="I2294">
        <f>8769.938</f>
        <v>8769.9380000000001</v>
      </c>
      <c r="J2294">
        <f>2671.47</f>
        <v>2671.47</v>
      </c>
      <c r="K2294">
        <f>7534.29</f>
        <v>7534.29</v>
      </c>
      <c r="L2294">
        <f>1626.79</f>
        <v>1626.79</v>
      </c>
      <c r="M2294">
        <f>6408.17</f>
        <v>6408.17</v>
      </c>
      <c r="N2294">
        <f>269.842</f>
        <v>269.84199999999998</v>
      </c>
      <c r="O2294">
        <f>2351.89</f>
        <v>2351.89</v>
      </c>
      <c r="P2294" t="e">
        <f>NA()</f>
        <v>#N/A</v>
      </c>
      <c r="Q2294">
        <f>1649.02</f>
        <v>1649.02</v>
      </c>
      <c r="R2294">
        <f>3611.52</f>
        <v>3611.52</v>
      </c>
      <c r="S2294" t="e">
        <f>NA()</f>
        <v>#N/A</v>
      </c>
      <c r="T2294">
        <f>3007.614</f>
        <v>3007.614</v>
      </c>
      <c r="U2294">
        <f>51376.57</f>
        <v>51376.57</v>
      </c>
      <c r="V2294">
        <f>329.88</f>
        <v>329.88</v>
      </c>
    </row>
    <row r="2295" spans="1:22" x14ac:dyDescent="0.2">
      <c r="A2295" s="1">
        <v>41894</v>
      </c>
      <c r="B2295">
        <f>2817.26</f>
        <v>2817.26</v>
      </c>
      <c r="C2295">
        <f>9828.22</f>
        <v>9828.2199999999993</v>
      </c>
      <c r="D2295">
        <f>5105.79</f>
        <v>5105.79</v>
      </c>
      <c r="E2295">
        <f>2120.275</f>
        <v>2120.2750000000001</v>
      </c>
      <c r="F2295">
        <f>1900.21</f>
        <v>1900.21</v>
      </c>
      <c r="G2295">
        <f>8440.854</f>
        <v>8440.8539999999994</v>
      </c>
      <c r="H2295">
        <f>2513.96</f>
        <v>2513.96</v>
      </c>
      <c r="I2295">
        <f>8779.704</f>
        <v>8779.7039999999997</v>
      </c>
      <c r="J2295">
        <f>2665.38</f>
        <v>2665.38</v>
      </c>
      <c r="K2295">
        <f>7544.34</f>
        <v>7544.34</v>
      </c>
      <c r="L2295">
        <f>1625.64</f>
        <v>1625.64</v>
      </c>
      <c r="M2295">
        <f>6417.84</f>
        <v>6417.84</v>
      </c>
      <c r="N2295">
        <f>270.028</f>
        <v>270.02800000000002</v>
      </c>
      <c r="O2295">
        <f>2353.17</f>
        <v>2353.17</v>
      </c>
      <c r="P2295">
        <f>157.59</f>
        <v>157.59</v>
      </c>
      <c r="Q2295">
        <f>1646.95</f>
        <v>1646.95</v>
      </c>
      <c r="R2295">
        <f>3614.06</f>
        <v>3614.06</v>
      </c>
      <c r="S2295">
        <f>1782.27</f>
        <v>1782.27</v>
      </c>
      <c r="T2295">
        <f>3015.34</f>
        <v>3015.34</v>
      </c>
      <c r="U2295">
        <f>51247.71</f>
        <v>51247.71</v>
      </c>
      <c r="V2295">
        <f>331.79</f>
        <v>331.79</v>
      </c>
    </row>
    <row r="2296" spans="1:22" x14ac:dyDescent="0.2">
      <c r="A2296" s="1">
        <v>41893</v>
      </c>
      <c r="B2296">
        <f>2807.69</f>
        <v>2807.69</v>
      </c>
      <c r="C2296">
        <f>9925.04</f>
        <v>9925.0400000000009</v>
      </c>
      <c r="D2296">
        <f>5100.29</f>
        <v>5100.29</v>
      </c>
      <c r="E2296">
        <f>2135.941</f>
        <v>2135.9409999999998</v>
      </c>
      <c r="F2296">
        <f>1899.58</f>
        <v>1899.58</v>
      </c>
      <c r="G2296">
        <f>8434.473</f>
        <v>8434.473</v>
      </c>
      <c r="H2296">
        <f>2522.09</f>
        <v>2522.09</v>
      </c>
      <c r="I2296">
        <f>8789.522</f>
        <v>8789.5220000000008</v>
      </c>
      <c r="J2296">
        <f>2681.79</f>
        <v>2681.79</v>
      </c>
      <c r="K2296">
        <f>7590.6</f>
        <v>7590.6</v>
      </c>
      <c r="L2296">
        <f>1632.19</f>
        <v>1632.19</v>
      </c>
      <c r="M2296">
        <f>6445.56</f>
        <v>6445.56</v>
      </c>
      <c r="N2296">
        <f>270.064</f>
        <v>270.06400000000002</v>
      </c>
      <c r="O2296">
        <f>2354.49</f>
        <v>2354.4899999999998</v>
      </c>
      <c r="P2296">
        <f>157.45</f>
        <v>157.44999999999999</v>
      </c>
      <c r="Q2296">
        <f>1655.56</f>
        <v>1655.56</v>
      </c>
      <c r="R2296">
        <f>3635.66</f>
        <v>3635.66</v>
      </c>
      <c r="S2296">
        <f>1778.9</f>
        <v>1778.9</v>
      </c>
      <c r="T2296">
        <f>3027.202</f>
        <v>3027.2020000000002</v>
      </c>
      <c r="U2296">
        <f>51230.89</f>
        <v>51230.89</v>
      </c>
      <c r="V2296">
        <f>332.84</f>
        <v>332.84</v>
      </c>
    </row>
    <row r="2297" spans="1:22" x14ac:dyDescent="0.2">
      <c r="A2297" s="1">
        <v>41892</v>
      </c>
      <c r="B2297">
        <f>2820.03</f>
        <v>2820.03</v>
      </c>
      <c r="C2297">
        <f>9983.67</f>
        <v>9983.67</v>
      </c>
      <c r="D2297">
        <f>5123.16</f>
        <v>5123.16</v>
      </c>
      <c r="E2297">
        <f>2146.827</f>
        <v>2146.8270000000002</v>
      </c>
      <c r="F2297">
        <f>1895.38</f>
        <v>1895.38</v>
      </c>
      <c r="G2297">
        <f>8428.226</f>
        <v>8428.2260000000006</v>
      </c>
      <c r="H2297">
        <f>2516.09</f>
        <v>2516.09</v>
      </c>
      <c r="I2297">
        <f>8784.779</f>
        <v>8784.7790000000005</v>
      </c>
      <c r="J2297">
        <f>2676.99</f>
        <v>2676.99</v>
      </c>
      <c r="K2297">
        <f>7580.62</f>
        <v>7580.62</v>
      </c>
      <c r="L2297">
        <f>1631.43</f>
        <v>1631.43</v>
      </c>
      <c r="M2297">
        <f>6439.91</f>
        <v>6439.91</v>
      </c>
      <c r="N2297">
        <f>270.334</f>
        <v>270.334</v>
      </c>
      <c r="O2297">
        <f>2357.53</f>
        <v>2357.5300000000002</v>
      </c>
      <c r="P2297">
        <f>157.31</f>
        <v>157.31</v>
      </c>
      <c r="Q2297">
        <f>1654.65</f>
        <v>1654.65</v>
      </c>
      <c r="R2297">
        <f>3631.45</f>
        <v>3631.45</v>
      </c>
      <c r="S2297">
        <f>1772.86</f>
        <v>1772.86</v>
      </c>
      <c r="T2297">
        <f>3018.397</f>
        <v>3018.3969999999999</v>
      </c>
      <c r="U2297">
        <f>51263.48</f>
        <v>51263.48</v>
      </c>
      <c r="V2297">
        <f>333.47</f>
        <v>333.47</v>
      </c>
    </row>
    <row r="2298" spans="1:22" x14ac:dyDescent="0.2">
      <c r="A2298" s="1">
        <v>41891</v>
      </c>
      <c r="B2298">
        <f>2824.42</f>
        <v>2824.42</v>
      </c>
      <c r="C2298">
        <f>10126.28</f>
        <v>10126.280000000001</v>
      </c>
      <c r="D2298">
        <f>5121.35</f>
        <v>5121.3500000000004</v>
      </c>
      <c r="E2298">
        <f>2171.342</f>
        <v>2171.3420000000001</v>
      </c>
      <c r="F2298">
        <f>1890.02</f>
        <v>1890.02</v>
      </c>
      <c r="G2298">
        <f>8405.799</f>
        <v>8405.7990000000009</v>
      </c>
      <c r="H2298">
        <f>2511.79</f>
        <v>2511.79</v>
      </c>
      <c r="I2298">
        <f>8795.246</f>
        <v>8795.2459999999992</v>
      </c>
      <c r="J2298">
        <f>2666.11</f>
        <v>2666.11</v>
      </c>
      <c r="K2298">
        <f>7552.86</f>
        <v>7552.86</v>
      </c>
      <c r="L2298">
        <f>1630.79</f>
        <v>1630.79</v>
      </c>
      <c r="M2298">
        <f>6429.55</f>
        <v>6429.55</v>
      </c>
      <c r="N2298">
        <f>270.226</f>
        <v>270.226</v>
      </c>
      <c r="O2298">
        <f>2357.07</f>
        <v>2357.0700000000002</v>
      </c>
      <c r="P2298">
        <f>156.04</f>
        <v>156.04</v>
      </c>
      <c r="Q2298">
        <f>1650.71</f>
        <v>1650.71</v>
      </c>
      <c r="R2298">
        <f>3617.89</f>
        <v>3617.89</v>
      </c>
      <c r="S2298">
        <f>1763.14</f>
        <v>1763.14</v>
      </c>
      <c r="T2298">
        <f>3022.471</f>
        <v>3022.471</v>
      </c>
      <c r="U2298">
        <f>51707.25</f>
        <v>51707.25</v>
      </c>
      <c r="V2298">
        <f>333.83</f>
        <v>333.83</v>
      </c>
    </row>
    <row r="2299" spans="1:22" x14ac:dyDescent="0.2">
      <c r="A2299" s="1">
        <v>41890</v>
      </c>
      <c r="B2299">
        <f>2824.84</f>
        <v>2824.84</v>
      </c>
      <c r="C2299">
        <f>10186.19</f>
        <v>10186.19</v>
      </c>
      <c r="D2299">
        <f>5125.67</f>
        <v>5125.67</v>
      </c>
      <c r="E2299">
        <f>2186.152</f>
        <v>2186.152</v>
      </c>
      <c r="F2299">
        <f>1898.68</f>
        <v>1898.68</v>
      </c>
      <c r="G2299">
        <f>8441.252</f>
        <v>8441.2520000000004</v>
      </c>
      <c r="H2299">
        <f>2529.85</f>
        <v>2529.85</v>
      </c>
      <c r="I2299">
        <f>8859.615</f>
        <v>8859.6149999999998</v>
      </c>
      <c r="J2299">
        <f>2677.6</f>
        <v>2677.6</v>
      </c>
      <c r="K2299">
        <f>7602.95</f>
        <v>7602.95</v>
      </c>
      <c r="L2299">
        <f>1640</f>
        <v>1640</v>
      </c>
      <c r="M2299">
        <f>6470.65</f>
        <v>6470.65</v>
      </c>
      <c r="N2299">
        <f>270.576</f>
        <v>270.57600000000002</v>
      </c>
      <c r="O2299">
        <f>2365.3</f>
        <v>2365.3000000000002</v>
      </c>
      <c r="P2299">
        <f>155.96</f>
        <v>155.96</v>
      </c>
      <c r="Q2299">
        <f>1657.74</f>
        <v>1657.74</v>
      </c>
      <c r="R2299">
        <f>3641.66</f>
        <v>3641.66</v>
      </c>
      <c r="S2299">
        <f>1761.81</f>
        <v>1761.81</v>
      </c>
      <c r="T2299">
        <f>3030.634</f>
        <v>3030.634</v>
      </c>
      <c r="U2299">
        <f>51610.13</f>
        <v>51610.13</v>
      </c>
      <c r="V2299">
        <f>336.84</f>
        <v>336.84</v>
      </c>
    </row>
    <row r="2300" spans="1:22" x14ac:dyDescent="0.2">
      <c r="A2300" s="1">
        <v>41887</v>
      </c>
      <c r="B2300">
        <f>2854.25</f>
        <v>2854.25</v>
      </c>
      <c r="C2300">
        <f>10192.24</f>
        <v>10192.24</v>
      </c>
      <c r="D2300">
        <f>5140.92</f>
        <v>5140.92</v>
      </c>
      <c r="E2300">
        <f>2189.325</f>
        <v>2189.3249999999998</v>
      </c>
      <c r="F2300">
        <f>1923.92</f>
        <v>1923.92</v>
      </c>
      <c r="G2300">
        <f>8552.066</f>
        <v>8552.0660000000007</v>
      </c>
      <c r="H2300">
        <f>2530.8</f>
        <v>2530.8000000000002</v>
      </c>
      <c r="I2300">
        <f>8867.788</f>
        <v>8867.7880000000005</v>
      </c>
      <c r="J2300">
        <f>2689.41</f>
        <v>2689.41</v>
      </c>
      <c r="K2300">
        <f>7624.06</f>
        <v>7624.06</v>
      </c>
      <c r="L2300">
        <f>1648.1</f>
        <v>1648.1</v>
      </c>
      <c r="M2300">
        <f>6493.3</f>
        <v>6493.3</v>
      </c>
      <c r="N2300">
        <f>273.061</f>
        <v>273.06099999999998</v>
      </c>
      <c r="O2300">
        <f>2375.95</f>
        <v>2375.9499999999998</v>
      </c>
      <c r="P2300">
        <f>155.31</f>
        <v>155.31</v>
      </c>
      <c r="Q2300">
        <f>1665.68</f>
        <v>1665.68</v>
      </c>
      <c r="R2300">
        <f>3652.26</f>
        <v>3652.26</v>
      </c>
      <c r="S2300">
        <f>1754.45</f>
        <v>1754.45</v>
      </c>
      <c r="T2300">
        <f>3026.882</f>
        <v>3026.8820000000001</v>
      </c>
      <c r="U2300">
        <f>51789.4</f>
        <v>51789.4</v>
      </c>
      <c r="V2300">
        <f>336.76</f>
        <v>336.76</v>
      </c>
    </row>
    <row r="2301" spans="1:22" x14ac:dyDescent="0.2">
      <c r="A2301" s="1">
        <v>41886</v>
      </c>
      <c r="B2301">
        <f>2862.85</f>
        <v>2862.85</v>
      </c>
      <c r="C2301">
        <f>10192.29</f>
        <v>10192.290000000001</v>
      </c>
      <c r="D2301">
        <f>5158.07</f>
        <v>5158.07</v>
      </c>
      <c r="E2301">
        <f>2195.947</f>
        <v>2195.9470000000001</v>
      </c>
      <c r="F2301">
        <f>1939.58</f>
        <v>1939.58</v>
      </c>
      <c r="G2301">
        <f>8621.962</f>
        <v>8621.9619999999995</v>
      </c>
      <c r="H2301">
        <f>2532.74</f>
        <v>2532.7399999999998</v>
      </c>
      <c r="I2301">
        <f>8892.23</f>
        <v>8892.23</v>
      </c>
      <c r="J2301">
        <f>2672.57</f>
        <v>2672.57</v>
      </c>
      <c r="K2301">
        <f>7585.72</f>
        <v>7585.72</v>
      </c>
      <c r="L2301">
        <f>1649.53</f>
        <v>1649.53</v>
      </c>
      <c r="M2301">
        <f>6485.63</f>
        <v>6485.63</v>
      </c>
      <c r="N2301">
        <f>275.048</f>
        <v>275.048</v>
      </c>
      <c r="O2301">
        <f>2385.34</f>
        <v>2385.34</v>
      </c>
      <c r="P2301">
        <f>155.88</f>
        <v>155.88</v>
      </c>
      <c r="Q2301">
        <f>1658.45</f>
        <v>1658.45</v>
      </c>
      <c r="R2301">
        <f>3633.87</f>
        <v>3633.87</v>
      </c>
      <c r="S2301">
        <f>1758.74</f>
        <v>1758.74</v>
      </c>
      <c r="T2301">
        <f>3032.338</f>
        <v>3032.3380000000002</v>
      </c>
      <c r="U2301">
        <f>52081.22</f>
        <v>52081.22</v>
      </c>
      <c r="V2301">
        <f>336.65</f>
        <v>336.65</v>
      </c>
    </row>
    <row r="2302" spans="1:22" x14ac:dyDescent="0.2">
      <c r="A2302" s="1">
        <v>41885</v>
      </c>
      <c r="B2302">
        <f>2860.12</f>
        <v>2860.12</v>
      </c>
      <c r="C2302">
        <f>10174.47</f>
        <v>10174.469999999999</v>
      </c>
      <c r="D2302">
        <f>5154.78</f>
        <v>5154.78</v>
      </c>
      <c r="E2302">
        <f>2196.81</f>
        <v>2196.81</v>
      </c>
      <c r="F2302">
        <f>1947.32</f>
        <v>1947.32</v>
      </c>
      <c r="G2302">
        <f>8646.394</f>
        <v>8646.3940000000002</v>
      </c>
      <c r="H2302">
        <f>2541.83</f>
        <v>2541.83</v>
      </c>
      <c r="I2302">
        <f>8903.949</f>
        <v>8903.9490000000005</v>
      </c>
      <c r="J2302">
        <f>2674.62</f>
        <v>2674.62</v>
      </c>
      <c r="K2302">
        <f>7598.4</f>
        <v>7598.4</v>
      </c>
      <c r="L2302">
        <f>1653.32</f>
        <v>1653.32</v>
      </c>
      <c r="M2302">
        <f>6497.97</f>
        <v>6497.97</v>
      </c>
      <c r="N2302">
        <f>272.643</f>
        <v>272.64299999999997</v>
      </c>
      <c r="O2302">
        <f>2357.73</f>
        <v>2357.73</v>
      </c>
      <c r="P2302">
        <f>156.46</f>
        <v>156.46</v>
      </c>
      <c r="Q2302">
        <f>1655.7</f>
        <v>1655.7</v>
      </c>
      <c r="R2302">
        <f>3639.35</f>
        <v>3639.35</v>
      </c>
      <c r="S2302">
        <f>1765.71</f>
        <v>1765.71</v>
      </c>
      <c r="T2302">
        <f>3015.412</f>
        <v>3015.4119999999998</v>
      </c>
      <c r="U2302">
        <f>51793.65</f>
        <v>51793.65</v>
      </c>
      <c r="V2302">
        <f>334.11</f>
        <v>334.11</v>
      </c>
    </row>
    <row r="2303" spans="1:22" x14ac:dyDescent="0.2">
      <c r="A2303" s="1">
        <v>41884</v>
      </c>
      <c r="B2303">
        <f>2845.93</f>
        <v>2845.93</v>
      </c>
      <c r="C2303">
        <f>9925.95</f>
        <v>9925.9500000000007</v>
      </c>
      <c r="D2303">
        <f>5117.82</f>
        <v>5117.82</v>
      </c>
      <c r="E2303">
        <f>2168.198</f>
        <v>2168.1979999999999</v>
      </c>
      <c r="F2303">
        <f>1947.69</f>
        <v>1947.69</v>
      </c>
      <c r="G2303">
        <f>8617.033</f>
        <v>8617.0329999999994</v>
      </c>
      <c r="H2303">
        <f>2529.03</f>
        <v>2529.0300000000002</v>
      </c>
      <c r="I2303">
        <f>8816.02</f>
        <v>8816.02</v>
      </c>
      <c r="J2303">
        <f>2672.98</f>
        <v>2672.98</v>
      </c>
      <c r="K2303">
        <f>7603.11</f>
        <v>7603.11</v>
      </c>
      <c r="L2303">
        <f>1644.91</f>
        <v>1644.91</v>
      </c>
      <c r="M2303">
        <f>6478.7</f>
        <v>6478.7</v>
      </c>
      <c r="N2303">
        <f>271.971</f>
        <v>271.971</v>
      </c>
      <c r="O2303">
        <f>2340.75</f>
        <v>2340.75</v>
      </c>
      <c r="P2303">
        <f>156.51</f>
        <v>156.51</v>
      </c>
      <c r="Q2303">
        <f>1651.96</f>
        <v>1651.96</v>
      </c>
      <c r="R2303">
        <f>3641.52</f>
        <v>3641.52</v>
      </c>
      <c r="S2303">
        <f>1759.57</f>
        <v>1759.57</v>
      </c>
      <c r="T2303">
        <f>2988.355</f>
        <v>2988.355</v>
      </c>
      <c r="U2303">
        <f>51462.57</f>
        <v>51462.57</v>
      </c>
      <c r="V2303">
        <f>332.49</f>
        <v>332.49</v>
      </c>
    </row>
    <row r="2304" spans="1:22" x14ac:dyDescent="0.2">
      <c r="A2304" s="1">
        <v>41883</v>
      </c>
      <c r="B2304">
        <f>2836.01</f>
        <v>2836.01</v>
      </c>
      <c r="C2304">
        <f>9941.06</f>
        <v>9941.06</v>
      </c>
      <c r="D2304">
        <f>5114.92</f>
        <v>5114.92</v>
      </c>
      <c r="E2304">
        <f>2175.824</f>
        <v>2175.8240000000001</v>
      </c>
      <c r="F2304">
        <f>1958.06</f>
        <v>1958.06</v>
      </c>
      <c r="G2304">
        <f>8667.835</f>
        <v>8667.8349999999991</v>
      </c>
      <c r="H2304">
        <f>2537.05</f>
        <v>2537.0500000000002</v>
      </c>
      <c r="I2304">
        <f>8808.391</f>
        <v>8808.3909999999996</v>
      </c>
      <c r="J2304">
        <f>2683.45</f>
        <v>2683.45</v>
      </c>
      <c r="K2304">
        <f>7606.39</f>
        <v>7606.39</v>
      </c>
      <c r="L2304">
        <f>1649.8</f>
        <v>1649.8</v>
      </c>
      <c r="M2304">
        <f>6482.44</f>
        <v>6482.44</v>
      </c>
      <c r="N2304">
        <f>272.606</f>
        <v>272.60599999999999</v>
      </c>
      <c r="O2304">
        <f>2342.65</f>
        <v>2342.65</v>
      </c>
      <c r="P2304">
        <f>155.68</f>
        <v>155.68</v>
      </c>
      <c r="Q2304" t="e">
        <f>NA()</f>
        <v>#N/A</v>
      </c>
      <c r="R2304" t="e">
        <f>NA()</f>
        <v>#N/A</v>
      </c>
      <c r="S2304">
        <f>1740.67</f>
        <v>1740.67</v>
      </c>
      <c r="T2304">
        <f>2972.139</f>
        <v>2972.1390000000001</v>
      </c>
      <c r="U2304">
        <f>51113.87</f>
        <v>51113.87</v>
      </c>
      <c r="V2304">
        <f>330.52</f>
        <v>330.52</v>
      </c>
    </row>
    <row r="2305" spans="1:22" x14ac:dyDescent="0.2">
      <c r="A2305" s="1">
        <v>41880</v>
      </c>
      <c r="B2305">
        <f>2833.59</f>
        <v>2833.59</v>
      </c>
      <c r="C2305">
        <f>9956.29</f>
        <v>9956.2900000000009</v>
      </c>
      <c r="D2305">
        <f>5110.75</f>
        <v>5110.75</v>
      </c>
      <c r="E2305">
        <f>2170.375</f>
        <v>2170.375</v>
      </c>
      <c r="F2305">
        <f>1955.61</f>
        <v>1955.61</v>
      </c>
      <c r="G2305">
        <f>8655.101</f>
        <v>8655.1010000000006</v>
      </c>
      <c r="H2305">
        <f>2533.14</f>
        <v>2533.14</v>
      </c>
      <c r="I2305">
        <f>8819.56</f>
        <v>8819.56</v>
      </c>
      <c r="J2305">
        <f>2683.45</f>
        <v>2683.45</v>
      </c>
      <c r="K2305">
        <f>7606.39</f>
        <v>7606.39</v>
      </c>
      <c r="L2305">
        <f>1648.45</f>
        <v>1648.45</v>
      </c>
      <c r="M2305">
        <f>6483.57</f>
        <v>6483.57</v>
      </c>
      <c r="N2305">
        <f>271.145</f>
        <v>271.14499999999998</v>
      </c>
      <c r="O2305">
        <f>2336.34</f>
        <v>2336.34</v>
      </c>
      <c r="P2305">
        <f>155.51</f>
        <v>155.51</v>
      </c>
      <c r="Q2305">
        <f>1652.42</f>
        <v>1652.42</v>
      </c>
      <c r="R2305">
        <f>3643.34</f>
        <v>3643.34</v>
      </c>
      <c r="S2305">
        <f>1733.76</f>
        <v>1733.76</v>
      </c>
      <c r="T2305">
        <f>2955.719</f>
        <v>2955.7190000000001</v>
      </c>
      <c r="U2305">
        <f>50959.02</f>
        <v>50959.02</v>
      </c>
      <c r="V2305">
        <f>328.84</f>
        <v>328.84</v>
      </c>
    </row>
    <row r="2306" spans="1:22" x14ac:dyDescent="0.2">
      <c r="A2306" s="1">
        <v>41879</v>
      </c>
      <c r="B2306">
        <f>2831.15</f>
        <v>2831.15</v>
      </c>
      <c r="C2306">
        <f>9957.2</f>
        <v>9957.2000000000007</v>
      </c>
      <c r="D2306">
        <f>5100.3</f>
        <v>5100.3</v>
      </c>
      <c r="E2306">
        <f>2168.537</f>
        <v>2168.5369999999998</v>
      </c>
      <c r="F2306">
        <f>1955.39</f>
        <v>1955.39</v>
      </c>
      <c r="G2306">
        <f>8622.323</f>
        <v>8622.3230000000003</v>
      </c>
      <c r="H2306">
        <f>2544.85</f>
        <v>2544.85</v>
      </c>
      <c r="I2306">
        <f>8800.123</f>
        <v>8800.1229999999996</v>
      </c>
      <c r="J2306">
        <f>2674.97</f>
        <v>2674.97</v>
      </c>
      <c r="K2306">
        <f>7580.06</f>
        <v>7580.06</v>
      </c>
      <c r="L2306">
        <f>1643.48</f>
        <v>1643.48</v>
      </c>
      <c r="M2306">
        <f>6466.98</f>
        <v>6466.98</v>
      </c>
      <c r="N2306">
        <f>270.017</f>
        <v>270.017</v>
      </c>
      <c r="O2306">
        <f>2328.61</f>
        <v>2328.61</v>
      </c>
      <c r="P2306">
        <f>155.19</f>
        <v>155.19</v>
      </c>
      <c r="Q2306">
        <f>1648.95</f>
        <v>1648.95</v>
      </c>
      <c r="R2306">
        <f>3630.98</f>
        <v>3630.98</v>
      </c>
      <c r="S2306">
        <f>1737.51</f>
        <v>1737.51</v>
      </c>
      <c r="T2306">
        <f>2959.649</f>
        <v>2959.6489999999999</v>
      </c>
      <c r="U2306">
        <f>51133.13</f>
        <v>51133.13</v>
      </c>
      <c r="V2306">
        <f>330.46</f>
        <v>330.46</v>
      </c>
    </row>
    <row r="2307" spans="1:22" x14ac:dyDescent="0.2">
      <c r="A2307" s="1">
        <v>41878</v>
      </c>
      <c r="B2307">
        <f>2846.82</f>
        <v>2846.82</v>
      </c>
      <c r="C2307">
        <f>10047.44</f>
        <v>10047.44</v>
      </c>
      <c r="D2307">
        <f>5118.93</f>
        <v>5118.93</v>
      </c>
      <c r="E2307">
        <f>2181.52</f>
        <v>2181.52</v>
      </c>
      <c r="F2307">
        <f>1956.28</f>
        <v>1956.28</v>
      </c>
      <c r="G2307">
        <f>8656.854</f>
        <v>8656.8539999999994</v>
      </c>
      <c r="H2307">
        <f>2545.12</f>
        <v>2545.12</v>
      </c>
      <c r="I2307">
        <f>8893.582</f>
        <v>8893.5820000000003</v>
      </c>
      <c r="J2307">
        <f>2675.08</f>
        <v>2675.08</v>
      </c>
      <c r="K2307">
        <f>7591.66</f>
        <v>7591.66</v>
      </c>
      <c r="L2307">
        <f>1649.12</f>
        <v>1649.12</v>
      </c>
      <c r="M2307">
        <f>6489.9</f>
        <v>6489.9</v>
      </c>
      <c r="N2307">
        <f>270.666</f>
        <v>270.666</v>
      </c>
      <c r="O2307">
        <f>2343.72</f>
        <v>2343.7199999999998</v>
      </c>
      <c r="P2307">
        <f>155.39</f>
        <v>155.38999999999999</v>
      </c>
      <c r="Q2307">
        <f>1650.3</f>
        <v>1650.3</v>
      </c>
      <c r="R2307">
        <f>3636.64</f>
        <v>3636.64</v>
      </c>
      <c r="S2307">
        <f>1744.54</f>
        <v>1744.54</v>
      </c>
      <c r="T2307">
        <f>2964.615</f>
        <v>2964.6149999999998</v>
      </c>
      <c r="U2307">
        <f>51610.42</f>
        <v>51610.42</v>
      </c>
      <c r="V2307">
        <f>331.16</f>
        <v>331.16</v>
      </c>
    </row>
    <row r="2308" spans="1:22" x14ac:dyDescent="0.2">
      <c r="A2308" s="1">
        <v>41877</v>
      </c>
      <c r="B2308">
        <f>2847.28</f>
        <v>2847.28</v>
      </c>
      <c r="C2308">
        <f>10031.48</f>
        <v>10031.48</v>
      </c>
      <c r="D2308">
        <f>5111.47</f>
        <v>5111.47</v>
      </c>
      <c r="E2308">
        <f>2169.406</f>
        <v>2169.4059999999999</v>
      </c>
      <c r="F2308">
        <f>1953.02</f>
        <v>1953.02</v>
      </c>
      <c r="G2308">
        <f>8639.94</f>
        <v>8639.94</v>
      </c>
      <c r="H2308">
        <f>2535.84</f>
        <v>2535.84</v>
      </c>
      <c r="I2308">
        <f>8888.054</f>
        <v>8888.0540000000001</v>
      </c>
      <c r="J2308">
        <f>2669.22</f>
        <v>2669.22</v>
      </c>
      <c r="K2308">
        <f>7588.91</f>
        <v>7588.91</v>
      </c>
      <c r="L2308">
        <f>1645.53</f>
        <v>1645.53</v>
      </c>
      <c r="M2308">
        <f>6482.75</f>
        <v>6482.75</v>
      </c>
      <c r="N2308">
        <f>270.429</f>
        <v>270.42899999999997</v>
      </c>
      <c r="O2308">
        <f>2341.73</f>
        <v>2341.73</v>
      </c>
      <c r="P2308">
        <f>155.62</f>
        <v>155.62</v>
      </c>
      <c r="Q2308">
        <f>1651.4</f>
        <v>1651.4</v>
      </c>
      <c r="R2308">
        <f>3635.71</f>
        <v>3635.71</v>
      </c>
      <c r="S2308">
        <f>1742.87</f>
        <v>1742.87</v>
      </c>
      <c r="T2308">
        <f>2969.193</f>
        <v>2969.1930000000002</v>
      </c>
      <c r="U2308">
        <f>51729.68</f>
        <v>51729.68</v>
      </c>
      <c r="V2308">
        <f>332.52</f>
        <v>332.52</v>
      </c>
    </row>
    <row r="2309" spans="1:22" x14ac:dyDescent="0.2">
      <c r="A2309" s="1">
        <v>41876</v>
      </c>
      <c r="B2309">
        <f>2822.29</f>
        <v>2822.29</v>
      </c>
      <c r="C2309">
        <f>10017.83</f>
        <v>10017.83</v>
      </c>
      <c r="D2309">
        <f>5075.88</f>
        <v>5075.88</v>
      </c>
      <c r="E2309">
        <f>2164.388</f>
        <v>2164.3879999999999</v>
      </c>
      <c r="F2309">
        <f>1938.11</f>
        <v>1938.11</v>
      </c>
      <c r="G2309">
        <f>8584.891</f>
        <v>8584.8909999999996</v>
      </c>
      <c r="H2309">
        <f>2542.91</f>
        <v>2542.91</v>
      </c>
      <c r="I2309">
        <f>8815.343</f>
        <v>8815.3430000000008</v>
      </c>
      <c r="J2309">
        <f>2670.41</f>
        <v>2670.41</v>
      </c>
      <c r="K2309">
        <f>7580.2</f>
        <v>7580.2</v>
      </c>
      <c r="L2309">
        <f>1640.78</f>
        <v>1640.78</v>
      </c>
      <c r="M2309">
        <f>6468.15</f>
        <v>6468.15</v>
      </c>
      <c r="N2309">
        <f>268.487</f>
        <v>268.48700000000002</v>
      </c>
      <c r="O2309">
        <f>2323.72</f>
        <v>2323.7199999999998</v>
      </c>
      <c r="P2309">
        <f>156.44</f>
        <v>156.44</v>
      </c>
      <c r="Q2309">
        <f>1652.84</f>
        <v>1652.84</v>
      </c>
      <c r="R2309">
        <f>3631.86</f>
        <v>3631.86</v>
      </c>
      <c r="S2309">
        <f>1751.41</f>
        <v>1751.41</v>
      </c>
      <c r="T2309">
        <f>2960.071</f>
        <v>2960.0709999999999</v>
      </c>
      <c r="U2309">
        <f>51437.58</f>
        <v>51437.58</v>
      </c>
      <c r="V2309">
        <f>331.8</f>
        <v>331.8</v>
      </c>
    </row>
    <row r="2310" spans="1:22" x14ac:dyDescent="0.2">
      <c r="A2310" s="1">
        <v>41873</v>
      </c>
      <c r="B2310">
        <f>2822.29</f>
        <v>2822.29</v>
      </c>
      <c r="C2310">
        <f>9973.12</f>
        <v>9973.1200000000008</v>
      </c>
      <c r="D2310">
        <f>5075.88</f>
        <v>5075.88</v>
      </c>
      <c r="E2310">
        <f>2159.602</f>
        <v>2159.6019999999999</v>
      </c>
      <c r="F2310">
        <f>1936.71</f>
        <v>1936.71</v>
      </c>
      <c r="G2310">
        <f>8578.678</f>
        <v>8578.6779999999999</v>
      </c>
      <c r="H2310">
        <f>2534.56</f>
        <v>2534.56</v>
      </c>
      <c r="I2310">
        <f>8707.865</f>
        <v>8707.8649999999998</v>
      </c>
      <c r="J2310">
        <f>2660.29</f>
        <v>2660.29</v>
      </c>
      <c r="K2310">
        <f>7544.56</f>
        <v>7544.56</v>
      </c>
      <c r="L2310">
        <f>1633.19</f>
        <v>1633.19</v>
      </c>
      <c r="M2310">
        <f>6433.45</f>
        <v>6433.45</v>
      </c>
      <c r="N2310">
        <f>266.679</f>
        <v>266.67899999999997</v>
      </c>
      <c r="O2310">
        <f>2297.9</f>
        <v>2297.9</v>
      </c>
      <c r="P2310">
        <f>156.2</f>
        <v>156.19999999999999</v>
      </c>
      <c r="Q2310">
        <f>1644.56</f>
        <v>1644.56</v>
      </c>
      <c r="R2310">
        <f>3614.5</f>
        <v>3614.5</v>
      </c>
      <c r="S2310">
        <f>1744.31</f>
        <v>1744.31</v>
      </c>
      <c r="T2310">
        <f>2917.614</f>
        <v>2917.614</v>
      </c>
      <c r="U2310">
        <f>51197.16</f>
        <v>51197.16</v>
      </c>
      <c r="V2310">
        <f>330.26</f>
        <v>330.26</v>
      </c>
    </row>
    <row r="2311" spans="1:22" x14ac:dyDescent="0.2">
      <c r="A2311" s="1">
        <v>41872</v>
      </c>
      <c r="B2311">
        <f>2824.31</f>
        <v>2824.31</v>
      </c>
      <c r="C2311">
        <f>9970.65</f>
        <v>9970.65</v>
      </c>
      <c r="D2311">
        <f>5077.68</f>
        <v>5077.68</v>
      </c>
      <c r="E2311">
        <f>2157.217</f>
        <v>2157.2170000000001</v>
      </c>
      <c r="F2311">
        <f>1941.57</f>
        <v>1941.57</v>
      </c>
      <c r="G2311">
        <f>8594.985</f>
        <v>8594.9850000000006</v>
      </c>
      <c r="H2311">
        <f>2550.86</f>
        <v>2550.86</v>
      </c>
      <c r="I2311">
        <f>8784.179</f>
        <v>8784.1790000000001</v>
      </c>
      <c r="J2311">
        <f>2666.12</f>
        <v>2666.12</v>
      </c>
      <c r="K2311">
        <f>7557.88</f>
        <v>7557.88</v>
      </c>
      <c r="L2311">
        <f>1641.32</f>
        <v>1641.32</v>
      </c>
      <c r="M2311">
        <f>6455</f>
        <v>6455</v>
      </c>
      <c r="N2311">
        <f>266.835</f>
        <v>266.83499999999998</v>
      </c>
      <c r="O2311">
        <f>2303.82</f>
        <v>2303.8200000000002</v>
      </c>
      <c r="P2311">
        <f>156.61</f>
        <v>156.61000000000001</v>
      </c>
      <c r="Q2311">
        <f>1650.32</f>
        <v>1650.32</v>
      </c>
      <c r="R2311">
        <f>3621.23</f>
        <v>3621.23</v>
      </c>
      <c r="S2311">
        <f>1751.26</f>
        <v>1751.26</v>
      </c>
      <c r="T2311">
        <f>2909.081</f>
        <v>2909.0810000000001</v>
      </c>
      <c r="U2311">
        <f>51443.43</f>
        <v>51443.43</v>
      </c>
      <c r="V2311">
        <f>329.79</f>
        <v>329.79</v>
      </c>
    </row>
    <row r="2312" spans="1:22" x14ac:dyDescent="0.2">
      <c r="A2312" s="1">
        <v>41871</v>
      </c>
      <c r="B2312">
        <f>2809.1</f>
        <v>2809.1</v>
      </c>
      <c r="C2312">
        <f>9974.39</f>
        <v>9974.39</v>
      </c>
      <c r="D2312">
        <f>5061.06</f>
        <v>5061.0600000000004</v>
      </c>
      <c r="E2312">
        <f>2163.372</f>
        <v>2163.3719999999998</v>
      </c>
      <c r="F2312">
        <f>1936.19</f>
        <v>1936.19</v>
      </c>
      <c r="G2312">
        <f>8593.002</f>
        <v>8593.0020000000004</v>
      </c>
      <c r="H2312">
        <f>2545.95</f>
        <v>2545.9499999999998</v>
      </c>
      <c r="I2312">
        <f>8705.636</f>
        <v>8705.6360000000004</v>
      </c>
      <c r="J2312">
        <f>2659.34</f>
        <v>2659.34</v>
      </c>
      <c r="K2312">
        <f>7536.02</f>
        <v>7536.02</v>
      </c>
      <c r="L2312">
        <f>1635.38</f>
        <v>1635.38</v>
      </c>
      <c r="M2312">
        <f>6432.18</f>
        <v>6432.18</v>
      </c>
      <c r="N2312">
        <f>266.161</f>
        <v>266.161</v>
      </c>
      <c r="O2312">
        <f>2288.83</f>
        <v>2288.83</v>
      </c>
      <c r="P2312">
        <f>156.12</f>
        <v>156.12</v>
      </c>
      <c r="Q2312">
        <f>1645.28</f>
        <v>1645.28</v>
      </c>
      <c r="R2312">
        <f>3610.49</f>
        <v>3610.49</v>
      </c>
      <c r="S2312">
        <f>1735.59</f>
        <v>1735.59</v>
      </c>
      <c r="T2312">
        <f>2884.797</f>
        <v>2884.797</v>
      </c>
      <c r="U2312">
        <f>51436.59</f>
        <v>51436.59</v>
      </c>
      <c r="V2312">
        <f>326.22</f>
        <v>326.22000000000003</v>
      </c>
    </row>
    <row r="2313" spans="1:22" x14ac:dyDescent="0.2">
      <c r="A2313" s="1">
        <v>41870</v>
      </c>
      <c r="B2313">
        <f>2825.22</f>
        <v>2825.22</v>
      </c>
      <c r="C2313">
        <f>10009.64</f>
        <v>10009.64</v>
      </c>
      <c r="D2313">
        <f>5071.39</f>
        <v>5071.3900000000003</v>
      </c>
      <c r="E2313">
        <f>2162.081</f>
        <v>2162.0810000000001</v>
      </c>
      <c r="F2313">
        <f>1934.12</f>
        <v>1934.12</v>
      </c>
      <c r="G2313">
        <f>8594.165</f>
        <v>8594.1650000000009</v>
      </c>
      <c r="H2313">
        <f>2559.46</f>
        <v>2559.46</v>
      </c>
      <c r="I2313">
        <f>8734.847</f>
        <v>8734.8469999999998</v>
      </c>
      <c r="J2313">
        <f>2654.85</f>
        <v>2654.85</v>
      </c>
      <c r="K2313">
        <f>7516.73</f>
        <v>7516.73</v>
      </c>
      <c r="L2313">
        <f>1635.25</f>
        <v>1635.25</v>
      </c>
      <c r="M2313">
        <f>6427.56</f>
        <v>6427.56</v>
      </c>
      <c r="N2313">
        <f>266.37</f>
        <v>266.37</v>
      </c>
      <c r="O2313">
        <f>2289.04</f>
        <v>2289.04</v>
      </c>
      <c r="P2313">
        <f>156.25</f>
        <v>156.25</v>
      </c>
      <c r="Q2313">
        <f>1642.48</f>
        <v>1642.48</v>
      </c>
      <c r="R2313">
        <f>3601.33</f>
        <v>3601.33</v>
      </c>
      <c r="S2313">
        <f>1736.46</f>
        <v>1736.46</v>
      </c>
      <c r="T2313">
        <f>2879.777</f>
        <v>2879.777</v>
      </c>
      <c r="U2313">
        <f>51363.37</f>
        <v>51363.37</v>
      </c>
      <c r="V2313">
        <f>327.62</f>
        <v>327.62</v>
      </c>
    </row>
    <row r="2314" spans="1:22" x14ac:dyDescent="0.2">
      <c r="A2314" s="1">
        <v>41869</v>
      </c>
      <c r="B2314">
        <f>2807.91</f>
        <v>2807.91</v>
      </c>
      <c r="C2314">
        <f>9957.06</f>
        <v>9957.06</v>
      </c>
      <c r="D2314">
        <f>5042.92</f>
        <v>5042.92</v>
      </c>
      <c r="E2314">
        <f>2147.081</f>
        <v>2147.0810000000001</v>
      </c>
      <c r="F2314">
        <f>1933.94</f>
        <v>1933.94</v>
      </c>
      <c r="G2314">
        <f>8600.587</f>
        <v>8600.5869999999995</v>
      </c>
      <c r="H2314">
        <f>2551.75</f>
        <v>2551.75</v>
      </c>
      <c r="I2314">
        <f>8703.005</f>
        <v>8703.0049999999992</v>
      </c>
      <c r="J2314">
        <f>2641.78</f>
        <v>2641.78</v>
      </c>
      <c r="K2314">
        <f>7478.55</f>
        <v>7478.55</v>
      </c>
      <c r="L2314">
        <f>1628.89</f>
        <v>1628.89</v>
      </c>
      <c r="M2314">
        <f>6398.33</f>
        <v>6398.33</v>
      </c>
      <c r="N2314">
        <f>265.593</f>
        <v>265.59300000000002</v>
      </c>
      <c r="O2314">
        <f>2276.4</f>
        <v>2276.4</v>
      </c>
      <c r="P2314">
        <f>155.73</f>
        <v>155.72999999999999</v>
      </c>
      <c r="Q2314">
        <f>1636.33</f>
        <v>1636.33</v>
      </c>
      <c r="R2314">
        <f>3582.7</f>
        <v>3582.7</v>
      </c>
      <c r="S2314">
        <f>1724.21</f>
        <v>1724.21</v>
      </c>
      <c r="T2314">
        <f>2867.286</f>
        <v>2867.2860000000001</v>
      </c>
      <c r="U2314">
        <f>51572.19</f>
        <v>51572.19</v>
      </c>
      <c r="V2314">
        <f>327.41</f>
        <v>327.41000000000003</v>
      </c>
    </row>
    <row r="2315" spans="1:22" x14ac:dyDescent="0.2">
      <c r="A2315" s="1">
        <v>41866</v>
      </c>
      <c r="B2315">
        <f>2787.58</f>
        <v>2787.58</v>
      </c>
      <c r="C2315">
        <f>9900.02</f>
        <v>9900.02</v>
      </c>
      <c r="D2315">
        <f>5003.89</f>
        <v>5003.8900000000003</v>
      </c>
      <c r="E2315">
        <f>2141.992</f>
        <v>2141.9920000000002</v>
      </c>
      <c r="F2315">
        <f>1914.45</f>
        <v>1914.45</v>
      </c>
      <c r="G2315">
        <f>8515.889</f>
        <v>8515.8889999999992</v>
      </c>
      <c r="H2315">
        <f>2557.35</f>
        <v>2557.35</v>
      </c>
      <c r="I2315">
        <f>8611.051</f>
        <v>8611.0509999999995</v>
      </c>
      <c r="J2315">
        <f>2625.2</f>
        <v>2625.2</v>
      </c>
      <c r="K2315">
        <f>7414.94</f>
        <v>7414.94</v>
      </c>
      <c r="L2315">
        <f>1617.8</f>
        <v>1617.8</v>
      </c>
      <c r="M2315">
        <f>6349.32</f>
        <v>6349.32</v>
      </c>
      <c r="N2315">
        <f>262.271</f>
        <v>262.27100000000002</v>
      </c>
      <c r="O2315">
        <f>2249.46</f>
        <v>2249.46</v>
      </c>
      <c r="P2315">
        <f>156.19</f>
        <v>156.19</v>
      </c>
      <c r="Q2315">
        <f>1620.45</f>
        <v>1620.45</v>
      </c>
      <c r="R2315">
        <f>3552.17</f>
        <v>3552.17</v>
      </c>
      <c r="S2315">
        <f>1723.4</f>
        <v>1723.4</v>
      </c>
      <c r="T2315">
        <f>2866.783</f>
        <v>2866.7829999999999</v>
      </c>
      <c r="U2315">
        <f>51257.72</f>
        <v>51257.72</v>
      </c>
      <c r="V2315">
        <f>325.15</f>
        <v>325.14999999999998</v>
      </c>
    </row>
    <row r="2316" spans="1:22" x14ac:dyDescent="0.2">
      <c r="A2316" s="1">
        <v>41865</v>
      </c>
      <c r="B2316">
        <f>2792.62</f>
        <v>2792.62</v>
      </c>
      <c r="C2316">
        <f>9859.37</f>
        <v>9859.3700000000008</v>
      </c>
      <c r="D2316">
        <f>5001.04</f>
        <v>5001.04</v>
      </c>
      <c r="E2316">
        <f>2137.712</f>
        <v>2137.712</v>
      </c>
      <c r="F2316">
        <f>1910.86</f>
        <v>1910.86</v>
      </c>
      <c r="G2316">
        <f>8511.56</f>
        <v>8511.56</v>
      </c>
      <c r="H2316">
        <f>2551.73</f>
        <v>2551.73</v>
      </c>
      <c r="I2316">
        <f>8663.187</f>
        <v>8663.1869999999999</v>
      </c>
      <c r="J2316">
        <f>2623.76</f>
        <v>2623.76</v>
      </c>
      <c r="K2316">
        <f>7413.33</f>
        <v>7413.33</v>
      </c>
      <c r="L2316">
        <f>1620.44</f>
        <v>1620.44</v>
      </c>
      <c r="M2316">
        <f>6354.3</f>
        <v>6354.3</v>
      </c>
      <c r="N2316">
        <f>262.869</f>
        <v>262.86900000000003</v>
      </c>
      <c r="O2316">
        <f>2259.29</f>
        <v>2259.29</v>
      </c>
      <c r="P2316">
        <f>155.52</f>
        <v>155.52000000000001</v>
      </c>
      <c r="Q2316">
        <f>1624.25</f>
        <v>1624.25</v>
      </c>
      <c r="R2316">
        <f>3551.97</f>
        <v>3551.97</v>
      </c>
      <c r="S2316">
        <f>1723.16</f>
        <v>1723.16</v>
      </c>
      <c r="T2316">
        <f>2884.433</f>
        <v>2884.433</v>
      </c>
      <c r="U2316">
        <f>51073.9</f>
        <v>51073.9</v>
      </c>
      <c r="V2316">
        <f>327.1</f>
        <v>327.10000000000002</v>
      </c>
    </row>
    <row r="2317" spans="1:22" x14ac:dyDescent="0.2">
      <c r="A2317" s="1">
        <v>41864</v>
      </c>
      <c r="B2317">
        <f>2769.21</f>
        <v>2769.21</v>
      </c>
      <c r="C2317">
        <f>9856.92</f>
        <v>9856.92</v>
      </c>
      <c r="D2317">
        <f>4979.66</f>
        <v>4979.66</v>
      </c>
      <c r="E2317">
        <f>2134.099</f>
        <v>2134.0990000000002</v>
      </c>
      <c r="F2317">
        <f>1904.85</f>
        <v>1904.85</v>
      </c>
      <c r="G2317">
        <f>8480.958</f>
        <v>8480.9580000000005</v>
      </c>
      <c r="H2317">
        <f>2532.36</f>
        <v>2532.36</v>
      </c>
      <c r="I2317">
        <f>8641.352</f>
        <v>8641.3520000000008</v>
      </c>
      <c r="J2317">
        <f>2615.01</f>
        <v>2615.0100000000002</v>
      </c>
      <c r="K2317">
        <f>7381.37</f>
        <v>7381.37</v>
      </c>
      <c r="L2317">
        <f>1614.32</f>
        <v>1614.32</v>
      </c>
      <c r="M2317">
        <f>6328.25</f>
        <v>6328.25</v>
      </c>
      <c r="N2317">
        <f>262.068</f>
        <v>262.06799999999998</v>
      </c>
      <c r="O2317">
        <f>2253.22</f>
        <v>2253.2199999999998</v>
      </c>
      <c r="P2317">
        <f>154.36</f>
        <v>154.36000000000001</v>
      </c>
      <c r="Q2317">
        <f>1619.06</f>
        <v>1619.06</v>
      </c>
      <c r="R2317">
        <f>3536.42</f>
        <v>3536.42</v>
      </c>
      <c r="S2317">
        <f>1711.8</f>
        <v>1711.8</v>
      </c>
      <c r="T2317">
        <f>2905.204</f>
        <v>2905.2040000000002</v>
      </c>
      <c r="U2317">
        <f>51266.51</f>
        <v>51266.51</v>
      </c>
      <c r="V2317">
        <f>328.15</f>
        <v>328.15</v>
      </c>
    </row>
    <row r="2318" spans="1:22" x14ac:dyDescent="0.2">
      <c r="A2318" s="1">
        <v>41863</v>
      </c>
      <c r="B2318">
        <f>2755.9</f>
        <v>2755.9</v>
      </c>
      <c r="C2318">
        <f>9766.68</f>
        <v>9766.68</v>
      </c>
      <c r="D2318">
        <f>4945.64</f>
        <v>4945.6400000000003</v>
      </c>
      <c r="E2318">
        <f>2120.726</f>
        <v>2120.7260000000001</v>
      </c>
      <c r="F2318">
        <f>1903.07</f>
        <v>1903.07</v>
      </c>
      <c r="G2318">
        <f>8479.953</f>
        <v>8479.9529999999995</v>
      </c>
      <c r="H2318">
        <f>2538.54</f>
        <v>2538.54</v>
      </c>
      <c r="I2318">
        <f>8557.599</f>
        <v>8557.5990000000002</v>
      </c>
      <c r="J2318">
        <f>2597.47</f>
        <v>2597.4699999999998</v>
      </c>
      <c r="K2318">
        <f>7329.56</f>
        <v>7329.56</v>
      </c>
      <c r="L2318">
        <f>1605.95</f>
        <v>1605.95</v>
      </c>
      <c r="M2318">
        <f>6290.56</f>
        <v>6290.56</v>
      </c>
      <c r="N2318">
        <f>261.969</f>
        <v>261.96899999999999</v>
      </c>
      <c r="O2318">
        <f>2241.68</f>
        <v>2241.6799999999998</v>
      </c>
      <c r="P2318">
        <f>154.57</f>
        <v>154.57</v>
      </c>
      <c r="Q2318">
        <f>1609.16</f>
        <v>1609.16</v>
      </c>
      <c r="R2318">
        <f>3511.96</f>
        <v>3511.96</v>
      </c>
      <c r="S2318">
        <f>1705.79</f>
        <v>1705.79</v>
      </c>
      <c r="T2318">
        <f>2912.72</f>
        <v>2912.72</v>
      </c>
      <c r="U2318">
        <f>51449.01</f>
        <v>51449.01</v>
      </c>
      <c r="V2318">
        <f>329.26</f>
        <v>329.26</v>
      </c>
    </row>
    <row r="2319" spans="1:22" x14ac:dyDescent="0.2">
      <c r="A2319" s="1">
        <v>41862</v>
      </c>
      <c r="B2319">
        <f>2754.27</f>
        <v>2754.27</v>
      </c>
      <c r="C2319">
        <f>9746.25</f>
        <v>9746.25</v>
      </c>
      <c r="D2319">
        <f>4945.93</f>
        <v>4945.93</v>
      </c>
      <c r="E2319">
        <f>2114.506</f>
        <v>2114.5059999999999</v>
      </c>
      <c r="F2319">
        <f>1905.44</f>
        <v>1905.44</v>
      </c>
      <c r="G2319">
        <f>8472.339</f>
        <v>8472.3389999999999</v>
      </c>
      <c r="H2319">
        <f>2526.11</f>
        <v>2526.11</v>
      </c>
      <c r="I2319">
        <f>8616.797</f>
        <v>8616.7970000000005</v>
      </c>
      <c r="J2319">
        <f>2598.94</f>
        <v>2598.94</v>
      </c>
      <c r="K2319">
        <f>7342.69</f>
        <v>7342.69</v>
      </c>
      <c r="L2319">
        <f>1608.64</f>
        <v>1608.64</v>
      </c>
      <c r="M2319">
        <f>6298.68</f>
        <v>6298.68</v>
      </c>
      <c r="N2319">
        <f>261.784</f>
        <v>261.78399999999999</v>
      </c>
      <c r="O2319">
        <f>2246.35</f>
        <v>2246.35</v>
      </c>
      <c r="P2319">
        <f>153.97</f>
        <v>153.97</v>
      </c>
      <c r="Q2319">
        <f>1610.32</f>
        <v>1610.32</v>
      </c>
      <c r="R2319">
        <f>3517.53</f>
        <v>3517.53</v>
      </c>
      <c r="S2319">
        <f>1698.76</f>
        <v>1698.76</v>
      </c>
      <c r="T2319">
        <f>2902.987</f>
        <v>2902.9870000000001</v>
      </c>
      <c r="U2319">
        <f>51523.27</f>
        <v>51523.27</v>
      </c>
      <c r="V2319">
        <f>328.41</f>
        <v>328.41</v>
      </c>
    </row>
    <row r="2320" spans="1:22" x14ac:dyDescent="0.2">
      <c r="A2320" s="1">
        <v>41859</v>
      </c>
      <c r="B2320">
        <f>2729.77</f>
        <v>2729.77</v>
      </c>
      <c r="C2320">
        <f>9598.3</f>
        <v>9598.2999999999993</v>
      </c>
      <c r="D2320">
        <f>4897.12</f>
        <v>4897.12</v>
      </c>
      <c r="E2320">
        <f>2082.524</f>
        <v>2082.5239999999999</v>
      </c>
      <c r="F2320">
        <f>1896.91</f>
        <v>1896.91</v>
      </c>
      <c r="G2320">
        <f>8394.033</f>
        <v>8394.0329999999994</v>
      </c>
      <c r="H2320">
        <f>2483.39</f>
        <v>2483.39</v>
      </c>
      <c r="I2320">
        <f>8513.812</f>
        <v>8513.8119999999999</v>
      </c>
      <c r="J2320">
        <f>2592.29</f>
        <v>2592.29</v>
      </c>
      <c r="K2320">
        <f>7319.74</f>
        <v>7319.74</v>
      </c>
      <c r="L2320">
        <f>1597.98</f>
        <v>1597.98</v>
      </c>
      <c r="M2320">
        <f>6257.2</f>
        <v>6257.2</v>
      </c>
      <c r="N2320">
        <f>258.536</f>
        <v>258.536</v>
      </c>
      <c r="O2320">
        <f>2216.42</f>
        <v>2216.42</v>
      </c>
      <c r="P2320">
        <f>151.56</f>
        <v>151.56</v>
      </c>
      <c r="Q2320">
        <f>1604.39</f>
        <v>1604.39</v>
      </c>
      <c r="R2320">
        <f>3507.21</f>
        <v>3507.21</v>
      </c>
      <c r="S2320">
        <f>1665.88</f>
        <v>1665.88</v>
      </c>
      <c r="T2320">
        <f>2856.124</f>
        <v>2856.1239999999998</v>
      </c>
      <c r="U2320">
        <f>50669.95</f>
        <v>50669.95</v>
      </c>
      <c r="V2320">
        <f>322.68</f>
        <v>322.68</v>
      </c>
    </row>
    <row r="2321" spans="1:22" x14ac:dyDescent="0.2">
      <c r="A2321" s="1">
        <v>41858</v>
      </c>
      <c r="B2321">
        <f>2736.46</f>
        <v>2736.46</v>
      </c>
      <c r="C2321">
        <f>9598.45</f>
        <v>9598.4500000000007</v>
      </c>
      <c r="D2321">
        <f>4919.49</f>
        <v>4919.49</v>
      </c>
      <c r="E2321">
        <f>2093.715</f>
        <v>2093.7150000000001</v>
      </c>
      <c r="F2321">
        <f>1909.69</f>
        <v>1909.69</v>
      </c>
      <c r="G2321">
        <f>8454.129</f>
        <v>8454.1290000000008</v>
      </c>
      <c r="H2321">
        <f>2532.43</f>
        <v>2532.4299999999998</v>
      </c>
      <c r="I2321">
        <f>8503.332</f>
        <v>8503.3320000000003</v>
      </c>
      <c r="J2321">
        <f>2564.6</f>
        <v>2564.6</v>
      </c>
      <c r="K2321">
        <f>7237.5</f>
        <v>7237.5</v>
      </c>
      <c r="L2321">
        <f>1595.76</f>
        <v>1595.76</v>
      </c>
      <c r="M2321">
        <f>6235.36</f>
        <v>6235.36</v>
      </c>
      <c r="N2321">
        <f>261.479</f>
        <v>261.47899999999998</v>
      </c>
      <c r="O2321">
        <f>2231.05</f>
        <v>2231.0500000000002</v>
      </c>
      <c r="P2321">
        <f>155.47</f>
        <v>155.47</v>
      </c>
      <c r="Q2321">
        <f>1584.54</f>
        <v>1584.54</v>
      </c>
      <c r="R2321">
        <f>3467.14</f>
        <v>3467.14</v>
      </c>
      <c r="S2321">
        <f>1706.37</f>
        <v>1706.37</v>
      </c>
      <c r="T2321">
        <f>2883.984</f>
        <v>2883.9839999999999</v>
      </c>
      <c r="U2321">
        <f>50674.61</f>
        <v>50674.61</v>
      </c>
      <c r="V2321">
        <f>323.18</f>
        <v>323.18</v>
      </c>
    </row>
    <row r="2322" spans="1:22" x14ac:dyDescent="0.2">
      <c r="A2322" s="1">
        <v>41857</v>
      </c>
      <c r="B2322">
        <f>2746.51</f>
        <v>2746.51</v>
      </c>
      <c r="C2322">
        <f>9607.89</f>
        <v>9607.89</v>
      </c>
      <c r="D2322">
        <f>4948.42</f>
        <v>4948.42</v>
      </c>
      <c r="E2322">
        <f>2104.42</f>
        <v>2104.42</v>
      </c>
      <c r="F2322">
        <f>1918.51</f>
        <v>1918.51</v>
      </c>
      <c r="G2322">
        <f>8498.067</f>
        <v>8498.0669999999991</v>
      </c>
      <c r="H2322">
        <f>2512.59</f>
        <v>2512.59</v>
      </c>
      <c r="I2322">
        <f>8574.204</f>
        <v>8574.2039999999997</v>
      </c>
      <c r="J2322">
        <f>2575.63</f>
        <v>2575.63</v>
      </c>
      <c r="K2322">
        <f>7276.22</f>
        <v>7276.22</v>
      </c>
      <c r="L2322">
        <f>1602.2</f>
        <v>1602.2</v>
      </c>
      <c r="M2322">
        <f>6265.72</f>
        <v>6265.72</v>
      </c>
      <c r="N2322">
        <f>262.35</f>
        <v>262.35000000000002</v>
      </c>
      <c r="O2322">
        <f>2247.21</f>
        <v>2247.21</v>
      </c>
      <c r="P2322">
        <f>154.18</f>
        <v>154.18</v>
      </c>
      <c r="Q2322">
        <f>1590.14</f>
        <v>1590.14</v>
      </c>
      <c r="R2322">
        <f>3485.67</f>
        <v>3485.67</v>
      </c>
      <c r="S2322">
        <f>1697.1</f>
        <v>1697.1</v>
      </c>
      <c r="T2322">
        <f>2899.377</f>
        <v>2899.377</v>
      </c>
      <c r="U2322">
        <f>51091.8</f>
        <v>51091.8</v>
      </c>
      <c r="V2322">
        <f>326.59</f>
        <v>326.58999999999997</v>
      </c>
    </row>
    <row r="2323" spans="1:22" x14ac:dyDescent="0.2">
      <c r="A2323" s="1">
        <v>41856</v>
      </c>
      <c r="B2323">
        <f>2770.36</f>
        <v>2770.36</v>
      </c>
      <c r="C2323">
        <f>9686.71</f>
        <v>9686.7099999999991</v>
      </c>
      <c r="D2323">
        <f>4972.37</f>
        <v>4972.37</v>
      </c>
      <c r="E2323">
        <f>2116.865</f>
        <v>2116.8649999999998</v>
      </c>
      <c r="F2323">
        <f>1933.05</f>
        <v>1933.05</v>
      </c>
      <c r="G2323">
        <f>8557.169</f>
        <v>8557.1689999999999</v>
      </c>
      <c r="H2323">
        <f>2522.27</f>
        <v>2522.27</v>
      </c>
      <c r="I2323">
        <f>8655.515</f>
        <v>8655.5149999999994</v>
      </c>
      <c r="J2323">
        <f>2569.12</f>
        <v>2569.12</v>
      </c>
      <c r="K2323">
        <f>7275.41</f>
        <v>7275.41</v>
      </c>
      <c r="L2323">
        <f>1606.68</f>
        <v>1606.68</v>
      </c>
      <c r="M2323">
        <f>6282.18</f>
        <v>6282.18</v>
      </c>
      <c r="N2323">
        <f>264.072</f>
        <v>264.072</v>
      </c>
      <c r="O2323">
        <f>2264.42</f>
        <v>2264.42</v>
      </c>
      <c r="P2323">
        <f>155.16</f>
        <v>155.16</v>
      </c>
      <c r="Q2323">
        <f>1587.65</f>
        <v>1587.65</v>
      </c>
      <c r="R2323">
        <f>3484.56</f>
        <v>3484.56</v>
      </c>
      <c r="S2323">
        <f>1713.71</f>
        <v>1713.71</v>
      </c>
      <c r="T2323">
        <f>2940.05</f>
        <v>2940.05</v>
      </c>
      <c r="U2323">
        <f>51349.11</f>
        <v>51349.11</v>
      </c>
      <c r="V2323">
        <f>332.79</f>
        <v>332.79</v>
      </c>
    </row>
    <row r="2324" spans="1:22" x14ac:dyDescent="0.2">
      <c r="A2324" s="1">
        <v>41855</v>
      </c>
      <c r="B2324">
        <f>2774.19</f>
        <v>2774.19</v>
      </c>
      <c r="C2324">
        <f>9760.69</f>
        <v>9760.69</v>
      </c>
      <c r="D2324">
        <f>4968.68</f>
        <v>4968.68</v>
      </c>
      <c r="E2324">
        <f>2129.053</f>
        <v>2129.0529999999999</v>
      </c>
      <c r="F2324">
        <f>1924.8</f>
        <v>1924.8</v>
      </c>
      <c r="G2324">
        <f>8534.07</f>
        <v>8534.07</v>
      </c>
      <c r="H2324">
        <f>2551.76</f>
        <v>2551.7600000000002</v>
      </c>
      <c r="I2324">
        <f>8673.79</f>
        <v>8673.7900000000009</v>
      </c>
      <c r="J2324">
        <f>2596.06</f>
        <v>2596.06</v>
      </c>
      <c r="K2324">
        <f>7344.62</f>
        <v>7344.62</v>
      </c>
      <c r="L2324">
        <f>1614.09</f>
        <v>1614.09</v>
      </c>
      <c r="M2324">
        <f>6325.95</f>
        <v>6325.95</v>
      </c>
      <c r="N2324">
        <f>261.992</f>
        <v>261.99200000000002</v>
      </c>
      <c r="O2324">
        <f>2257.12</f>
        <v>2257.12</v>
      </c>
      <c r="P2324">
        <f>156.33</f>
        <v>156.33000000000001</v>
      </c>
      <c r="Q2324">
        <f>1599.35</f>
        <v>1599.35</v>
      </c>
      <c r="R2324">
        <f>3518.31</f>
        <v>3518.31</v>
      </c>
      <c r="S2324">
        <f>1730.88</f>
        <v>1730.88</v>
      </c>
      <c r="T2324">
        <f>2940.862</f>
        <v>2940.8620000000001</v>
      </c>
      <c r="U2324">
        <f>51239.56</f>
        <v>51239.56</v>
      </c>
      <c r="V2324">
        <f>334.3</f>
        <v>334.3</v>
      </c>
    </row>
    <row r="2325" spans="1:22" x14ac:dyDescent="0.2">
      <c r="A2325" s="1">
        <v>41852</v>
      </c>
      <c r="B2325">
        <f>2771.32</f>
        <v>2771.32</v>
      </c>
      <c r="C2325">
        <f>9692.01</f>
        <v>9692.01</v>
      </c>
      <c r="D2325">
        <f>4969.92</f>
        <v>4969.92</v>
      </c>
      <c r="E2325">
        <f>2110.735</f>
        <v>2110.7350000000001</v>
      </c>
      <c r="F2325">
        <f>1925.28</f>
        <v>1925.28</v>
      </c>
      <c r="G2325">
        <f>8533.881</f>
        <v>8533.8809999999994</v>
      </c>
      <c r="H2325">
        <f>2545.01</f>
        <v>2545.0100000000002</v>
      </c>
      <c r="I2325">
        <f>8711.9</f>
        <v>8711.9</v>
      </c>
      <c r="J2325">
        <f>2584.51</f>
        <v>2584.5100000000002</v>
      </c>
      <c r="K2325">
        <f>7292.6</f>
        <v>7292.6</v>
      </c>
      <c r="L2325">
        <f>1615.63</f>
        <v>1615.63</v>
      </c>
      <c r="M2325">
        <f>6309.51</f>
        <v>6309.51</v>
      </c>
      <c r="N2325">
        <f>262.334</f>
        <v>262.334</v>
      </c>
      <c r="O2325">
        <f>2260.77</f>
        <v>2260.77</v>
      </c>
      <c r="P2325">
        <f>156.18</f>
        <v>156.18</v>
      </c>
      <c r="Q2325">
        <f>1590.06</f>
        <v>1590.06</v>
      </c>
      <c r="R2325">
        <f>3493.18</f>
        <v>3493.18</v>
      </c>
      <c r="S2325">
        <f>1737.8</f>
        <v>1737.8</v>
      </c>
      <c r="T2325">
        <f>2916.639</f>
        <v>2916.6390000000001</v>
      </c>
      <c r="U2325">
        <f>50917.78</f>
        <v>50917.78</v>
      </c>
      <c r="V2325">
        <f>329.01</f>
        <v>329.01</v>
      </c>
    </row>
    <row r="2326" spans="1:22" x14ac:dyDescent="0.2">
      <c r="A2326" s="1">
        <v>41851</v>
      </c>
      <c r="B2326">
        <f>2796.48</f>
        <v>2796.48</v>
      </c>
      <c r="C2326">
        <f>9721.23</f>
        <v>9721.23</v>
      </c>
      <c r="D2326">
        <f>5007.81</f>
        <v>5007.8100000000004</v>
      </c>
      <c r="E2326">
        <f>2121.713</f>
        <v>2121.7130000000002</v>
      </c>
      <c r="F2326">
        <f>1948.26</f>
        <v>1948.26</v>
      </c>
      <c r="G2326">
        <f>8622.08</f>
        <v>8622.08</v>
      </c>
      <c r="H2326">
        <f>2551.58</f>
        <v>2551.58</v>
      </c>
      <c r="I2326">
        <f>8779.912</f>
        <v>8779.9120000000003</v>
      </c>
      <c r="J2326">
        <f>2585.22</f>
        <v>2585.2199999999998</v>
      </c>
      <c r="K2326">
        <f>7312.88</f>
        <v>7312.88</v>
      </c>
      <c r="L2326">
        <f>1624.49</f>
        <v>1624.49</v>
      </c>
      <c r="M2326">
        <f>6341.23</f>
        <v>6341.23</v>
      </c>
      <c r="N2326">
        <f>265.909</f>
        <v>265.90899999999999</v>
      </c>
      <c r="O2326">
        <f>2289.54</f>
        <v>2289.54</v>
      </c>
      <c r="P2326">
        <f>157.17</f>
        <v>157.16999999999999</v>
      </c>
      <c r="Q2326">
        <f>1588.69</f>
        <v>1588.69</v>
      </c>
      <c r="R2326">
        <f>3503.19</f>
        <v>3503.19</v>
      </c>
      <c r="S2326">
        <f>1748.81</f>
        <v>1748.81</v>
      </c>
      <c r="T2326">
        <f>2921.059</f>
        <v>2921.0590000000002</v>
      </c>
      <c r="U2326">
        <f>51396.07</f>
        <v>51396.07</v>
      </c>
      <c r="V2326">
        <f>330.13</f>
        <v>330.13</v>
      </c>
    </row>
    <row r="2327" spans="1:22" x14ac:dyDescent="0.2">
      <c r="A2327" s="1">
        <v>41850</v>
      </c>
      <c r="B2327">
        <f>2826.72</f>
        <v>2826.72</v>
      </c>
      <c r="C2327">
        <f>9811.32</f>
        <v>9811.32</v>
      </c>
      <c r="D2327">
        <f>5040.06</f>
        <v>5040.0600000000004</v>
      </c>
      <c r="E2327">
        <f>2147.292</f>
        <v>2147.2919999999999</v>
      </c>
      <c r="F2327">
        <f>1960.71</f>
        <v>1960.71</v>
      </c>
      <c r="G2327">
        <f>8687.276</f>
        <v>8687.2759999999998</v>
      </c>
      <c r="H2327">
        <f>2566.46</f>
        <v>2566.46</v>
      </c>
      <c r="I2327">
        <f>8911.6</f>
        <v>8911.6</v>
      </c>
      <c r="J2327">
        <f>2638.43</f>
        <v>2638.43</v>
      </c>
      <c r="K2327">
        <f>7460.37</f>
        <v>7460.37</v>
      </c>
      <c r="L2327">
        <f>1643.48</f>
        <v>1643.48</v>
      </c>
      <c r="M2327">
        <f>6436.66</f>
        <v>6436.66</v>
      </c>
      <c r="N2327">
        <f>268.565</f>
        <v>268.565</v>
      </c>
      <c r="O2327">
        <f>2318.32</f>
        <v>2318.3200000000002</v>
      </c>
      <c r="P2327">
        <f>157.72</f>
        <v>157.72</v>
      </c>
      <c r="Q2327">
        <f>1621.13</f>
        <v>1621.13</v>
      </c>
      <c r="R2327">
        <f>3574.45</f>
        <v>3574.45</v>
      </c>
      <c r="S2327">
        <f>1752.65</f>
        <v>1752.65</v>
      </c>
      <c r="T2327">
        <f>2926.194</f>
        <v>2926.194</v>
      </c>
      <c r="U2327">
        <f>51770.59</f>
        <v>51770.59</v>
      </c>
      <c r="V2327">
        <f>332.12</f>
        <v>332.12</v>
      </c>
    </row>
    <row r="2328" spans="1:22" x14ac:dyDescent="0.2">
      <c r="A2328" s="1">
        <v>41849</v>
      </c>
      <c r="B2328">
        <f>2846.52</f>
        <v>2846.52</v>
      </c>
      <c r="C2328">
        <f>9838.11</f>
        <v>9838.11</v>
      </c>
      <c r="D2328">
        <f>5065.58</f>
        <v>5065.58</v>
      </c>
      <c r="E2328">
        <f>2150.791</f>
        <v>2150.7910000000002</v>
      </c>
      <c r="F2328">
        <f>1975.26</f>
        <v>1975.26</v>
      </c>
      <c r="G2328">
        <f>8751.112</f>
        <v>8751.1119999999992</v>
      </c>
      <c r="H2328">
        <f>2587.37</f>
        <v>2587.37</v>
      </c>
      <c r="I2328">
        <f>8983.506</f>
        <v>8983.5059999999994</v>
      </c>
      <c r="J2328">
        <f>2650.45</f>
        <v>2650.45</v>
      </c>
      <c r="K2328">
        <f>7457.54</f>
        <v>7457.54</v>
      </c>
      <c r="L2328">
        <f>1654.81</f>
        <v>1654.81</v>
      </c>
      <c r="M2328">
        <f>6450.79</f>
        <v>6450.79</v>
      </c>
      <c r="N2328">
        <f>269.729</f>
        <v>269.72899999999998</v>
      </c>
      <c r="O2328">
        <f>2330.4</f>
        <v>2330.4</v>
      </c>
      <c r="P2328">
        <f>157.95</f>
        <v>157.94999999999999</v>
      </c>
      <c r="Q2328">
        <f>1625.8</f>
        <v>1625.8</v>
      </c>
      <c r="R2328">
        <f>3573.65</f>
        <v>3573.65</v>
      </c>
      <c r="S2328">
        <f>1750.16</f>
        <v>1750.16</v>
      </c>
      <c r="T2328">
        <f>2952.987</f>
        <v>2952.9870000000001</v>
      </c>
      <c r="U2328">
        <f>52242.12</f>
        <v>52242.12</v>
      </c>
      <c r="V2328">
        <f>336.5</f>
        <v>336.5</v>
      </c>
    </row>
    <row r="2329" spans="1:22" x14ac:dyDescent="0.2">
      <c r="A2329" s="1">
        <v>41848</v>
      </c>
      <c r="B2329">
        <f>2838.71</f>
        <v>2838.71</v>
      </c>
      <c r="C2329">
        <f>9843.39</f>
        <v>9843.39</v>
      </c>
      <c r="D2329">
        <f>5050.94</f>
        <v>5050.9399999999996</v>
      </c>
      <c r="E2329">
        <f>2147.938</f>
        <v>2147.9380000000001</v>
      </c>
      <c r="F2329">
        <f>1979.45</f>
        <v>1979.45</v>
      </c>
      <c r="G2329">
        <f>8753.613</f>
        <v>8753.6129999999994</v>
      </c>
      <c r="H2329">
        <f>2585.82</f>
        <v>2585.8200000000002</v>
      </c>
      <c r="I2329">
        <f>8973.926</f>
        <v>8973.9259999999995</v>
      </c>
      <c r="J2329">
        <f>2661.94</f>
        <v>2661.94</v>
      </c>
      <c r="K2329">
        <f>7489.73</f>
        <v>7489.73</v>
      </c>
      <c r="L2329">
        <f>1654.62</f>
        <v>1654.62</v>
      </c>
      <c r="M2329">
        <f>6465.41</f>
        <v>6465.41</v>
      </c>
      <c r="N2329">
        <f>269.245</f>
        <v>269.245</v>
      </c>
      <c r="O2329">
        <f>2323.81</f>
        <v>2323.81</v>
      </c>
      <c r="P2329">
        <f>157.38</f>
        <v>157.38</v>
      </c>
      <c r="Q2329">
        <f>1637.44</f>
        <v>1637.44</v>
      </c>
      <c r="R2329">
        <f>3589.73</f>
        <v>3589.73</v>
      </c>
      <c r="S2329">
        <f>1744.18</f>
        <v>1744.18</v>
      </c>
      <c r="T2329">
        <f>2937.3</f>
        <v>2937.3</v>
      </c>
      <c r="U2329">
        <f>51927.57</f>
        <v>51927.57</v>
      </c>
      <c r="V2329">
        <f>334.31</f>
        <v>334.31</v>
      </c>
    </row>
    <row r="2330" spans="1:22" x14ac:dyDescent="0.2">
      <c r="A2330" s="1">
        <v>41845</v>
      </c>
      <c r="B2330">
        <f>2840.34</f>
        <v>2840.34</v>
      </c>
      <c r="C2330">
        <f>9847.96</f>
        <v>9847.9599999999991</v>
      </c>
      <c r="D2330">
        <f>5053.53</f>
        <v>5053.53</v>
      </c>
      <c r="E2330">
        <f>2146.583</f>
        <v>2146.5830000000001</v>
      </c>
      <c r="F2330">
        <f>1979.4</f>
        <v>1979.4</v>
      </c>
      <c r="G2330">
        <f>8745.019</f>
        <v>8745.0190000000002</v>
      </c>
      <c r="H2330">
        <f>2573.3</f>
        <v>2573.3000000000002</v>
      </c>
      <c r="I2330">
        <f>8995.38</f>
        <v>8995.3799999999992</v>
      </c>
      <c r="J2330">
        <f>2659.77</f>
        <v>2659.77</v>
      </c>
      <c r="K2330">
        <f>7487.84</f>
        <v>7487.84</v>
      </c>
      <c r="L2330">
        <f>1654.5</f>
        <v>1654.5</v>
      </c>
      <c r="M2330">
        <f>6465.39</f>
        <v>6465.39</v>
      </c>
      <c r="N2330">
        <f>268.758</f>
        <v>268.75799999999998</v>
      </c>
      <c r="O2330">
        <f>2327.91</f>
        <v>2327.91</v>
      </c>
      <c r="P2330">
        <f>156.74</f>
        <v>156.74</v>
      </c>
      <c r="Q2330">
        <f>1630.98</f>
        <v>1630.98</v>
      </c>
      <c r="R2330">
        <f>3588.68</f>
        <v>3588.68</v>
      </c>
      <c r="S2330">
        <f>1737.78</f>
        <v>1737.78</v>
      </c>
      <c r="T2330">
        <f>2925.487</f>
        <v>2925.4870000000001</v>
      </c>
      <c r="U2330">
        <f>51550.17</f>
        <v>51550.17</v>
      </c>
      <c r="V2330">
        <f>331.68</f>
        <v>331.68</v>
      </c>
    </row>
    <row r="2331" spans="1:22" x14ac:dyDescent="0.2">
      <c r="A2331" s="1">
        <v>41844</v>
      </c>
      <c r="B2331">
        <f>2845.26</f>
        <v>2845.26</v>
      </c>
      <c r="C2331">
        <f>9890.49</f>
        <v>9890.49</v>
      </c>
      <c r="D2331">
        <f>5075.79</f>
        <v>5075.79</v>
      </c>
      <c r="E2331">
        <f>2150.76</f>
        <v>2150.7600000000002</v>
      </c>
      <c r="F2331">
        <f>1991.83</f>
        <v>1991.83</v>
      </c>
      <c r="G2331">
        <f>8780.367</f>
        <v>8780.3670000000002</v>
      </c>
      <c r="H2331">
        <f>2556.99</f>
        <v>2556.9899999999998</v>
      </c>
      <c r="I2331">
        <f>9106.44</f>
        <v>9106.44</v>
      </c>
      <c r="J2331">
        <f>2668.88</f>
        <v>2668.88</v>
      </c>
      <c r="K2331">
        <f>7524.58</f>
        <v>7524.58</v>
      </c>
      <c r="L2331">
        <f>1664.34</f>
        <v>1664.34</v>
      </c>
      <c r="M2331">
        <f>6494.99</f>
        <v>6494.99</v>
      </c>
      <c r="N2331">
        <f>270.005</f>
        <v>270.005</v>
      </c>
      <c r="O2331">
        <f>2344.96</f>
        <v>2344.96</v>
      </c>
      <c r="P2331">
        <f>155.04</f>
        <v>155.04</v>
      </c>
      <c r="Q2331">
        <f>1633.7</f>
        <v>1633.7</v>
      </c>
      <c r="R2331">
        <f>3606.1</f>
        <v>3606.1</v>
      </c>
      <c r="S2331">
        <f>1722.19</f>
        <v>1722.19</v>
      </c>
      <c r="T2331">
        <f>2933.584</f>
        <v>2933.5839999999998</v>
      </c>
      <c r="U2331">
        <f>51621.52</f>
        <v>51621.52</v>
      </c>
      <c r="V2331">
        <f>332.72</f>
        <v>332.72</v>
      </c>
    </row>
    <row r="2332" spans="1:22" x14ac:dyDescent="0.2">
      <c r="A2332" s="1">
        <v>41843</v>
      </c>
      <c r="B2332">
        <f>2846.7</f>
        <v>2846.7</v>
      </c>
      <c r="C2332">
        <f>9848.37</f>
        <v>9848.3700000000008</v>
      </c>
      <c r="D2332">
        <f>5058.44</f>
        <v>5058.4399999999996</v>
      </c>
      <c r="E2332">
        <f>2144.363</f>
        <v>2144.3629999999998</v>
      </c>
      <c r="F2332">
        <f>1998.73</f>
        <v>1998.73</v>
      </c>
      <c r="G2332">
        <f>8788.982</f>
        <v>8788.982</v>
      </c>
      <c r="H2332">
        <f>2574.2</f>
        <v>2574.1999999999998</v>
      </c>
      <c r="I2332">
        <f>9041.973</f>
        <v>9041.973</v>
      </c>
      <c r="J2332">
        <f>2667.44</f>
        <v>2667.44</v>
      </c>
      <c r="K2332">
        <f>7520.12</f>
        <v>7520.12</v>
      </c>
      <c r="L2332">
        <f>1662.87</f>
        <v>1662.87</v>
      </c>
      <c r="M2332">
        <f>6486.99</f>
        <v>6486.99</v>
      </c>
      <c r="N2332">
        <f>270.498</f>
        <v>270.49799999999999</v>
      </c>
      <c r="O2332">
        <f>2334.11</f>
        <v>2334.11</v>
      </c>
      <c r="P2332">
        <f>155.69</f>
        <v>155.69</v>
      </c>
      <c r="Q2332">
        <f>1634.03</f>
        <v>1634.03</v>
      </c>
      <c r="R2332">
        <f>3604.3</f>
        <v>3604.3</v>
      </c>
      <c r="S2332">
        <f>1725.63</f>
        <v>1725.63</v>
      </c>
      <c r="T2332">
        <f>2928.172</f>
        <v>2928.172</v>
      </c>
      <c r="U2332">
        <f>51910.92</f>
        <v>51910.92</v>
      </c>
      <c r="V2332">
        <f>331.81</f>
        <v>331.81</v>
      </c>
    </row>
    <row r="2333" spans="1:22" x14ac:dyDescent="0.2">
      <c r="A2333" s="1">
        <v>41842</v>
      </c>
      <c r="B2333">
        <f>2843.28</f>
        <v>2843.28</v>
      </c>
      <c r="C2333">
        <f>9775.11</f>
        <v>9775.11</v>
      </c>
      <c r="D2333">
        <f>5054.49</f>
        <v>5054.49</v>
      </c>
      <c r="E2333">
        <f>2137.937</f>
        <v>2137.9369999999999</v>
      </c>
      <c r="F2333">
        <f>2005.41</f>
        <v>2005.41</v>
      </c>
      <c r="G2333">
        <f>8790.717</f>
        <v>8790.7170000000006</v>
      </c>
      <c r="H2333">
        <f>2577.17</f>
        <v>2577.17</v>
      </c>
      <c r="I2333">
        <f>9028.386</f>
        <v>9028.3860000000004</v>
      </c>
      <c r="J2333">
        <f>2664.52</f>
        <v>2664.52</v>
      </c>
      <c r="K2333">
        <f>7506.15</f>
        <v>7506.15</v>
      </c>
      <c r="L2333">
        <f>1661.95</f>
        <v>1661.95</v>
      </c>
      <c r="M2333">
        <f>6474.35</f>
        <v>6474.35</v>
      </c>
      <c r="N2333">
        <f>270.327</f>
        <v>270.327</v>
      </c>
      <c r="O2333">
        <f>2331.44</f>
        <v>2331.44</v>
      </c>
      <c r="P2333">
        <f>155.8</f>
        <v>155.80000000000001</v>
      </c>
      <c r="Q2333">
        <f>1630.3</f>
        <v>1630.3</v>
      </c>
      <c r="R2333">
        <f>3597.95</f>
        <v>3597.95</v>
      </c>
      <c r="S2333">
        <f>1726.82</f>
        <v>1726.82</v>
      </c>
      <c r="T2333">
        <f>2928.826</f>
        <v>2928.826</v>
      </c>
      <c r="U2333">
        <f>51931.33</f>
        <v>51931.33</v>
      </c>
      <c r="V2333">
        <f>330.17</f>
        <v>330.17</v>
      </c>
    </row>
    <row r="2334" spans="1:22" x14ac:dyDescent="0.2">
      <c r="A2334" s="1">
        <v>41841</v>
      </c>
      <c r="B2334">
        <f>2821.64</f>
        <v>2821.64</v>
      </c>
      <c r="C2334">
        <f>9628.11</f>
        <v>9628.11</v>
      </c>
      <c r="D2334">
        <f>5004.73</f>
        <v>5004.7299999999996</v>
      </c>
      <c r="E2334">
        <f>2115.586</f>
        <v>2115.5859999999998</v>
      </c>
      <c r="F2334">
        <f>2005.24</f>
        <v>2005.24</v>
      </c>
      <c r="G2334">
        <f>8708.662</f>
        <v>8708.6620000000003</v>
      </c>
      <c r="H2334">
        <f>2562.29</f>
        <v>2562.29</v>
      </c>
      <c r="I2334">
        <f>8947.492</f>
        <v>8947.4920000000002</v>
      </c>
      <c r="J2334">
        <f>2657.47</f>
        <v>2657.47</v>
      </c>
      <c r="K2334">
        <f>7467.98</f>
        <v>7467.98</v>
      </c>
      <c r="L2334">
        <f>1651.53</f>
        <v>1651.53</v>
      </c>
      <c r="M2334">
        <f>6434.76</f>
        <v>6434.76</v>
      </c>
      <c r="N2334">
        <f>267.376</f>
        <v>267.37599999999998</v>
      </c>
      <c r="O2334">
        <f>2300.66</f>
        <v>2300.66</v>
      </c>
      <c r="P2334" t="e">
        <f>NA()</f>
        <v>#N/A</v>
      </c>
      <c r="Q2334">
        <f>1629.22</f>
        <v>1629.22</v>
      </c>
      <c r="R2334">
        <f>3579.99</f>
        <v>3579.99</v>
      </c>
      <c r="S2334" t="e">
        <f>NA()</f>
        <v>#N/A</v>
      </c>
      <c r="T2334">
        <f>2897.259</f>
        <v>2897.259</v>
      </c>
      <c r="U2334">
        <f>51420.81</f>
        <v>51420.81</v>
      </c>
      <c r="V2334">
        <f>326.64</f>
        <v>326.64</v>
      </c>
    </row>
    <row r="2335" spans="1:22" x14ac:dyDescent="0.2">
      <c r="A2335" s="1">
        <v>41838</v>
      </c>
      <c r="B2335">
        <f>2832.59</f>
        <v>2832.59</v>
      </c>
      <c r="C2335">
        <f>9650.05</f>
        <v>9650.0499999999993</v>
      </c>
      <c r="D2335">
        <f>5020.36</f>
        <v>5020.3599999999997</v>
      </c>
      <c r="E2335">
        <f>2115.538</f>
        <v>2115.538</v>
      </c>
      <c r="F2335">
        <f>2004.24</f>
        <v>2004.24</v>
      </c>
      <c r="G2335">
        <f>8735.935</f>
        <v>8735.9349999999995</v>
      </c>
      <c r="H2335">
        <f>2560.52</f>
        <v>2560.52</v>
      </c>
      <c r="I2335">
        <f>8990.83</f>
        <v>8990.83</v>
      </c>
      <c r="J2335">
        <f>2662.82</f>
        <v>2662.82</v>
      </c>
      <c r="K2335">
        <f>7485.54</f>
        <v>7485.54</v>
      </c>
      <c r="L2335">
        <f>1655.05</f>
        <v>1655.05</v>
      </c>
      <c r="M2335">
        <f>6450.13</f>
        <v>6450.13</v>
      </c>
      <c r="N2335">
        <f>268.344</f>
        <v>268.34399999999999</v>
      </c>
      <c r="O2335">
        <f>2312.07</f>
        <v>2312.0700000000002</v>
      </c>
      <c r="P2335">
        <f>154.6</f>
        <v>154.6</v>
      </c>
      <c r="Q2335">
        <f>1633.71</f>
        <v>1633.71</v>
      </c>
      <c r="R2335">
        <f>3588.21</f>
        <v>3588.21</v>
      </c>
      <c r="S2335">
        <f>1713.29</f>
        <v>1713.29</v>
      </c>
      <c r="T2335">
        <f>2915.761</f>
        <v>2915.761</v>
      </c>
      <c r="U2335">
        <f>51695.05</f>
        <v>51695.05</v>
      </c>
      <c r="V2335">
        <f>329.01</f>
        <v>329.01</v>
      </c>
    </row>
    <row r="2336" spans="1:22" x14ac:dyDescent="0.2">
      <c r="A2336" s="1">
        <v>41837</v>
      </c>
      <c r="B2336">
        <f>2826.69</f>
        <v>2826.69</v>
      </c>
      <c r="C2336">
        <f>9674.68</f>
        <v>9674.68</v>
      </c>
      <c r="D2336">
        <f>5012.08</f>
        <v>5012.08</v>
      </c>
      <c r="E2336">
        <f>2114.117</f>
        <v>2114.1170000000002</v>
      </c>
      <c r="F2336">
        <f>2001.88</f>
        <v>2001.88</v>
      </c>
      <c r="G2336">
        <f>8735.877</f>
        <v>8735.8770000000004</v>
      </c>
      <c r="H2336">
        <f>2578.21</f>
        <v>2578.21</v>
      </c>
      <c r="I2336">
        <f>8999.954</f>
        <v>8999.9539999999997</v>
      </c>
      <c r="J2336">
        <f>2640.57</f>
        <v>2640.57</v>
      </c>
      <c r="K2336">
        <f>7408.86</f>
        <v>7408.86</v>
      </c>
      <c r="L2336">
        <f>1649.78</f>
        <v>1649.78</v>
      </c>
      <c r="M2336">
        <f>6416.07</f>
        <v>6416.07</v>
      </c>
      <c r="N2336">
        <f>268.68</f>
        <v>268.68</v>
      </c>
      <c r="O2336">
        <f>2312.02</f>
        <v>2312.02</v>
      </c>
      <c r="P2336">
        <f>155.8</f>
        <v>155.80000000000001</v>
      </c>
      <c r="Q2336">
        <f>1618.32</f>
        <v>1618.32</v>
      </c>
      <c r="R2336">
        <f>3551.73</f>
        <v>3551.73</v>
      </c>
      <c r="S2336">
        <f>1726.96</f>
        <v>1726.96</v>
      </c>
      <c r="T2336">
        <f>2928.107</f>
        <v>2928.107</v>
      </c>
      <c r="U2336">
        <f>51789.74</f>
        <v>51789.74</v>
      </c>
      <c r="V2336">
        <f>330.01</f>
        <v>330.01</v>
      </c>
    </row>
    <row r="2337" spans="1:22" x14ac:dyDescent="0.2">
      <c r="A2337" s="1">
        <v>41836</v>
      </c>
      <c r="B2337">
        <f>2839.47</f>
        <v>2839.47</v>
      </c>
      <c r="C2337">
        <f>9727.66</f>
        <v>9727.66</v>
      </c>
      <c r="D2337">
        <f>5046.56</f>
        <v>5046.5600000000004</v>
      </c>
      <c r="E2337">
        <f>2121.927</f>
        <v>2121.9270000000001</v>
      </c>
      <c r="F2337">
        <f>2016.62</f>
        <v>2016.62</v>
      </c>
      <c r="G2337">
        <f>8819.379</f>
        <v>8819.3790000000008</v>
      </c>
      <c r="H2337">
        <f>2566.01</f>
        <v>2566.0100000000002</v>
      </c>
      <c r="I2337">
        <f>9104.753</f>
        <v>9104.7530000000006</v>
      </c>
      <c r="J2337">
        <f>2666.38</f>
        <v>2666.38</v>
      </c>
      <c r="K2337">
        <f>7495.48</f>
        <v>7495.48</v>
      </c>
      <c r="L2337">
        <f>1662.42</f>
        <v>1662.42</v>
      </c>
      <c r="M2337">
        <f>6476.39</f>
        <v>6476.39</v>
      </c>
      <c r="N2337">
        <f>270.302</f>
        <v>270.30200000000002</v>
      </c>
      <c r="O2337">
        <f>2335.04</f>
        <v>2335.04</v>
      </c>
      <c r="P2337">
        <f>155.8</f>
        <v>155.80000000000001</v>
      </c>
      <c r="Q2337">
        <f>1633.56</f>
        <v>1633.56</v>
      </c>
      <c r="R2337">
        <f>3593.91</f>
        <v>3593.91</v>
      </c>
      <c r="S2337">
        <f>1727.26</f>
        <v>1727.26</v>
      </c>
      <c r="T2337">
        <f>2943.216</f>
        <v>2943.2159999999999</v>
      </c>
      <c r="U2337">
        <f>52076.9</f>
        <v>52076.9</v>
      </c>
      <c r="V2337">
        <f>332.15</f>
        <v>332.15</v>
      </c>
    </row>
    <row r="2338" spans="1:22" x14ac:dyDescent="0.2">
      <c r="A2338" s="1">
        <v>41835</v>
      </c>
      <c r="B2338">
        <f>2811.87</f>
        <v>2811.87</v>
      </c>
      <c r="C2338">
        <f>9702.07</f>
        <v>9702.07</v>
      </c>
      <c r="D2338">
        <f>4990.25</f>
        <v>4990.25</v>
      </c>
      <c r="E2338">
        <f>2119.366</f>
        <v>2119.366</v>
      </c>
      <c r="F2338">
        <f>2004.72</f>
        <v>2004.72</v>
      </c>
      <c r="G2338">
        <f>8722.137</f>
        <v>8722.1370000000006</v>
      </c>
      <c r="H2338">
        <f>2570.31</f>
        <v>2570.31</v>
      </c>
      <c r="I2338">
        <f>9006.783</f>
        <v>9006.7829999999994</v>
      </c>
      <c r="J2338">
        <f>2644.84</f>
        <v>2644.84</v>
      </c>
      <c r="K2338">
        <f>7463.76</f>
        <v>7463.76</v>
      </c>
      <c r="L2338">
        <f>1650.22</f>
        <v>1650.22</v>
      </c>
      <c r="M2338">
        <f>6438.66</f>
        <v>6438.66</v>
      </c>
      <c r="N2338">
        <f>267.072</f>
        <v>267.072</v>
      </c>
      <c r="O2338">
        <f>2303.8</f>
        <v>2303.8000000000002</v>
      </c>
      <c r="P2338">
        <f>155.55</f>
        <v>155.55000000000001</v>
      </c>
      <c r="Q2338">
        <f>1630.12</f>
        <v>1630.12</v>
      </c>
      <c r="R2338">
        <f>3578.46</f>
        <v>3578.46</v>
      </c>
      <c r="S2338">
        <f>1727.37</f>
        <v>1727.37</v>
      </c>
      <c r="T2338">
        <f>2927.443</f>
        <v>2927.4430000000002</v>
      </c>
      <c r="U2338">
        <f>51735.29</f>
        <v>51735.29</v>
      </c>
      <c r="V2338">
        <f>330.29</f>
        <v>330.29</v>
      </c>
    </row>
    <row r="2339" spans="1:22" x14ac:dyDescent="0.2">
      <c r="A2339" s="1">
        <v>41834</v>
      </c>
      <c r="B2339">
        <f>2820.51</f>
        <v>2820.51</v>
      </c>
      <c r="C2339">
        <f>9692.79</f>
        <v>9692.7900000000009</v>
      </c>
      <c r="D2339">
        <f>5016.79</f>
        <v>5016.79</v>
      </c>
      <c r="E2339">
        <f>2113.223</f>
        <v>2113.223</v>
      </c>
      <c r="F2339">
        <f>2003.76</f>
        <v>2003.76</v>
      </c>
      <c r="G2339">
        <f>8740.726</f>
        <v>8740.7260000000006</v>
      </c>
      <c r="H2339">
        <f>2560.03</f>
        <v>2560.0300000000002</v>
      </c>
      <c r="I2339">
        <f>9101.209</f>
        <v>9101.2090000000007</v>
      </c>
      <c r="J2339">
        <f>2654.09</f>
        <v>2654.09</v>
      </c>
      <c r="K2339">
        <f>7479.99</f>
        <v>7479.99</v>
      </c>
      <c r="L2339">
        <f>1657.88</f>
        <v>1657.88</v>
      </c>
      <c r="M2339">
        <f>6459.34</f>
        <v>6459.34</v>
      </c>
      <c r="N2339">
        <f>267.407</f>
        <v>267.40699999999998</v>
      </c>
      <c r="O2339">
        <f>2312.14</f>
        <v>2312.14</v>
      </c>
      <c r="P2339">
        <f>154.75</f>
        <v>154.75</v>
      </c>
      <c r="Q2339">
        <f>1634.38</f>
        <v>1634.38</v>
      </c>
      <c r="R2339">
        <f>3585.37</f>
        <v>3585.37</v>
      </c>
      <c r="S2339">
        <f>1716.22</f>
        <v>1716.22</v>
      </c>
      <c r="T2339">
        <f>2921.142</f>
        <v>2921.1419999999998</v>
      </c>
      <c r="U2339">
        <f>51540.88</f>
        <v>51540.88</v>
      </c>
      <c r="V2339">
        <f>329.78</f>
        <v>329.78</v>
      </c>
    </row>
    <row r="2340" spans="1:22" x14ac:dyDescent="0.2">
      <c r="A2340" s="1">
        <v>41831</v>
      </c>
      <c r="B2340">
        <f>2798.01</f>
        <v>2798.01</v>
      </c>
      <c r="C2340">
        <f>9654.75</f>
        <v>9654.75</v>
      </c>
      <c r="D2340">
        <f>4975.17</f>
        <v>4975.17</v>
      </c>
      <c r="E2340">
        <f>2101.403</f>
        <v>2101.4029999999998</v>
      </c>
      <c r="F2340">
        <f>1987.8</f>
        <v>1987.8</v>
      </c>
      <c r="G2340">
        <f>8672.675</f>
        <v>8672.6749999999993</v>
      </c>
      <c r="H2340">
        <f>2540.61</f>
        <v>2540.61</v>
      </c>
      <c r="I2340">
        <f>8994.549</f>
        <v>8994.5490000000009</v>
      </c>
      <c r="J2340">
        <f>2645.07</f>
        <v>2645.07</v>
      </c>
      <c r="K2340">
        <f>7443.34</f>
        <v>7443.34</v>
      </c>
      <c r="L2340">
        <f>1647.38</f>
        <v>1647.38</v>
      </c>
      <c r="M2340">
        <f>6418.53</f>
        <v>6418.53</v>
      </c>
      <c r="N2340">
        <f>265.787</f>
        <v>265.78699999999998</v>
      </c>
      <c r="O2340">
        <f>2293.38</f>
        <v>2293.38</v>
      </c>
      <c r="P2340">
        <f>153.53</f>
        <v>153.53</v>
      </c>
      <c r="Q2340">
        <f>1628.53</f>
        <v>1628.53</v>
      </c>
      <c r="R2340">
        <f>3568.08</f>
        <v>3568.08</v>
      </c>
      <c r="S2340">
        <f>1702.3</f>
        <v>1702.3</v>
      </c>
      <c r="T2340">
        <f>2899.781</f>
        <v>2899.7809999999999</v>
      </c>
      <c r="U2340">
        <f>51161.33</f>
        <v>51161.33</v>
      </c>
      <c r="V2340">
        <f>328.47</f>
        <v>328.47</v>
      </c>
    </row>
    <row r="2341" spans="1:22" x14ac:dyDescent="0.2">
      <c r="A2341" s="1">
        <v>41830</v>
      </c>
      <c r="B2341">
        <f>2790.14</f>
        <v>2790.14</v>
      </c>
      <c r="C2341">
        <f>9650.91</f>
        <v>9650.91</v>
      </c>
      <c r="D2341">
        <f>4961.93</f>
        <v>4961.93</v>
      </c>
      <c r="E2341">
        <f>2108.675</f>
        <v>2108.6750000000002</v>
      </c>
      <c r="F2341">
        <f>1989.33</f>
        <v>1989.33</v>
      </c>
      <c r="G2341">
        <f>8654.549</f>
        <v>8654.5490000000009</v>
      </c>
      <c r="H2341">
        <f>2534.47</f>
        <v>2534.4699999999998</v>
      </c>
      <c r="I2341">
        <f>8984.403</f>
        <v>8984.4030000000002</v>
      </c>
      <c r="J2341">
        <f>2646.16</f>
        <v>2646.16</v>
      </c>
      <c r="K2341">
        <f>7432.34</f>
        <v>7432.34</v>
      </c>
      <c r="L2341">
        <f>1646.83</f>
        <v>1646.83</v>
      </c>
      <c r="M2341">
        <f>6412.57</f>
        <v>6412.57</v>
      </c>
      <c r="N2341">
        <f>265.593</f>
        <v>265.59300000000002</v>
      </c>
      <c r="O2341">
        <f>2289.69</f>
        <v>2289.69</v>
      </c>
      <c r="P2341">
        <f>153.46</f>
        <v>153.46</v>
      </c>
      <c r="Q2341">
        <f>1630.51</f>
        <v>1630.51</v>
      </c>
      <c r="R2341">
        <f>3562.49</f>
        <v>3562.49</v>
      </c>
      <c r="S2341">
        <f>1707.8</f>
        <v>1707.8</v>
      </c>
      <c r="T2341">
        <f>2888.138</f>
        <v>2888.1379999999999</v>
      </c>
      <c r="U2341">
        <f>50994.46</f>
        <v>50994.46</v>
      </c>
      <c r="V2341">
        <f>325.56</f>
        <v>325.56</v>
      </c>
    </row>
    <row r="2342" spans="1:22" x14ac:dyDescent="0.2">
      <c r="A2342" s="1">
        <v>41829</v>
      </c>
      <c r="B2342">
        <f>2799.25</f>
        <v>2799.25</v>
      </c>
      <c r="C2342">
        <f>9664.71</f>
        <v>9664.7099999999991</v>
      </c>
      <c r="D2342">
        <f>4995.89</f>
        <v>4995.8900000000003</v>
      </c>
      <c r="E2342">
        <f>2105.492</f>
        <v>2105.4920000000002</v>
      </c>
      <c r="F2342">
        <f>1997.65</f>
        <v>1997.65</v>
      </c>
      <c r="G2342">
        <f>8725.459</f>
        <v>8725.4590000000007</v>
      </c>
      <c r="H2342">
        <f>2549.67</f>
        <v>2549.67</v>
      </c>
      <c r="I2342">
        <f>9126.317</f>
        <v>9126.3169999999991</v>
      </c>
      <c r="J2342">
        <f>2651.12</f>
        <v>2651.12</v>
      </c>
      <c r="K2342">
        <f>7463.43</f>
        <v>7463.43</v>
      </c>
      <c r="L2342">
        <f>1656.91</f>
        <v>1656.91</v>
      </c>
      <c r="M2342">
        <f>6455.23</f>
        <v>6455.23</v>
      </c>
      <c r="N2342">
        <f>267.506</f>
        <v>267.50599999999997</v>
      </c>
      <c r="O2342">
        <f>2313.31</f>
        <v>2313.31</v>
      </c>
      <c r="P2342">
        <f>154.99</f>
        <v>154.99</v>
      </c>
      <c r="Q2342">
        <f>1637.35</f>
        <v>1637.35</v>
      </c>
      <c r="R2342">
        <f>3577.28</f>
        <v>3577.28</v>
      </c>
      <c r="S2342">
        <f>1723.49</f>
        <v>1723.49</v>
      </c>
      <c r="T2342">
        <f>2909.948</f>
        <v>2909.9479999999999</v>
      </c>
      <c r="U2342">
        <f>51401.46</f>
        <v>51401.46</v>
      </c>
      <c r="V2342">
        <f>328.26</f>
        <v>328.26</v>
      </c>
    </row>
    <row r="2343" spans="1:22" x14ac:dyDescent="0.2">
      <c r="A2343" s="1">
        <v>41828</v>
      </c>
      <c r="B2343">
        <f>2817.33</f>
        <v>2817.33</v>
      </c>
      <c r="C2343">
        <f>9704.15</f>
        <v>9704.15</v>
      </c>
      <c r="D2343">
        <f>5010.5</f>
        <v>5010.5</v>
      </c>
      <c r="E2343">
        <f>2112.586</f>
        <v>2112.5859999999998</v>
      </c>
      <c r="F2343">
        <f>2005.57</f>
        <v>2005.57</v>
      </c>
      <c r="G2343">
        <f>8742.781</f>
        <v>8742.7810000000009</v>
      </c>
      <c r="H2343">
        <f>2552.25</f>
        <v>2552.25</v>
      </c>
      <c r="I2343">
        <f>9088.872</f>
        <v>9088.8719999999994</v>
      </c>
      <c r="J2343">
        <f>2642.25</f>
        <v>2642.25</v>
      </c>
      <c r="K2343">
        <f>7428.62</f>
        <v>7428.62</v>
      </c>
      <c r="L2343">
        <f>1655.18</f>
        <v>1655.18</v>
      </c>
      <c r="M2343">
        <f>6438.49</f>
        <v>6438.49</v>
      </c>
      <c r="N2343">
        <f>268.558</f>
        <v>268.55799999999999</v>
      </c>
      <c r="O2343">
        <f>2312.86</f>
        <v>2312.86</v>
      </c>
      <c r="P2343">
        <f>155.23</f>
        <v>155.22999999999999</v>
      </c>
      <c r="Q2343">
        <f>1633.19</f>
        <v>1633.19</v>
      </c>
      <c r="R2343">
        <f>3560.53</f>
        <v>3560.53</v>
      </c>
      <c r="S2343">
        <f>1730.11</f>
        <v>1730.11</v>
      </c>
      <c r="T2343">
        <f>2916.633</f>
        <v>2916.6329999999998</v>
      </c>
      <c r="U2343">
        <f>51608.33</f>
        <v>51608.33</v>
      </c>
      <c r="V2343">
        <f>327.93</f>
        <v>327.93</v>
      </c>
    </row>
    <row r="2344" spans="1:22" x14ac:dyDescent="0.2">
      <c r="A2344" s="1">
        <v>41827</v>
      </c>
      <c r="B2344">
        <f>2851.47</f>
        <v>2851.47</v>
      </c>
      <c r="C2344">
        <f>9673.69</f>
        <v>9673.69</v>
      </c>
      <c r="D2344">
        <f>5073.75</f>
        <v>5073.75</v>
      </c>
      <c r="E2344">
        <f>2111.705</f>
        <v>2111.7049999999999</v>
      </c>
      <c r="F2344">
        <f>2033.14</f>
        <v>2033.14</v>
      </c>
      <c r="G2344">
        <f>8854.712</f>
        <v>8854.7119999999995</v>
      </c>
      <c r="H2344">
        <f>2543.22</f>
        <v>2543.2199999999998</v>
      </c>
      <c r="I2344">
        <f>9199.695</f>
        <v>9199.6949999999997</v>
      </c>
      <c r="J2344">
        <f>2651.27</f>
        <v>2651.27</v>
      </c>
      <c r="K2344">
        <f>7480.68</f>
        <v>7480.68</v>
      </c>
      <c r="L2344">
        <f>1664.32</f>
        <v>1664.32</v>
      </c>
      <c r="M2344">
        <f>6486.14</f>
        <v>6486.14</v>
      </c>
      <c r="N2344">
        <f>271.922</f>
        <v>271.92200000000003</v>
      </c>
      <c r="O2344">
        <f>2344.12</f>
        <v>2344.12</v>
      </c>
      <c r="P2344">
        <f>155.19</f>
        <v>155.19</v>
      </c>
      <c r="Q2344">
        <f>1641.15</f>
        <v>1641.15</v>
      </c>
      <c r="R2344">
        <f>3584.75</f>
        <v>3584.75</v>
      </c>
      <c r="S2344">
        <f>1735.76</f>
        <v>1735.76</v>
      </c>
      <c r="T2344">
        <f>2906.836</f>
        <v>2906.8359999999998</v>
      </c>
      <c r="U2344">
        <f>51877.11</f>
        <v>51877.11</v>
      </c>
      <c r="V2344">
        <f>328.64</f>
        <v>328.64</v>
      </c>
    </row>
    <row r="2345" spans="1:22" x14ac:dyDescent="0.2">
      <c r="A2345" s="1">
        <v>41824</v>
      </c>
      <c r="B2345">
        <f>2871.01</f>
        <v>2871.01</v>
      </c>
      <c r="C2345">
        <f>9656.03</f>
        <v>9656.0300000000007</v>
      </c>
      <c r="D2345">
        <f>5105.38</f>
        <v>5105.38</v>
      </c>
      <c r="E2345">
        <f>2107.515</f>
        <v>2107.5149999999999</v>
      </c>
      <c r="F2345">
        <f>2042.83</f>
        <v>2042.83</v>
      </c>
      <c r="G2345">
        <f>8919.372</f>
        <v>8919.3719999999994</v>
      </c>
      <c r="H2345">
        <f>2550.11</f>
        <v>2550.11</v>
      </c>
      <c r="I2345">
        <f>9281.662</f>
        <v>9281.6620000000003</v>
      </c>
      <c r="J2345">
        <f>2651.79</f>
        <v>2651.79</v>
      </c>
      <c r="K2345">
        <f>7511.36</f>
        <v>7511.36</v>
      </c>
      <c r="L2345">
        <f>1670.58</f>
        <v>1670.58</v>
      </c>
      <c r="M2345">
        <f>6517.76</f>
        <v>6517.76</v>
      </c>
      <c r="N2345">
        <f>273.169</f>
        <v>273.16899999999998</v>
      </c>
      <c r="O2345">
        <f>2365.55</f>
        <v>2365.5500000000002</v>
      </c>
      <c r="P2345">
        <f>155.78</f>
        <v>155.78</v>
      </c>
      <c r="Q2345" t="e">
        <f>NA()</f>
        <v>#N/A</v>
      </c>
      <c r="R2345" t="e">
        <f>NA()</f>
        <v>#N/A</v>
      </c>
      <c r="S2345">
        <f>1743.05</f>
        <v>1743.05</v>
      </c>
      <c r="T2345">
        <f>2900.725</f>
        <v>2900.7249999999999</v>
      </c>
      <c r="U2345">
        <f>52060.03</f>
        <v>52060.03</v>
      </c>
      <c r="V2345">
        <f>327.47</f>
        <v>327.47000000000003</v>
      </c>
    </row>
    <row r="2346" spans="1:22" x14ac:dyDescent="0.2">
      <c r="A2346" s="1">
        <v>41823</v>
      </c>
      <c r="B2346">
        <f>2873.89</f>
        <v>2873.89</v>
      </c>
      <c r="C2346">
        <f>9665.77</f>
        <v>9665.77</v>
      </c>
      <c r="D2346">
        <f>5104.75</f>
        <v>5104.75</v>
      </c>
      <c r="E2346">
        <f>2106.015</f>
        <v>2106.0149999999999</v>
      </c>
      <c r="F2346">
        <f>2040.25</f>
        <v>2040.25</v>
      </c>
      <c r="G2346">
        <f>8915.945</f>
        <v>8915.9449999999997</v>
      </c>
      <c r="H2346">
        <f>2538.06</f>
        <v>2538.06</v>
      </c>
      <c r="I2346">
        <f>9342.004</f>
        <v>9342.0040000000008</v>
      </c>
      <c r="J2346">
        <f>2651.79</f>
        <v>2651.79</v>
      </c>
      <c r="K2346">
        <f>7511.36</f>
        <v>7511.36</v>
      </c>
      <c r="L2346">
        <f>1670.59</f>
        <v>1670.59</v>
      </c>
      <c r="M2346">
        <f>6520.25</f>
        <v>6520.25</v>
      </c>
      <c r="N2346">
        <f>272.935</f>
        <v>272.935</v>
      </c>
      <c r="O2346">
        <f>2372.34</f>
        <v>2372.34</v>
      </c>
      <c r="P2346">
        <f>155.39</f>
        <v>155.38999999999999</v>
      </c>
      <c r="Q2346">
        <f>1645.63</f>
        <v>1645.63</v>
      </c>
      <c r="R2346">
        <f>3598.73</f>
        <v>3598.73</v>
      </c>
      <c r="S2346">
        <f>1734.03</f>
        <v>1734.03</v>
      </c>
      <c r="T2346">
        <f>2885.602</f>
        <v>2885.6019999999999</v>
      </c>
      <c r="U2346">
        <f>51918.44</f>
        <v>51918.44</v>
      </c>
      <c r="V2346">
        <f>327.35</f>
        <v>327.35000000000002</v>
      </c>
    </row>
    <row r="2347" spans="1:22" x14ac:dyDescent="0.2">
      <c r="A2347" s="1">
        <v>41822</v>
      </c>
      <c r="B2347">
        <f>2846.12</f>
        <v>2846.12</v>
      </c>
      <c r="C2347">
        <f>9665.9</f>
        <v>9665.9</v>
      </c>
      <c r="D2347">
        <f>5068.44</f>
        <v>5068.4399999999996</v>
      </c>
      <c r="E2347">
        <f>2101.696</f>
        <v>2101.6959999999999</v>
      </c>
      <c r="F2347">
        <f>2030.38</f>
        <v>2030.38</v>
      </c>
      <c r="G2347">
        <f>8865.924</f>
        <v>8865.9240000000009</v>
      </c>
      <c r="H2347">
        <f>2555.42</f>
        <v>2555.42</v>
      </c>
      <c r="I2347">
        <f>9284.52</f>
        <v>9284.52</v>
      </c>
      <c r="J2347">
        <f>2640.68</f>
        <v>2640.68</v>
      </c>
      <c r="K2347">
        <f>7471.35</f>
        <v>7471.35</v>
      </c>
      <c r="L2347">
        <f>1664.16</f>
        <v>1664.16</v>
      </c>
      <c r="M2347">
        <f>6493.64</f>
        <v>6493.64</v>
      </c>
      <c r="N2347">
        <f>270.631</f>
        <v>270.63099999999997</v>
      </c>
      <c r="O2347">
        <f>2349.41</f>
        <v>2349.41</v>
      </c>
      <c r="P2347">
        <f>156.06</f>
        <v>156.06</v>
      </c>
      <c r="Q2347">
        <f>1637.06</f>
        <v>1637.06</v>
      </c>
      <c r="R2347">
        <f>3579.11</f>
        <v>3579.11</v>
      </c>
      <c r="S2347">
        <f>1737</f>
        <v>1737</v>
      </c>
      <c r="T2347">
        <f>2889.865</f>
        <v>2889.8649999999998</v>
      </c>
      <c r="U2347">
        <f>51883.71</f>
        <v>51883.71</v>
      </c>
      <c r="V2347">
        <f>327.74</f>
        <v>327.74</v>
      </c>
    </row>
    <row r="2348" spans="1:22" x14ac:dyDescent="0.2">
      <c r="A2348" s="1">
        <v>41821</v>
      </c>
      <c r="B2348">
        <f>2843.98</f>
        <v>2843.98</v>
      </c>
      <c r="C2348">
        <f>9604.1</f>
        <v>9604.1</v>
      </c>
      <c r="D2348">
        <f>5057.45</f>
        <v>5057.45</v>
      </c>
      <c r="E2348">
        <f>2081.325</f>
        <v>2081.3249999999998</v>
      </c>
      <c r="F2348">
        <f>2025.91</f>
        <v>2025.91</v>
      </c>
      <c r="G2348">
        <f>8827.084</f>
        <v>8827.0840000000007</v>
      </c>
      <c r="H2348">
        <f>2549.45</f>
        <v>2549.4499999999998</v>
      </c>
      <c r="I2348">
        <f>9298.568</f>
        <v>9298.5679999999993</v>
      </c>
      <c r="J2348">
        <f>2639.35</f>
        <v>2639.35</v>
      </c>
      <c r="K2348">
        <f>7467.86</f>
        <v>7467.86</v>
      </c>
      <c r="L2348">
        <f>1661.76</f>
        <v>1661.76</v>
      </c>
      <c r="M2348">
        <f>6485.16</f>
        <v>6485.16</v>
      </c>
      <c r="N2348">
        <f>269.529</f>
        <v>269.529</v>
      </c>
      <c r="O2348">
        <f>2344.91</f>
        <v>2344.91</v>
      </c>
      <c r="P2348">
        <f>155.07</f>
        <v>155.07</v>
      </c>
      <c r="Q2348">
        <f>1638.06</f>
        <v>1638.06</v>
      </c>
      <c r="R2348">
        <f>3576.55</f>
        <v>3576.55</v>
      </c>
      <c r="S2348">
        <f>1730.62</f>
        <v>1730.62</v>
      </c>
      <c r="T2348">
        <f>2871.062</f>
        <v>2871.0619999999999</v>
      </c>
      <c r="U2348">
        <f>51480.19</f>
        <v>51480.19</v>
      </c>
      <c r="V2348">
        <f>327.72</f>
        <v>327.72</v>
      </c>
    </row>
    <row r="2349" spans="1:22" x14ac:dyDescent="0.2">
      <c r="A2349" s="1">
        <v>41820</v>
      </c>
      <c r="B2349">
        <f>2832.85</f>
        <v>2832.85</v>
      </c>
      <c r="C2349">
        <f>9595.41</f>
        <v>9595.41</v>
      </c>
      <c r="D2349">
        <f>5013.61</f>
        <v>5013.6099999999997</v>
      </c>
      <c r="E2349">
        <f>2079.79</f>
        <v>2079.79</v>
      </c>
      <c r="F2349">
        <f>2009.35</f>
        <v>2009.35</v>
      </c>
      <c r="G2349">
        <f>8732.42</f>
        <v>8732.42</v>
      </c>
      <c r="H2349">
        <f>2533.56</f>
        <v>2533.56</v>
      </c>
      <c r="I2349">
        <f>9237.237</f>
        <v>9237.2369999999992</v>
      </c>
      <c r="J2349">
        <f>2627.74</f>
        <v>2627.74</v>
      </c>
      <c r="K2349">
        <f>7417.23</f>
        <v>7417.23</v>
      </c>
      <c r="L2349">
        <f>1654.22</f>
        <v>1654.22</v>
      </c>
      <c r="M2349">
        <f>6442.5</f>
        <v>6442.5</v>
      </c>
      <c r="N2349">
        <f>267.596</f>
        <v>267.596</v>
      </c>
      <c r="O2349">
        <f>2323.6</f>
        <v>2323.6</v>
      </c>
      <c r="P2349">
        <f>153.88</f>
        <v>153.88</v>
      </c>
      <c r="Q2349">
        <f>1632.53</f>
        <v>1632.53</v>
      </c>
      <c r="R2349">
        <f>3552.18</f>
        <v>3552.18</v>
      </c>
      <c r="S2349">
        <f>1712.3</f>
        <v>1712.3</v>
      </c>
      <c r="T2349">
        <f>2859.508</f>
        <v>2859.5079999999998</v>
      </c>
      <c r="U2349">
        <f>50945.26</f>
        <v>50945.26</v>
      </c>
      <c r="V2349">
        <f>326.75</f>
        <v>326.75</v>
      </c>
    </row>
    <row r="2350" spans="1:22" x14ac:dyDescent="0.2">
      <c r="A2350" s="1">
        <v>41817</v>
      </c>
      <c r="B2350">
        <f>2826.75</f>
        <v>2826.75</v>
      </c>
      <c r="C2350">
        <f>9579</f>
        <v>9579</v>
      </c>
      <c r="D2350">
        <f>5023.89</f>
        <v>5023.8900000000003</v>
      </c>
      <c r="E2350">
        <f>2070.291</f>
        <v>2070.2910000000002</v>
      </c>
      <c r="F2350">
        <f>2003.82</f>
        <v>2003.82</v>
      </c>
      <c r="G2350">
        <f>8704.551</f>
        <v>8704.5509999999995</v>
      </c>
      <c r="H2350">
        <f>2516.8</f>
        <v>2516.8000000000002</v>
      </c>
      <c r="I2350">
        <f>9205.888</f>
        <v>9205.8880000000008</v>
      </c>
      <c r="J2350">
        <f>2628.65</f>
        <v>2628.65</v>
      </c>
      <c r="K2350">
        <f>7416.77</f>
        <v>7416.77</v>
      </c>
      <c r="L2350">
        <f>1651.07</f>
        <v>1651.07</v>
      </c>
      <c r="M2350">
        <f>6432.89</f>
        <v>6432.89</v>
      </c>
      <c r="N2350">
        <f>267.054</f>
        <v>267.05399999999997</v>
      </c>
      <c r="O2350">
        <f>2324.92</f>
        <v>2324.92</v>
      </c>
      <c r="P2350">
        <f>152.21</f>
        <v>152.21</v>
      </c>
      <c r="Q2350">
        <f>1632.27</f>
        <v>1632.27</v>
      </c>
      <c r="R2350">
        <f>3553.35</f>
        <v>3553.35</v>
      </c>
      <c r="S2350">
        <f>1699.52</f>
        <v>1699.52</v>
      </c>
      <c r="T2350">
        <f>2836.604</f>
        <v>2836.6039999999998</v>
      </c>
      <c r="U2350">
        <f>50625.37</f>
        <v>50625.37</v>
      </c>
      <c r="V2350">
        <f>324.71</f>
        <v>324.70999999999998</v>
      </c>
    </row>
    <row r="2351" spans="1:22" x14ac:dyDescent="0.2">
      <c r="A2351" s="1">
        <v>41816</v>
      </c>
      <c r="B2351">
        <f>2813.16</f>
        <v>2813.16</v>
      </c>
      <c r="C2351">
        <f>9578.32</f>
        <v>9578.32</v>
      </c>
      <c r="D2351">
        <f>5007.05</f>
        <v>5007.05</v>
      </c>
      <c r="E2351">
        <f>2071.286</f>
        <v>2071.2860000000001</v>
      </c>
      <c r="F2351">
        <f>1994.45</f>
        <v>1994.45</v>
      </c>
      <c r="G2351">
        <f>8669.959</f>
        <v>8669.9590000000007</v>
      </c>
      <c r="H2351">
        <f>2528.4</f>
        <v>2528.4</v>
      </c>
      <c r="I2351">
        <f>9166.967</f>
        <v>9166.9670000000006</v>
      </c>
      <c r="J2351">
        <f>2626.64</f>
        <v>2626.64</v>
      </c>
      <c r="K2351">
        <f>7401.24</f>
        <v>7401.24</v>
      </c>
      <c r="L2351">
        <f>1647.75</f>
        <v>1647.75</v>
      </c>
      <c r="M2351">
        <f>6419.12</f>
        <v>6419.12</v>
      </c>
      <c r="N2351">
        <f>266.558</f>
        <v>266.55799999999999</v>
      </c>
      <c r="O2351">
        <f>2323.17</f>
        <v>2323.17</v>
      </c>
      <c r="P2351">
        <f>153.17</f>
        <v>153.16999999999999</v>
      </c>
      <c r="Q2351">
        <f>1628.5</f>
        <v>1628.5</v>
      </c>
      <c r="R2351">
        <f>3546.38</f>
        <v>3546.38</v>
      </c>
      <c r="S2351">
        <f>1713.46</f>
        <v>1713.46</v>
      </c>
      <c r="T2351">
        <f>2843.743</f>
        <v>2843.7429999999999</v>
      </c>
      <c r="U2351">
        <f>50761.82</f>
        <v>50761.82</v>
      </c>
      <c r="V2351">
        <f>324.48</f>
        <v>324.48</v>
      </c>
    </row>
    <row r="2352" spans="1:22" x14ac:dyDescent="0.2">
      <c r="A2352" s="1">
        <v>41815</v>
      </c>
      <c r="B2352">
        <f>2792.61</f>
        <v>2792.61</v>
      </c>
      <c r="C2352">
        <f>9526.76</f>
        <v>9526.76</v>
      </c>
      <c r="D2352">
        <f>5005.93</f>
        <v>5005.93</v>
      </c>
      <c r="E2352">
        <f>2061.141</f>
        <v>2061.1410000000001</v>
      </c>
      <c r="F2352">
        <f>1985.64</f>
        <v>1985.64</v>
      </c>
      <c r="G2352">
        <f>8655.605</f>
        <v>8655.6049999999996</v>
      </c>
      <c r="H2352">
        <f>2512.76</f>
        <v>2512.7600000000002</v>
      </c>
      <c r="I2352">
        <f>9227.087</f>
        <v>9227.0869999999995</v>
      </c>
      <c r="J2352">
        <f>2631.11</f>
        <v>2631.11</v>
      </c>
      <c r="K2352">
        <f>7408.42</f>
        <v>7408.42</v>
      </c>
      <c r="L2352">
        <f>1648.65</f>
        <v>1648.65</v>
      </c>
      <c r="M2352">
        <f>6420.77</f>
        <v>6420.77</v>
      </c>
      <c r="N2352">
        <f>264.692</f>
        <v>264.69200000000001</v>
      </c>
      <c r="O2352">
        <f>2325.65</f>
        <v>2325.65</v>
      </c>
      <c r="P2352">
        <f>152.97</f>
        <v>152.97</v>
      </c>
      <c r="Q2352">
        <f>1630.51</f>
        <v>1630.51</v>
      </c>
      <c r="R2352">
        <f>3549.96</f>
        <v>3549.96</v>
      </c>
      <c r="S2352">
        <f>1708.66</f>
        <v>1708.66</v>
      </c>
      <c r="T2352">
        <f>2819.455</f>
        <v>2819.4549999999999</v>
      </c>
      <c r="U2352">
        <f>50350.61</f>
        <v>50350.61</v>
      </c>
      <c r="V2352">
        <f>323.07</f>
        <v>323.07</v>
      </c>
    </row>
    <row r="2353" spans="1:22" x14ac:dyDescent="0.2">
      <c r="A2353" s="1">
        <v>41814</v>
      </c>
      <c r="B2353">
        <f>2813.78</f>
        <v>2813.78</v>
      </c>
      <c r="C2353">
        <f>9591.66</f>
        <v>9591.66</v>
      </c>
      <c r="D2353">
        <f>5045.22</f>
        <v>5045.22</v>
      </c>
      <c r="E2353">
        <f>2073.175</f>
        <v>2073.1750000000002</v>
      </c>
      <c r="F2353">
        <f>2002.6</f>
        <v>2002.6</v>
      </c>
      <c r="G2353">
        <f>8719.671</f>
        <v>8719.6710000000003</v>
      </c>
      <c r="H2353">
        <f>2515.69</f>
        <v>2515.69</v>
      </c>
      <c r="I2353">
        <f>9301.263</f>
        <v>9301.2630000000008</v>
      </c>
      <c r="J2353">
        <f>2620.71</f>
        <v>2620.71</v>
      </c>
      <c r="K2353">
        <f>7372.46</f>
        <v>7372.46</v>
      </c>
      <c r="L2353">
        <f>1651.93</f>
        <v>1651.93</v>
      </c>
      <c r="M2353">
        <f>6418.79</f>
        <v>6418.79</v>
      </c>
      <c r="N2353">
        <f>267.831</f>
        <v>267.83100000000002</v>
      </c>
      <c r="O2353">
        <f>2350.43</f>
        <v>2350.4299999999998</v>
      </c>
      <c r="P2353">
        <f>153.42</f>
        <v>153.41999999999999</v>
      </c>
      <c r="Q2353">
        <f>1626.19</f>
        <v>1626.19</v>
      </c>
      <c r="R2353">
        <f>3532.57</f>
        <v>3532.57</v>
      </c>
      <c r="S2353">
        <f>1719.06</f>
        <v>1719.06</v>
      </c>
      <c r="T2353">
        <f>2843.571</f>
        <v>2843.5709999999999</v>
      </c>
      <c r="U2353">
        <f>50890.92</f>
        <v>50890.92</v>
      </c>
      <c r="V2353">
        <f>327.72</f>
        <v>327.72</v>
      </c>
    </row>
    <row r="2354" spans="1:22" x14ac:dyDescent="0.2">
      <c r="A2354" s="1">
        <v>41813</v>
      </c>
      <c r="B2354">
        <f>2826.05</f>
        <v>2826.05</v>
      </c>
      <c r="C2354">
        <f>9533.86</f>
        <v>9533.86</v>
      </c>
      <c r="D2354">
        <f>5055.25</f>
        <v>5055.25</v>
      </c>
      <c r="E2354">
        <f>2061.311</f>
        <v>2061.3110000000001</v>
      </c>
      <c r="F2354">
        <f>2009.72</f>
        <v>2009.72</v>
      </c>
      <c r="G2354">
        <f>8757.33</f>
        <v>8757.33</v>
      </c>
      <c r="H2354">
        <f>2516.32</f>
        <v>2516.3200000000002</v>
      </c>
      <c r="I2354">
        <f>9302.771</f>
        <v>9302.7710000000006</v>
      </c>
      <c r="J2354">
        <f>2635.05</f>
        <v>2635.05</v>
      </c>
      <c r="K2354">
        <f>7420.73</f>
        <v>7420.73</v>
      </c>
      <c r="L2354">
        <f>1656.1</f>
        <v>1656.1</v>
      </c>
      <c r="M2354">
        <f>6449.72</f>
        <v>6449.72</v>
      </c>
      <c r="N2354">
        <f>268.511</f>
        <v>268.51100000000002</v>
      </c>
      <c r="O2354">
        <f>2354.13</f>
        <v>2354.13</v>
      </c>
      <c r="P2354">
        <f>152.62</f>
        <v>152.62</v>
      </c>
      <c r="Q2354">
        <f>1633.7</f>
        <v>1633.7</v>
      </c>
      <c r="R2354">
        <f>3555.14</f>
        <v>3555.14</v>
      </c>
      <c r="S2354">
        <f>1717.68</f>
        <v>1717.68</v>
      </c>
      <c r="T2354">
        <f>2834.686</f>
        <v>2834.6860000000001</v>
      </c>
      <c r="U2354">
        <f>51058.27</f>
        <v>51058.27</v>
      </c>
      <c r="V2354">
        <f>327.51</f>
        <v>327.51</v>
      </c>
    </row>
    <row r="2355" spans="1:22" x14ac:dyDescent="0.2">
      <c r="A2355" s="1">
        <v>41810</v>
      </c>
      <c r="B2355">
        <f>2830.73</f>
        <v>2830.73</v>
      </c>
      <c r="C2355">
        <f>9572.92</f>
        <v>9572.92</v>
      </c>
      <c r="D2355">
        <f>5073.57</f>
        <v>5073.57</v>
      </c>
      <c r="E2355">
        <f>2063.989</f>
        <v>2063.989</v>
      </c>
      <c r="F2355">
        <f>2021.71</f>
        <v>2021.71</v>
      </c>
      <c r="G2355">
        <f>8792.128</f>
        <v>8792.1280000000006</v>
      </c>
      <c r="H2355">
        <f>2506.11</f>
        <v>2506.11</v>
      </c>
      <c r="I2355">
        <f>9333.121</f>
        <v>9333.1209999999992</v>
      </c>
      <c r="J2355">
        <f>2637.15</f>
        <v>2637.15</v>
      </c>
      <c r="K2355">
        <f>7421.01</f>
        <v>7421.01</v>
      </c>
      <c r="L2355">
        <f>1658.31</f>
        <v>1658.31</v>
      </c>
      <c r="M2355">
        <f>6453.65</f>
        <v>6453.65</v>
      </c>
      <c r="N2355">
        <f>270.074</f>
        <v>270.07400000000001</v>
      </c>
      <c r="O2355">
        <f>2364.83</f>
        <v>2364.83</v>
      </c>
      <c r="P2355">
        <f>152.65</f>
        <v>152.65</v>
      </c>
      <c r="Q2355">
        <f>1637.62</f>
        <v>1637.62</v>
      </c>
      <c r="R2355">
        <f>3555.6</f>
        <v>3555.6</v>
      </c>
      <c r="S2355">
        <f>1719.62</f>
        <v>1719.62</v>
      </c>
      <c r="T2355">
        <f>2844.797</f>
        <v>2844.797</v>
      </c>
      <c r="U2355">
        <f>51322.67</f>
        <v>51322.67</v>
      </c>
      <c r="V2355">
        <f>327.87</f>
        <v>327.87</v>
      </c>
    </row>
    <row r="2356" spans="1:22" x14ac:dyDescent="0.2">
      <c r="A2356" s="1">
        <v>41809</v>
      </c>
      <c r="B2356">
        <f>2832.54</f>
        <v>2832.54</v>
      </c>
      <c r="C2356">
        <f>9601.92</f>
        <v>9601.92</v>
      </c>
      <c r="D2356">
        <f>5060.86</f>
        <v>5060.8599999999997</v>
      </c>
      <c r="E2356">
        <f>2075.904</f>
        <v>2075.904</v>
      </c>
      <c r="F2356">
        <f>2026.34</f>
        <v>2026.34</v>
      </c>
      <c r="G2356">
        <f>8788.196</f>
        <v>8788.1959999999999</v>
      </c>
      <c r="H2356">
        <f>2517</f>
        <v>2517</v>
      </c>
      <c r="I2356">
        <f>9393.094</f>
        <v>9393.0939999999991</v>
      </c>
      <c r="J2356">
        <f>2632.04</f>
        <v>2632.04</v>
      </c>
      <c r="K2356">
        <f>7407.03</f>
        <v>7407.03</v>
      </c>
      <c r="L2356">
        <f>1659.45</f>
        <v>1659.45</v>
      </c>
      <c r="M2356">
        <f>6457.19</f>
        <v>6457.19</v>
      </c>
      <c r="N2356">
        <f>269.254</f>
        <v>269.25400000000002</v>
      </c>
      <c r="O2356">
        <f>2365.63</f>
        <v>2365.63</v>
      </c>
      <c r="P2356">
        <f>153.14</f>
        <v>153.13999999999999</v>
      </c>
      <c r="Q2356">
        <f>1636.44</f>
        <v>1636.44</v>
      </c>
      <c r="R2356">
        <f>3549.44</f>
        <v>3549.44</v>
      </c>
      <c r="S2356">
        <f>1719.79</f>
        <v>1719.79</v>
      </c>
      <c r="T2356">
        <f>2849.766</f>
        <v>2849.7660000000001</v>
      </c>
      <c r="U2356">
        <f>51263.5</f>
        <v>51263.5</v>
      </c>
      <c r="V2356">
        <f>327.26</f>
        <v>327.26</v>
      </c>
    </row>
    <row r="2357" spans="1:22" x14ac:dyDescent="0.2">
      <c r="A2357" s="1">
        <v>41808</v>
      </c>
      <c r="B2357">
        <f>2817.43</f>
        <v>2817.43</v>
      </c>
      <c r="C2357">
        <f>9544.58</f>
        <v>9544.58</v>
      </c>
      <c r="D2357">
        <f>5038.89</f>
        <v>5038.8900000000003</v>
      </c>
      <c r="E2357">
        <f>2063.981</f>
        <v>2063.9810000000002</v>
      </c>
      <c r="F2357">
        <f>2003.38</f>
        <v>2003.38</v>
      </c>
      <c r="G2357">
        <f>8692.803</f>
        <v>8692.8029999999999</v>
      </c>
      <c r="H2357">
        <f>2477.01</f>
        <v>2477.0100000000002</v>
      </c>
      <c r="I2357">
        <f>9302.279</f>
        <v>9302.2790000000005</v>
      </c>
      <c r="J2357">
        <f>2624.79</f>
        <v>2624.79</v>
      </c>
      <c r="K2357">
        <f>7396.86</f>
        <v>7396.86</v>
      </c>
      <c r="L2357">
        <f>1645.22</f>
        <v>1645.22</v>
      </c>
      <c r="M2357">
        <f>6417.42</f>
        <v>6417.42</v>
      </c>
      <c r="N2357">
        <f>267.702</f>
        <v>267.702</v>
      </c>
      <c r="O2357">
        <f>2352.57</f>
        <v>2352.5700000000002</v>
      </c>
      <c r="P2357">
        <f>151.45</f>
        <v>151.44999999999999</v>
      </c>
      <c r="Q2357">
        <f>1632.28</f>
        <v>1632.28</v>
      </c>
      <c r="R2357">
        <f>3544.42</f>
        <v>3544.42</v>
      </c>
      <c r="S2357">
        <f>1692.84</f>
        <v>1692.84</v>
      </c>
      <c r="T2357">
        <f>2824.642</f>
        <v>2824.6419999999998</v>
      </c>
      <c r="U2357">
        <f>50693.95</f>
        <v>50693.95</v>
      </c>
      <c r="V2357">
        <f>324.56</f>
        <v>324.56</v>
      </c>
    </row>
    <row r="2358" spans="1:22" x14ac:dyDescent="0.2">
      <c r="A2358" s="1">
        <v>41807</v>
      </c>
      <c r="B2358">
        <f>2823.4</f>
        <v>2823.4</v>
      </c>
      <c r="C2358">
        <f>9510.28</f>
        <v>9510.2800000000007</v>
      </c>
      <c r="D2358">
        <f>5029.13</f>
        <v>5029.13</v>
      </c>
      <c r="E2358">
        <f>2061.675</f>
        <v>2061.6750000000002</v>
      </c>
      <c r="F2358">
        <f>2002.81</f>
        <v>2002.81</v>
      </c>
      <c r="G2358">
        <f>8692.901</f>
        <v>8692.9009999999998</v>
      </c>
      <c r="H2358">
        <f>2459.34</f>
        <v>2459.34</v>
      </c>
      <c r="I2358">
        <f>9282.89</f>
        <v>9282.89</v>
      </c>
      <c r="J2358">
        <f>2604.71</f>
        <v>2604.71</v>
      </c>
      <c r="K2358">
        <f>7340.27</f>
        <v>7340.27</v>
      </c>
      <c r="L2358">
        <f>1638.13</f>
        <v>1638.13</v>
      </c>
      <c r="M2358">
        <f>6383.45</f>
        <v>6383.45</v>
      </c>
      <c r="N2358">
        <f>268.728</f>
        <v>268.72800000000001</v>
      </c>
      <c r="O2358">
        <f>2353.05</f>
        <v>2353.0500000000002</v>
      </c>
      <c r="P2358">
        <f>150.44</f>
        <v>150.44</v>
      </c>
      <c r="Q2358">
        <f>1616.31</f>
        <v>1616.31</v>
      </c>
      <c r="R2358">
        <f>3517.23</f>
        <v>3517.23</v>
      </c>
      <c r="S2358">
        <f>1677.99</f>
        <v>1677.99</v>
      </c>
      <c r="T2358">
        <f>2849.341</f>
        <v>2849.3409999999999</v>
      </c>
      <c r="U2358">
        <f>50911.05</f>
        <v>50911.05</v>
      </c>
      <c r="V2358">
        <f>327.41</f>
        <v>327.41000000000003</v>
      </c>
    </row>
    <row r="2359" spans="1:22" x14ac:dyDescent="0.2">
      <c r="A2359" s="1">
        <v>41806</v>
      </c>
      <c r="B2359">
        <f>2832.31</f>
        <v>2832.31</v>
      </c>
      <c r="C2359">
        <f>9551.65</f>
        <v>9551.65</v>
      </c>
      <c r="D2359">
        <f>5020.11</f>
        <v>5020.1099999999997</v>
      </c>
      <c r="E2359">
        <f>2067.045</f>
        <v>2067.0450000000001</v>
      </c>
      <c r="F2359">
        <f>2001.81</f>
        <v>2001.81</v>
      </c>
      <c r="G2359">
        <f>8685.456</f>
        <v>8685.4560000000001</v>
      </c>
      <c r="H2359">
        <f>2457.44</f>
        <v>2457.44</v>
      </c>
      <c r="I2359">
        <f>9272.989</f>
        <v>9272.9889999999996</v>
      </c>
      <c r="J2359">
        <f>2604.34</f>
        <v>2604.34</v>
      </c>
      <c r="K2359">
        <f>7324.23</f>
        <v>7324.23</v>
      </c>
      <c r="L2359">
        <f>1639.31</f>
        <v>1639.31</v>
      </c>
      <c r="M2359">
        <f>6376.86</f>
        <v>6376.86</v>
      </c>
      <c r="N2359">
        <f>267.291</f>
        <v>267.291</v>
      </c>
      <c r="O2359">
        <f>2345.63</f>
        <v>2345.63</v>
      </c>
      <c r="P2359">
        <f>149.67</f>
        <v>149.66999999999999</v>
      </c>
      <c r="Q2359">
        <f>1612.08</f>
        <v>1612.08</v>
      </c>
      <c r="R2359">
        <f>3509.54</f>
        <v>3509.54</v>
      </c>
      <c r="S2359">
        <f>1673.22</f>
        <v>1673.22</v>
      </c>
      <c r="T2359" t="e">
        <f>NA()</f>
        <v>#N/A</v>
      </c>
      <c r="U2359" t="e">
        <f>NA()</f>
        <v>#N/A</v>
      </c>
      <c r="V2359" t="e">
        <f>NA()</f>
        <v>#N/A</v>
      </c>
    </row>
    <row r="2360" spans="1:22" x14ac:dyDescent="0.2">
      <c r="A2360" s="1">
        <v>41803</v>
      </c>
      <c r="B2360">
        <f>2845.3</f>
        <v>2845.3</v>
      </c>
      <c r="C2360">
        <f>9555.77</f>
        <v>9555.77</v>
      </c>
      <c r="D2360">
        <f>5037.36</f>
        <v>5037.3599999999997</v>
      </c>
      <c r="E2360">
        <f>2071.275</f>
        <v>2071.2750000000001</v>
      </c>
      <c r="F2360">
        <f>2011.83</f>
        <v>2011.83</v>
      </c>
      <c r="G2360">
        <f>8701.423</f>
        <v>8701.4230000000007</v>
      </c>
      <c r="H2360">
        <f>2464.14</f>
        <v>2464.14</v>
      </c>
      <c r="I2360">
        <f>9280.341</f>
        <v>9280.3410000000003</v>
      </c>
      <c r="J2360">
        <f>2596.17</f>
        <v>2596.17</v>
      </c>
      <c r="K2360">
        <f>7318.03</f>
        <v>7318.03</v>
      </c>
      <c r="L2360">
        <f>1636.36</f>
        <v>1636.36</v>
      </c>
      <c r="M2360">
        <f>6377.62</f>
        <v>6377.62</v>
      </c>
      <c r="N2360">
        <f>268.393</f>
        <v>268.39299999999997</v>
      </c>
      <c r="O2360">
        <f>2355.35</f>
        <v>2355.35</v>
      </c>
      <c r="P2360">
        <f>150.61</f>
        <v>150.61000000000001</v>
      </c>
      <c r="Q2360">
        <f>1611.16</f>
        <v>1611.16</v>
      </c>
      <c r="R2360">
        <f>3506.58</f>
        <v>3506.58</v>
      </c>
      <c r="S2360">
        <f>1685.81</f>
        <v>1685.81</v>
      </c>
      <c r="T2360">
        <f>2836.146</f>
        <v>2836.1460000000002</v>
      </c>
      <c r="U2360">
        <f>50763.71</f>
        <v>50763.71</v>
      </c>
      <c r="V2360">
        <f>326.1</f>
        <v>326.10000000000002</v>
      </c>
    </row>
    <row r="2361" spans="1:22" x14ac:dyDescent="0.2">
      <c r="A2361" s="1">
        <v>41802</v>
      </c>
      <c r="B2361">
        <f>2882.06</f>
        <v>2882.06</v>
      </c>
      <c r="C2361">
        <f>9540.11</f>
        <v>9540.11</v>
      </c>
      <c r="D2361">
        <f>5085.86</f>
        <v>5085.8599999999997</v>
      </c>
      <c r="E2361">
        <f>2082.16</f>
        <v>2082.16</v>
      </c>
      <c r="F2361">
        <f>2009.27</f>
        <v>2009.27</v>
      </c>
      <c r="G2361">
        <f>8721.6</f>
        <v>8721.6</v>
      </c>
      <c r="H2361">
        <f>2458.56</f>
        <v>2458.56</v>
      </c>
      <c r="I2361">
        <f>9313.904</f>
        <v>9313.9040000000005</v>
      </c>
      <c r="J2361">
        <f>2582.92</f>
        <v>2582.92</v>
      </c>
      <c r="K2361">
        <f>7294.77</f>
        <v>7294.77</v>
      </c>
      <c r="L2361">
        <f>1633.66</f>
        <v>1633.66</v>
      </c>
      <c r="M2361">
        <f>6371.18</f>
        <v>6371.18</v>
      </c>
      <c r="N2361">
        <f>269.071</f>
        <v>269.07100000000003</v>
      </c>
      <c r="O2361">
        <f>2358.91</f>
        <v>2358.91</v>
      </c>
      <c r="P2361">
        <f>149.76</f>
        <v>149.76</v>
      </c>
      <c r="Q2361">
        <f>1610.19</f>
        <v>1610.19</v>
      </c>
      <c r="R2361">
        <f>3495.57</f>
        <v>3495.57</v>
      </c>
      <c r="S2361">
        <f>1677.38</f>
        <v>1677.38</v>
      </c>
      <c r="T2361">
        <f>2844.038</f>
        <v>2844.038</v>
      </c>
      <c r="U2361">
        <f>50596.17</f>
        <v>50596.17</v>
      </c>
      <c r="V2361">
        <f>326.85</f>
        <v>326.85000000000002</v>
      </c>
    </row>
    <row r="2362" spans="1:22" x14ac:dyDescent="0.2">
      <c r="A2362" s="1">
        <v>41801</v>
      </c>
      <c r="B2362">
        <f>2877.94</f>
        <v>2877.94</v>
      </c>
      <c r="C2362">
        <f>9517.87</f>
        <v>9517.8700000000008</v>
      </c>
      <c r="D2362">
        <f>5082.71</f>
        <v>5082.71</v>
      </c>
      <c r="E2362">
        <f>2082.916</f>
        <v>2082.9160000000002</v>
      </c>
      <c r="F2362">
        <f>2005</f>
        <v>2005</v>
      </c>
      <c r="G2362">
        <f>8688.089</f>
        <v>8688.0889999999999</v>
      </c>
      <c r="H2362">
        <f>2453.71</f>
        <v>2453.71</v>
      </c>
      <c r="I2362">
        <f>9307.251</f>
        <v>9307.2510000000002</v>
      </c>
      <c r="J2362">
        <f>2594.66</f>
        <v>2594.66</v>
      </c>
      <c r="K2362">
        <f>7344.47</f>
        <v>7344.47</v>
      </c>
      <c r="L2362">
        <f>1634.2</f>
        <v>1634.2</v>
      </c>
      <c r="M2362">
        <f>6391.17</f>
        <v>6391.17</v>
      </c>
      <c r="N2362">
        <f>268.456</f>
        <v>268.45600000000002</v>
      </c>
      <c r="O2362">
        <f>2358.57</f>
        <v>2358.5700000000002</v>
      </c>
      <c r="P2362">
        <f>150.16</f>
        <v>150.16</v>
      </c>
      <c r="Q2362">
        <f>1622.27</f>
        <v>1622.27</v>
      </c>
      <c r="R2362">
        <f>3519.52</f>
        <v>3519.52</v>
      </c>
      <c r="S2362">
        <f>1679.17</f>
        <v>1679.17</v>
      </c>
      <c r="T2362">
        <f>2841.533</f>
        <v>2841.5329999999999</v>
      </c>
      <c r="U2362">
        <f>50659.44</f>
        <v>50659.44</v>
      </c>
      <c r="V2362">
        <f>326.91</f>
        <v>326.91000000000003</v>
      </c>
    </row>
    <row r="2363" spans="1:22" x14ac:dyDescent="0.2">
      <c r="A2363" s="1">
        <v>41800</v>
      </c>
      <c r="B2363">
        <f>2895.12</f>
        <v>2895.12</v>
      </c>
      <c r="C2363">
        <f>9545.19</f>
        <v>9545.19</v>
      </c>
      <c r="D2363">
        <f>5102.36</f>
        <v>5102.3599999999997</v>
      </c>
      <c r="E2363">
        <f>2085.776</f>
        <v>2085.7759999999998</v>
      </c>
      <c r="F2363">
        <f>2007.78</f>
        <v>2007.78</v>
      </c>
      <c r="G2363">
        <f>8705.189</f>
        <v>8705.1890000000003</v>
      </c>
      <c r="H2363">
        <f>2421.32</f>
        <v>2421.3200000000002</v>
      </c>
      <c r="I2363">
        <f>9377.235</f>
        <v>9377.2350000000006</v>
      </c>
      <c r="J2363">
        <f>2603.61</f>
        <v>2603.61</v>
      </c>
      <c r="K2363">
        <f>7368.15</f>
        <v>7368.15</v>
      </c>
      <c r="L2363">
        <f>1638.24</f>
        <v>1638.24</v>
      </c>
      <c r="M2363">
        <f>6404.9</f>
        <v>6404.9</v>
      </c>
      <c r="N2363">
        <f>268.938</f>
        <v>268.93799999999999</v>
      </c>
      <c r="O2363">
        <f>2369.53</f>
        <v>2369.5300000000002</v>
      </c>
      <c r="P2363">
        <f>149.15</f>
        <v>149.15</v>
      </c>
      <c r="Q2363">
        <f>1630.48</f>
        <v>1630.48</v>
      </c>
      <c r="R2363">
        <f>3531.62</f>
        <v>3531.62</v>
      </c>
      <c r="S2363">
        <f>1665.16</f>
        <v>1665.16</v>
      </c>
      <c r="T2363">
        <f>2836.696</f>
        <v>2836.6959999999999</v>
      </c>
      <c r="U2363">
        <f>50736.42</f>
        <v>50736.42</v>
      </c>
      <c r="V2363">
        <f>327.01</f>
        <v>327.01</v>
      </c>
    </row>
    <row r="2364" spans="1:22" x14ac:dyDescent="0.2">
      <c r="A2364" s="1">
        <v>41799</v>
      </c>
      <c r="B2364">
        <f>2896.28</f>
        <v>2896.28</v>
      </c>
      <c r="C2364">
        <f>9455.01</f>
        <v>9455.01</v>
      </c>
      <c r="D2364">
        <f>5103.43</f>
        <v>5103.43</v>
      </c>
      <c r="E2364">
        <f>2068.585</f>
        <v>2068.585</v>
      </c>
      <c r="F2364">
        <f>2008.89</f>
        <v>2008.89</v>
      </c>
      <c r="G2364">
        <f>8722.559</f>
        <v>8722.5589999999993</v>
      </c>
      <c r="H2364">
        <f>2429.86</f>
        <v>2429.86</v>
      </c>
      <c r="I2364">
        <f>9370.141</f>
        <v>9370.1409999999996</v>
      </c>
      <c r="J2364">
        <f>2599.67</f>
        <v>2599.67</v>
      </c>
      <c r="K2364">
        <f>7370.88</f>
        <v>7370.88</v>
      </c>
      <c r="L2364">
        <f>1635.28</f>
        <v>1635.28</v>
      </c>
      <c r="M2364">
        <f>6407.19</f>
        <v>6407.19</v>
      </c>
      <c r="N2364">
        <f>268.16</f>
        <v>268.16000000000003</v>
      </c>
      <c r="O2364">
        <f>2361.84</f>
        <v>2361.84</v>
      </c>
      <c r="P2364">
        <f>149.76</f>
        <v>149.76</v>
      </c>
      <c r="Q2364">
        <f>1635.11</f>
        <v>1635.11</v>
      </c>
      <c r="R2364">
        <f>3532.47</f>
        <v>3532.47</v>
      </c>
      <c r="S2364">
        <f>1673.35</f>
        <v>1673.35</v>
      </c>
      <c r="T2364">
        <f>2821.337</f>
        <v>2821.337</v>
      </c>
      <c r="U2364">
        <f>50134.53</f>
        <v>50134.53</v>
      </c>
      <c r="V2364">
        <f>324.07</f>
        <v>324.07</v>
      </c>
    </row>
    <row r="2365" spans="1:22" x14ac:dyDescent="0.2">
      <c r="A2365" s="1">
        <v>41796</v>
      </c>
      <c r="B2365">
        <f>2890.64</f>
        <v>2890.64</v>
      </c>
      <c r="C2365">
        <f>9424.39</f>
        <v>9424.39</v>
      </c>
      <c r="D2365">
        <f>5090.97</f>
        <v>5090.97</v>
      </c>
      <c r="E2365">
        <f>2060.502</f>
        <v>2060.502</v>
      </c>
      <c r="F2365">
        <f>2000.95</f>
        <v>2000.95</v>
      </c>
      <c r="G2365">
        <f>8699.101</f>
        <v>8699.1010000000006</v>
      </c>
      <c r="H2365">
        <f>2431.57</f>
        <v>2431.5700000000002</v>
      </c>
      <c r="I2365">
        <f>9377.159</f>
        <v>9377.1589999999997</v>
      </c>
      <c r="J2365">
        <f>2599.85</f>
        <v>2599.85</v>
      </c>
      <c r="K2365">
        <f>7363.92</f>
        <v>7363.92</v>
      </c>
      <c r="L2365">
        <f>1635.68</f>
        <v>1635.68</v>
      </c>
      <c r="M2365">
        <f>6401.4</f>
        <v>6401.4</v>
      </c>
      <c r="N2365">
        <f>267.041</f>
        <v>267.041</v>
      </c>
      <c r="O2365">
        <f>2352.19</f>
        <v>2352.19</v>
      </c>
      <c r="P2365">
        <f>150.41</f>
        <v>150.41</v>
      </c>
      <c r="Q2365">
        <f>1629.39</f>
        <v>1629.39</v>
      </c>
      <c r="R2365">
        <f>3528.98</f>
        <v>3528.98</v>
      </c>
      <c r="S2365">
        <f>1673.07</f>
        <v>1673.07</v>
      </c>
      <c r="T2365">
        <f>2819.058</f>
        <v>2819.058</v>
      </c>
      <c r="U2365">
        <f>49933.99</f>
        <v>49933.99</v>
      </c>
      <c r="V2365">
        <f>324.64</f>
        <v>324.64</v>
      </c>
    </row>
    <row r="2366" spans="1:22" x14ac:dyDescent="0.2">
      <c r="A2366" s="1">
        <v>41795</v>
      </c>
      <c r="B2366">
        <f>2856.31</f>
        <v>2856.31</v>
      </c>
      <c r="C2366">
        <f>9352.77</f>
        <v>9352.77</v>
      </c>
      <c r="D2366">
        <f>5057.78</f>
        <v>5057.78</v>
      </c>
      <c r="E2366">
        <f>2040.786</f>
        <v>2040.7860000000001</v>
      </c>
      <c r="F2366">
        <f>1986.77</f>
        <v>1986.77</v>
      </c>
      <c r="G2366">
        <f>8644.79</f>
        <v>8644.7900000000009</v>
      </c>
      <c r="H2366">
        <f>2431.09</f>
        <v>2431.09</v>
      </c>
      <c r="I2366">
        <f>9294.391</f>
        <v>9294.3909999999996</v>
      </c>
      <c r="J2366">
        <f>2593.53</f>
        <v>2593.5300000000002</v>
      </c>
      <c r="K2366">
        <f>7329.67</f>
        <v>7329.67</v>
      </c>
      <c r="L2366">
        <f>1629.51</f>
        <v>1629.51</v>
      </c>
      <c r="M2366">
        <f>6367.91</f>
        <v>6367.91</v>
      </c>
      <c r="N2366">
        <f>266.181</f>
        <v>266.18099999999998</v>
      </c>
      <c r="O2366">
        <f>2337.7</f>
        <v>2337.6999999999998</v>
      </c>
      <c r="P2366">
        <f>150.63</f>
        <v>150.63</v>
      </c>
      <c r="Q2366">
        <f>1623.54</f>
        <v>1623.54</v>
      </c>
      <c r="R2366">
        <f>3512.21</f>
        <v>3512.21</v>
      </c>
      <c r="S2366">
        <f>1669.04</f>
        <v>1669.04</v>
      </c>
      <c r="T2366">
        <f>2814.184</f>
        <v>2814.1840000000002</v>
      </c>
      <c r="U2366">
        <f>50000.43</f>
        <v>50000.43</v>
      </c>
      <c r="V2366">
        <f>322.99</f>
        <v>322.99</v>
      </c>
    </row>
    <row r="2367" spans="1:22" x14ac:dyDescent="0.2">
      <c r="A2367" s="1">
        <v>41794</v>
      </c>
      <c r="B2367">
        <f>2855.19</f>
        <v>2855.19</v>
      </c>
      <c r="C2367">
        <f>9317.65</f>
        <v>9317.65</v>
      </c>
      <c r="D2367">
        <f>5061.59</f>
        <v>5061.59</v>
      </c>
      <c r="E2367">
        <f>2032.703</f>
        <v>2032.703</v>
      </c>
      <c r="F2367">
        <f>1985.64</f>
        <v>1985.64</v>
      </c>
      <c r="G2367">
        <f>8637.052</f>
        <v>8637.0519999999997</v>
      </c>
      <c r="H2367">
        <f>2436.24</f>
        <v>2436.2399999999998</v>
      </c>
      <c r="I2367">
        <f>9252.567</f>
        <v>9252.5669999999991</v>
      </c>
      <c r="J2367">
        <f>2579.51</f>
        <v>2579.5100000000002</v>
      </c>
      <c r="K2367">
        <f>7281.53</f>
        <v>7281.53</v>
      </c>
      <c r="L2367">
        <f>1625.37</f>
        <v>1625.37</v>
      </c>
      <c r="M2367">
        <f>6338.59</f>
        <v>6338.59</v>
      </c>
      <c r="N2367">
        <f>266.125</f>
        <v>266.125</v>
      </c>
      <c r="O2367">
        <f>2327.94</f>
        <v>2327.94</v>
      </c>
      <c r="P2367">
        <f>151.17</f>
        <v>151.16999999999999</v>
      </c>
      <c r="Q2367">
        <f>1613.39</f>
        <v>1613.39</v>
      </c>
      <c r="R2367">
        <f>3489.21</f>
        <v>3489.21</v>
      </c>
      <c r="S2367">
        <f>1670.67</f>
        <v>1670.67</v>
      </c>
      <c r="T2367">
        <f>2819.363</f>
        <v>2819.3629999999998</v>
      </c>
      <c r="U2367">
        <f>49960.21</f>
        <v>49960.21</v>
      </c>
      <c r="V2367">
        <f>322.18</f>
        <v>322.18</v>
      </c>
    </row>
    <row r="2368" spans="1:22" x14ac:dyDescent="0.2">
      <c r="A2368" s="1">
        <v>41793</v>
      </c>
      <c r="B2368">
        <f>2863.47</f>
        <v>2863.47</v>
      </c>
      <c r="C2368">
        <f>9347.02</f>
        <v>9347.02</v>
      </c>
      <c r="D2368">
        <f>5070.65</f>
        <v>5070.6499999999996</v>
      </c>
      <c r="E2368">
        <f>2041.868</f>
        <v>2041.8679999999999</v>
      </c>
      <c r="F2368">
        <f>1995.9</f>
        <v>1995.9</v>
      </c>
      <c r="G2368">
        <f>8646.715</f>
        <v>8646.7150000000001</v>
      </c>
      <c r="H2368">
        <f>2426.89</f>
        <v>2426.89</v>
      </c>
      <c r="I2368">
        <f>9243.611</f>
        <v>9243.6110000000008</v>
      </c>
      <c r="J2368">
        <f>2576.82</f>
        <v>2576.8200000000002</v>
      </c>
      <c r="K2368">
        <f>7265.9</f>
        <v>7265.9</v>
      </c>
      <c r="L2368">
        <f>1626.62</f>
        <v>1626.62</v>
      </c>
      <c r="M2368">
        <f>6330.29</f>
        <v>6330.29</v>
      </c>
      <c r="N2368">
        <f>265.454</f>
        <v>265.45400000000001</v>
      </c>
      <c r="O2368">
        <f>2328.09</f>
        <v>2328.09</v>
      </c>
      <c r="P2368">
        <f>150.5</f>
        <v>150.5</v>
      </c>
      <c r="Q2368">
        <f>1607.9</f>
        <v>1607.9</v>
      </c>
      <c r="R2368">
        <f>3482</f>
        <v>3482</v>
      </c>
      <c r="S2368">
        <f>1663.41</f>
        <v>1663.41</v>
      </c>
      <c r="T2368">
        <f>2811.971</f>
        <v>2811.971</v>
      </c>
      <c r="U2368">
        <f>49936.54</f>
        <v>49936.54</v>
      </c>
      <c r="V2368">
        <f>321.61</f>
        <v>321.61</v>
      </c>
    </row>
    <row r="2369" spans="1:22" x14ac:dyDescent="0.2">
      <c r="A2369" s="1">
        <v>41792</v>
      </c>
      <c r="B2369">
        <f>2883.22</f>
        <v>2883.22</v>
      </c>
      <c r="C2369">
        <f>9282.64</f>
        <v>9282.64</v>
      </c>
      <c r="D2369">
        <f>5091.27</f>
        <v>5091.2700000000004</v>
      </c>
      <c r="E2369">
        <f>2028.767</f>
        <v>2028.7670000000001</v>
      </c>
      <c r="F2369">
        <f>2010.59</f>
        <v>2010.59</v>
      </c>
      <c r="G2369">
        <f>8691.235</f>
        <v>8691.2350000000006</v>
      </c>
      <c r="H2369">
        <f>2421.65</f>
        <v>2421.65</v>
      </c>
      <c r="I2369">
        <f>9265.925</f>
        <v>9265.9249999999993</v>
      </c>
      <c r="J2369">
        <f>2579.2</f>
        <v>2579.1999999999998</v>
      </c>
      <c r="K2369">
        <f>7268.03</f>
        <v>7268.03</v>
      </c>
      <c r="L2369">
        <f>1629.54</f>
        <v>1629.54</v>
      </c>
      <c r="M2369">
        <f>6335.36</f>
        <v>6335.36</v>
      </c>
      <c r="N2369">
        <f>266.584</f>
        <v>266.584</v>
      </c>
      <c r="O2369">
        <f>2337.29</f>
        <v>2337.29</v>
      </c>
      <c r="P2369">
        <f>149.58</f>
        <v>149.58000000000001</v>
      </c>
      <c r="Q2369">
        <f>1610.99</f>
        <v>1610.99</v>
      </c>
      <c r="R2369">
        <f>3483.14</f>
        <v>3483.14</v>
      </c>
      <c r="S2369">
        <f>1652.42</f>
        <v>1652.42</v>
      </c>
      <c r="T2369">
        <f>2815.796</f>
        <v>2815.7959999999998</v>
      </c>
      <c r="U2369">
        <f>49817.89</f>
        <v>49817.89</v>
      </c>
      <c r="V2369">
        <f>322.38</f>
        <v>322.38</v>
      </c>
    </row>
    <row r="2370" spans="1:22" x14ac:dyDescent="0.2">
      <c r="A2370" s="1">
        <v>41789</v>
      </c>
      <c r="B2370">
        <f>2875.33</f>
        <v>2875.33</v>
      </c>
      <c r="C2370">
        <f>9256.58</f>
        <v>9256.58</v>
      </c>
      <c r="D2370">
        <f>5076.74</f>
        <v>5076.74</v>
      </c>
      <c r="E2370">
        <f>2025.07</f>
        <v>2025.07</v>
      </c>
      <c r="F2370">
        <f>2006.91</f>
        <v>2006.91</v>
      </c>
      <c r="G2370">
        <f>8677.097</f>
        <v>8677.0969999999998</v>
      </c>
      <c r="H2370">
        <f>2403.77</f>
        <v>2403.77</v>
      </c>
      <c r="I2370">
        <f>9274.198</f>
        <v>9274.1980000000003</v>
      </c>
      <c r="J2370">
        <f>2582.16</f>
        <v>2582.16</v>
      </c>
      <c r="K2370">
        <f>7261.65</f>
        <v>7261.65</v>
      </c>
      <c r="L2370">
        <f>1629.36</f>
        <v>1629.36</v>
      </c>
      <c r="M2370">
        <f>6326.6</f>
        <v>6326.6</v>
      </c>
      <c r="N2370">
        <f>265.885</f>
        <v>265.88499999999999</v>
      </c>
      <c r="O2370">
        <f>2331.26</f>
        <v>2331.2600000000002</v>
      </c>
      <c r="P2370">
        <f>147.47</f>
        <v>147.47</v>
      </c>
      <c r="Q2370">
        <f>1609.59</f>
        <v>1609.59</v>
      </c>
      <c r="R2370">
        <f>3480.29</f>
        <v>3480.29</v>
      </c>
      <c r="S2370">
        <f>1626.62</f>
        <v>1626.62</v>
      </c>
      <c r="T2370">
        <f>2823.262</f>
        <v>2823.2620000000002</v>
      </c>
      <c r="U2370">
        <f>49632.7</f>
        <v>49632.7</v>
      </c>
      <c r="V2370">
        <f>322.65</f>
        <v>322.64999999999998</v>
      </c>
    </row>
    <row r="2371" spans="1:22" x14ac:dyDescent="0.2">
      <c r="A2371" s="1">
        <v>41788</v>
      </c>
      <c r="B2371">
        <f>2870.05</f>
        <v>2870.05</v>
      </c>
      <c r="C2371">
        <f>9362.46</f>
        <v>9362.4599999999991</v>
      </c>
      <c r="D2371">
        <f>5096.6</f>
        <v>5096.6000000000004</v>
      </c>
      <c r="E2371">
        <f>2046.546</f>
        <v>2046.546</v>
      </c>
      <c r="F2371">
        <f>2000.47</f>
        <v>2000.47</v>
      </c>
      <c r="G2371">
        <f>8679.651</f>
        <v>8679.6509999999998</v>
      </c>
      <c r="H2371">
        <f>2408.84</f>
        <v>2408.84</v>
      </c>
      <c r="I2371">
        <f>9256.63</f>
        <v>9256.6299999999992</v>
      </c>
      <c r="J2371">
        <f>2573</f>
        <v>2573</v>
      </c>
      <c r="K2371">
        <f>7249.05</f>
        <v>7249.05</v>
      </c>
      <c r="L2371">
        <f>1628.05</f>
        <v>1628.05</v>
      </c>
      <c r="M2371">
        <f>6319.31</f>
        <v>6319.31</v>
      </c>
      <c r="N2371">
        <f>265.935</f>
        <v>265.935</v>
      </c>
      <c r="O2371">
        <f>2334.45</f>
        <v>2334.4499999999998</v>
      </c>
      <c r="P2371">
        <f>147.71</f>
        <v>147.71</v>
      </c>
      <c r="Q2371">
        <f>1604.06</f>
        <v>1604.06</v>
      </c>
      <c r="R2371">
        <f>3473.86</f>
        <v>3473.86</v>
      </c>
      <c r="S2371">
        <f>1625.63</f>
        <v>1625.63</v>
      </c>
      <c r="T2371">
        <f>2814.945</f>
        <v>2814.9450000000002</v>
      </c>
      <c r="U2371">
        <f>49726.64</f>
        <v>49726.64</v>
      </c>
      <c r="V2371">
        <f>325.07</f>
        <v>325.07</v>
      </c>
    </row>
    <row r="2372" spans="1:22" x14ac:dyDescent="0.2">
      <c r="A2372" s="1">
        <v>41787</v>
      </c>
      <c r="B2372">
        <f>2852.54</f>
        <v>2852.54</v>
      </c>
      <c r="C2372">
        <f>9327.95</f>
        <v>9327.9500000000007</v>
      </c>
      <c r="D2372">
        <f>5081.71</f>
        <v>5081.71</v>
      </c>
      <c r="E2372">
        <f>2045.455</f>
        <v>2045.4549999999999</v>
      </c>
      <c r="F2372">
        <f>1984.33</f>
        <v>1984.33</v>
      </c>
      <c r="G2372">
        <f>8646.097</f>
        <v>8646.0969999999998</v>
      </c>
      <c r="H2372">
        <f>2408.65</f>
        <v>2408.65</v>
      </c>
      <c r="I2372">
        <f>9242.222</f>
        <v>9242.2219999999998</v>
      </c>
      <c r="J2372">
        <f>2556.91</f>
        <v>2556.91</v>
      </c>
      <c r="K2372">
        <f>7209.17</f>
        <v>7209.17</v>
      </c>
      <c r="L2372">
        <f>1621.82</f>
        <v>1621.82</v>
      </c>
      <c r="M2372">
        <f>6292.37</f>
        <v>6292.37</v>
      </c>
      <c r="N2372">
        <f>265.262</f>
        <v>265.262</v>
      </c>
      <c r="O2372">
        <f>2332.33</f>
        <v>2332.33</v>
      </c>
      <c r="P2372">
        <f>147.84</f>
        <v>147.84</v>
      </c>
      <c r="Q2372">
        <f>1594.99</f>
        <v>1594.99</v>
      </c>
      <c r="R2372">
        <f>3454.88</f>
        <v>3454.88</v>
      </c>
      <c r="S2372">
        <f>1622.23</f>
        <v>1622.23</v>
      </c>
      <c r="T2372">
        <f>2795.464</f>
        <v>2795.4639999999999</v>
      </c>
      <c r="U2372">
        <f>49690.58</f>
        <v>49690.58</v>
      </c>
      <c r="V2372">
        <f>323.84</f>
        <v>323.83999999999997</v>
      </c>
    </row>
    <row r="2373" spans="1:22" x14ac:dyDescent="0.2">
      <c r="A2373" s="1">
        <v>41786</v>
      </c>
      <c r="B2373">
        <f>2837.63</f>
        <v>2837.63</v>
      </c>
      <c r="C2373">
        <f>9297.24</f>
        <v>9297.24</v>
      </c>
      <c r="D2373">
        <f>5076.29</f>
        <v>5076.29</v>
      </c>
      <c r="E2373">
        <f>2034.401</f>
        <v>2034.4010000000001</v>
      </c>
      <c r="F2373">
        <f>1994.66</f>
        <v>1994.66</v>
      </c>
      <c r="G2373">
        <f>8685.828</f>
        <v>8685.8279999999995</v>
      </c>
      <c r="H2373">
        <f>2393.21</f>
        <v>2393.21</v>
      </c>
      <c r="I2373">
        <f>9247.758</f>
        <v>9247.7579999999998</v>
      </c>
      <c r="J2373">
        <f>2557.43</f>
        <v>2557.4299999999998</v>
      </c>
      <c r="K2373">
        <f>7216.33</f>
        <v>7216.33</v>
      </c>
      <c r="L2373">
        <f>1624.3</f>
        <v>1624.3</v>
      </c>
      <c r="M2373">
        <f>6296.87</f>
        <v>6296.87</v>
      </c>
      <c r="N2373">
        <f>265.99</f>
        <v>265.99</v>
      </c>
      <c r="O2373">
        <f>2333.21</f>
        <v>2333.21</v>
      </c>
      <c r="P2373">
        <f>147.21</f>
        <v>147.21</v>
      </c>
      <c r="Q2373">
        <f>1598.05</f>
        <v>1598.05</v>
      </c>
      <c r="R2373">
        <f>3458.19</f>
        <v>3458.19</v>
      </c>
      <c r="S2373">
        <f>1618.04</f>
        <v>1618.04</v>
      </c>
      <c r="T2373">
        <f>2798.797</f>
        <v>2798.797</v>
      </c>
      <c r="U2373">
        <f>49824.45</f>
        <v>49824.45</v>
      </c>
      <c r="V2373">
        <f>323.44</f>
        <v>323.44</v>
      </c>
    </row>
    <row r="2374" spans="1:22" x14ac:dyDescent="0.2">
      <c r="A2374" s="1">
        <v>41785</v>
      </c>
      <c r="B2374">
        <f>2824.83</f>
        <v>2824.83</v>
      </c>
      <c r="C2374">
        <f>9383.91</f>
        <v>9383.91</v>
      </c>
      <c r="D2374">
        <f>5054.65</f>
        <v>5054.6499999999996</v>
      </c>
      <c r="E2374">
        <f>2051.122</f>
        <v>2051.1219999999998</v>
      </c>
      <c r="F2374">
        <f>1998.52</f>
        <v>1998.52</v>
      </c>
      <c r="G2374">
        <f>8675.188</f>
        <v>8675.1880000000001</v>
      </c>
      <c r="H2374">
        <f>2396.56</f>
        <v>2396.56</v>
      </c>
      <c r="I2374">
        <f>9262.934</f>
        <v>9262.9339999999993</v>
      </c>
      <c r="J2374">
        <f>2549.32</f>
        <v>2549.3200000000002</v>
      </c>
      <c r="K2374">
        <f>7173.72</f>
        <v>7173.72</v>
      </c>
      <c r="L2374">
        <f>1625.48</f>
        <v>1625.48</v>
      </c>
      <c r="M2374">
        <f>6280.04</f>
        <v>6280.04</v>
      </c>
      <c r="N2374">
        <f>264.934</f>
        <v>264.93400000000003</v>
      </c>
      <c r="O2374">
        <f>2328.94</f>
        <v>2328.94</v>
      </c>
      <c r="P2374">
        <f>147.18</f>
        <v>147.18</v>
      </c>
      <c r="Q2374" t="e">
        <f>NA()</f>
        <v>#N/A</v>
      </c>
      <c r="R2374" t="e">
        <f>NA()</f>
        <v>#N/A</v>
      </c>
      <c r="S2374">
        <f>1617.47</f>
        <v>1617.47</v>
      </c>
      <c r="T2374">
        <f>2814.874</f>
        <v>2814.8739999999998</v>
      </c>
      <c r="U2374">
        <f>50021.72</f>
        <v>50021.72</v>
      </c>
      <c r="V2374">
        <f>325.95</f>
        <v>325.95</v>
      </c>
    </row>
    <row r="2375" spans="1:22" x14ac:dyDescent="0.2">
      <c r="A2375" s="1">
        <v>41782</v>
      </c>
      <c r="B2375">
        <f>2824.83</f>
        <v>2824.83</v>
      </c>
      <c r="C2375">
        <f>9399.05</f>
        <v>9399.0499999999993</v>
      </c>
      <c r="D2375">
        <f>5054.65</f>
        <v>5054.6499999999996</v>
      </c>
      <c r="E2375">
        <f>2053.007</f>
        <v>2053.0070000000001</v>
      </c>
      <c r="F2375">
        <f>1997.98</f>
        <v>1997.98</v>
      </c>
      <c r="G2375">
        <f>8672.87</f>
        <v>8672.8700000000008</v>
      </c>
      <c r="H2375">
        <f>2381.26</f>
        <v>2381.2600000000002</v>
      </c>
      <c r="I2375">
        <f>9167.926</f>
        <v>9167.9259999999995</v>
      </c>
      <c r="J2375">
        <f>2549.32</f>
        <v>2549.3200000000002</v>
      </c>
      <c r="K2375">
        <f>7173.72</f>
        <v>7173.72</v>
      </c>
      <c r="L2375">
        <f>1621.01</f>
        <v>1621.01</v>
      </c>
      <c r="M2375">
        <f>6260.46</f>
        <v>6260.46</v>
      </c>
      <c r="N2375">
        <f>264.186</f>
        <v>264.18599999999998</v>
      </c>
      <c r="O2375">
        <f>2314.84</f>
        <v>2314.84</v>
      </c>
      <c r="P2375">
        <f>145.91</f>
        <v>145.91</v>
      </c>
      <c r="Q2375">
        <f>1590.81</f>
        <v>1590.81</v>
      </c>
      <c r="R2375">
        <f>3437.58</f>
        <v>3437.58</v>
      </c>
      <c r="S2375">
        <f>1598.18</f>
        <v>1598.18</v>
      </c>
      <c r="T2375">
        <f>2831.056</f>
        <v>2831.056</v>
      </c>
      <c r="U2375">
        <f>49952.69</f>
        <v>49952.69</v>
      </c>
      <c r="V2375">
        <f>327.02</f>
        <v>327.02</v>
      </c>
    </row>
    <row r="2376" spans="1:22" x14ac:dyDescent="0.2">
      <c r="A2376" s="1">
        <v>41781</v>
      </c>
      <c r="B2376">
        <f>2823.82</f>
        <v>2823.82</v>
      </c>
      <c r="C2376">
        <f>9376.65</f>
        <v>9376.65</v>
      </c>
      <c r="D2376">
        <f>5058.21</f>
        <v>5058.21</v>
      </c>
      <c r="E2376">
        <f>2049.203</f>
        <v>2049.203</v>
      </c>
      <c r="F2376">
        <f>1998.36</f>
        <v>1998.36</v>
      </c>
      <c r="G2376">
        <f>8690.502</f>
        <v>8690.5020000000004</v>
      </c>
      <c r="H2376">
        <f>2362.54</f>
        <v>2362.54</v>
      </c>
      <c r="I2376">
        <f>9154.768</f>
        <v>9154.768</v>
      </c>
      <c r="J2376">
        <f>2543.27</f>
        <v>2543.27</v>
      </c>
      <c r="K2376">
        <f>7142.91</f>
        <v>7142.91</v>
      </c>
      <c r="L2376">
        <f>1619.55</f>
        <v>1619.55</v>
      </c>
      <c r="M2376">
        <f>6239.41</f>
        <v>6239.41</v>
      </c>
      <c r="N2376">
        <f>265.042</f>
        <v>265.04199999999997</v>
      </c>
      <c r="O2376">
        <f>2310.49</f>
        <v>2310.4899999999998</v>
      </c>
      <c r="P2376">
        <f>144.82</f>
        <v>144.82</v>
      </c>
      <c r="Q2376">
        <f>1585.9</f>
        <v>1585.9</v>
      </c>
      <c r="R2376">
        <f>3422.99</f>
        <v>3422.99</v>
      </c>
      <c r="S2376">
        <f>1583.14</f>
        <v>1583.14</v>
      </c>
      <c r="T2376">
        <f>2823.399</f>
        <v>2823.3989999999999</v>
      </c>
      <c r="U2376">
        <f>49891.36</f>
        <v>49891.360000000001</v>
      </c>
      <c r="V2376">
        <f>325.82</f>
        <v>325.82</v>
      </c>
    </row>
    <row r="2377" spans="1:22" x14ac:dyDescent="0.2">
      <c r="A2377" s="1">
        <v>41780</v>
      </c>
      <c r="B2377">
        <f>2818.42</f>
        <v>2818.42</v>
      </c>
      <c r="C2377">
        <f>9296.76</f>
        <v>9296.76</v>
      </c>
      <c r="D2377">
        <f>5058.57</f>
        <v>5058.57</v>
      </c>
      <c r="E2377">
        <f>2029.956</f>
        <v>2029.9559999999999</v>
      </c>
      <c r="F2377">
        <f>2010.55</f>
        <v>2010.55</v>
      </c>
      <c r="G2377">
        <f>8698.617</f>
        <v>8698.6170000000002</v>
      </c>
      <c r="H2377">
        <f>2330.17</f>
        <v>2330.17</v>
      </c>
      <c r="I2377">
        <f>9137.941</f>
        <v>9137.9410000000007</v>
      </c>
      <c r="J2377">
        <f>2542.33</f>
        <v>2542.33</v>
      </c>
      <c r="K2377">
        <f>7124.35</f>
        <v>7124.35</v>
      </c>
      <c r="L2377">
        <f>1615.86</f>
        <v>1615.86</v>
      </c>
      <c r="M2377">
        <f>6217.12</f>
        <v>6217.12</v>
      </c>
      <c r="N2377">
        <f>264.522</f>
        <v>264.52199999999999</v>
      </c>
      <c r="O2377">
        <f>2306.82</f>
        <v>2306.8200000000002</v>
      </c>
      <c r="P2377">
        <f>142.62</f>
        <v>142.62</v>
      </c>
      <c r="Q2377">
        <f>1585.26</f>
        <v>1585.26</v>
      </c>
      <c r="R2377">
        <f>3414.45</f>
        <v>3414.45</v>
      </c>
      <c r="S2377">
        <f>1557.03</f>
        <v>1557.03</v>
      </c>
      <c r="T2377">
        <f>2807.84</f>
        <v>2807.84</v>
      </c>
      <c r="U2377">
        <f>49648.12</f>
        <v>49648.12</v>
      </c>
      <c r="V2377">
        <f>324.27</f>
        <v>324.27</v>
      </c>
    </row>
    <row r="2378" spans="1:22" x14ac:dyDescent="0.2">
      <c r="A2378" s="1">
        <v>41779</v>
      </c>
      <c r="B2378">
        <f>2815.45</f>
        <v>2815.45</v>
      </c>
      <c r="C2378">
        <f>9246.26</f>
        <v>9246.26</v>
      </c>
      <c r="D2378">
        <f>5040.43</f>
        <v>5040.43</v>
      </c>
      <c r="E2378">
        <f>2026.466</f>
        <v>2026.4659999999999</v>
      </c>
      <c r="F2378">
        <f>1997.67</f>
        <v>1997.67</v>
      </c>
      <c r="G2378">
        <f>8653.028</f>
        <v>8653.0280000000002</v>
      </c>
      <c r="H2378">
        <f>2336.74</f>
        <v>2336.7399999999998</v>
      </c>
      <c r="I2378">
        <f>9112.253</f>
        <v>9112.2530000000006</v>
      </c>
      <c r="J2378">
        <f>2523.54</f>
        <v>2523.54</v>
      </c>
      <c r="K2378">
        <f>7065.75</f>
        <v>7065.75</v>
      </c>
      <c r="L2378">
        <f>1609.29</f>
        <v>1609.29</v>
      </c>
      <c r="M2378">
        <f>6184.45</f>
        <v>6184.45</v>
      </c>
      <c r="N2378">
        <f>263.332</f>
        <v>263.33199999999999</v>
      </c>
      <c r="O2378">
        <f>2292.19</f>
        <v>2292.19</v>
      </c>
      <c r="P2378">
        <f>142.76</f>
        <v>142.76</v>
      </c>
      <c r="Q2378">
        <f>1577.16</f>
        <v>1577.16</v>
      </c>
      <c r="R2378">
        <f>3386.48</f>
        <v>3386.48</v>
      </c>
      <c r="S2378">
        <f>1561.54</f>
        <v>1561.54</v>
      </c>
      <c r="T2378">
        <f>2807.405</f>
        <v>2807.4050000000002</v>
      </c>
      <c r="U2378">
        <f>49617</f>
        <v>49617</v>
      </c>
      <c r="V2378">
        <f>324.07</f>
        <v>324.07</v>
      </c>
    </row>
    <row r="2379" spans="1:22" x14ac:dyDescent="0.2">
      <c r="A2379" s="1">
        <v>41778</v>
      </c>
      <c r="B2379">
        <f>2825.8</f>
        <v>2825.8</v>
      </c>
      <c r="C2379">
        <f>9295.98</f>
        <v>9295.98</v>
      </c>
      <c r="D2379">
        <f>5071.96</f>
        <v>5071.96</v>
      </c>
      <c r="E2379">
        <f>2037.214</f>
        <v>2037.2139999999999</v>
      </c>
      <c r="F2379">
        <f>2009.32</f>
        <v>2009.32</v>
      </c>
      <c r="G2379">
        <f>8697.81</f>
        <v>8697.81</v>
      </c>
      <c r="H2379">
        <f>2333.48</f>
        <v>2333.48</v>
      </c>
      <c r="I2379">
        <f>9124.913</f>
        <v>9124.9130000000005</v>
      </c>
      <c r="J2379">
        <f>2536.59</f>
        <v>2536.59</v>
      </c>
      <c r="K2379">
        <f>7112.38</f>
        <v>7112.38</v>
      </c>
      <c r="L2379">
        <f>1618.04</f>
        <v>1618.04</v>
      </c>
      <c r="M2379">
        <f>6212.54</f>
        <v>6212.54</v>
      </c>
      <c r="N2379">
        <f>264.26</f>
        <v>264.26</v>
      </c>
      <c r="O2379">
        <f>2294.54</f>
        <v>2294.54</v>
      </c>
      <c r="P2379">
        <f>142.37</f>
        <v>142.37</v>
      </c>
      <c r="Q2379">
        <f>1592.2</f>
        <v>1592.2</v>
      </c>
      <c r="R2379">
        <f>3408.52</f>
        <v>3408.52</v>
      </c>
      <c r="S2379">
        <f>1557.05</f>
        <v>1557.05</v>
      </c>
      <c r="T2379">
        <f>2808.233</f>
        <v>2808.2330000000002</v>
      </c>
      <c r="U2379">
        <f>49507.48</f>
        <v>49507.48</v>
      </c>
      <c r="V2379">
        <f>326.91</f>
        <v>326.91000000000003</v>
      </c>
    </row>
    <row r="2380" spans="1:22" x14ac:dyDescent="0.2">
      <c r="A2380" s="1">
        <v>41775</v>
      </c>
      <c r="B2380">
        <f>2829.26</f>
        <v>2829.26</v>
      </c>
      <c r="C2380">
        <f>9242.02</f>
        <v>9242.02</v>
      </c>
      <c r="D2380">
        <f>5080.3</f>
        <v>5080.3</v>
      </c>
      <c r="E2380">
        <f>2030.229</f>
        <v>2030.229</v>
      </c>
      <c r="F2380">
        <f>2044.25</f>
        <v>2044.25</v>
      </c>
      <c r="G2380">
        <f>8714.968</f>
        <v>8714.9680000000008</v>
      </c>
      <c r="H2380">
        <f>2334.58</f>
        <v>2334.58</v>
      </c>
      <c r="I2380">
        <f>9114.513</f>
        <v>9114.5130000000008</v>
      </c>
      <c r="J2380">
        <f>2533.99</f>
        <v>2533.9899999999998</v>
      </c>
      <c r="K2380">
        <f>7083.31</f>
        <v>7083.31</v>
      </c>
      <c r="L2380">
        <f>1621.13</f>
        <v>1621.13</v>
      </c>
      <c r="M2380">
        <f>6203.13</f>
        <v>6203.13</v>
      </c>
      <c r="N2380">
        <f>264.548</f>
        <v>264.548</v>
      </c>
      <c r="O2380">
        <f>2297.07</f>
        <v>2297.0700000000002</v>
      </c>
      <c r="P2380">
        <f>142.46</f>
        <v>142.46</v>
      </c>
      <c r="Q2380">
        <f>1588.03</f>
        <v>1588.03</v>
      </c>
      <c r="R2380">
        <f>3395.21</f>
        <v>3395.21</v>
      </c>
      <c r="S2380">
        <f>1569.25</f>
        <v>1569.25</v>
      </c>
      <c r="T2380">
        <f>2787.979</f>
        <v>2787.9789999999998</v>
      </c>
      <c r="U2380">
        <f>49159.77</f>
        <v>49159.77</v>
      </c>
      <c r="V2380">
        <f>324.46</f>
        <v>324.45999999999998</v>
      </c>
    </row>
    <row r="2381" spans="1:22" x14ac:dyDescent="0.2">
      <c r="A2381" s="1">
        <v>41774</v>
      </c>
      <c r="B2381">
        <f>2825.36</f>
        <v>2825.36</v>
      </c>
      <c r="C2381">
        <f>9211.93</f>
        <v>9211.93</v>
      </c>
      <c r="D2381">
        <f>5069.25</f>
        <v>5069.25</v>
      </c>
      <c r="E2381">
        <f>2024.337</f>
        <v>2024.337</v>
      </c>
      <c r="F2381">
        <f>2026.89</f>
        <v>2026.89</v>
      </c>
      <c r="G2381">
        <f>8677.776</f>
        <v>8677.7759999999998</v>
      </c>
      <c r="H2381">
        <f>2364.21</f>
        <v>2364.21</v>
      </c>
      <c r="I2381">
        <f>9105.86</f>
        <v>9105.86</v>
      </c>
      <c r="J2381">
        <f>2527.11</f>
        <v>2527.11</v>
      </c>
      <c r="K2381">
        <f>7057.54</f>
        <v>7057.54</v>
      </c>
      <c r="L2381">
        <f>1619.69</f>
        <v>1619.69</v>
      </c>
      <c r="M2381">
        <f>6196.93</f>
        <v>6196.93</v>
      </c>
      <c r="N2381">
        <f>264.015</f>
        <v>264.01499999999999</v>
      </c>
      <c r="O2381">
        <f>2289.69</f>
        <v>2289.69</v>
      </c>
      <c r="P2381">
        <f>144.44</f>
        <v>144.44</v>
      </c>
      <c r="Q2381">
        <f>1579.61</f>
        <v>1579.61</v>
      </c>
      <c r="R2381">
        <f>3382.52</f>
        <v>3382.52</v>
      </c>
      <c r="S2381">
        <f>1595.26</f>
        <v>1595.26</v>
      </c>
      <c r="T2381">
        <f>2792.888</f>
        <v>2792.8879999999999</v>
      </c>
      <c r="U2381">
        <f>49454.59</f>
        <v>49454.59</v>
      </c>
      <c r="V2381">
        <f>325.5</f>
        <v>325.5</v>
      </c>
    </row>
    <row r="2382" spans="1:22" x14ac:dyDescent="0.2">
      <c r="A2382" s="1">
        <v>41773</v>
      </c>
      <c r="B2382">
        <f>2850.37</f>
        <v>2850.37</v>
      </c>
      <c r="C2382">
        <f>9247.99</f>
        <v>9247.99</v>
      </c>
      <c r="D2382">
        <f>5097.11</f>
        <v>5097.1099999999997</v>
      </c>
      <c r="E2382">
        <f>2030.399</f>
        <v>2030.3989999999999</v>
      </c>
      <c r="F2382">
        <f>2017.63</f>
        <v>2017.63</v>
      </c>
      <c r="G2382">
        <f>8708.372</f>
        <v>8708.3719999999994</v>
      </c>
      <c r="H2382">
        <f>2360.78</f>
        <v>2360.7800000000002</v>
      </c>
      <c r="I2382">
        <f>9188.478</f>
        <v>9188.4779999999992</v>
      </c>
      <c r="J2382">
        <f>2547.97</f>
        <v>2547.9699999999998</v>
      </c>
      <c r="K2382">
        <f>7121.74</f>
        <v>7121.74</v>
      </c>
      <c r="L2382">
        <f>1623.54</f>
        <v>1623.54</v>
      </c>
      <c r="M2382">
        <f>6241.76</f>
        <v>6241.76</v>
      </c>
      <c r="N2382">
        <f>265.127</f>
        <v>265.12700000000001</v>
      </c>
      <c r="O2382">
        <f>2307.46</f>
        <v>2307.46</v>
      </c>
      <c r="P2382">
        <f>144.83</f>
        <v>144.83000000000001</v>
      </c>
      <c r="Q2382">
        <f>1594.92</f>
        <v>1594.92</v>
      </c>
      <c r="R2382">
        <f>3413.84</f>
        <v>3413.84</v>
      </c>
      <c r="S2382">
        <f>1601.84</f>
        <v>1601.84</v>
      </c>
      <c r="T2382">
        <f>2810.256</f>
        <v>2810.2559999999999</v>
      </c>
      <c r="U2382">
        <f>49632.23</f>
        <v>49632.23</v>
      </c>
      <c r="V2382">
        <f>327.88</f>
        <v>327.88</v>
      </c>
    </row>
    <row r="2383" spans="1:22" x14ac:dyDescent="0.2">
      <c r="A2383" s="1">
        <v>41772</v>
      </c>
      <c r="B2383">
        <f>2854.1</f>
        <v>2854.1</v>
      </c>
      <c r="C2383">
        <f>9158.87</f>
        <v>9158.8700000000008</v>
      </c>
      <c r="D2383">
        <f>5082</f>
        <v>5082</v>
      </c>
      <c r="E2383">
        <f>2011.058</f>
        <v>2011.058</v>
      </c>
      <c r="F2383">
        <f>2013.59</f>
        <v>2013.59</v>
      </c>
      <c r="G2383">
        <f>8709.78</f>
        <v>8709.7800000000007</v>
      </c>
      <c r="H2383">
        <f>2343.07</f>
        <v>2343.0700000000002</v>
      </c>
      <c r="I2383">
        <f>9175.575</f>
        <v>9175.5750000000007</v>
      </c>
      <c r="J2383">
        <f>2553.46</f>
        <v>2553.46</v>
      </c>
      <c r="K2383">
        <f>7153.69</f>
        <v>7153.69</v>
      </c>
      <c r="L2383">
        <f>1619.49</f>
        <v>1619.49</v>
      </c>
      <c r="M2383">
        <f>6249.88</f>
        <v>6249.88</v>
      </c>
      <c r="N2383">
        <f>264.594</f>
        <v>264.59399999999999</v>
      </c>
      <c r="O2383">
        <f>2305.66</f>
        <v>2305.66</v>
      </c>
      <c r="P2383">
        <f>144.1</f>
        <v>144.1</v>
      </c>
      <c r="Q2383">
        <f>1601.51</f>
        <v>1601.51</v>
      </c>
      <c r="R2383">
        <f>3429.3</f>
        <v>3429.3</v>
      </c>
      <c r="S2383">
        <f>1595.34</f>
        <v>1595.34</v>
      </c>
      <c r="T2383">
        <f>2793.905</f>
        <v>2793.9050000000002</v>
      </c>
      <c r="U2383">
        <f>49199.7</f>
        <v>49199.7</v>
      </c>
      <c r="V2383">
        <f>328.5</f>
        <v>328.5</v>
      </c>
    </row>
    <row r="2384" spans="1:22" x14ac:dyDescent="0.2">
      <c r="A2384" s="1">
        <v>41771</v>
      </c>
      <c r="B2384">
        <f>2847.45</f>
        <v>2847.45</v>
      </c>
      <c r="C2384">
        <f>9109.13</f>
        <v>9109.1299999999992</v>
      </c>
      <c r="D2384">
        <f>5066.23</f>
        <v>5066.2299999999996</v>
      </c>
      <c r="E2384">
        <f>1997.827</f>
        <v>1997.827</v>
      </c>
      <c r="F2384">
        <f>2010.78</f>
        <v>2010.78</v>
      </c>
      <c r="G2384">
        <f>8698.719</f>
        <v>8698.7189999999991</v>
      </c>
      <c r="H2384">
        <f>2312.78</f>
        <v>2312.7800000000002</v>
      </c>
      <c r="I2384">
        <f>9186.613</f>
        <v>9186.6129999999994</v>
      </c>
      <c r="J2384">
        <f>2547.26</f>
        <v>2547.2600000000002</v>
      </c>
      <c r="K2384">
        <f>7149.45</f>
        <v>7149.45</v>
      </c>
      <c r="L2384">
        <f>1616.89</f>
        <v>1616.89</v>
      </c>
      <c r="M2384">
        <f>6237.08</f>
        <v>6237.08</v>
      </c>
      <c r="N2384">
        <f>264.032</f>
        <v>264.03199999999998</v>
      </c>
      <c r="O2384">
        <f>2298.56</f>
        <v>2298.56</v>
      </c>
      <c r="P2384">
        <f>142.12</f>
        <v>142.12</v>
      </c>
      <c r="Q2384">
        <f>1601.42</f>
        <v>1601.42</v>
      </c>
      <c r="R2384">
        <f>3427.01</f>
        <v>3427.01</v>
      </c>
      <c r="S2384">
        <f>1567.66</f>
        <v>1567.66</v>
      </c>
      <c r="T2384">
        <f>2784.832</f>
        <v>2784.8319999999999</v>
      </c>
      <c r="U2384">
        <f>49239.29</f>
        <v>49239.29</v>
      </c>
      <c r="V2384">
        <f>327.19</f>
        <v>327.19</v>
      </c>
    </row>
    <row r="2385" spans="1:22" x14ac:dyDescent="0.2">
      <c r="A2385" s="1">
        <v>41768</v>
      </c>
      <c r="B2385">
        <f>2834.34</f>
        <v>2834.34</v>
      </c>
      <c r="C2385">
        <f>9045.47</f>
        <v>9045.4699999999993</v>
      </c>
      <c r="D2385">
        <f>5038.74</f>
        <v>5038.74</v>
      </c>
      <c r="E2385">
        <f>1980.238</f>
        <v>1980.2380000000001</v>
      </c>
      <c r="F2385">
        <f>1998.26</f>
        <v>1998.26</v>
      </c>
      <c r="G2385">
        <f>8637.276</f>
        <v>8637.2759999999998</v>
      </c>
      <c r="H2385">
        <f>2332.34</f>
        <v>2332.34</v>
      </c>
      <c r="I2385">
        <f>9113.709</f>
        <v>9113.7090000000007</v>
      </c>
      <c r="J2385">
        <f>2536.5</f>
        <v>2536.5</v>
      </c>
      <c r="K2385">
        <f>7080.56</f>
        <v>7080.56</v>
      </c>
      <c r="L2385">
        <f>1610.33</f>
        <v>1610.33</v>
      </c>
      <c r="M2385">
        <f>6192.67</f>
        <v>6192.67</v>
      </c>
      <c r="N2385">
        <f>262.07</f>
        <v>262.07</v>
      </c>
      <c r="O2385">
        <f>2281.36</f>
        <v>2281.36</v>
      </c>
      <c r="P2385">
        <f>142.47</f>
        <v>142.47</v>
      </c>
      <c r="Q2385">
        <f>1590.76</f>
        <v>1590.76</v>
      </c>
      <c r="R2385">
        <f>3394.05</f>
        <v>3394.05</v>
      </c>
      <c r="S2385">
        <f>1577.95</f>
        <v>1577.95</v>
      </c>
      <c r="T2385">
        <f>2777.285</f>
        <v>2777.2849999999999</v>
      </c>
      <c r="U2385">
        <f>48852.45</f>
        <v>48852.45</v>
      </c>
      <c r="V2385">
        <f>327.25</f>
        <v>327.25</v>
      </c>
    </row>
    <row r="2386" spans="1:22" x14ac:dyDescent="0.2">
      <c r="A2386" s="1">
        <v>41767</v>
      </c>
      <c r="B2386">
        <f>2840.28</f>
        <v>2840.28</v>
      </c>
      <c r="C2386">
        <f>9085.73</f>
        <v>9085.73</v>
      </c>
      <c r="D2386">
        <f>5056.99</f>
        <v>5056.99</v>
      </c>
      <c r="E2386">
        <f>1983.861</f>
        <v>1983.8610000000001</v>
      </c>
      <c r="F2386">
        <f>2024.52</f>
        <v>2024.52</v>
      </c>
      <c r="G2386">
        <f>8723.657</f>
        <v>8723.6569999999992</v>
      </c>
      <c r="H2386">
        <f>2318.67</f>
        <v>2318.67</v>
      </c>
      <c r="I2386">
        <f>9209.722</f>
        <v>9209.7219999999998</v>
      </c>
      <c r="J2386">
        <f>2534.25</f>
        <v>2534.25</v>
      </c>
      <c r="K2386">
        <f>7067.86</f>
        <v>7067.86</v>
      </c>
      <c r="L2386">
        <f>1616.86</f>
        <v>1616.86</v>
      </c>
      <c r="M2386">
        <f>6203.91</f>
        <v>6203.91</v>
      </c>
      <c r="N2386">
        <f>261.57</f>
        <v>261.57</v>
      </c>
      <c r="O2386">
        <f>2287.07</f>
        <v>2287.0700000000002</v>
      </c>
      <c r="P2386">
        <f>141.58</f>
        <v>141.58000000000001</v>
      </c>
      <c r="Q2386">
        <f>1585.59</f>
        <v>1585.59</v>
      </c>
      <c r="R2386">
        <f>3388.29</f>
        <v>3388.29</v>
      </c>
      <c r="S2386">
        <f>1570.5</f>
        <v>1570.5</v>
      </c>
      <c r="T2386">
        <f>2794.853</f>
        <v>2794.8530000000001</v>
      </c>
      <c r="U2386">
        <f>49026.95</f>
        <v>49026.95</v>
      </c>
      <c r="V2386">
        <f>329.41</f>
        <v>329.41</v>
      </c>
    </row>
    <row r="2387" spans="1:22" x14ac:dyDescent="0.2">
      <c r="A2387" s="1">
        <v>41766</v>
      </c>
      <c r="B2387">
        <f>2818.55</f>
        <v>2818.55</v>
      </c>
      <c r="C2387">
        <f>9008.04</f>
        <v>9008.0400000000009</v>
      </c>
      <c r="D2387">
        <f>5025.33</f>
        <v>5025.33</v>
      </c>
      <c r="E2387">
        <f>1975.201</f>
        <v>1975.201</v>
      </c>
      <c r="F2387">
        <f>2022.26</f>
        <v>2022.26</v>
      </c>
      <c r="G2387">
        <f>8676.476</f>
        <v>8676.4760000000006</v>
      </c>
      <c r="H2387">
        <f>2282.83</f>
        <v>2282.83</v>
      </c>
      <c r="I2387">
        <f>9142.196</f>
        <v>9142.1959999999999</v>
      </c>
      <c r="J2387">
        <f>2539.14</f>
        <v>2539.14</v>
      </c>
      <c r="K2387">
        <f>7078.47</f>
        <v>7078.47</v>
      </c>
      <c r="L2387">
        <f>1612.72</f>
        <v>1612.72</v>
      </c>
      <c r="M2387">
        <f>6191.91</f>
        <v>6191.91</v>
      </c>
      <c r="N2387">
        <f>260.729</f>
        <v>260.72899999999998</v>
      </c>
      <c r="O2387">
        <f>2262.26</f>
        <v>2262.2600000000002</v>
      </c>
      <c r="P2387">
        <f>140.52</f>
        <v>140.52000000000001</v>
      </c>
      <c r="Q2387">
        <f>1585.54</f>
        <v>1585.54</v>
      </c>
      <c r="R2387">
        <f>3392.1</f>
        <v>3392.1</v>
      </c>
      <c r="S2387">
        <f>1559.68</f>
        <v>1559.68</v>
      </c>
      <c r="T2387" t="e">
        <f>NA()</f>
        <v>#N/A</v>
      </c>
      <c r="U2387" t="e">
        <f>NA()</f>
        <v>#N/A</v>
      </c>
      <c r="V2387" t="e">
        <f>NA()</f>
        <v>#N/A</v>
      </c>
    </row>
    <row r="2388" spans="1:22" x14ac:dyDescent="0.2">
      <c r="A2388" s="1">
        <v>41765</v>
      </c>
      <c r="B2388">
        <f>2825.73</f>
        <v>2825.73</v>
      </c>
      <c r="C2388">
        <f>8979.36</f>
        <v>8979.36</v>
      </c>
      <c r="D2388">
        <f>5021.9</f>
        <v>5021.8999999999996</v>
      </c>
      <c r="E2388">
        <f>1974.06</f>
        <v>1974.06</v>
      </c>
      <c r="F2388">
        <f>2014.04</f>
        <v>2014.04</v>
      </c>
      <c r="G2388">
        <f>8680.705</f>
        <v>8680.7049999999999</v>
      </c>
      <c r="H2388">
        <f>2325.54</f>
        <v>2325.54</v>
      </c>
      <c r="I2388">
        <f>9133.668</f>
        <v>9133.6679999999997</v>
      </c>
      <c r="J2388">
        <f>2519.76</f>
        <v>2519.7600000000002</v>
      </c>
      <c r="K2388">
        <f>7037.18</f>
        <v>7037.18</v>
      </c>
      <c r="L2388">
        <f>1606.88</f>
        <v>1606.88</v>
      </c>
      <c r="M2388">
        <f>6187.13</f>
        <v>6187.13</v>
      </c>
      <c r="N2388">
        <f>260.122</f>
        <v>260.12200000000001</v>
      </c>
      <c r="O2388">
        <f>2258.52</f>
        <v>2258.52</v>
      </c>
      <c r="P2388" t="e">
        <f>NA()</f>
        <v>#N/A</v>
      </c>
      <c r="Q2388">
        <f>1569.43</f>
        <v>1569.43</v>
      </c>
      <c r="R2388">
        <f>3371.72</f>
        <v>3371.72</v>
      </c>
      <c r="S2388" t="e">
        <f>NA()</f>
        <v>#N/A</v>
      </c>
      <c r="T2388">
        <f>2769.357</f>
        <v>2769.357</v>
      </c>
      <c r="U2388">
        <f>48942.02</f>
        <v>48942.02</v>
      </c>
      <c r="V2388">
        <f>325.4</f>
        <v>325.39999999999998</v>
      </c>
    </row>
    <row r="2389" spans="1:22" x14ac:dyDescent="0.2">
      <c r="A2389" s="1">
        <v>41764</v>
      </c>
      <c r="B2389">
        <f>2840.43</f>
        <v>2840.43</v>
      </c>
      <c r="C2389">
        <f>8949.88</f>
        <v>8949.8799999999992</v>
      </c>
      <c r="D2389">
        <f>5039.52</f>
        <v>5039.5200000000004</v>
      </c>
      <c r="E2389">
        <f>1968.218</f>
        <v>1968.2180000000001</v>
      </c>
      <c r="F2389">
        <f>2011.61</f>
        <v>2011.61</v>
      </c>
      <c r="G2389">
        <f>8649.505</f>
        <v>8649.5049999999992</v>
      </c>
      <c r="H2389">
        <f>2312.79</f>
        <v>2312.79</v>
      </c>
      <c r="I2389">
        <f>9132.603</f>
        <v>9132.6029999999992</v>
      </c>
      <c r="J2389">
        <f>2537</f>
        <v>2537</v>
      </c>
      <c r="K2389">
        <f>7101.06</f>
        <v>7101.06</v>
      </c>
      <c r="L2389">
        <f>1607.14</f>
        <v>1607.14</v>
      </c>
      <c r="M2389">
        <f>6209.91</f>
        <v>6209.91</v>
      </c>
      <c r="N2389">
        <f>259.628</f>
        <v>259.62799999999999</v>
      </c>
      <c r="O2389">
        <f>2265.11</f>
        <v>2265.11</v>
      </c>
      <c r="P2389" t="e">
        <f>NA()</f>
        <v>#N/A</v>
      </c>
      <c r="Q2389">
        <f>1580.07</f>
        <v>1580.07</v>
      </c>
      <c r="R2389">
        <f>3402.23</f>
        <v>3402.23</v>
      </c>
      <c r="S2389" t="e">
        <f>NA()</f>
        <v>#N/A</v>
      </c>
      <c r="T2389">
        <f>2758.231</f>
        <v>2758.2310000000002</v>
      </c>
      <c r="U2389">
        <f>48880.81</f>
        <v>48880.81</v>
      </c>
      <c r="V2389">
        <f>324.5</f>
        <v>324.5</v>
      </c>
    </row>
    <row r="2390" spans="1:22" x14ac:dyDescent="0.2">
      <c r="A2390" s="1">
        <v>41761</v>
      </c>
      <c r="B2390">
        <f>2840.43</f>
        <v>2840.43</v>
      </c>
      <c r="C2390">
        <f>8998.43</f>
        <v>8998.43</v>
      </c>
      <c r="D2390">
        <f>5039.52</f>
        <v>5039.5200000000004</v>
      </c>
      <c r="E2390">
        <f>1972.746</f>
        <v>1972.7460000000001</v>
      </c>
      <c r="F2390">
        <f>2012.21</f>
        <v>2012.21</v>
      </c>
      <c r="G2390">
        <f>8652.069</f>
        <v>8652.0689999999995</v>
      </c>
      <c r="H2390">
        <f>2309.85</f>
        <v>2309.85</v>
      </c>
      <c r="I2390">
        <f>9140.597</f>
        <v>9140.5969999999998</v>
      </c>
      <c r="J2390">
        <f>2534.05</f>
        <v>2534.0500000000002</v>
      </c>
      <c r="K2390">
        <f>7085.95</f>
        <v>7085.95</v>
      </c>
      <c r="L2390">
        <f>1606.32</f>
        <v>1606.32</v>
      </c>
      <c r="M2390">
        <f>6205.28</f>
        <v>6205.28</v>
      </c>
      <c r="N2390">
        <f>259.738</f>
        <v>259.738</v>
      </c>
      <c r="O2390">
        <f>2268.38</f>
        <v>2268.38</v>
      </c>
      <c r="P2390">
        <f>142.66</f>
        <v>142.66</v>
      </c>
      <c r="Q2390">
        <f>1580.72</f>
        <v>1580.72</v>
      </c>
      <c r="R2390">
        <f>3395.61</f>
        <v>3395.61</v>
      </c>
      <c r="S2390">
        <f>1600.92</f>
        <v>1600.92</v>
      </c>
      <c r="T2390">
        <f>2769.449</f>
        <v>2769.4490000000001</v>
      </c>
      <c r="U2390">
        <f>49091.16</f>
        <v>49091.16</v>
      </c>
      <c r="V2390">
        <f>326.97</f>
        <v>326.97000000000003</v>
      </c>
    </row>
    <row r="2391" spans="1:22" x14ac:dyDescent="0.2">
      <c r="A2391" s="1">
        <v>41760</v>
      </c>
      <c r="B2391">
        <f>2832.17</f>
        <v>2832.17</v>
      </c>
      <c r="C2391">
        <f>8961.31</f>
        <v>8961.31</v>
      </c>
      <c r="D2391">
        <f>5029.52</f>
        <v>5029.5200000000004</v>
      </c>
      <c r="E2391">
        <f>1957.761</f>
        <v>1957.761</v>
      </c>
      <c r="F2391">
        <f>2014.93</f>
        <v>2014.93</v>
      </c>
      <c r="G2391">
        <f>8644.819</f>
        <v>8644.8189999999995</v>
      </c>
      <c r="H2391">
        <f>2308.96</f>
        <v>2308.96</v>
      </c>
      <c r="I2391">
        <f>9165.987</f>
        <v>9165.9869999999992</v>
      </c>
      <c r="J2391">
        <f>2541.84</f>
        <v>2541.84</v>
      </c>
      <c r="K2391">
        <f>7094.03</f>
        <v>7094.03</v>
      </c>
      <c r="L2391">
        <f>1610.31</f>
        <v>1610.31</v>
      </c>
      <c r="M2391">
        <f>6208.75</f>
        <v>6208.75</v>
      </c>
      <c r="N2391">
        <f>260.311</f>
        <v>260.31099999999998</v>
      </c>
      <c r="O2391">
        <f>2272.77</f>
        <v>2272.77</v>
      </c>
      <c r="P2391">
        <f>142.79</f>
        <v>142.79</v>
      </c>
      <c r="Q2391">
        <f>1579.45</f>
        <v>1579.45</v>
      </c>
      <c r="R2391">
        <f>3400.2</f>
        <v>3400.2</v>
      </c>
      <c r="S2391">
        <f>1600.53</f>
        <v>1600.53</v>
      </c>
      <c r="T2391" t="e">
        <f>NA()</f>
        <v>#N/A</v>
      </c>
      <c r="U2391" t="e">
        <f>NA()</f>
        <v>#N/A</v>
      </c>
      <c r="V2391" t="e">
        <f>NA()</f>
        <v>#N/A</v>
      </c>
    </row>
    <row r="2392" spans="1:22" x14ac:dyDescent="0.2">
      <c r="A2392" s="1">
        <v>41759</v>
      </c>
      <c r="B2392">
        <f>2834.01</f>
        <v>2834.01</v>
      </c>
      <c r="C2392">
        <f>8952.85</f>
        <v>8952.85</v>
      </c>
      <c r="D2392">
        <f>5008.21</f>
        <v>5008.21</v>
      </c>
      <c r="E2392">
        <f>1956.339</f>
        <v>1956.3389999999999</v>
      </c>
      <c r="F2392">
        <f>2006.27</f>
        <v>2006.27</v>
      </c>
      <c r="G2392">
        <f>8606.558</f>
        <v>8606.5580000000009</v>
      </c>
      <c r="H2392">
        <f>2287.29</f>
        <v>2287.29</v>
      </c>
      <c r="I2392">
        <f>9163.463</f>
        <v>9163.4629999999997</v>
      </c>
      <c r="J2392">
        <f>2547.53</f>
        <v>2547.5300000000002</v>
      </c>
      <c r="K2392">
        <f>7092.38</f>
        <v>7092.38</v>
      </c>
      <c r="L2392">
        <f>1611.4</f>
        <v>1611.4</v>
      </c>
      <c r="M2392">
        <f>6198.8</f>
        <v>6198.8</v>
      </c>
      <c r="N2392">
        <f>259.642</f>
        <v>259.642</v>
      </c>
      <c r="O2392">
        <f>2268.98</f>
        <v>2268.98</v>
      </c>
      <c r="P2392">
        <f>140.99</f>
        <v>140.99</v>
      </c>
      <c r="Q2392">
        <f>1583.66</f>
        <v>1583.66</v>
      </c>
      <c r="R2392">
        <f>3400.46</f>
        <v>3400.46</v>
      </c>
      <c r="S2392">
        <f>1573.78</f>
        <v>1573.78</v>
      </c>
      <c r="T2392">
        <f>2754.158</f>
        <v>2754.1579999999999</v>
      </c>
      <c r="U2392">
        <f>48870.1</f>
        <v>48870.1</v>
      </c>
      <c r="V2392">
        <f>324.85</f>
        <v>324.85000000000002</v>
      </c>
    </row>
    <row r="2393" spans="1:22" x14ac:dyDescent="0.2">
      <c r="A2393" s="1">
        <v>41758</v>
      </c>
      <c r="B2393">
        <f>2837.74</f>
        <v>2837.74</v>
      </c>
      <c r="C2393">
        <f>8966.86</f>
        <v>8966.86</v>
      </c>
      <c r="D2393">
        <f>4996.53</f>
        <v>4996.53</v>
      </c>
      <c r="E2393">
        <f>1965.108</f>
        <v>1965.1079999999999</v>
      </c>
      <c r="F2393">
        <f>2003.51</f>
        <v>2003.51</v>
      </c>
      <c r="G2393">
        <f>8567.681</f>
        <v>8567.6810000000005</v>
      </c>
      <c r="H2393">
        <f>2270.05</f>
        <v>2270.0500000000002</v>
      </c>
      <c r="I2393">
        <f>9127.065</f>
        <v>9127.0650000000005</v>
      </c>
      <c r="J2393">
        <f>2543.87</f>
        <v>2543.87</v>
      </c>
      <c r="K2393">
        <f>7069.02</f>
        <v>7069.02</v>
      </c>
      <c r="L2393">
        <f>1605.5</f>
        <v>1605.5</v>
      </c>
      <c r="M2393">
        <f>6177.04</f>
        <v>6177.04</v>
      </c>
      <c r="N2393">
        <f>259.539</f>
        <v>259.53899999999999</v>
      </c>
      <c r="O2393">
        <f>2266.69</f>
        <v>2266.69</v>
      </c>
      <c r="P2393" t="e">
        <f>NA()</f>
        <v>#N/A</v>
      </c>
      <c r="Q2393">
        <f>1577.03</f>
        <v>1577.03</v>
      </c>
      <c r="R2393">
        <f>3390.16</f>
        <v>3390.16</v>
      </c>
      <c r="S2393" t="e">
        <f>NA()</f>
        <v>#N/A</v>
      </c>
      <c r="T2393">
        <f>2760.878</f>
        <v>2760.8780000000002</v>
      </c>
      <c r="U2393">
        <f>48935.36</f>
        <v>48935.360000000001</v>
      </c>
      <c r="V2393">
        <f>324.97</f>
        <v>324.97000000000003</v>
      </c>
    </row>
    <row r="2394" spans="1:22" x14ac:dyDescent="0.2">
      <c r="A2394" s="1">
        <v>41757</v>
      </c>
      <c r="B2394">
        <f>2815.54</f>
        <v>2815.54</v>
      </c>
      <c r="C2394">
        <f>8862.27</f>
        <v>8862.27</v>
      </c>
      <c r="D2394">
        <f>4945.04</f>
        <v>4945.04</v>
      </c>
      <c r="E2394">
        <f>1950.815</f>
        <v>1950.8150000000001</v>
      </c>
      <c r="F2394">
        <f>1985.42</f>
        <v>1985.42</v>
      </c>
      <c r="G2394">
        <f>8462.875</f>
        <v>8462.875</v>
      </c>
      <c r="H2394">
        <f>2269.16</f>
        <v>2269.16</v>
      </c>
      <c r="I2394">
        <f>9043.564</f>
        <v>9043.5640000000003</v>
      </c>
      <c r="J2394">
        <f>2540.71</f>
        <v>2540.71</v>
      </c>
      <c r="K2394">
        <f>7033.33</f>
        <v>7033.33</v>
      </c>
      <c r="L2394">
        <f>1597.13</f>
        <v>1597.13</v>
      </c>
      <c r="M2394">
        <f>6140.75</f>
        <v>6140.75</v>
      </c>
      <c r="N2394">
        <f>258.187</f>
        <v>258.18700000000001</v>
      </c>
      <c r="O2394">
        <f>2239.36</f>
        <v>2239.36</v>
      </c>
      <c r="P2394">
        <f>140.16</f>
        <v>140.16</v>
      </c>
      <c r="Q2394">
        <f>1575.42</f>
        <v>1575.42</v>
      </c>
      <c r="R2394">
        <f>3374.04</f>
        <v>3374.04</v>
      </c>
      <c r="S2394">
        <f>1571.48</f>
        <v>1571.48</v>
      </c>
      <c r="T2394" t="e">
        <f>NA()</f>
        <v>#N/A</v>
      </c>
      <c r="U2394" t="e">
        <f>NA()</f>
        <v>#N/A</v>
      </c>
      <c r="V2394" t="e">
        <f>NA()</f>
        <v>#N/A</v>
      </c>
    </row>
    <row r="2395" spans="1:22" x14ac:dyDescent="0.2">
      <c r="A2395" s="1">
        <v>41754</v>
      </c>
      <c r="B2395">
        <f>2798.43</f>
        <v>2798.43</v>
      </c>
      <c r="C2395">
        <f>8841.5</f>
        <v>8841.5</v>
      </c>
      <c r="D2395">
        <f>4934.36</f>
        <v>4934.3599999999997</v>
      </c>
      <c r="E2395">
        <f>1951.201</f>
        <v>1951.201</v>
      </c>
      <c r="F2395">
        <f>1945.66</f>
        <v>1945.66</v>
      </c>
      <c r="G2395">
        <f>8445.998</f>
        <v>8445.9979999999996</v>
      </c>
      <c r="H2395">
        <f>2284.28</f>
        <v>2284.2800000000002</v>
      </c>
      <c r="I2395">
        <f>9013.306</f>
        <v>9013.3060000000005</v>
      </c>
      <c r="J2395">
        <f>2512.21</f>
        <v>2512.21</v>
      </c>
      <c r="K2395">
        <f>7013.64</f>
        <v>7013.64</v>
      </c>
      <c r="L2395">
        <f>1587.61</f>
        <v>1587.61</v>
      </c>
      <c r="M2395">
        <f>6133.19</f>
        <v>6133.19</v>
      </c>
      <c r="N2395">
        <f>256.789</f>
        <v>256.78899999999999</v>
      </c>
      <c r="O2395">
        <f>2233.21</f>
        <v>2233.21</v>
      </c>
      <c r="P2395">
        <f>141.11</f>
        <v>141.11000000000001</v>
      </c>
      <c r="Q2395">
        <f>1566.34</f>
        <v>1566.34</v>
      </c>
      <c r="R2395">
        <f>3362.95</f>
        <v>3362.95</v>
      </c>
      <c r="S2395">
        <f>1584</f>
        <v>1584</v>
      </c>
      <c r="T2395">
        <f>2758.705</f>
        <v>2758.7049999999999</v>
      </c>
      <c r="U2395">
        <f>48910.9</f>
        <v>48910.9</v>
      </c>
      <c r="V2395">
        <f>324.45</f>
        <v>324.45</v>
      </c>
    </row>
    <row r="2396" spans="1:22" x14ac:dyDescent="0.2">
      <c r="A2396" s="1">
        <v>41753</v>
      </c>
      <c r="B2396">
        <f>2802.67</f>
        <v>2802.67</v>
      </c>
      <c r="C2396">
        <f>8930.64</f>
        <v>8930.64</v>
      </c>
      <c r="D2396">
        <f>4947.14</f>
        <v>4947.1400000000003</v>
      </c>
      <c r="E2396">
        <f>1972.929</f>
        <v>1972.9290000000001</v>
      </c>
      <c r="F2396">
        <f>1945.83</f>
        <v>1945.83</v>
      </c>
      <c r="G2396">
        <f>8458.607</f>
        <v>8458.607</v>
      </c>
      <c r="H2396">
        <f>2267.22</f>
        <v>2267.2199999999998</v>
      </c>
      <c r="I2396">
        <f>9085.878</f>
        <v>9085.8780000000006</v>
      </c>
      <c r="J2396">
        <f>2516.21</f>
        <v>2516.21</v>
      </c>
      <c r="K2396">
        <f>7073.78</f>
        <v>7073.78</v>
      </c>
      <c r="L2396">
        <f>1589.4</f>
        <v>1589.4</v>
      </c>
      <c r="M2396">
        <f>6170.61</f>
        <v>6170.61</v>
      </c>
      <c r="N2396">
        <f>256.787</f>
        <v>256.78699999999998</v>
      </c>
      <c r="O2396">
        <f>2249.43</f>
        <v>2249.4299999999998</v>
      </c>
      <c r="P2396">
        <f>140</f>
        <v>140</v>
      </c>
      <c r="Q2396">
        <f>1575.32</f>
        <v>1575.32</v>
      </c>
      <c r="R2396">
        <f>3390.39</f>
        <v>3390.39</v>
      </c>
      <c r="S2396">
        <f>1577.1</f>
        <v>1577.1</v>
      </c>
      <c r="T2396">
        <f>2744.434</f>
        <v>2744.4340000000002</v>
      </c>
      <c r="U2396">
        <f>48934.51</f>
        <v>48934.51</v>
      </c>
      <c r="V2396">
        <f>322.19</f>
        <v>322.19</v>
      </c>
    </row>
    <row r="2397" spans="1:22" x14ac:dyDescent="0.2">
      <c r="A2397" s="1">
        <v>41752</v>
      </c>
      <c r="B2397">
        <f>2791.51</f>
        <v>2791.51</v>
      </c>
      <c r="C2397">
        <f>8950.29</f>
        <v>8950.2900000000009</v>
      </c>
      <c r="D2397">
        <f>4926.28</f>
        <v>4926.28</v>
      </c>
      <c r="E2397">
        <f>1971.499</f>
        <v>1971.499</v>
      </c>
      <c r="F2397">
        <f>1931.41</f>
        <v>1931.41</v>
      </c>
      <c r="G2397">
        <f>8411.27</f>
        <v>8411.27</v>
      </c>
      <c r="H2397">
        <f>2273.71</f>
        <v>2273.71</v>
      </c>
      <c r="I2397">
        <f>9070.469</f>
        <v>9070.4689999999991</v>
      </c>
      <c r="J2397">
        <f>2506.42</f>
        <v>2506.42</v>
      </c>
      <c r="K2397">
        <f>7063.3</f>
        <v>7063.3</v>
      </c>
      <c r="L2397">
        <f>1588.99</f>
        <v>1588.99</v>
      </c>
      <c r="M2397">
        <f>6163.33</f>
        <v>6163.33</v>
      </c>
      <c r="N2397">
        <f>256.09</f>
        <v>256.08999999999997</v>
      </c>
      <c r="O2397">
        <f>2242.27</f>
        <v>2242.27</v>
      </c>
      <c r="P2397">
        <f>140.47</f>
        <v>140.47</v>
      </c>
      <c r="Q2397">
        <f>1575.04</f>
        <v>1575.04</v>
      </c>
      <c r="R2397">
        <f>3384.5</f>
        <v>3384.5</v>
      </c>
      <c r="S2397">
        <f>1589.15</f>
        <v>1589.15</v>
      </c>
      <c r="T2397">
        <f>2728.673</f>
        <v>2728.6729999999998</v>
      </c>
      <c r="U2397">
        <f>48647.62</f>
        <v>48647.62</v>
      </c>
      <c r="V2397">
        <f>320.08</f>
        <v>320.08</v>
      </c>
    </row>
    <row r="2398" spans="1:22" x14ac:dyDescent="0.2">
      <c r="A2398" s="1">
        <v>41751</v>
      </c>
      <c r="B2398">
        <f>2805.42</f>
        <v>2805.42</v>
      </c>
      <c r="C2398">
        <f>9021.89</f>
        <v>9021.89</v>
      </c>
      <c r="D2398">
        <f>4925.78</f>
        <v>4925.78</v>
      </c>
      <c r="E2398">
        <f>1981.053</f>
        <v>1981.0530000000001</v>
      </c>
      <c r="F2398">
        <f>1930.42</f>
        <v>1930.42</v>
      </c>
      <c r="G2398">
        <f>8430.923</f>
        <v>8430.9230000000007</v>
      </c>
      <c r="H2398">
        <f>2244.54</f>
        <v>2244.54</v>
      </c>
      <c r="I2398">
        <f>9096.736</f>
        <v>9096.7360000000008</v>
      </c>
      <c r="J2398">
        <f>2511.49</f>
        <v>2511.4899999999998</v>
      </c>
      <c r="K2398">
        <f>7080.16</f>
        <v>7080.16</v>
      </c>
      <c r="L2398">
        <f>1591.81</f>
        <v>1591.81</v>
      </c>
      <c r="M2398">
        <f>6172.12</f>
        <v>6172.12</v>
      </c>
      <c r="N2398">
        <f>255.972</f>
        <v>255.97200000000001</v>
      </c>
      <c r="O2398">
        <f>2253.86</f>
        <v>2253.86</v>
      </c>
      <c r="P2398">
        <f>139.04</f>
        <v>139.04</v>
      </c>
      <c r="Q2398">
        <f>1576.61</f>
        <v>1576.61</v>
      </c>
      <c r="R2398">
        <f>3391.58</f>
        <v>3391.58</v>
      </c>
      <c r="S2398">
        <f>1573.85</f>
        <v>1573.85</v>
      </c>
      <c r="T2398">
        <f>2715.83</f>
        <v>2715.83</v>
      </c>
      <c r="U2398">
        <f>48643.31</f>
        <v>48643.31</v>
      </c>
      <c r="V2398">
        <f>319.58</f>
        <v>319.58</v>
      </c>
    </row>
    <row r="2399" spans="1:22" x14ac:dyDescent="0.2">
      <c r="A2399" s="1">
        <v>41750</v>
      </c>
      <c r="B2399">
        <f>2771.41</f>
        <v>2771.41</v>
      </c>
      <c r="C2399">
        <f>9029.12</f>
        <v>9029.1200000000008</v>
      </c>
      <c r="D2399">
        <f>4884.13</f>
        <v>4884.13</v>
      </c>
      <c r="E2399">
        <f>1984.583</f>
        <v>1984.5830000000001</v>
      </c>
      <c r="F2399">
        <f>1897.42</f>
        <v>1897.42</v>
      </c>
      <c r="G2399">
        <f>8349.501</f>
        <v>8349.5010000000002</v>
      </c>
      <c r="H2399">
        <f>2250.97</f>
        <v>2250.9699999999998</v>
      </c>
      <c r="I2399">
        <f>8971.447</f>
        <v>8971.4470000000001</v>
      </c>
      <c r="J2399">
        <f>2509.98</f>
        <v>2509.98</v>
      </c>
      <c r="K2399">
        <f>7049.18</f>
        <v>7049.18</v>
      </c>
      <c r="L2399">
        <f>1582.13</f>
        <v>1582.13</v>
      </c>
      <c r="M2399">
        <f>6136.33</f>
        <v>6136.33</v>
      </c>
      <c r="N2399" t="e">
        <f>NA()</f>
        <v>#N/A</v>
      </c>
      <c r="O2399" t="e">
        <f>NA()</f>
        <v>#N/A</v>
      </c>
      <c r="P2399">
        <f>139.96</f>
        <v>139.96</v>
      </c>
      <c r="Q2399">
        <f>1575.63</f>
        <v>1575.63</v>
      </c>
      <c r="R2399">
        <f>3377.75</f>
        <v>3377.75</v>
      </c>
      <c r="S2399">
        <f>1585.89</f>
        <v>1585.89</v>
      </c>
      <c r="T2399" t="e">
        <f>NA()</f>
        <v>#N/A</v>
      </c>
      <c r="U2399" t="e">
        <f>NA()</f>
        <v>#N/A</v>
      </c>
      <c r="V2399" t="e">
        <f>NA()</f>
        <v>#N/A</v>
      </c>
    </row>
    <row r="2400" spans="1:22" x14ac:dyDescent="0.2">
      <c r="A2400" s="1">
        <v>41747</v>
      </c>
      <c r="B2400">
        <f>2771.41</f>
        <v>2771.41</v>
      </c>
      <c r="C2400">
        <f>9032.51</f>
        <v>9032.51</v>
      </c>
      <c r="D2400">
        <f>4884.13</f>
        <v>4884.13</v>
      </c>
      <c r="E2400">
        <f>1986.622</f>
        <v>1986.6220000000001</v>
      </c>
      <c r="F2400">
        <f>1898.04</f>
        <v>1898.04</v>
      </c>
      <c r="G2400">
        <f>8352.234</f>
        <v>8352.2340000000004</v>
      </c>
      <c r="H2400">
        <f>2266.5</f>
        <v>2266.5</v>
      </c>
      <c r="I2400">
        <f>8994.593</f>
        <v>8994.5930000000008</v>
      </c>
      <c r="J2400">
        <f>2501.17</f>
        <v>2501.17</v>
      </c>
      <c r="K2400">
        <f>7021.9</f>
        <v>7021.9</v>
      </c>
      <c r="L2400">
        <f>1581.41</f>
        <v>1581.41</v>
      </c>
      <c r="M2400">
        <f>6129.67</f>
        <v>6129.67</v>
      </c>
      <c r="N2400" t="e">
        <f>NA()</f>
        <v>#N/A</v>
      </c>
      <c r="O2400" t="e">
        <f>NA()</f>
        <v>#N/A</v>
      </c>
      <c r="P2400">
        <f>140.17</f>
        <v>140.16999999999999</v>
      </c>
      <c r="Q2400" t="e">
        <f>NA()</f>
        <v>#N/A</v>
      </c>
      <c r="R2400" t="e">
        <f>NA()</f>
        <v>#N/A</v>
      </c>
      <c r="S2400">
        <f>1588.56</f>
        <v>1588.56</v>
      </c>
      <c r="T2400" t="e">
        <f>NA()</f>
        <v>#N/A</v>
      </c>
      <c r="U2400" t="e">
        <f>NA()</f>
        <v>#N/A</v>
      </c>
      <c r="V2400" t="e">
        <f>NA()</f>
        <v>#N/A</v>
      </c>
    </row>
    <row r="2401" spans="1:22" x14ac:dyDescent="0.2">
      <c r="A2401" s="1">
        <v>41746</v>
      </c>
      <c r="B2401">
        <f>2771.41</f>
        <v>2771.41</v>
      </c>
      <c r="C2401">
        <f>9009.61</f>
        <v>9009.61</v>
      </c>
      <c r="D2401">
        <f>4884.13</f>
        <v>4884.13</v>
      </c>
      <c r="E2401">
        <f>1981.33</f>
        <v>1981.33</v>
      </c>
      <c r="F2401">
        <f>1898.04</f>
        <v>1898.04</v>
      </c>
      <c r="G2401">
        <f>8352.234</f>
        <v>8352.2340000000004</v>
      </c>
      <c r="H2401">
        <f>2258.56</f>
        <v>2258.56</v>
      </c>
      <c r="I2401">
        <f>8994.593</f>
        <v>8994.5930000000008</v>
      </c>
      <c r="J2401">
        <f>2501.17</f>
        <v>2501.17</v>
      </c>
      <c r="K2401">
        <f>7021.9</f>
        <v>7021.9</v>
      </c>
      <c r="L2401">
        <f>1581.3</f>
        <v>1581.3</v>
      </c>
      <c r="M2401">
        <f>6126.78</f>
        <v>6126.78</v>
      </c>
      <c r="N2401">
        <f>252.566</f>
        <v>252.566</v>
      </c>
      <c r="O2401">
        <f>2223.7</f>
        <v>2223.6999999999998</v>
      </c>
      <c r="P2401">
        <f>139.44</f>
        <v>139.44</v>
      </c>
      <c r="Q2401">
        <f>1574.297</f>
        <v>1574.297</v>
      </c>
      <c r="R2401">
        <f>3365</f>
        <v>3365</v>
      </c>
      <c r="S2401">
        <f>1579.38</f>
        <v>1579.38</v>
      </c>
      <c r="T2401">
        <f>2707.613</f>
        <v>2707.6129999999998</v>
      </c>
      <c r="U2401">
        <f>48362.22</f>
        <v>48362.22</v>
      </c>
      <c r="V2401">
        <f>318.84</f>
        <v>318.83999999999997</v>
      </c>
    </row>
    <row r="2402" spans="1:22" x14ac:dyDescent="0.2">
      <c r="A2402" s="1">
        <v>41745</v>
      </c>
      <c r="B2402">
        <f>2752.42</f>
        <v>2752.42</v>
      </c>
      <c r="C2402">
        <f>8926.37</f>
        <v>8926.3700000000008</v>
      </c>
      <c r="D2402">
        <f>4853.84</f>
        <v>4853.84</v>
      </c>
      <c r="E2402">
        <f>1968.049</f>
        <v>1968.049</v>
      </c>
      <c r="F2402">
        <f>1884.96</f>
        <v>1884.96</v>
      </c>
      <c r="G2402">
        <f>8294.151</f>
        <v>8294.1509999999998</v>
      </c>
      <c r="H2402">
        <f>2253.49</f>
        <v>2253.4899999999998</v>
      </c>
      <c r="I2402">
        <f>8934.429</f>
        <v>8934.4290000000001</v>
      </c>
      <c r="J2402">
        <f>2495.85</f>
        <v>2495.85</v>
      </c>
      <c r="K2402">
        <f>7011.83</f>
        <v>7011.83</v>
      </c>
      <c r="L2402">
        <f>1575.05</f>
        <v>1575.05</v>
      </c>
      <c r="M2402">
        <f>6108.13</f>
        <v>6108.13</v>
      </c>
      <c r="N2402">
        <f>251.643</f>
        <v>251.643</v>
      </c>
      <c r="O2402">
        <f>2211.9</f>
        <v>2211.9</v>
      </c>
      <c r="P2402">
        <f>139.12</f>
        <v>139.12</v>
      </c>
      <c r="Q2402">
        <f>1567.28</f>
        <v>1567.28</v>
      </c>
      <c r="R2402">
        <f>3360.27</f>
        <v>3360.27</v>
      </c>
      <c r="S2402">
        <f>1579.32</f>
        <v>1579.32</v>
      </c>
      <c r="T2402">
        <f>2684.036</f>
        <v>2684.0360000000001</v>
      </c>
      <c r="U2402">
        <f>48139.69</f>
        <v>48139.69</v>
      </c>
      <c r="V2402">
        <f>316.67</f>
        <v>316.67</v>
      </c>
    </row>
    <row r="2403" spans="1:22" x14ac:dyDescent="0.2">
      <c r="A2403" s="1">
        <v>41744</v>
      </c>
      <c r="B2403">
        <f>2730.52</f>
        <v>2730.52</v>
      </c>
      <c r="C2403">
        <f>8900.3</f>
        <v>8900.2999999999993</v>
      </c>
      <c r="D2403">
        <f>4820.13</f>
        <v>4820.13</v>
      </c>
      <c r="E2403">
        <f>1962.834</f>
        <v>1962.8340000000001</v>
      </c>
      <c r="F2403">
        <f>1872.78</f>
        <v>1872.78</v>
      </c>
      <c r="G2403">
        <f>8209.755</f>
        <v>8209.7549999999992</v>
      </c>
      <c r="H2403">
        <f>2219.54</f>
        <v>2219.54</v>
      </c>
      <c r="I2403">
        <f>8831.307</f>
        <v>8831.3070000000007</v>
      </c>
      <c r="J2403">
        <f>2475.74</f>
        <v>2475.7399999999998</v>
      </c>
      <c r="K2403">
        <f>6938.2</f>
        <v>6938.2</v>
      </c>
      <c r="L2403">
        <f>1563.88</f>
        <v>1563.88</v>
      </c>
      <c r="M2403">
        <f>6041.12</f>
        <v>6041.12</v>
      </c>
      <c r="N2403">
        <f>249.667</f>
        <v>249.667</v>
      </c>
      <c r="O2403">
        <f>2185.7</f>
        <v>2185.6999999999998</v>
      </c>
      <c r="P2403">
        <f>136.26</f>
        <v>136.26</v>
      </c>
      <c r="Q2403">
        <f>1550.59</f>
        <v>1550.59</v>
      </c>
      <c r="R2403">
        <f>3325.3</f>
        <v>3325.3</v>
      </c>
      <c r="S2403">
        <f>1538.1</f>
        <v>1538.1</v>
      </c>
      <c r="T2403">
        <f>2674.604</f>
        <v>2674.6039999999998</v>
      </c>
      <c r="U2403">
        <f>47789.76</f>
        <v>47789.760000000002</v>
      </c>
      <c r="V2403">
        <f>315.54</f>
        <v>315.54000000000002</v>
      </c>
    </row>
    <row r="2404" spans="1:22" x14ac:dyDescent="0.2">
      <c r="A2404" s="1">
        <v>41743</v>
      </c>
      <c r="B2404">
        <f>2741.93</f>
        <v>2741.93</v>
      </c>
      <c r="C2404">
        <f>9041.23</f>
        <v>9041.23</v>
      </c>
      <c r="D2404">
        <f>4851.19</f>
        <v>4851.1899999999996</v>
      </c>
      <c r="E2404">
        <f>1985.379</f>
        <v>1985.3789999999999</v>
      </c>
      <c r="F2404">
        <f>1876.71</f>
        <v>1876.71</v>
      </c>
      <c r="G2404">
        <f>8264.583</f>
        <v>8264.5830000000005</v>
      </c>
      <c r="H2404">
        <f>2207.3</f>
        <v>2207.3000000000002</v>
      </c>
      <c r="I2404">
        <f>8916.333</f>
        <v>8916.3330000000005</v>
      </c>
      <c r="J2404">
        <f>2457.09</f>
        <v>2457.09</v>
      </c>
      <c r="K2404">
        <f>6892.1</f>
        <v>6892.1</v>
      </c>
      <c r="L2404">
        <f>1563.04</f>
        <v>1563.04</v>
      </c>
      <c r="M2404">
        <f>6032.31</f>
        <v>6032.31</v>
      </c>
      <c r="N2404">
        <f>250.1</f>
        <v>250.1</v>
      </c>
      <c r="O2404">
        <f>2206.22</f>
        <v>2206.2199999999998</v>
      </c>
      <c r="P2404">
        <f>136.12</f>
        <v>136.12</v>
      </c>
      <c r="Q2404">
        <f>1539.8</f>
        <v>1539.8</v>
      </c>
      <c r="R2404">
        <f>3302.98</f>
        <v>3302.98</v>
      </c>
      <c r="S2404">
        <f>1533.58</f>
        <v>1533.58</v>
      </c>
      <c r="T2404">
        <f>2703.27</f>
        <v>2703.27</v>
      </c>
      <c r="U2404">
        <f>48213.26</f>
        <v>48213.26</v>
      </c>
      <c r="V2404">
        <f>319.17</f>
        <v>319.17</v>
      </c>
    </row>
    <row r="2405" spans="1:22" x14ac:dyDescent="0.2">
      <c r="A2405" s="1">
        <v>41740</v>
      </c>
      <c r="B2405">
        <f>2745</f>
        <v>2745</v>
      </c>
      <c r="C2405">
        <f>9087.7</f>
        <v>9087.7000000000007</v>
      </c>
      <c r="D2405">
        <f>4834.94</f>
        <v>4834.9399999999996</v>
      </c>
      <c r="E2405">
        <f>1992.646</f>
        <v>1992.646</v>
      </c>
      <c r="F2405">
        <f>1870</f>
        <v>1870</v>
      </c>
      <c r="G2405">
        <f>8225.838</f>
        <v>8225.8379999999997</v>
      </c>
      <c r="H2405">
        <f>2214.64</f>
        <v>2214.64</v>
      </c>
      <c r="I2405">
        <f>8927.999</f>
        <v>8927.9989999999998</v>
      </c>
      <c r="J2405">
        <f>2440.47</f>
        <v>2440.4699999999998</v>
      </c>
      <c r="K2405">
        <f>6836.82</f>
        <v>6836.82</v>
      </c>
      <c r="L2405">
        <f>1557.17</f>
        <v>1557.17</v>
      </c>
      <c r="M2405">
        <f>6008.61</f>
        <v>6008.61</v>
      </c>
      <c r="N2405">
        <f>248.454</f>
        <v>248.45400000000001</v>
      </c>
      <c r="O2405">
        <f>2193.31</f>
        <v>2193.31</v>
      </c>
      <c r="P2405">
        <f>136.01</f>
        <v>136.01</v>
      </c>
      <c r="Q2405">
        <f>1529.11</f>
        <v>1529.11</v>
      </c>
      <c r="R2405">
        <f>3276.04</f>
        <v>3276.04</v>
      </c>
      <c r="S2405">
        <f>1535.38</f>
        <v>1535.38</v>
      </c>
      <c r="T2405">
        <f>2691.985</f>
        <v>2691.9850000000001</v>
      </c>
      <c r="U2405">
        <f>48032.41</f>
        <v>48032.41</v>
      </c>
      <c r="V2405">
        <f>320.14</f>
        <v>320.14</v>
      </c>
    </row>
    <row r="2406" spans="1:22" x14ac:dyDescent="0.2">
      <c r="A2406" s="1">
        <v>41739</v>
      </c>
      <c r="B2406">
        <f>2778.35</f>
        <v>2778.35</v>
      </c>
      <c r="C2406">
        <f>9136.31</f>
        <v>9136.31</v>
      </c>
      <c r="D2406">
        <f>4894.08</f>
        <v>4894.08</v>
      </c>
      <c r="E2406">
        <f>2004.771</f>
        <v>2004.771</v>
      </c>
      <c r="F2406">
        <f>1894.12</f>
        <v>1894.12</v>
      </c>
      <c r="G2406">
        <f>8349.39</f>
        <v>8349.39</v>
      </c>
      <c r="H2406">
        <f>2238.25</f>
        <v>2238.25</v>
      </c>
      <c r="I2406">
        <f>9036.129</f>
        <v>9036.1290000000008</v>
      </c>
      <c r="J2406">
        <f>2453.69</f>
        <v>2453.69</v>
      </c>
      <c r="K2406">
        <f>6903.02</f>
        <v>6903.02</v>
      </c>
      <c r="L2406">
        <f>1569.99</f>
        <v>1569.99</v>
      </c>
      <c r="M2406">
        <f>6072.81</f>
        <v>6072.81</v>
      </c>
      <c r="N2406">
        <f>251.627</f>
        <v>251.62700000000001</v>
      </c>
      <c r="O2406">
        <f>2222.57</f>
        <v>2222.5700000000002</v>
      </c>
      <c r="P2406">
        <f>137.28</f>
        <v>137.28</v>
      </c>
      <c r="Q2406">
        <f>1541.4</f>
        <v>1541.4</v>
      </c>
      <c r="R2406">
        <f>3307.08</f>
        <v>3307.08</v>
      </c>
      <c r="S2406">
        <f>1556.23</f>
        <v>1556.23</v>
      </c>
      <c r="T2406">
        <f>2707.064</f>
        <v>2707.0639999999999</v>
      </c>
      <c r="U2406">
        <f>48529.88</f>
        <v>48529.88</v>
      </c>
      <c r="V2406">
        <f>322.92</f>
        <v>322.92</v>
      </c>
    </row>
    <row r="2407" spans="1:22" x14ac:dyDescent="0.2">
      <c r="A2407" s="1">
        <v>41738</v>
      </c>
      <c r="B2407">
        <f>2784.42</f>
        <v>2784.42</v>
      </c>
      <c r="C2407">
        <f>9072.93</f>
        <v>9072.93</v>
      </c>
      <c r="D2407">
        <f>4889.4</f>
        <v>4889.3999999999996</v>
      </c>
      <c r="E2407">
        <f>1991.179</f>
        <v>1991.1790000000001</v>
      </c>
      <c r="F2407">
        <f>1895.01</f>
        <v>1895.01</v>
      </c>
      <c r="G2407">
        <f>8328.515</f>
        <v>8328.5149999999994</v>
      </c>
      <c r="H2407">
        <f>2228.67</f>
        <v>2228.67</v>
      </c>
      <c r="I2407">
        <f>9058.033</f>
        <v>9058.0329999999994</v>
      </c>
      <c r="J2407">
        <f>2491.15</f>
        <v>2491.15</v>
      </c>
      <c r="K2407">
        <f>7050.98</f>
        <v>7050.98</v>
      </c>
      <c r="L2407">
        <f>1578.21</f>
        <v>1578.21</v>
      </c>
      <c r="M2407">
        <f>6142.73</f>
        <v>6142.73</v>
      </c>
      <c r="N2407">
        <f>252.39</f>
        <v>252.39</v>
      </c>
      <c r="O2407">
        <f>2234.02</f>
        <v>2234.02</v>
      </c>
      <c r="P2407">
        <f>137.36</f>
        <v>137.36000000000001</v>
      </c>
      <c r="Q2407">
        <f>1567.2</f>
        <v>1567.2</v>
      </c>
      <c r="R2407">
        <f>3377.61</f>
        <v>3377.61</v>
      </c>
      <c r="S2407">
        <f>1557.52</f>
        <v>1557.52</v>
      </c>
      <c r="T2407">
        <f>2684.332</f>
        <v>2684.3319999999999</v>
      </c>
      <c r="U2407">
        <f>48291.88</f>
        <v>48291.88</v>
      </c>
      <c r="V2407">
        <f>319.76</f>
        <v>319.76</v>
      </c>
    </row>
    <row r="2408" spans="1:22" x14ac:dyDescent="0.2">
      <c r="A2408" s="1">
        <v>41737</v>
      </c>
      <c r="B2408">
        <f>2760.24</f>
        <v>2760.24</v>
      </c>
      <c r="C2408">
        <f>9051.2</f>
        <v>9051.2000000000007</v>
      </c>
      <c r="D2408">
        <f>4854.99</f>
        <v>4854.99</v>
      </c>
      <c r="E2408">
        <f>1984.585</f>
        <v>1984.585</v>
      </c>
      <c r="F2408">
        <f>1884.2</f>
        <v>1884.2</v>
      </c>
      <c r="G2408">
        <f>8272.223</f>
        <v>8272.223</v>
      </c>
      <c r="H2408">
        <f>2259.88</f>
        <v>2259.88</v>
      </c>
      <c r="I2408">
        <f>9008.387</f>
        <v>9008.3870000000006</v>
      </c>
      <c r="J2408">
        <f>2470.35</f>
        <v>2470.35</v>
      </c>
      <c r="K2408">
        <f>6973.03</f>
        <v>6973.03</v>
      </c>
      <c r="L2408">
        <f>1568.61</f>
        <v>1568.61</v>
      </c>
      <c r="M2408">
        <f>6099.55</f>
        <v>6099.55</v>
      </c>
      <c r="N2408">
        <f>250.925</f>
        <v>250.92500000000001</v>
      </c>
      <c r="O2408">
        <f>2224.82</f>
        <v>2224.8200000000002</v>
      </c>
      <c r="P2408">
        <f>139.63</f>
        <v>139.63</v>
      </c>
      <c r="Q2408">
        <f>1554.07</f>
        <v>1554.07</v>
      </c>
      <c r="R2408">
        <f>3340.84</f>
        <v>3340.84</v>
      </c>
      <c r="S2408">
        <f>1590.17</f>
        <v>1590.17</v>
      </c>
      <c r="T2408">
        <f>2681.605</f>
        <v>2681.605</v>
      </c>
      <c r="U2408">
        <f>48069.53</f>
        <v>48069.53</v>
      </c>
      <c r="V2408">
        <f>320.95</f>
        <v>320.95</v>
      </c>
    </row>
    <row r="2409" spans="1:22" x14ac:dyDescent="0.2">
      <c r="A2409" s="1">
        <v>41736</v>
      </c>
      <c r="B2409">
        <f>2784.02</f>
        <v>2784.02</v>
      </c>
      <c r="C2409">
        <f>8958.64</f>
        <v>8958.64</v>
      </c>
      <c r="D2409">
        <f>4878.68</f>
        <v>4878.68</v>
      </c>
      <c r="E2409">
        <f>1970.134</f>
        <v>1970.134</v>
      </c>
      <c r="F2409">
        <f>1874.09</f>
        <v>1874.09</v>
      </c>
      <c r="G2409">
        <f>8235.965</f>
        <v>8235.9650000000001</v>
      </c>
      <c r="H2409">
        <f>2266.39</f>
        <v>2266.39</v>
      </c>
      <c r="I2409">
        <f>9003.351</f>
        <v>9003.3510000000006</v>
      </c>
      <c r="J2409">
        <f>2462.47</f>
        <v>2462.4699999999998</v>
      </c>
      <c r="K2409">
        <f>6942.46</f>
        <v>6942.46</v>
      </c>
      <c r="L2409">
        <f>1560.82</f>
        <v>1560.82</v>
      </c>
      <c r="M2409">
        <f>6081.99</f>
        <v>6081.99</v>
      </c>
      <c r="N2409">
        <f>251.623</f>
        <v>251.62299999999999</v>
      </c>
      <c r="O2409">
        <f>2229.93</f>
        <v>2229.9299999999998</v>
      </c>
      <c r="P2409">
        <f>141.66</f>
        <v>141.66</v>
      </c>
      <c r="Q2409">
        <f>1547.97</f>
        <v>1547.97</v>
      </c>
      <c r="R2409">
        <f>3327.27</f>
        <v>3327.27</v>
      </c>
      <c r="S2409">
        <f>1620.33</f>
        <v>1620.33</v>
      </c>
      <c r="T2409">
        <f>2670.705</f>
        <v>2670.7049999999999</v>
      </c>
      <c r="U2409">
        <f>47857.95</f>
        <v>47857.95</v>
      </c>
      <c r="V2409">
        <f>318.06</f>
        <v>318.06</v>
      </c>
    </row>
    <row r="2410" spans="1:22" x14ac:dyDescent="0.2">
      <c r="A2410" s="1">
        <v>41733</v>
      </c>
      <c r="B2410">
        <f>2806.68</f>
        <v>2806.68</v>
      </c>
      <c r="C2410">
        <f>8927.22</f>
        <v>8927.2199999999993</v>
      </c>
      <c r="D2410">
        <f>4932.24</f>
        <v>4932.24</v>
      </c>
      <c r="E2410">
        <f>1965.315</f>
        <v>1965.3150000000001</v>
      </c>
      <c r="F2410">
        <f>1880.11</f>
        <v>1880.11</v>
      </c>
      <c r="G2410">
        <f>8312.49</f>
        <v>8312.49</v>
      </c>
      <c r="H2410">
        <f>2277.51</f>
        <v>2277.5100000000002</v>
      </c>
      <c r="I2410">
        <f>9079.035</f>
        <v>9079.0349999999999</v>
      </c>
      <c r="J2410">
        <f>2476.8</f>
        <v>2476.8000000000002</v>
      </c>
      <c r="K2410">
        <f>7020.78</f>
        <v>7020.78</v>
      </c>
      <c r="L2410">
        <f>1570.48</f>
        <v>1570.48</v>
      </c>
      <c r="M2410">
        <f>6143.9</f>
        <v>6143.9</v>
      </c>
      <c r="N2410">
        <f>253.581</f>
        <v>253.58099999999999</v>
      </c>
      <c r="O2410">
        <f>2256.92</f>
        <v>2256.92</v>
      </c>
      <c r="P2410">
        <f>142.89</f>
        <v>142.88999999999999</v>
      </c>
      <c r="Q2410">
        <f>1561.77</f>
        <v>1561.77</v>
      </c>
      <c r="R2410">
        <f>3363.41</f>
        <v>3363.41</v>
      </c>
      <c r="S2410">
        <f>1646.13</f>
        <v>1646.13</v>
      </c>
      <c r="T2410">
        <f>2689.25</f>
        <v>2689.25</v>
      </c>
      <c r="U2410">
        <f>48347.75</f>
        <v>48347.75</v>
      </c>
      <c r="V2410">
        <f>317.57</f>
        <v>317.57</v>
      </c>
    </row>
    <row r="2411" spans="1:22" x14ac:dyDescent="0.2">
      <c r="A2411" s="1">
        <v>41732</v>
      </c>
      <c r="B2411">
        <f>2783.16</f>
        <v>2783.16</v>
      </c>
      <c r="C2411">
        <f>8878.53</f>
        <v>8878.5300000000007</v>
      </c>
      <c r="D2411">
        <f>4898.05</f>
        <v>4898.05</v>
      </c>
      <c r="E2411">
        <f>1961.608</f>
        <v>1961.6079999999999</v>
      </c>
      <c r="F2411">
        <f>1864.69</f>
        <v>1864.69</v>
      </c>
      <c r="G2411">
        <f>8255.493</f>
        <v>8255.4930000000004</v>
      </c>
      <c r="H2411">
        <f>2272.83</f>
        <v>2272.83</v>
      </c>
      <c r="I2411">
        <f>9049.533</f>
        <v>9049.5329999999994</v>
      </c>
      <c r="J2411">
        <f>2496.41</f>
        <v>2496.41</v>
      </c>
      <c r="K2411">
        <f>7111.92</f>
        <v>7111.92</v>
      </c>
      <c r="L2411">
        <f>1568.78</f>
        <v>1568.78</v>
      </c>
      <c r="M2411">
        <f>6175.69</f>
        <v>6175.69</v>
      </c>
      <c r="N2411">
        <f>252.389</f>
        <v>252.38900000000001</v>
      </c>
      <c r="O2411">
        <f>2243.95</f>
        <v>2243.9499999999998</v>
      </c>
      <c r="P2411">
        <f>142.98</f>
        <v>142.97999999999999</v>
      </c>
      <c r="Q2411">
        <f>1575.14</f>
        <v>1575.14</v>
      </c>
      <c r="R2411">
        <f>3406</f>
        <v>3406</v>
      </c>
      <c r="S2411">
        <f>1647.32</f>
        <v>1647.32</v>
      </c>
      <c r="T2411">
        <f>2673.953</f>
        <v>2673.953</v>
      </c>
      <c r="U2411">
        <f>48231.39</f>
        <v>48231.39</v>
      </c>
      <c r="V2411">
        <f>314.91</f>
        <v>314.91000000000003</v>
      </c>
    </row>
    <row r="2412" spans="1:22" x14ac:dyDescent="0.2">
      <c r="A2412" s="1">
        <v>41731</v>
      </c>
      <c r="B2412">
        <f>2794.81</f>
        <v>2794.81</v>
      </c>
      <c r="C2412">
        <f>8897.16</f>
        <v>8897.16</v>
      </c>
      <c r="D2412">
        <f>4905.34</f>
        <v>4905.34</v>
      </c>
      <c r="E2412">
        <f>1969.562</f>
        <v>1969.5619999999999</v>
      </c>
      <c r="F2412">
        <f>1877.27</f>
        <v>1877.27</v>
      </c>
      <c r="G2412">
        <f>8290.858</f>
        <v>8290.8580000000002</v>
      </c>
      <c r="H2412">
        <f>2265.79</f>
        <v>2265.79</v>
      </c>
      <c r="I2412">
        <f>9062.983</f>
        <v>9062.9830000000002</v>
      </c>
      <c r="J2412">
        <f>2496.32</f>
        <v>2496.3200000000002</v>
      </c>
      <c r="K2412">
        <f>7123.22</f>
        <v>7123.22</v>
      </c>
      <c r="L2412">
        <f>1570.7</f>
        <v>1570.7</v>
      </c>
      <c r="M2412">
        <f>6183.73</f>
        <v>6183.73</v>
      </c>
      <c r="N2412">
        <f>252.437</f>
        <v>252.43700000000001</v>
      </c>
      <c r="O2412">
        <f>2240.32</f>
        <v>2240.3200000000002</v>
      </c>
      <c r="P2412">
        <f>142.4</f>
        <v>142.4</v>
      </c>
      <c r="Q2412">
        <f>1573.95</f>
        <v>1573.95</v>
      </c>
      <c r="R2412">
        <f>3409.8</f>
        <v>3409.8</v>
      </c>
      <c r="S2412">
        <f>1639.98</f>
        <v>1639.98</v>
      </c>
      <c r="T2412">
        <f>2680.709</f>
        <v>2680.7089999999998</v>
      </c>
      <c r="U2412">
        <f>48405.9</f>
        <v>48405.9</v>
      </c>
      <c r="V2412">
        <f>314.77</f>
        <v>314.77</v>
      </c>
    </row>
    <row r="2413" spans="1:22" x14ac:dyDescent="0.2">
      <c r="A2413" s="1">
        <v>41730</v>
      </c>
      <c r="B2413">
        <f>2791.49</f>
        <v>2791.49</v>
      </c>
      <c r="C2413">
        <f>8903.2</f>
        <v>8903.2000000000007</v>
      </c>
      <c r="D2413">
        <f>4898.04</f>
        <v>4898.04</v>
      </c>
      <c r="E2413">
        <f>1961.252</f>
        <v>1961.252</v>
      </c>
      <c r="F2413">
        <f>1879.63</f>
        <v>1879.63</v>
      </c>
      <c r="G2413">
        <f>8280.807</f>
        <v>8280.8070000000007</v>
      </c>
      <c r="H2413">
        <f>2264.08</f>
        <v>2264.08</v>
      </c>
      <c r="I2413">
        <f>9070.288</f>
        <v>9070.2880000000005</v>
      </c>
      <c r="J2413">
        <f>2488.84</f>
        <v>2488.84</v>
      </c>
      <c r="K2413">
        <f>7102.27</f>
        <v>7102.27</v>
      </c>
      <c r="L2413">
        <f>1568.62</f>
        <v>1568.62</v>
      </c>
      <c r="M2413">
        <f>6169.04</f>
        <v>6169.04</v>
      </c>
      <c r="N2413">
        <f>251.903</f>
        <v>251.90299999999999</v>
      </c>
      <c r="O2413">
        <f>2235.94</f>
        <v>2235.94</v>
      </c>
      <c r="P2413">
        <f>142.49</f>
        <v>142.49</v>
      </c>
      <c r="Q2413">
        <f>1568.59</f>
        <v>1568.59</v>
      </c>
      <c r="R2413">
        <f>3399.51</f>
        <v>3399.51</v>
      </c>
      <c r="S2413">
        <f>1630.37</f>
        <v>1630.37</v>
      </c>
      <c r="T2413">
        <f>2684.227</f>
        <v>2684.2269999999999</v>
      </c>
      <c r="U2413">
        <f>48104.98</f>
        <v>48104.98</v>
      </c>
      <c r="V2413">
        <f>315.37</f>
        <v>315.37</v>
      </c>
    </row>
    <row r="2414" spans="1:22" x14ac:dyDescent="0.2">
      <c r="A2414" s="1">
        <v>41729</v>
      </c>
      <c r="B2414">
        <f>2770.36</f>
        <v>2770.36</v>
      </c>
      <c r="C2414">
        <f>8893.25</f>
        <v>8893.25</v>
      </c>
      <c r="D2414">
        <f>4858.11</f>
        <v>4858.1099999999997</v>
      </c>
      <c r="E2414">
        <f>1949.083</f>
        <v>1949.0830000000001</v>
      </c>
      <c r="F2414">
        <f>1871.09</f>
        <v>1871.09</v>
      </c>
      <c r="G2414">
        <f>8233.285</f>
        <v>8233.2849999999999</v>
      </c>
      <c r="H2414">
        <f>2292.26</f>
        <v>2292.2600000000002</v>
      </c>
      <c r="I2414">
        <f>9006.132</f>
        <v>9006.1319999999996</v>
      </c>
      <c r="J2414">
        <f>2483.15</f>
        <v>2483.15</v>
      </c>
      <c r="K2414">
        <f>7050.02</f>
        <v>7050.02</v>
      </c>
      <c r="L2414">
        <f>1565.62</f>
        <v>1565.62</v>
      </c>
      <c r="M2414">
        <f>6132.59</f>
        <v>6132.59</v>
      </c>
      <c r="N2414">
        <f>251.909</f>
        <v>251.90899999999999</v>
      </c>
      <c r="O2414">
        <f>2223.42</f>
        <v>2223.42</v>
      </c>
      <c r="P2414">
        <f>143.31</f>
        <v>143.31</v>
      </c>
      <c r="Q2414">
        <f>1564.78</f>
        <v>1564.78</v>
      </c>
      <c r="R2414">
        <f>3375.51</f>
        <v>3375.51</v>
      </c>
      <c r="S2414">
        <f>1628.52</f>
        <v>1628.52</v>
      </c>
      <c r="T2414">
        <f>2655.458</f>
        <v>2655.4580000000001</v>
      </c>
      <c r="U2414">
        <f>47770.92</f>
        <v>47770.92</v>
      </c>
      <c r="V2414">
        <f>314.13</f>
        <v>314.13</v>
      </c>
    </row>
    <row r="2415" spans="1:22" x14ac:dyDescent="0.2">
      <c r="A2415" s="1">
        <v>41726</v>
      </c>
      <c r="B2415">
        <f>2770.5</f>
        <v>2770.5</v>
      </c>
      <c r="C2415">
        <f>8809.83</f>
        <v>8809.83</v>
      </c>
      <c r="D2415">
        <f>4870.78</f>
        <v>4870.78</v>
      </c>
      <c r="E2415">
        <f>1929.731</f>
        <v>1929.731</v>
      </c>
      <c r="F2415">
        <f>1876.59</f>
        <v>1876.59</v>
      </c>
      <c r="G2415">
        <f>8237.605</f>
        <v>8237.6049999999996</v>
      </c>
      <c r="H2415">
        <f>2264.86</f>
        <v>2264.86</v>
      </c>
      <c r="I2415">
        <f>8957.668</f>
        <v>8957.6679999999997</v>
      </c>
      <c r="J2415">
        <f>2465.19</f>
        <v>2465.19</v>
      </c>
      <c r="K2415">
        <f>6993.27</f>
        <v>6993.27</v>
      </c>
      <c r="L2415">
        <f>1556.07</f>
        <v>1556.07</v>
      </c>
      <c r="M2415">
        <f>6088.28</f>
        <v>6088.28</v>
      </c>
      <c r="N2415">
        <f>252.258</f>
        <v>252.25800000000001</v>
      </c>
      <c r="O2415">
        <f>2219.94</f>
        <v>2219.94</v>
      </c>
      <c r="P2415">
        <f>141.98</f>
        <v>141.97999999999999</v>
      </c>
      <c r="Q2415">
        <f>1550.54</f>
        <v>1550.54</v>
      </c>
      <c r="R2415">
        <f>3348.83</f>
        <v>3348.83</v>
      </c>
      <c r="S2415">
        <f>1606.36</f>
        <v>1606.36</v>
      </c>
      <c r="T2415">
        <f>2652.601</f>
        <v>2652.6010000000001</v>
      </c>
      <c r="U2415">
        <f>47930.03</f>
        <v>47930.03</v>
      </c>
      <c r="V2415">
        <f>313.74</f>
        <v>313.74</v>
      </c>
    </row>
    <row r="2416" spans="1:22" x14ac:dyDescent="0.2">
      <c r="A2416" s="1">
        <v>41725</v>
      </c>
      <c r="B2416">
        <f>2768.04</f>
        <v>2768.04</v>
      </c>
      <c r="C2416">
        <f>8716.76</f>
        <v>8716.76</v>
      </c>
      <c r="D2416">
        <f>4850.71</f>
        <v>4850.71</v>
      </c>
      <c r="E2416">
        <f>1910.789</f>
        <v>1910.789</v>
      </c>
      <c r="F2416">
        <f>1868.55</f>
        <v>1868.55</v>
      </c>
      <c r="G2416">
        <f>8191.231</f>
        <v>8191.2309999999998</v>
      </c>
      <c r="H2416">
        <f>2270.22</f>
        <v>2270.2199999999998</v>
      </c>
      <c r="I2416">
        <f>8871.369</f>
        <v>8871.3690000000006</v>
      </c>
      <c r="J2416">
        <f>2450.9</f>
        <v>2450.9</v>
      </c>
      <c r="K2416">
        <f>6959.49</f>
        <v>6959.49</v>
      </c>
      <c r="L2416">
        <f>1548.23</f>
        <v>1548.23</v>
      </c>
      <c r="M2416">
        <f>6056.01</f>
        <v>6056.01</v>
      </c>
      <c r="N2416">
        <f>250.529</f>
        <v>250.529</v>
      </c>
      <c r="O2416">
        <f>2202.48</f>
        <v>2202.48</v>
      </c>
      <c r="P2416">
        <f>140.58</f>
        <v>140.58000000000001</v>
      </c>
      <c r="Q2416">
        <f>1541.44</f>
        <v>1541.44</v>
      </c>
      <c r="R2416">
        <f>3333.23</f>
        <v>3333.23</v>
      </c>
      <c r="S2416">
        <f>1593.34</f>
        <v>1593.34</v>
      </c>
      <c r="T2416">
        <f>2602.871</f>
        <v>2602.8710000000001</v>
      </c>
      <c r="U2416">
        <f>47380.98</f>
        <v>47380.98</v>
      </c>
      <c r="V2416">
        <f>308.73</f>
        <v>308.73</v>
      </c>
    </row>
    <row r="2417" spans="1:22" x14ac:dyDescent="0.2">
      <c r="A2417" s="1">
        <v>41724</v>
      </c>
      <c r="B2417">
        <f>2774.48</f>
        <v>2774.48</v>
      </c>
      <c r="C2417">
        <f>8649.38</f>
        <v>8649.3799999999992</v>
      </c>
      <c r="D2417">
        <f>4863.21</f>
        <v>4863.21</v>
      </c>
      <c r="E2417">
        <f>1896.821</f>
        <v>1896.8209999999999</v>
      </c>
      <c r="F2417">
        <f>1868.38</f>
        <v>1868.38</v>
      </c>
      <c r="G2417">
        <f>8186.782</f>
        <v>8186.7820000000002</v>
      </c>
      <c r="H2417">
        <f>2231.34</f>
        <v>2231.34</v>
      </c>
      <c r="I2417">
        <f>8893.345</f>
        <v>8893.3449999999993</v>
      </c>
      <c r="J2417">
        <f>2450.68</f>
        <v>2450.6799999999998</v>
      </c>
      <c r="K2417">
        <f>6970.62</f>
        <v>6970.62</v>
      </c>
      <c r="L2417">
        <f>1547.61</f>
        <v>1547.61</v>
      </c>
      <c r="M2417">
        <f>6054.94</f>
        <v>6054.94</v>
      </c>
      <c r="N2417">
        <f>250.241</f>
        <v>250.24100000000001</v>
      </c>
      <c r="O2417">
        <f>2198.21</f>
        <v>2198.21</v>
      </c>
      <c r="P2417">
        <f>138.36</f>
        <v>138.36000000000001</v>
      </c>
      <c r="Q2417">
        <f>1543.5</f>
        <v>1543.5</v>
      </c>
      <c r="R2417">
        <f>3339</f>
        <v>3339</v>
      </c>
      <c r="S2417">
        <f>1572.25</f>
        <v>1572.25</v>
      </c>
      <c r="T2417">
        <f>2596.036</f>
        <v>2596.0360000000001</v>
      </c>
      <c r="U2417">
        <f>47652.89</f>
        <v>47652.89</v>
      </c>
      <c r="V2417">
        <f>309.6</f>
        <v>309.60000000000002</v>
      </c>
    </row>
    <row r="2418" spans="1:22" x14ac:dyDescent="0.2">
      <c r="A2418" s="1">
        <v>41723</v>
      </c>
      <c r="B2418">
        <f>2759.58</f>
        <v>2759.58</v>
      </c>
      <c r="C2418">
        <f>8549.18</f>
        <v>8549.18</v>
      </c>
      <c r="D2418">
        <f>4860.5</f>
        <v>4860.5</v>
      </c>
      <c r="E2418">
        <f>1877.656</f>
        <v>1877.6559999999999</v>
      </c>
      <c r="F2418">
        <f>1855.35</f>
        <v>1855.35</v>
      </c>
      <c r="G2418">
        <f>8153.557</f>
        <v>8153.5569999999998</v>
      </c>
      <c r="H2418">
        <f>2211.85</f>
        <v>2211.85</v>
      </c>
      <c r="I2418">
        <f>8811.086</f>
        <v>8811.0859999999993</v>
      </c>
      <c r="J2418">
        <f>2455.26</f>
        <v>2455.2600000000002</v>
      </c>
      <c r="K2418">
        <f>7020.27</f>
        <v>7020.27</v>
      </c>
      <c r="L2418">
        <f>1539.34</f>
        <v>1539.34</v>
      </c>
      <c r="M2418">
        <f>6059.19</f>
        <v>6059.19</v>
      </c>
      <c r="N2418">
        <f>248.693</f>
        <v>248.69300000000001</v>
      </c>
      <c r="O2418">
        <f>2182.87</f>
        <v>2182.87</v>
      </c>
      <c r="P2418">
        <f>137.4</f>
        <v>137.4</v>
      </c>
      <c r="Q2418">
        <f>1548.39</f>
        <v>1548.39</v>
      </c>
      <c r="R2418">
        <f>3362.44</f>
        <v>3362.44</v>
      </c>
      <c r="S2418">
        <f>1561.02</f>
        <v>1561.02</v>
      </c>
      <c r="T2418">
        <f>2585.058</f>
        <v>2585.058</v>
      </c>
      <c r="U2418">
        <f>47387.56</f>
        <v>47387.56</v>
      </c>
      <c r="V2418">
        <f>304.54</f>
        <v>304.54000000000002</v>
      </c>
    </row>
    <row r="2419" spans="1:22" x14ac:dyDescent="0.2">
      <c r="A2419" s="1">
        <v>41722</v>
      </c>
      <c r="B2419">
        <f>2733.82</f>
        <v>2733.82</v>
      </c>
      <c r="C2419">
        <f>8441.3</f>
        <v>8441.2999999999993</v>
      </c>
      <c r="D2419">
        <f>4798.32</f>
        <v>4798.32</v>
      </c>
      <c r="E2419">
        <f>1868.658</f>
        <v>1868.6579999999999</v>
      </c>
      <c r="F2419">
        <f>1834.59</f>
        <v>1834.59</v>
      </c>
      <c r="G2419">
        <f>8043.457</f>
        <v>8043.4570000000003</v>
      </c>
      <c r="H2419">
        <f>2211.64</f>
        <v>2211.64</v>
      </c>
      <c r="I2419">
        <f>8707.174</f>
        <v>8707.1740000000009</v>
      </c>
      <c r="J2419">
        <f>2435.38</f>
        <v>2435.38</v>
      </c>
      <c r="K2419">
        <f>6991.14</f>
        <v>6991.14</v>
      </c>
      <c r="L2419">
        <f>1523.56</f>
        <v>1523.56</v>
      </c>
      <c r="M2419">
        <f>6023.25</f>
        <v>6023.25</v>
      </c>
      <c r="N2419">
        <f>245.701</f>
        <v>245.70099999999999</v>
      </c>
      <c r="O2419">
        <f>2155.4</f>
        <v>2155.4</v>
      </c>
      <c r="P2419">
        <f>137.85</f>
        <v>137.85</v>
      </c>
      <c r="Q2419">
        <f>1540.07</f>
        <v>1540.07</v>
      </c>
      <c r="R2419">
        <f>3347.36</f>
        <v>3347.36</v>
      </c>
      <c r="S2419">
        <f>1560.14</f>
        <v>1560.14</v>
      </c>
      <c r="T2419">
        <f>2593.193</f>
        <v>2593.1930000000002</v>
      </c>
      <c r="U2419">
        <f>46875.37</f>
        <v>46875.37</v>
      </c>
      <c r="V2419">
        <f>300.27</f>
        <v>300.27</v>
      </c>
    </row>
    <row r="2420" spans="1:22" x14ac:dyDescent="0.2">
      <c r="A2420" s="1">
        <v>41719</v>
      </c>
      <c r="B2420">
        <f>2748.65</f>
        <v>2748.65</v>
      </c>
      <c r="C2420">
        <f>8340.65</f>
        <v>8340.65</v>
      </c>
      <c r="D2420">
        <f>4825.39</f>
        <v>4825.3900000000003</v>
      </c>
      <c r="E2420">
        <f>1850.135</f>
        <v>1850.135</v>
      </c>
      <c r="F2420">
        <f>1856.42</f>
        <v>1856.42</v>
      </c>
      <c r="G2420">
        <f>8090.752</f>
        <v>8090.7520000000004</v>
      </c>
      <c r="H2420">
        <f>2192.69</f>
        <v>2192.69</v>
      </c>
      <c r="I2420">
        <f>8812.772</f>
        <v>8812.7720000000008</v>
      </c>
      <c r="J2420">
        <f>2438.86</f>
        <v>2438.86</v>
      </c>
      <c r="K2420">
        <f>7027.32</f>
        <v>7027.32</v>
      </c>
      <c r="L2420">
        <f>1532.25</f>
        <v>1532.25</v>
      </c>
      <c r="M2420">
        <f>6049.92</f>
        <v>6049.92</v>
      </c>
      <c r="N2420">
        <f>247.615</f>
        <v>247.61500000000001</v>
      </c>
      <c r="O2420">
        <f>2177.39</f>
        <v>2177.39</v>
      </c>
      <c r="P2420" t="e">
        <f>NA()</f>
        <v>#N/A</v>
      </c>
      <c r="Q2420">
        <f>1547.59</f>
        <v>1547.59</v>
      </c>
      <c r="R2420">
        <f>3363.72</f>
        <v>3363.72</v>
      </c>
      <c r="S2420" t="e">
        <f>NA()</f>
        <v>#N/A</v>
      </c>
      <c r="T2420" t="e">
        <f>NA()</f>
        <v>#N/A</v>
      </c>
      <c r="U2420" t="e">
        <f>NA()</f>
        <v>#N/A</v>
      </c>
      <c r="V2420" t="e">
        <f>NA()</f>
        <v>#N/A</v>
      </c>
    </row>
    <row r="2421" spans="1:22" x14ac:dyDescent="0.2">
      <c r="A2421" s="1">
        <v>41718</v>
      </c>
      <c r="B2421">
        <f>2751.64</f>
        <v>2751.64</v>
      </c>
      <c r="C2421">
        <f>8293.25</f>
        <v>8293.25</v>
      </c>
      <c r="D2421">
        <f>4814.55</f>
        <v>4814.55</v>
      </c>
      <c r="E2421">
        <f>1841.779</f>
        <v>1841.779</v>
      </c>
      <c r="F2421">
        <f>1857.58</f>
        <v>1857.58</v>
      </c>
      <c r="G2421">
        <f>8078.579</f>
        <v>8078.5789999999997</v>
      </c>
      <c r="H2421">
        <f>2192.37</f>
        <v>2192.37</v>
      </c>
      <c r="I2421">
        <f>8798.892</f>
        <v>8798.8919999999998</v>
      </c>
      <c r="J2421">
        <f>2438.38</f>
        <v>2438.38</v>
      </c>
      <c r="K2421">
        <f>7048.29</f>
        <v>7048.29</v>
      </c>
      <c r="L2421">
        <f>1527.16</f>
        <v>1527.16</v>
      </c>
      <c r="M2421">
        <f>6052.58</f>
        <v>6052.58</v>
      </c>
      <c r="N2421">
        <f>247.16</f>
        <v>247.16</v>
      </c>
      <c r="O2421">
        <f>2174.74</f>
        <v>2174.7399999999998</v>
      </c>
      <c r="P2421">
        <f>135.48</f>
        <v>135.47999999999999</v>
      </c>
      <c r="Q2421">
        <f>1549.23</f>
        <v>1549.23</v>
      </c>
      <c r="R2421">
        <f>3373.6</f>
        <v>3373.6</v>
      </c>
      <c r="S2421">
        <f>1537.23</f>
        <v>1537.23</v>
      </c>
      <c r="T2421">
        <f>2575.537</f>
        <v>2575.5369999999998</v>
      </c>
      <c r="U2421">
        <f>46508.27</f>
        <v>46508.27</v>
      </c>
      <c r="V2421">
        <f>296</f>
        <v>296</v>
      </c>
    </row>
    <row r="2422" spans="1:22" x14ac:dyDescent="0.2">
      <c r="A2422" s="1">
        <v>41717</v>
      </c>
      <c r="B2422">
        <f>2769.53</f>
        <v>2769.53</v>
      </c>
      <c r="C2422">
        <f>8399.31</f>
        <v>8399.31</v>
      </c>
      <c r="D2422">
        <f>4837.13</f>
        <v>4837.13</v>
      </c>
      <c r="E2422">
        <f>1860.993</f>
        <v>1860.9929999999999</v>
      </c>
      <c r="F2422">
        <f>1871.09</f>
        <v>1871.09</v>
      </c>
      <c r="G2422">
        <f>8173.702</f>
        <v>8173.7020000000002</v>
      </c>
      <c r="H2422">
        <f>2235.62</f>
        <v>2235.62</v>
      </c>
      <c r="I2422">
        <f>8861.695</f>
        <v>8861.6949999999997</v>
      </c>
      <c r="J2422">
        <f>2424.17</f>
        <v>2424.17</v>
      </c>
      <c r="K2422">
        <f>7007.93</f>
        <v>7007.93</v>
      </c>
      <c r="L2422">
        <f>1533.84</f>
        <v>1533.84</v>
      </c>
      <c r="M2422">
        <f>6065.88</f>
        <v>6065.88</v>
      </c>
      <c r="N2422">
        <f>247.079</f>
        <v>247.07900000000001</v>
      </c>
      <c r="O2422">
        <f>2173.04</f>
        <v>2173.04</v>
      </c>
      <c r="P2422">
        <f>137.48</f>
        <v>137.47999999999999</v>
      </c>
      <c r="Q2422">
        <f>1544.35</f>
        <v>1544.35</v>
      </c>
      <c r="R2422">
        <f>3353.29</f>
        <v>3353.29</v>
      </c>
      <c r="S2422">
        <f>1561.86</f>
        <v>1561.86</v>
      </c>
      <c r="T2422">
        <f>2574.431</f>
        <v>2574.431</v>
      </c>
      <c r="U2422">
        <f>46666.54</f>
        <v>46666.54</v>
      </c>
      <c r="V2422">
        <f>298.87</f>
        <v>298.87</v>
      </c>
    </row>
    <row r="2423" spans="1:22" x14ac:dyDescent="0.2">
      <c r="A2423" s="1">
        <v>41716</v>
      </c>
      <c r="B2423">
        <f>2785.96</f>
        <v>2785.96</v>
      </c>
      <c r="C2423">
        <f>8406.75</f>
        <v>8406.75</v>
      </c>
      <c r="D2423">
        <f>4859.15</f>
        <v>4859.1499999999996</v>
      </c>
      <c r="E2423">
        <f>1864.655</f>
        <v>1864.655</v>
      </c>
      <c r="F2423">
        <f>1882.47</f>
        <v>1882.47</v>
      </c>
      <c r="G2423">
        <f>8183.57</f>
        <v>8183.57</v>
      </c>
      <c r="H2423">
        <f>2238.28</f>
        <v>2238.2800000000002</v>
      </c>
      <c r="I2423">
        <f>8870.058</f>
        <v>8870.0580000000009</v>
      </c>
      <c r="J2423">
        <f>2441.04</f>
        <v>2441.04</v>
      </c>
      <c r="K2423">
        <f>7051.97</f>
        <v>7051.97</v>
      </c>
      <c r="L2423">
        <f>1539.73</f>
        <v>1539.73</v>
      </c>
      <c r="M2423">
        <f>6092.77</f>
        <v>6092.77</v>
      </c>
      <c r="N2423">
        <f>246.74</f>
        <v>246.74</v>
      </c>
      <c r="O2423">
        <f>2175.16</f>
        <v>2175.16</v>
      </c>
      <c r="P2423">
        <f>137.22</f>
        <v>137.22</v>
      </c>
      <c r="Q2423">
        <f>1558.36</f>
        <v>1558.36</v>
      </c>
      <c r="R2423">
        <f>3373.98</f>
        <v>3373.98</v>
      </c>
      <c r="S2423">
        <f>1564.02</f>
        <v>1564.02</v>
      </c>
      <c r="T2423">
        <f>2580.161</f>
        <v>2580.1610000000001</v>
      </c>
      <c r="U2423">
        <f>47059.19</f>
        <v>47059.19</v>
      </c>
      <c r="V2423">
        <f>300.34</f>
        <v>300.33999999999997</v>
      </c>
    </row>
    <row r="2424" spans="1:22" x14ac:dyDescent="0.2">
      <c r="A2424" s="1">
        <v>41715</v>
      </c>
      <c r="B2424">
        <f>2770.21</f>
        <v>2770.21</v>
      </c>
      <c r="C2424">
        <f>8337.81</f>
        <v>8337.81</v>
      </c>
      <c r="D2424">
        <f>4831.98</f>
        <v>4831.9799999999996</v>
      </c>
      <c r="E2424">
        <f>1846.474</f>
        <v>1846.4739999999999</v>
      </c>
      <c r="F2424">
        <f>1875.8</f>
        <v>1875.8</v>
      </c>
      <c r="G2424">
        <f>8174.542</f>
        <v>8174.5420000000004</v>
      </c>
      <c r="H2424">
        <f>2208.65</f>
        <v>2208.65</v>
      </c>
      <c r="I2424">
        <f>8803.942</f>
        <v>8803.9419999999991</v>
      </c>
      <c r="J2424">
        <f>2425.06</f>
        <v>2425.06</v>
      </c>
      <c r="K2424">
        <f>7000.48</f>
        <v>7000.48</v>
      </c>
      <c r="L2424">
        <f>1531.06</f>
        <v>1531.06</v>
      </c>
      <c r="M2424">
        <f>6050.38</f>
        <v>6050.38</v>
      </c>
      <c r="N2424">
        <f>246.092</f>
        <v>246.09200000000001</v>
      </c>
      <c r="O2424">
        <f>2160.9</f>
        <v>2160.9</v>
      </c>
      <c r="P2424">
        <f>135.36</f>
        <v>135.36000000000001</v>
      </c>
      <c r="Q2424">
        <f>1552.43</f>
        <v>1552.43</v>
      </c>
      <c r="R2424">
        <f>3349.71</f>
        <v>3349.71</v>
      </c>
      <c r="S2424">
        <f>1549.25</f>
        <v>1549.25</v>
      </c>
      <c r="T2424">
        <f>2566.114</f>
        <v>2566.114</v>
      </c>
      <c r="U2424">
        <f>46816.65</f>
        <v>46816.65</v>
      </c>
      <c r="V2424">
        <f>296.59</f>
        <v>296.58999999999997</v>
      </c>
    </row>
    <row r="2425" spans="1:22" x14ac:dyDescent="0.2">
      <c r="A2425" s="1">
        <v>41712</v>
      </c>
      <c r="B2425">
        <f>2746.63</f>
        <v>2746.63</v>
      </c>
      <c r="C2425">
        <f>8268.11</f>
        <v>8268.11</v>
      </c>
      <c r="D2425">
        <f>4802.22</f>
        <v>4802.22</v>
      </c>
      <c r="E2425">
        <f>1835.535</f>
        <v>1835.5350000000001</v>
      </c>
      <c r="F2425">
        <f>1858.79</f>
        <v>1858.79</v>
      </c>
      <c r="G2425">
        <f>8116.568</f>
        <v>8116.5680000000002</v>
      </c>
      <c r="H2425">
        <f>2238.22</f>
        <v>2238.2199999999998</v>
      </c>
      <c r="I2425">
        <f>8694.942</f>
        <v>8694.9419999999991</v>
      </c>
      <c r="J2425">
        <f>2404.76</f>
        <v>2404.7600000000002</v>
      </c>
      <c r="K2425">
        <f>6935.23</f>
        <v>6935.23</v>
      </c>
      <c r="L2425">
        <f>1519.52</f>
        <v>1519.52</v>
      </c>
      <c r="M2425">
        <f>6003.23</f>
        <v>6003.23</v>
      </c>
      <c r="N2425">
        <f>244.232</f>
        <v>244.232</v>
      </c>
      <c r="O2425">
        <f>2138.33</f>
        <v>2138.33</v>
      </c>
      <c r="P2425">
        <f>136.87</f>
        <v>136.87</v>
      </c>
      <c r="Q2425">
        <f>1537.9</f>
        <v>1537.9</v>
      </c>
      <c r="R2425">
        <f>3317.81</f>
        <v>3317.81</v>
      </c>
      <c r="S2425">
        <f>1562.34</f>
        <v>1562.34</v>
      </c>
      <c r="T2425">
        <f>2551.511</f>
        <v>2551.511</v>
      </c>
      <c r="U2425">
        <f>46412.4</f>
        <v>46412.4</v>
      </c>
      <c r="V2425">
        <f>292.47</f>
        <v>292.47000000000003</v>
      </c>
    </row>
    <row r="2426" spans="1:22" x14ac:dyDescent="0.2">
      <c r="A2426" s="1">
        <v>41711</v>
      </c>
      <c r="B2426">
        <f>2768.51</f>
        <v>2768.51</v>
      </c>
      <c r="C2426">
        <f>8287.68</f>
        <v>8287.68</v>
      </c>
      <c r="D2426">
        <f>4821.26</f>
        <v>4821.26</v>
      </c>
      <c r="E2426">
        <f>1846.231</f>
        <v>1846.231</v>
      </c>
      <c r="F2426">
        <f>1874.53</f>
        <v>1874.53</v>
      </c>
      <c r="G2426">
        <f>8171.652</f>
        <v>8171.652</v>
      </c>
      <c r="H2426">
        <f>2297.46</f>
        <v>2297.46</v>
      </c>
      <c r="I2426">
        <f>8758.657</f>
        <v>8758.6569999999992</v>
      </c>
      <c r="J2426">
        <f>2406.78</f>
        <v>2406.7800000000002</v>
      </c>
      <c r="K2426">
        <f>6952.3</f>
        <v>6952.3</v>
      </c>
      <c r="L2426">
        <f>1525.11</f>
        <v>1525.11</v>
      </c>
      <c r="M2426">
        <f>6041.7</f>
        <v>6041.7</v>
      </c>
      <c r="N2426">
        <f>245.548</f>
        <v>245.548</v>
      </c>
      <c r="O2426">
        <f>2153.96</f>
        <v>2153.96</v>
      </c>
      <c r="P2426">
        <f>141.17</f>
        <v>141.16999999999999</v>
      </c>
      <c r="Q2426">
        <f>1538.84</f>
        <v>1538.84</v>
      </c>
      <c r="R2426">
        <f>3327.11</f>
        <v>3327.11</v>
      </c>
      <c r="S2426">
        <f>1614.34</f>
        <v>1614.34</v>
      </c>
      <c r="T2426">
        <f>2559.992</f>
        <v>2559.9920000000002</v>
      </c>
      <c r="U2426">
        <f>46825.52</f>
        <v>46825.52</v>
      </c>
      <c r="V2426">
        <f>293.99</f>
        <v>293.99</v>
      </c>
    </row>
    <row r="2427" spans="1:22" x14ac:dyDescent="0.2">
      <c r="A2427" s="1">
        <v>41710</v>
      </c>
      <c r="B2427">
        <f>2797.28</f>
        <v>2797.28</v>
      </c>
      <c r="C2427">
        <f>8284.76</f>
        <v>8284.76</v>
      </c>
      <c r="D2427">
        <f>4870.64</f>
        <v>4870.6400000000003</v>
      </c>
      <c r="E2427">
        <f>1848.988</f>
        <v>1848.9880000000001</v>
      </c>
      <c r="F2427">
        <f>1883.68</f>
        <v>1883.68</v>
      </c>
      <c r="G2427">
        <f>8218.432</f>
        <v>8218.4320000000007</v>
      </c>
      <c r="H2427">
        <f>2293.72</f>
        <v>2293.7199999999998</v>
      </c>
      <c r="I2427">
        <f>8852.302</f>
        <v>8852.3019999999997</v>
      </c>
      <c r="J2427">
        <f>2427.61</f>
        <v>2427.61</v>
      </c>
      <c r="K2427">
        <f>7034</f>
        <v>7034</v>
      </c>
      <c r="L2427">
        <f>1535.17</f>
        <v>1535.17</v>
      </c>
      <c r="M2427">
        <f>6091.96</f>
        <v>6091.96</v>
      </c>
      <c r="N2427">
        <f>246.932</f>
        <v>246.93199999999999</v>
      </c>
      <c r="O2427">
        <f>2176.87</f>
        <v>2176.87</v>
      </c>
      <c r="P2427">
        <f>141.21</f>
        <v>141.21</v>
      </c>
      <c r="Q2427">
        <f>1555.11</f>
        <v>1555.11</v>
      </c>
      <c r="R2427">
        <f>3366.07</f>
        <v>3366.07</v>
      </c>
      <c r="S2427">
        <f>1619.01</f>
        <v>1619.01</v>
      </c>
      <c r="T2427">
        <f>2558.064</f>
        <v>2558.0639999999999</v>
      </c>
      <c r="U2427">
        <f>47188.84</f>
        <v>47188.84</v>
      </c>
      <c r="V2427">
        <f>292.08</f>
        <v>292.08</v>
      </c>
    </row>
    <row r="2428" spans="1:22" x14ac:dyDescent="0.2">
      <c r="A2428" s="1">
        <v>41709</v>
      </c>
      <c r="B2428">
        <f>2822.39</f>
        <v>2822.39</v>
      </c>
      <c r="C2428">
        <f>8380.25</f>
        <v>8380.25</v>
      </c>
      <c r="D2428">
        <f>4903.75</f>
        <v>4903.75</v>
      </c>
      <c r="E2428">
        <f>1870.948</f>
        <v>1870.9480000000001</v>
      </c>
      <c r="F2428">
        <f>1897.73</f>
        <v>1897.73</v>
      </c>
      <c r="G2428">
        <f>8287.103</f>
        <v>8287.1029999999992</v>
      </c>
      <c r="H2428">
        <f>2331.99</f>
        <v>2331.9899999999998</v>
      </c>
      <c r="I2428">
        <f>8910.713</f>
        <v>8910.7129999999997</v>
      </c>
      <c r="J2428">
        <f>2422.79</f>
        <v>2422.79</v>
      </c>
      <c r="K2428">
        <f>7029</f>
        <v>7029</v>
      </c>
      <c r="L2428">
        <f>1540.15</f>
        <v>1540.15</v>
      </c>
      <c r="M2428">
        <f>6113.45</f>
        <v>6113.45</v>
      </c>
      <c r="N2428">
        <f>250.298</f>
        <v>250.298</v>
      </c>
      <c r="O2428">
        <f>2198.11</f>
        <v>2198.11</v>
      </c>
      <c r="P2428">
        <f>144.23</f>
        <v>144.22999999999999</v>
      </c>
      <c r="Q2428">
        <f>1554.96</f>
        <v>1554.96</v>
      </c>
      <c r="R2428">
        <f>3364.17</f>
        <v>3364.17</v>
      </c>
      <c r="S2428">
        <f>1654.24</f>
        <v>1654.24</v>
      </c>
      <c r="T2428">
        <f>2570.247</f>
        <v>2570.2469999999998</v>
      </c>
      <c r="U2428">
        <f>47612.81</f>
        <v>47612.81</v>
      </c>
      <c r="V2428">
        <f>293.09</f>
        <v>293.08999999999997</v>
      </c>
    </row>
    <row r="2429" spans="1:22" x14ac:dyDescent="0.2">
      <c r="A2429" s="1">
        <v>41708</v>
      </c>
      <c r="B2429">
        <f>2822.28</f>
        <v>2822.28</v>
      </c>
      <c r="C2429">
        <f>8400.44</f>
        <v>8400.44</v>
      </c>
      <c r="D2429">
        <f>4906.63</f>
        <v>4906.63</v>
      </c>
      <c r="E2429">
        <f>1869.168</f>
        <v>1869.1679999999999</v>
      </c>
      <c r="F2429">
        <f>1897.39</f>
        <v>1897.39</v>
      </c>
      <c r="G2429">
        <f>8296.489</f>
        <v>8296.4889999999996</v>
      </c>
      <c r="H2429">
        <f>2320.28</f>
        <v>2320.2800000000002</v>
      </c>
      <c r="I2429">
        <f>8917.415</f>
        <v>8917.4150000000009</v>
      </c>
      <c r="J2429">
        <f>2428.33</f>
        <v>2428.33</v>
      </c>
      <c r="K2429">
        <f>7065.09</f>
        <v>7065.09</v>
      </c>
      <c r="L2429">
        <f>1542.21</f>
        <v>1542.21</v>
      </c>
      <c r="M2429">
        <f>6129.11</f>
        <v>6129.11</v>
      </c>
      <c r="N2429">
        <f>250.507</f>
        <v>250.50700000000001</v>
      </c>
      <c r="O2429">
        <f>2197.85</f>
        <v>2197.85</v>
      </c>
      <c r="P2429">
        <f>143.27</f>
        <v>143.27000000000001</v>
      </c>
      <c r="Q2429">
        <f>1559.32</f>
        <v>1559.32</v>
      </c>
      <c r="R2429">
        <f>3381.22</f>
        <v>3381.22</v>
      </c>
      <c r="S2429">
        <f>1646.73</f>
        <v>1646.73</v>
      </c>
      <c r="T2429">
        <f>2564.395</f>
        <v>2564.395</v>
      </c>
      <c r="U2429">
        <f>47322.46</f>
        <v>47322.46</v>
      </c>
      <c r="V2429">
        <f>295.12</f>
        <v>295.12</v>
      </c>
    </row>
    <row r="2430" spans="1:22" x14ac:dyDescent="0.2">
      <c r="A2430" s="1">
        <v>41705</v>
      </c>
      <c r="B2430">
        <f>2827.97</f>
        <v>2827.97</v>
      </c>
      <c r="C2430">
        <f>8511.47</f>
        <v>8511.4699999999993</v>
      </c>
      <c r="D2430">
        <f>4923.66</f>
        <v>4923.66</v>
      </c>
      <c r="E2430">
        <f>1891.751</f>
        <v>1891.751</v>
      </c>
      <c r="F2430">
        <f>1908.59</f>
        <v>1908.59</v>
      </c>
      <c r="G2430">
        <f>8370.606</f>
        <v>8370.6059999999998</v>
      </c>
      <c r="H2430">
        <f>2336.4</f>
        <v>2336.4</v>
      </c>
      <c r="I2430">
        <f>8926.479</f>
        <v>8926.4789999999994</v>
      </c>
      <c r="J2430">
        <f>2428.83</f>
        <v>2428.83</v>
      </c>
      <c r="K2430">
        <f>7069.88</f>
        <v>7069.88</v>
      </c>
      <c r="L2430">
        <f>1546.51</f>
        <v>1546.51</v>
      </c>
      <c r="M2430">
        <f>6145.86</f>
        <v>6145.86</v>
      </c>
      <c r="N2430">
        <f>252.192</f>
        <v>252.19200000000001</v>
      </c>
      <c r="O2430">
        <f>2207.36</f>
        <v>2207.36</v>
      </c>
      <c r="P2430">
        <f>143.94</f>
        <v>143.94</v>
      </c>
      <c r="Q2430">
        <f>1559.7</f>
        <v>1559.7</v>
      </c>
      <c r="R2430">
        <f>3382.57</f>
        <v>3382.57</v>
      </c>
      <c r="S2430">
        <f>1659.29</f>
        <v>1659.29</v>
      </c>
      <c r="T2430">
        <f>2576.197</f>
        <v>2576.1970000000001</v>
      </c>
      <c r="U2430">
        <f>47786.77</f>
        <v>47786.77</v>
      </c>
      <c r="V2430">
        <f>297.96</f>
        <v>297.95999999999998</v>
      </c>
    </row>
    <row r="2431" spans="1:22" x14ac:dyDescent="0.2">
      <c r="A2431" s="1">
        <v>41704</v>
      </c>
      <c r="B2431">
        <f>2847.42</f>
        <v>2847.42</v>
      </c>
      <c r="C2431">
        <f>8536.59</f>
        <v>8536.59</v>
      </c>
      <c r="D2431">
        <f>4979.27</f>
        <v>4979.2700000000004</v>
      </c>
      <c r="E2431">
        <f>1898.606</f>
        <v>1898.606</v>
      </c>
      <c r="F2431">
        <f>1922.42</f>
        <v>1922.42</v>
      </c>
      <c r="G2431">
        <f>8462.117</f>
        <v>8462.1170000000002</v>
      </c>
      <c r="H2431">
        <f>2323.19</f>
        <v>2323.19</v>
      </c>
      <c r="I2431">
        <f>9026.719</f>
        <v>9026.7189999999991</v>
      </c>
      <c r="J2431">
        <f>2425.32</f>
        <v>2425.3200000000002</v>
      </c>
      <c r="K2431">
        <f>7067.97</f>
        <v>7067.97</v>
      </c>
      <c r="L2431">
        <f>1555.42</f>
        <v>1555.42</v>
      </c>
      <c r="M2431">
        <f>6163.46</f>
        <v>6163.46</v>
      </c>
      <c r="N2431">
        <f>254.124</f>
        <v>254.124</v>
      </c>
      <c r="O2431">
        <f>2236.33</f>
        <v>2236.33</v>
      </c>
      <c r="P2431">
        <f>142.84</f>
        <v>142.84</v>
      </c>
      <c r="Q2431">
        <f>1556.73</f>
        <v>1556.73</v>
      </c>
      <c r="R2431">
        <f>3380.49</f>
        <v>3380.49</v>
      </c>
      <c r="S2431">
        <f>1647.63</f>
        <v>1647.63</v>
      </c>
      <c r="T2431">
        <f>2573.333</f>
        <v>2573.3330000000001</v>
      </c>
      <c r="U2431">
        <f>47819.53</f>
        <v>47819.53</v>
      </c>
      <c r="V2431">
        <f>296.91</f>
        <v>296.91000000000003</v>
      </c>
    </row>
    <row r="2432" spans="1:22" x14ac:dyDescent="0.2">
      <c r="A2432" s="1">
        <v>41703</v>
      </c>
      <c r="B2432">
        <f>2837.63</f>
        <v>2837.63</v>
      </c>
      <c r="C2432">
        <f>8463.99</f>
        <v>8463.99</v>
      </c>
      <c r="D2432">
        <f>4969.69</f>
        <v>4969.6899999999996</v>
      </c>
      <c r="E2432">
        <f>1876.727</f>
        <v>1876.7270000000001</v>
      </c>
      <c r="F2432">
        <f>1929.09</f>
        <v>1929.09</v>
      </c>
      <c r="G2432">
        <f>8452.172</f>
        <v>8452.1720000000005</v>
      </c>
      <c r="H2432">
        <f>2321.22</f>
        <v>2321.2199999999998</v>
      </c>
      <c r="I2432">
        <f>8921.634</f>
        <v>8921.634</v>
      </c>
      <c r="J2432">
        <f>2424.54</f>
        <v>2424.54</v>
      </c>
      <c r="K2432">
        <f>7055.96</f>
        <v>7055.96</v>
      </c>
      <c r="L2432">
        <f>1548.91</f>
        <v>1548.91</v>
      </c>
      <c r="M2432">
        <f>6135.86</f>
        <v>6135.86</v>
      </c>
      <c r="N2432">
        <f>254.441</f>
        <v>254.441</v>
      </c>
      <c r="O2432">
        <f>2233.47</f>
        <v>2233.4699999999998</v>
      </c>
      <c r="P2432">
        <f>141.98</f>
        <v>141.97999999999999</v>
      </c>
      <c r="Q2432">
        <f>1554.2</f>
        <v>1554.2</v>
      </c>
      <c r="R2432">
        <f>3374.1</f>
        <v>3374.1</v>
      </c>
      <c r="S2432">
        <f>1626.89</f>
        <v>1626.89</v>
      </c>
      <c r="T2432">
        <f>2571.976</f>
        <v>2571.9760000000001</v>
      </c>
      <c r="U2432">
        <f>47514.8</f>
        <v>47514.8</v>
      </c>
      <c r="V2432">
        <f>295.99</f>
        <v>295.99</v>
      </c>
    </row>
    <row r="2433" spans="1:22" x14ac:dyDescent="0.2">
      <c r="A2433" s="1">
        <v>41702</v>
      </c>
      <c r="B2433">
        <f>2844.86</f>
        <v>2844.86</v>
      </c>
      <c r="C2433">
        <f>8468.89</f>
        <v>8468.89</v>
      </c>
      <c r="D2433">
        <f>4999.49</f>
        <v>4999.49</v>
      </c>
      <c r="E2433">
        <f>1870.792</f>
        <v>1870.7919999999999</v>
      </c>
      <c r="F2433">
        <f>1924.79</f>
        <v>1924.79</v>
      </c>
      <c r="G2433">
        <f>8473.758</f>
        <v>8473.7579999999998</v>
      </c>
      <c r="H2433">
        <f>2305.15</f>
        <v>2305.15</v>
      </c>
      <c r="I2433">
        <f>8914.296</f>
        <v>8914.2960000000003</v>
      </c>
      <c r="J2433">
        <f>2434.64</f>
        <v>2434.64</v>
      </c>
      <c r="K2433">
        <f>7056.14</f>
        <v>7056.14</v>
      </c>
      <c r="L2433">
        <f>1548.76</f>
        <v>1548.76</v>
      </c>
      <c r="M2433">
        <f>6129.98</f>
        <v>6129.98</v>
      </c>
      <c r="N2433">
        <f>254.267</f>
        <v>254.267</v>
      </c>
      <c r="O2433">
        <f>2233.42</f>
        <v>2233.42</v>
      </c>
      <c r="P2433">
        <f>140.84</f>
        <v>140.84</v>
      </c>
      <c r="Q2433">
        <f>1557.3</f>
        <v>1557.3</v>
      </c>
      <c r="R2433">
        <f>3373.64</f>
        <v>3373.64</v>
      </c>
      <c r="S2433">
        <f>1615.1</f>
        <v>1615.1</v>
      </c>
      <c r="T2433">
        <f>2556.898</f>
        <v>2556.8980000000001</v>
      </c>
      <c r="U2433">
        <f>47602.69</f>
        <v>47602.69</v>
      </c>
      <c r="V2433">
        <f>294.23</f>
        <v>294.23</v>
      </c>
    </row>
    <row r="2434" spans="1:22" x14ac:dyDescent="0.2">
      <c r="A2434" s="1">
        <v>41701</v>
      </c>
      <c r="B2434">
        <f>2802.34</f>
        <v>2802.34</v>
      </c>
      <c r="C2434">
        <f>8370.44</f>
        <v>8370.44</v>
      </c>
      <c r="D2434">
        <f>4914.92</f>
        <v>4914.92</v>
      </c>
      <c r="E2434">
        <f>1859.956</f>
        <v>1859.9559999999999</v>
      </c>
      <c r="F2434">
        <f>1892.97</f>
        <v>1892.97</v>
      </c>
      <c r="G2434">
        <f>8357.6</f>
        <v>8357.6</v>
      </c>
      <c r="H2434">
        <f>2305.59</f>
        <v>2305.59</v>
      </c>
      <c r="I2434">
        <f>8739.04</f>
        <v>8739.0400000000009</v>
      </c>
      <c r="J2434">
        <f>2402.14</f>
        <v>2402.14</v>
      </c>
      <c r="K2434">
        <f>6950.83</f>
        <v>6950.83</v>
      </c>
      <c r="L2434">
        <f>1528.43</f>
        <v>1528.43</v>
      </c>
      <c r="M2434">
        <f>6047.95</f>
        <v>6047.95</v>
      </c>
      <c r="N2434">
        <f>249.944</f>
        <v>249.94399999999999</v>
      </c>
      <c r="O2434">
        <f>2188.13</f>
        <v>2188.13</v>
      </c>
      <c r="P2434">
        <f>139.86</f>
        <v>139.86000000000001</v>
      </c>
      <c r="Q2434">
        <f>1536.67</f>
        <v>1536.67</v>
      </c>
      <c r="R2434">
        <f>3322.85</f>
        <v>3322.85</v>
      </c>
      <c r="S2434">
        <f>1605.24</f>
        <v>1605.24</v>
      </c>
      <c r="T2434">
        <f>2533.187</f>
        <v>2533.1869999999999</v>
      </c>
      <c r="U2434">
        <f>47138.32</f>
        <v>47138.32</v>
      </c>
      <c r="V2434">
        <f>292.43</f>
        <v>292.43</v>
      </c>
    </row>
    <row r="2435" spans="1:22" x14ac:dyDescent="0.2">
      <c r="A2435" s="1">
        <v>41698</v>
      </c>
      <c r="B2435">
        <f>2855.52</f>
        <v>2855.52</v>
      </c>
      <c r="C2435">
        <f>8557.36</f>
        <v>8557.36</v>
      </c>
      <c r="D2435">
        <f>4989.17</f>
        <v>4989.17</v>
      </c>
      <c r="E2435">
        <f>1890.624</f>
        <v>1890.624</v>
      </c>
      <c r="F2435">
        <f>1924.06</f>
        <v>1924.06</v>
      </c>
      <c r="G2435">
        <f>8503.006</f>
        <v>8503.0059999999994</v>
      </c>
      <c r="H2435">
        <f>2325.2</f>
        <v>2325.1999999999998</v>
      </c>
      <c r="I2435">
        <f>8998.826</f>
        <v>8998.8259999999991</v>
      </c>
      <c r="J2435">
        <f>2417.52</f>
        <v>2417.52</v>
      </c>
      <c r="K2435">
        <f>7001.93</f>
        <v>7001.93</v>
      </c>
      <c r="L2435">
        <f>1548.8</f>
        <v>1548.8</v>
      </c>
      <c r="M2435">
        <f>6120.25</f>
        <v>6120.25</v>
      </c>
      <c r="N2435">
        <f>253.763</f>
        <v>253.76300000000001</v>
      </c>
      <c r="O2435">
        <f>2238.41</f>
        <v>2238.41</v>
      </c>
      <c r="P2435">
        <f>141.67</f>
        <v>141.66999999999999</v>
      </c>
      <c r="Q2435">
        <f>1548.64</f>
        <v>1548.64</v>
      </c>
      <c r="R2435">
        <f>3347.38</f>
        <v>3347.38</v>
      </c>
      <c r="S2435">
        <f>1625.22</f>
        <v>1625.22</v>
      </c>
      <c r="T2435">
        <f>2544.237</f>
        <v>2544.2370000000001</v>
      </c>
      <c r="U2435">
        <f>47328.92</f>
        <v>47328.92</v>
      </c>
      <c r="V2435">
        <f>294</f>
        <v>294</v>
      </c>
    </row>
    <row r="2436" spans="1:22" x14ac:dyDescent="0.2">
      <c r="A2436" s="1">
        <v>41697</v>
      </c>
      <c r="B2436">
        <f>2840.71</f>
        <v>2840.71</v>
      </c>
      <c r="C2436">
        <f>8547.52</f>
        <v>8547.52</v>
      </c>
      <c r="D2436">
        <f>4989.6</f>
        <v>4989.6000000000004</v>
      </c>
      <c r="E2436">
        <f>1884.344</f>
        <v>1884.3440000000001</v>
      </c>
      <c r="F2436">
        <f>1917.29</f>
        <v>1917.29</v>
      </c>
      <c r="G2436">
        <f>8457.021</f>
        <v>8457.0210000000006</v>
      </c>
      <c r="H2436">
        <f>2322.87</f>
        <v>2322.87</v>
      </c>
      <c r="I2436">
        <f>8875.333</f>
        <v>8875.3330000000005</v>
      </c>
      <c r="J2436">
        <f>2408.53</f>
        <v>2408.5300000000002</v>
      </c>
      <c r="K2436">
        <f>6984.99</f>
        <v>6984.99</v>
      </c>
      <c r="L2436">
        <f>1539.9</f>
        <v>1539.9</v>
      </c>
      <c r="M2436">
        <f>6094.49</f>
        <v>6094.49</v>
      </c>
      <c r="N2436">
        <f>253.276</f>
        <v>253.27600000000001</v>
      </c>
      <c r="O2436">
        <f>2233.02</f>
        <v>2233.02</v>
      </c>
      <c r="P2436">
        <f>142.17</f>
        <v>142.16999999999999</v>
      </c>
      <c r="Q2436">
        <f>1540.81</f>
        <v>1540.81</v>
      </c>
      <c r="R2436">
        <f>3338.05</f>
        <v>3338.05</v>
      </c>
      <c r="S2436">
        <f>1632.86</f>
        <v>1632.86</v>
      </c>
      <c r="T2436">
        <f>2531.119</f>
        <v>2531.1190000000001</v>
      </c>
      <c r="U2436">
        <f>47049.79</f>
        <v>47049.79</v>
      </c>
      <c r="V2436">
        <f>290.97</f>
        <v>290.97000000000003</v>
      </c>
    </row>
    <row r="2437" spans="1:22" x14ac:dyDescent="0.2">
      <c r="A2437" s="1">
        <v>41696</v>
      </c>
      <c r="B2437">
        <f>2832.5</f>
        <v>2832.5</v>
      </c>
      <c r="C2437">
        <f>8481.03</f>
        <v>8481.0300000000007</v>
      </c>
      <c r="D2437">
        <f>4981.44</f>
        <v>4981.4399999999996</v>
      </c>
      <c r="E2437">
        <f>1870.65</f>
        <v>1870.65</v>
      </c>
      <c r="F2437">
        <f>1912.22</f>
        <v>1912.22</v>
      </c>
      <c r="G2437">
        <f>8426.305</f>
        <v>8426.3050000000003</v>
      </c>
      <c r="H2437">
        <f>2328.75</f>
        <v>2328.75</v>
      </c>
      <c r="I2437">
        <f>8889.886</f>
        <v>8889.8860000000004</v>
      </c>
      <c r="J2437">
        <f>2395.71</f>
        <v>2395.71</v>
      </c>
      <c r="K2437">
        <f>6948.95</f>
        <v>6948.95</v>
      </c>
      <c r="L2437">
        <f>1537.57</f>
        <v>1537.57</v>
      </c>
      <c r="M2437">
        <f>6079.66</f>
        <v>6079.66</v>
      </c>
      <c r="N2437">
        <f>252.846</f>
        <v>252.846</v>
      </c>
      <c r="O2437">
        <f>2236.52</f>
        <v>2236.52</v>
      </c>
      <c r="P2437">
        <f>142.87</f>
        <v>142.87</v>
      </c>
      <c r="Q2437">
        <f>1534.06</f>
        <v>1534.06</v>
      </c>
      <c r="R2437">
        <f>3321.15</f>
        <v>3321.15</v>
      </c>
      <c r="S2437">
        <f>1643.59</f>
        <v>1643.59</v>
      </c>
      <c r="T2437">
        <f>2522.623</f>
        <v>2522.623</v>
      </c>
      <c r="U2437">
        <f>47017.19</f>
        <v>47017.19</v>
      </c>
      <c r="V2437">
        <f>291.5</f>
        <v>291.5</v>
      </c>
    </row>
    <row r="2438" spans="1:22" x14ac:dyDescent="0.2">
      <c r="A2438" s="1">
        <v>41695</v>
      </c>
      <c r="B2438">
        <f>2845.08</f>
        <v>2845.08</v>
      </c>
      <c r="C2438">
        <f>8501</f>
        <v>8501</v>
      </c>
      <c r="D2438">
        <f>5002.72</f>
        <v>5002.72</v>
      </c>
      <c r="E2438">
        <f>1869.189</f>
        <v>1869.1890000000001</v>
      </c>
      <c r="F2438">
        <f>1924.98</f>
        <v>1924.98</v>
      </c>
      <c r="G2438">
        <f>8484.525</f>
        <v>8484.5249999999996</v>
      </c>
      <c r="H2438">
        <f>2340.74</f>
        <v>2340.7399999999998</v>
      </c>
      <c r="I2438">
        <f>8949.592</f>
        <v>8949.5920000000006</v>
      </c>
      <c r="J2438">
        <f>2395.72</f>
        <v>2395.7199999999998</v>
      </c>
      <c r="K2438">
        <f>6946.84</f>
        <v>6946.84</v>
      </c>
      <c r="L2438">
        <f>1542.36</f>
        <v>1542.36</v>
      </c>
      <c r="M2438">
        <f>6095.25</f>
        <v>6095.25</v>
      </c>
      <c r="N2438">
        <f>252.729</f>
        <v>252.72900000000001</v>
      </c>
      <c r="O2438">
        <f>2240.15</f>
        <v>2240.15</v>
      </c>
      <c r="P2438">
        <f>143.74</f>
        <v>143.74</v>
      </c>
      <c r="Q2438">
        <f>1528.99</f>
        <v>1528.99</v>
      </c>
      <c r="R2438">
        <f>3320.43</f>
        <v>3320.43</v>
      </c>
      <c r="S2438">
        <f>1654.28</f>
        <v>1654.28</v>
      </c>
      <c r="T2438">
        <f>2523.072</f>
        <v>2523.0720000000001</v>
      </c>
      <c r="U2438">
        <f>46956.75</f>
        <v>46956.75</v>
      </c>
      <c r="V2438">
        <f>292.15</f>
        <v>292.14999999999998</v>
      </c>
    </row>
    <row r="2439" spans="1:22" x14ac:dyDescent="0.2">
      <c r="A2439" s="1">
        <v>41694</v>
      </c>
      <c r="B2439">
        <f>2842.92</f>
        <v>2842.92</v>
      </c>
      <c r="C2439">
        <f>8539.38</f>
        <v>8539.3799999999992</v>
      </c>
      <c r="D2439">
        <f>5028.62</f>
        <v>5028.62</v>
      </c>
      <c r="E2439">
        <f>1874.752</f>
        <v>1874.752</v>
      </c>
      <c r="F2439">
        <f>1926.07</f>
        <v>1926.07</v>
      </c>
      <c r="G2439">
        <f>8503.341</f>
        <v>8503.3410000000003</v>
      </c>
      <c r="H2439">
        <f>2310.88</f>
        <v>2310.88</v>
      </c>
      <c r="I2439">
        <f>8931.022</f>
        <v>8931.0220000000008</v>
      </c>
      <c r="J2439">
        <f>2398.65</f>
        <v>2398.65</v>
      </c>
      <c r="K2439">
        <f>6955.83</f>
        <v>6955.83</v>
      </c>
      <c r="L2439">
        <f>1542.13</f>
        <v>1542.13</v>
      </c>
      <c r="M2439">
        <f>6091</f>
        <v>6091</v>
      </c>
      <c r="N2439">
        <f>252.359</f>
        <v>252.35900000000001</v>
      </c>
      <c r="O2439">
        <f>2239.7</f>
        <v>2239.6999999999998</v>
      </c>
      <c r="P2439">
        <f>142.26</f>
        <v>142.26</v>
      </c>
      <c r="Q2439">
        <f>1525.69</f>
        <v>1525.69</v>
      </c>
      <c r="R2439">
        <f>3324.84</f>
        <v>3324.84</v>
      </c>
      <c r="S2439">
        <f>1634.72</f>
        <v>1634.72</v>
      </c>
      <c r="T2439">
        <f>2532.499</f>
        <v>2532.4989999999998</v>
      </c>
      <c r="U2439">
        <f>47394</f>
        <v>47394</v>
      </c>
      <c r="V2439">
        <f>294.23</f>
        <v>294.23</v>
      </c>
    </row>
    <row r="2440" spans="1:22" x14ac:dyDescent="0.2">
      <c r="A2440" s="1">
        <v>41691</v>
      </c>
      <c r="B2440">
        <f>2830.78</f>
        <v>2830.78</v>
      </c>
      <c r="C2440">
        <f>8540.9</f>
        <v>8540.9</v>
      </c>
      <c r="D2440">
        <f>5008.26</f>
        <v>5008.26</v>
      </c>
      <c r="E2440">
        <f>1876.362</f>
        <v>1876.3620000000001</v>
      </c>
      <c r="F2440">
        <f>1920.37</f>
        <v>1920.37</v>
      </c>
      <c r="G2440">
        <f>8501.861</f>
        <v>8501.8610000000008</v>
      </c>
      <c r="H2440">
        <f>2304.41</f>
        <v>2304.41</v>
      </c>
      <c r="I2440">
        <f>8868.435</f>
        <v>8868.4349999999995</v>
      </c>
      <c r="J2440">
        <f>2388.99</f>
        <v>2388.9899999999998</v>
      </c>
      <c r="K2440">
        <f>6912.39</f>
        <v>6912.39</v>
      </c>
      <c r="L2440">
        <f>1535.47</f>
        <v>1535.47</v>
      </c>
      <c r="M2440">
        <f>6059.55</f>
        <v>6059.55</v>
      </c>
      <c r="N2440">
        <f>250.211</f>
        <v>250.21100000000001</v>
      </c>
      <c r="O2440">
        <f>2225.3</f>
        <v>2225.3000000000002</v>
      </c>
      <c r="P2440">
        <f>142.24</f>
        <v>142.24</v>
      </c>
      <c r="Q2440">
        <f>1521.31</f>
        <v>1521.31</v>
      </c>
      <c r="R2440">
        <f>3304.36</f>
        <v>3304.36</v>
      </c>
      <c r="S2440">
        <f>1639.06</f>
        <v>1639.06</v>
      </c>
      <c r="T2440">
        <f>2521.604</f>
        <v>2521.6039999999998</v>
      </c>
      <c r="U2440">
        <f>47452.24</f>
        <v>47452.24</v>
      </c>
      <c r="V2440">
        <f>291.69</f>
        <v>291.69</v>
      </c>
    </row>
    <row r="2441" spans="1:22" x14ac:dyDescent="0.2">
      <c r="A2441" s="1">
        <v>41690</v>
      </c>
      <c r="B2441">
        <f>2816.9</f>
        <v>2816.9</v>
      </c>
      <c r="C2441">
        <f>8506.39</f>
        <v>8506.39</v>
      </c>
      <c r="D2441">
        <f>4989.9</f>
        <v>4989.8999999999996</v>
      </c>
      <c r="E2441">
        <f>1859.352</f>
        <v>1859.3520000000001</v>
      </c>
      <c r="F2441">
        <f>1902.22</f>
        <v>1902.22</v>
      </c>
      <c r="G2441">
        <f>8456.555</f>
        <v>8456.5550000000003</v>
      </c>
      <c r="H2441">
        <f>2266.42</f>
        <v>2266.42</v>
      </c>
      <c r="I2441">
        <f>8810.194</f>
        <v>8810.1939999999995</v>
      </c>
      <c r="J2441">
        <f>2395.8</f>
        <v>2395.8000000000002</v>
      </c>
      <c r="K2441">
        <f>6923.96</f>
        <v>6923.96</v>
      </c>
      <c r="L2441">
        <f>1531.3</f>
        <v>1531.3</v>
      </c>
      <c r="M2441">
        <f>6045.04</f>
        <v>6045.04</v>
      </c>
      <c r="N2441">
        <f>250.139</f>
        <v>250.13900000000001</v>
      </c>
      <c r="O2441">
        <f>2217.76</f>
        <v>2217.7600000000002</v>
      </c>
      <c r="P2441">
        <f>139.18</f>
        <v>139.18</v>
      </c>
      <c r="Q2441">
        <f>1521.25</f>
        <v>1521.25</v>
      </c>
      <c r="R2441">
        <f>3310.27</f>
        <v>3310.27</v>
      </c>
      <c r="S2441">
        <f>1601.85</f>
        <v>1601.85</v>
      </c>
      <c r="T2441">
        <f>2526.937</f>
        <v>2526.9369999999999</v>
      </c>
      <c r="U2441">
        <f>47149.35</f>
        <v>47149.35</v>
      </c>
      <c r="V2441">
        <f>292.91</f>
        <v>292.91000000000003</v>
      </c>
    </row>
    <row r="2442" spans="1:22" x14ac:dyDescent="0.2">
      <c r="A2442" s="1">
        <v>41689</v>
      </c>
      <c r="B2442">
        <f>2818.44</f>
        <v>2818.44</v>
      </c>
      <c r="C2442">
        <f>8566.09</f>
        <v>8566.09</v>
      </c>
      <c r="D2442">
        <f>4977.97</f>
        <v>4977.97</v>
      </c>
      <c r="E2442">
        <f>1875.821</f>
        <v>1875.8209999999999</v>
      </c>
      <c r="F2442">
        <f>1907.14</f>
        <v>1907.14</v>
      </c>
      <c r="G2442">
        <f>8464.779</f>
        <v>8464.7790000000005</v>
      </c>
      <c r="H2442">
        <f>2308.47</f>
        <v>2308.4699999999998</v>
      </c>
      <c r="I2442">
        <f>8850.699</f>
        <v>8850.6990000000005</v>
      </c>
      <c r="J2442">
        <f>2382.06</f>
        <v>2382.06</v>
      </c>
      <c r="K2442">
        <f>6879.94</f>
        <v>6879.94</v>
      </c>
      <c r="L2442">
        <f>1529.96</f>
        <v>1529.96</v>
      </c>
      <c r="M2442">
        <f>6040.9</f>
        <v>6040.9</v>
      </c>
      <c r="N2442">
        <f>249.578</f>
        <v>249.578</v>
      </c>
      <c r="O2442">
        <f>2218.02</f>
        <v>2218.02</v>
      </c>
      <c r="P2442">
        <f>141.37</f>
        <v>141.37</v>
      </c>
      <c r="Q2442">
        <f>1512.04</f>
        <v>1512.04</v>
      </c>
      <c r="R2442">
        <f>3289.83</f>
        <v>3289.83</v>
      </c>
      <c r="S2442">
        <f>1633.97</f>
        <v>1633.97</v>
      </c>
      <c r="T2442">
        <f>2548.979</f>
        <v>2548.9789999999998</v>
      </c>
      <c r="U2442">
        <f>47438.31</f>
        <v>47438.31</v>
      </c>
      <c r="V2442">
        <f>294.27</f>
        <v>294.27</v>
      </c>
    </row>
    <row r="2443" spans="1:22" x14ac:dyDescent="0.2">
      <c r="A2443" s="1">
        <v>41688</v>
      </c>
      <c r="B2443">
        <f>2817.44</f>
        <v>2817.44</v>
      </c>
      <c r="C2443">
        <f>8561.21</f>
        <v>8561.2099999999991</v>
      </c>
      <c r="D2443">
        <f>4967.38</f>
        <v>4967.38</v>
      </c>
      <c r="E2443">
        <f>1874.964</f>
        <v>1874.9639999999999</v>
      </c>
      <c r="F2443">
        <f>1903.12</f>
        <v>1903.12</v>
      </c>
      <c r="G2443">
        <f>8440.376</f>
        <v>8440.3760000000002</v>
      </c>
      <c r="H2443">
        <f>2298.13</f>
        <v>2298.13</v>
      </c>
      <c r="I2443">
        <f>8837.762</f>
        <v>8837.7620000000006</v>
      </c>
      <c r="J2443">
        <f>2394.14</f>
        <v>2394.14</v>
      </c>
      <c r="K2443">
        <f>6924.11</f>
        <v>6924.11</v>
      </c>
      <c r="L2443">
        <f>1530.01</f>
        <v>1530.01</v>
      </c>
      <c r="M2443">
        <f>6059.61</f>
        <v>6059.61</v>
      </c>
      <c r="N2443">
        <f>248.56</f>
        <v>248.56</v>
      </c>
      <c r="O2443">
        <f>2213.99</f>
        <v>2213.9899999999998</v>
      </c>
      <c r="P2443">
        <f>141.16</f>
        <v>141.16</v>
      </c>
      <c r="Q2443">
        <f>1519.15</f>
        <v>1519.15</v>
      </c>
      <c r="R2443">
        <f>3311.27</f>
        <v>3311.27</v>
      </c>
      <c r="S2443">
        <f>1641.32</f>
        <v>1641.32</v>
      </c>
      <c r="T2443">
        <f>2543.898</f>
        <v>2543.8980000000001</v>
      </c>
      <c r="U2443">
        <f>47112.43</f>
        <v>47112.43</v>
      </c>
      <c r="V2443">
        <f>293.96</f>
        <v>293.95999999999998</v>
      </c>
    </row>
    <row r="2444" spans="1:22" x14ac:dyDescent="0.2">
      <c r="A2444" s="1">
        <v>41687</v>
      </c>
      <c r="B2444">
        <f>2805.61</f>
        <v>2805.61</v>
      </c>
      <c r="C2444">
        <f>8607.07</f>
        <v>8607.07</v>
      </c>
      <c r="D2444">
        <f>4923.21</f>
        <v>4923.21</v>
      </c>
      <c r="E2444">
        <f>1885.457</f>
        <v>1885.4570000000001</v>
      </c>
      <c r="F2444">
        <f>1898.11</f>
        <v>1898.11</v>
      </c>
      <c r="G2444">
        <f>8373.203</f>
        <v>8373.2029999999995</v>
      </c>
      <c r="H2444">
        <f>2257.04</f>
        <v>2257.04</v>
      </c>
      <c r="I2444">
        <f>8822.423</f>
        <v>8822.4230000000007</v>
      </c>
      <c r="J2444">
        <f>2399.43</f>
        <v>2399.4299999999998</v>
      </c>
      <c r="K2444">
        <f>6911.33</f>
        <v>6911.33</v>
      </c>
      <c r="L2444">
        <f>1526.08</f>
        <v>1526.08</v>
      </c>
      <c r="M2444">
        <f>6033.53</f>
        <v>6033.53</v>
      </c>
      <c r="N2444">
        <f>248.369</f>
        <v>248.369</v>
      </c>
      <c r="O2444">
        <f>2213.31</f>
        <v>2213.31</v>
      </c>
      <c r="P2444">
        <f>138.3</f>
        <v>138.30000000000001</v>
      </c>
      <c r="Q2444" t="e">
        <f>NA()</f>
        <v>#N/A</v>
      </c>
      <c r="R2444" t="e">
        <f>NA()</f>
        <v>#N/A</v>
      </c>
      <c r="S2444">
        <f>1598.45</f>
        <v>1598.45</v>
      </c>
      <c r="T2444">
        <f>2539.901</f>
        <v>2539.9009999999998</v>
      </c>
      <c r="U2444">
        <f>47027.54</f>
        <v>47027.54</v>
      </c>
      <c r="V2444">
        <f>292.74</f>
        <v>292.74</v>
      </c>
    </row>
    <row r="2445" spans="1:22" x14ac:dyDescent="0.2">
      <c r="A2445" s="1">
        <v>41684</v>
      </c>
      <c r="B2445">
        <f>2782.02</f>
        <v>2782.02</v>
      </c>
      <c r="C2445">
        <f>8544.79</f>
        <v>8544.7900000000009</v>
      </c>
      <c r="D2445">
        <f>4870.31</f>
        <v>4870.3100000000004</v>
      </c>
      <c r="E2445">
        <f>1871.705</f>
        <v>1871.7049999999999</v>
      </c>
      <c r="F2445">
        <f>1883.65</f>
        <v>1883.65</v>
      </c>
      <c r="G2445">
        <f>8291.662</f>
        <v>8291.6620000000003</v>
      </c>
      <c r="H2445">
        <f>2251.27</f>
        <v>2251.27</v>
      </c>
      <c r="I2445">
        <f>8801.029</f>
        <v>8801.0290000000005</v>
      </c>
      <c r="J2445">
        <f>2399.43</f>
        <v>2399.4299999999998</v>
      </c>
      <c r="K2445">
        <f>6911.33</f>
        <v>6911.33</v>
      </c>
      <c r="L2445">
        <f>1521.7</f>
        <v>1521.7</v>
      </c>
      <c r="M2445">
        <f>6020.45</f>
        <v>6020.45</v>
      </c>
      <c r="N2445">
        <f>247.455</f>
        <v>247.45500000000001</v>
      </c>
      <c r="O2445">
        <f>2205.95</f>
        <v>2205.9499999999998</v>
      </c>
      <c r="P2445">
        <f>137.49</f>
        <v>137.49</v>
      </c>
      <c r="Q2445">
        <f>1518.45</f>
        <v>1518.45</v>
      </c>
      <c r="R2445">
        <f>3306.92</f>
        <v>3306.92</v>
      </c>
      <c r="S2445">
        <f>1587.41</f>
        <v>1587.41</v>
      </c>
      <c r="T2445">
        <f>2515.42</f>
        <v>2515.42</v>
      </c>
      <c r="U2445">
        <f>46628.74</f>
        <v>46628.74</v>
      </c>
      <c r="V2445">
        <f>288.22</f>
        <v>288.22000000000003</v>
      </c>
    </row>
    <row r="2446" spans="1:22" x14ac:dyDescent="0.2">
      <c r="A2446" s="1">
        <v>41683</v>
      </c>
      <c r="B2446">
        <f>2779.07</f>
        <v>2779.07</v>
      </c>
      <c r="C2446">
        <f>8446.69</f>
        <v>8446.69</v>
      </c>
      <c r="D2446">
        <f>4867.24</f>
        <v>4867.24</v>
      </c>
      <c r="E2446">
        <f>1849.248</f>
        <v>1849.248</v>
      </c>
      <c r="F2446">
        <f>1867.39</f>
        <v>1867.39</v>
      </c>
      <c r="G2446">
        <f>8239.82</f>
        <v>8239.82</v>
      </c>
      <c r="H2446">
        <f>2263.51</f>
        <v>2263.5100000000002</v>
      </c>
      <c r="I2446">
        <f>8738.868</f>
        <v>8738.8680000000004</v>
      </c>
      <c r="J2446">
        <f>2383.17</f>
        <v>2383.17</v>
      </c>
      <c r="K2446">
        <f>6878.93</f>
        <v>6878.93</v>
      </c>
      <c r="L2446">
        <f>1511.7</f>
        <v>1511.7</v>
      </c>
      <c r="M2446">
        <f>5994.9</f>
        <v>5994.9</v>
      </c>
      <c r="N2446">
        <f>245.788</f>
        <v>245.78800000000001</v>
      </c>
      <c r="O2446">
        <f>2193.94</f>
        <v>2193.94</v>
      </c>
      <c r="P2446">
        <f>139.18</f>
        <v>139.18</v>
      </c>
      <c r="Q2446">
        <f>1511.4</f>
        <v>1511.4</v>
      </c>
      <c r="R2446">
        <f>3290.82</f>
        <v>3290.82</v>
      </c>
      <c r="S2446">
        <f>1608.76</f>
        <v>1608.76</v>
      </c>
      <c r="T2446">
        <f>2511.97</f>
        <v>2511.9699999999998</v>
      </c>
      <c r="U2446">
        <f>46251.77</f>
        <v>46251.77</v>
      </c>
      <c r="V2446">
        <f>287.34</f>
        <v>287.33999999999997</v>
      </c>
    </row>
    <row r="2447" spans="1:22" x14ac:dyDescent="0.2">
      <c r="A2447" s="1">
        <v>41682</v>
      </c>
      <c r="B2447">
        <f>2791.51</f>
        <v>2791.51</v>
      </c>
      <c r="C2447">
        <f>8544</f>
        <v>8544</v>
      </c>
      <c r="D2447">
        <f>4878.65</f>
        <v>4878.6499999999996</v>
      </c>
      <c r="E2447">
        <f>1863.616</f>
        <v>1863.616</v>
      </c>
      <c r="F2447">
        <f>1855.55</f>
        <v>1855.55</v>
      </c>
      <c r="G2447">
        <f>8234.877</f>
        <v>8234.8770000000004</v>
      </c>
      <c r="H2447">
        <f>2281.97</f>
        <v>2281.9699999999998</v>
      </c>
      <c r="I2447">
        <f>8685.733</f>
        <v>8685.7330000000002</v>
      </c>
      <c r="J2447">
        <f>2370.27</f>
        <v>2370.27</v>
      </c>
      <c r="K2447">
        <f>6837.32</f>
        <v>6837.32</v>
      </c>
      <c r="L2447">
        <f>1505.51</f>
        <v>1505.51</v>
      </c>
      <c r="M2447">
        <f>5974.52</f>
        <v>5974.52</v>
      </c>
      <c r="N2447">
        <f>245.462</f>
        <v>245.46199999999999</v>
      </c>
      <c r="O2447">
        <f>2196.32</f>
        <v>2196.3200000000002</v>
      </c>
      <c r="P2447">
        <f>140.49</f>
        <v>140.49</v>
      </c>
      <c r="Q2447">
        <f>1503.13</f>
        <v>1503.13</v>
      </c>
      <c r="R2447">
        <f>3271.47</f>
        <v>3271.47</v>
      </c>
      <c r="S2447">
        <f>1635.4</f>
        <v>1635.4</v>
      </c>
      <c r="T2447">
        <f>2530.563</f>
        <v>2530.5630000000001</v>
      </c>
      <c r="U2447">
        <f>46425.11</f>
        <v>46425.11</v>
      </c>
      <c r="V2447">
        <f>289.55</f>
        <v>289.55</v>
      </c>
    </row>
    <row r="2448" spans="1:22" x14ac:dyDescent="0.2">
      <c r="A2448" s="1">
        <v>41681</v>
      </c>
      <c r="B2448">
        <f>2786.84</f>
        <v>2786.84</v>
      </c>
      <c r="C2448">
        <f>8447.01</f>
        <v>8447.01</v>
      </c>
      <c r="D2448">
        <f>4869.19</f>
        <v>4869.1899999999996</v>
      </c>
      <c r="E2448">
        <f>1846.898</f>
        <v>1846.8979999999999</v>
      </c>
      <c r="F2448">
        <f>1835.21</f>
        <v>1835.21</v>
      </c>
      <c r="G2448">
        <f>8167.932</f>
        <v>8167.9319999999998</v>
      </c>
      <c r="H2448">
        <f>2250.28</f>
        <v>2250.2800000000002</v>
      </c>
      <c r="I2448">
        <f>8703.568</f>
        <v>8703.5679999999993</v>
      </c>
      <c r="J2448">
        <f>2372.57</f>
        <v>2372.5700000000002</v>
      </c>
      <c r="K2448">
        <f>6834.07</f>
        <v>6834.07</v>
      </c>
      <c r="L2448">
        <f>1503.2</f>
        <v>1503.2</v>
      </c>
      <c r="M2448">
        <f>5960.22</f>
        <v>5960.22</v>
      </c>
      <c r="N2448">
        <f>243.719</f>
        <v>243.71899999999999</v>
      </c>
      <c r="O2448">
        <f>2179.86</f>
        <v>2179.86</v>
      </c>
      <c r="P2448" t="e">
        <f>NA()</f>
        <v>#N/A</v>
      </c>
      <c r="Q2448">
        <f>1500.53</f>
        <v>1500.53</v>
      </c>
      <c r="R2448">
        <f>3270.74</f>
        <v>3270.74</v>
      </c>
      <c r="S2448" t="e">
        <f>NA()</f>
        <v>#N/A</v>
      </c>
      <c r="T2448">
        <f>2519.222</f>
        <v>2519.2220000000002</v>
      </c>
      <c r="U2448">
        <f>45866.02</f>
        <v>45866.02</v>
      </c>
      <c r="V2448">
        <f>285.86</f>
        <v>285.86</v>
      </c>
    </row>
    <row r="2449" spans="1:22" x14ac:dyDescent="0.2">
      <c r="A2449" s="1">
        <v>41680</v>
      </c>
      <c r="B2449">
        <f>2757.01</f>
        <v>2757.01</v>
      </c>
      <c r="C2449">
        <f>8341.08</f>
        <v>8341.08</v>
      </c>
      <c r="D2449">
        <f>4810</f>
        <v>4810</v>
      </c>
      <c r="E2449">
        <f>1828.48</f>
        <v>1828.48</v>
      </c>
      <c r="F2449">
        <f>1806.06</f>
        <v>1806.06</v>
      </c>
      <c r="G2449">
        <f>8025.975</f>
        <v>8025.9750000000004</v>
      </c>
      <c r="H2449">
        <f>2258.11</f>
        <v>2258.11</v>
      </c>
      <c r="I2449">
        <f>8582.088</f>
        <v>8582.0879999999997</v>
      </c>
      <c r="J2449">
        <f>2345.83</f>
        <v>2345.83</v>
      </c>
      <c r="K2449">
        <f>6759.59</f>
        <v>6759.59</v>
      </c>
      <c r="L2449">
        <f>1486.12</f>
        <v>1486.12</v>
      </c>
      <c r="M2449">
        <f>5895.44</f>
        <v>5895.44</v>
      </c>
      <c r="N2449">
        <f>241.054</f>
        <v>241.054</v>
      </c>
      <c r="O2449">
        <f>2151.99</f>
        <v>2151.9899999999998</v>
      </c>
      <c r="P2449">
        <f>138.6</f>
        <v>138.6</v>
      </c>
      <c r="Q2449">
        <f>1483.45</f>
        <v>1483.45</v>
      </c>
      <c r="R2449">
        <f>3234.79</f>
        <v>3234.79</v>
      </c>
      <c r="S2449">
        <f>1614.85</f>
        <v>1614.85</v>
      </c>
      <c r="T2449">
        <f>2530.464</f>
        <v>2530.4639999999999</v>
      </c>
      <c r="U2449">
        <f>45920.87</f>
        <v>45920.87</v>
      </c>
      <c r="V2449">
        <f>289.27</f>
        <v>289.27</v>
      </c>
    </row>
    <row r="2450" spans="1:22" x14ac:dyDescent="0.2">
      <c r="A2450" s="1">
        <v>41677</v>
      </c>
      <c r="B2450">
        <f>2750</f>
        <v>2750</v>
      </c>
      <c r="C2450">
        <f>8370.82</f>
        <v>8370.82</v>
      </c>
      <c r="D2450">
        <f>4795.51</f>
        <v>4795.51</v>
      </c>
      <c r="E2450">
        <f>1831.73</f>
        <v>1831.73</v>
      </c>
      <c r="F2450">
        <f>1800.93</f>
        <v>1800.93</v>
      </c>
      <c r="G2450">
        <f>7998.161</f>
        <v>7998.1610000000001</v>
      </c>
      <c r="H2450">
        <f>2229.88</f>
        <v>2229.88</v>
      </c>
      <c r="I2450">
        <f>8561.027</f>
        <v>8561.027</v>
      </c>
      <c r="J2450">
        <f>2337.61</f>
        <v>2337.61</v>
      </c>
      <c r="K2450">
        <f>6747.92</f>
        <v>6747.92</v>
      </c>
      <c r="L2450">
        <f>1481.61</f>
        <v>1481.61</v>
      </c>
      <c r="M2450">
        <f>5877.14</f>
        <v>5877.14</v>
      </c>
      <c r="N2450">
        <f>240.078</f>
        <v>240.078</v>
      </c>
      <c r="O2450">
        <f>2149.84</f>
        <v>2149.84</v>
      </c>
      <c r="P2450">
        <f>136.98</f>
        <v>136.97999999999999</v>
      </c>
      <c r="Q2450">
        <f>1480.52</f>
        <v>1480.52</v>
      </c>
      <c r="R2450">
        <f>3229.64</f>
        <v>3229.64</v>
      </c>
      <c r="S2450">
        <f>1594.55</f>
        <v>1594.55</v>
      </c>
      <c r="T2450">
        <f>2517.164</f>
        <v>2517.1640000000002</v>
      </c>
      <c r="U2450">
        <f>45340.76</f>
        <v>45340.76</v>
      </c>
      <c r="V2450">
        <f>289.78</f>
        <v>289.77999999999997</v>
      </c>
    </row>
    <row r="2451" spans="1:22" x14ac:dyDescent="0.2">
      <c r="A2451" s="1">
        <v>41676</v>
      </c>
      <c r="B2451">
        <f>2736.37</f>
        <v>2736.37</v>
      </c>
      <c r="C2451">
        <f>8319.86</f>
        <v>8319.86</v>
      </c>
      <c r="D2451">
        <f>4785.73</f>
        <v>4785.7299999999996</v>
      </c>
      <c r="E2451">
        <f>1817.02</f>
        <v>1817.02</v>
      </c>
      <c r="F2451">
        <f>1786.46</f>
        <v>1786.46</v>
      </c>
      <c r="G2451">
        <f>7951.188</f>
        <v>7951.1880000000001</v>
      </c>
      <c r="H2451">
        <f>2181.36</f>
        <v>2181.36</v>
      </c>
      <c r="I2451">
        <f>8477.032</f>
        <v>8477.0319999999992</v>
      </c>
      <c r="J2451">
        <f>2309.56</f>
        <v>2309.56</v>
      </c>
      <c r="K2451">
        <f>6659.55</f>
        <v>6659.55</v>
      </c>
      <c r="L2451">
        <f>1465.38</f>
        <v>1465.38</v>
      </c>
      <c r="M2451">
        <f>5807.38</f>
        <v>5807.38</v>
      </c>
      <c r="N2451">
        <f>238.897</f>
        <v>238.89699999999999</v>
      </c>
      <c r="O2451">
        <f>2134.36</f>
        <v>2134.36</v>
      </c>
      <c r="P2451">
        <f>133.9</f>
        <v>133.9</v>
      </c>
      <c r="Q2451">
        <f>1460.55</f>
        <v>1460.55</v>
      </c>
      <c r="R2451">
        <f>3187.25</f>
        <v>3187.25</v>
      </c>
      <c r="S2451">
        <f>1558.65</f>
        <v>1558.65</v>
      </c>
      <c r="T2451">
        <f>2489.924</f>
        <v>2489.924</v>
      </c>
      <c r="U2451">
        <f>44985.34</f>
        <v>44985.34</v>
      </c>
      <c r="V2451">
        <f>286.87</f>
        <v>286.87</v>
      </c>
    </row>
    <row r="2452" spans="1:22" x14ac:dyDescent="0.2">
      <c r="A2452" s="1">
        <v>41675</v>
      </c>
      <c r="B2452">
        <f>2699.52</f>
        <v>2699.52</v>
      </c>
      <c r="C2452">
        <f>8193.18</f>
        <v>8193.18</v>
      </c>
      <c r="D2452">
        <f>4712.47</f>
        <v>4712.47</v>
      </c>
      <c r="E2452">
        <f>1791.051</f>
        <v>1791.0509999999999</v>
      </c>
      <c r="F2452">
        <f>1766.91</f>
        <v>1766.91</v>
      </c>
      <c r="G2452">
        <f>7820.512</f>
        <v>7820.5119999999997</v>
      </c>
      <c r="H2452">
        <f>2200.32</f>
        <v>2200.3200000000002</v>
      </c>
      <c r="I2452">
        <f>8302.383</f>
        <v>8302.3829999999998</v>
      </c>
      <c r="J2452">
        <f>2286.46</f>
        <v>2286.46</v>
      </c>
      <c r="K2452">
        <f>6574.58</f>
        <v>6574.58</v>
      </c>
      <c r="L2452">
        <f>1444.92</f>
        <v>1444.92</v>
      </c>
      <c r="M2452">
        <f>5731.75</f>
        <v>5731.75</v>
      </c>
      <c r="N2452">
        <f>237.428</f>
        <v>237.428</v>
      </c>
      <c r="O2452">
        <f>2103.92</f>
        <v>2103.92</v>
      </c>
      <c r="P2452">
        <f>135.1</f>
        <v>135.1</v>
      </c>
      <c r="Q2452">
        <f>1448.32</f>
        <v>1448.32</v>
      </c>
      <c r="R2452">
        <f>3146.49</f>
        <v>3146.49</v>
      </c>
      <c r="S2452">
        <f>1559.01</f>
        <v>1559.01</v>
      </c>
      <c r="T2452">
        <f>2478.155</f>
        <v>2478.1550000000002</v>
      </c>
      <c r="U2452">
        <f>44477.18</f>
        <v>44477.18</v>
      </c>
      <c r="V2452">
        <f>285.92</f>
        <v>285.92</v>
      </c>
    </row>
    <row r="2453" spans="1:22" x14ac:dyDescent="0.2">
      <c r="A2453" s="1">
        <v>41674</v>
      </c>
      <c r="B2453">
        <f>2690.44</f>
        <v>2690.44</v>
      </c>
      <c r="C2453">
        <f>8201.49</f>
        <v>8201.49</v>
      </c>
      <c r="D2453">
        <f>4705.42</f>
        <v>4705.42</v>
      </c>
      <c r="E2453">
        <f>1793.343</f>
        <v>1793.3430000000001</v>
      </c>
      <c r="F2453">
        <f>1756.65</f>
        <v>1756.65</v>
      </c>
      <c r="G2453">
        <f>7803.107</f>
        <v>7803.107</v>
      </c>
      <c r="H2453">
        <f>2160.08</f>
        <v>2160.08</v>
      </c>
      <c r="I2453">
        <f>8272.7</f>
        <v>8272.7000000000007</v>
      </c>
      <c r="J2453">
        <f>2290.77</f>
        <v>2290.77</v>
      </c>
      <c r="K2453">
        <f>6585.64</f>
        <v>6585.64</v>
      </c>
      <c r="L2453">
        <f>1444.01</f>
        <v>1444.01</v>
      </c>
      <c r="M2453">
        <f>5721.74</f>
        <v>5721.74</v>
      </c>
      <c r="N2453">
        <f>236.864</f>
        <v>236.864</v>
      </c>
      <c r="O2453">
        <f>2099.91</f>
        <v>2099.91</v>
      </c>
      <c r="P2453">
        <f>133.54</f>
        <v>133.54</v>
      </c>
      <c r="Q2453">
        <f>1447.01</f>
        <v>1447.01</v>
      </c>
      <c r="R2453">
        <f>3151.94</f>
        <v>3151.94</v>
      </c>
      <c r="S2453">
        <f>1527.68</f>
        <v>1527.68</v>
      </c>
      <c r="T2453">
        <f>2471.783</f>
        <v>2471.7829999999999</v>
      </c>
      <c r="U2453">
        <f>44451.57</f>
        <v>44451.57</v>
      </c>
      <c r="V2453">
        <f>286.79</f>
        <v>286.79000000000002</v>
      </c>
    </row>
    <row r="2454" spans="1:22" x14ac:dyDescent="0.2">
      <c r="A2454" s="1">
        <v>41673</v>
      </c>
      <c r="B2454">
        <f>2693.93</f>
        <v>2693.93</v>
      </c>
      <c r="C2454">
        <f>8279.87</f>
        <v>8279.8700000000008</v>
      </c>
      <c r="D2454">
        <f>4717.39</f>
        <v>4717.3900000000003</v>
      </c>
      <c r="E2454">
        <f>1810.924</f>
        <v>1810.924</v>
      </c>
      <c r="F2454">
        <f>1771.93</f>
        <v>1771.93</v>
      </c>
      <c r="G2454">
        <f>7840.489</f>
        <v>7840.4889999999996</v>
      </c>
      <c r="H2454">
        <f>2257.43</f>
        <v>2257.4299999999998</v>
      </c>
      <c r="I2454">
        <f>8288.903</f>
        <v>8288.9030000000002</v>
      </c>
      <c r="J2454">
        <f>2278.72</f>
        <v>2278.7199999999998</v>
      </c>
      <c r="K2454">
        <f>6534.74</f>
        <v>6534.74</v>
      </c>
      <c r="L2454">
        <f>1448.68</f>
        <v>1448.68</v>
      </c>
      <c r="M2454">
        <f>5728.82</f>
        <v>5728.82</v>
      </c>
      <c r="N2454">
        <f>238.003</f>
        <v>238.00299999999999</v>
      </c>
      <c r="O2454">
        <f>2103.45</f>
        <v>2103.4499999999998</v>
      </c>
      <c r="P2454">
        <f>139.62</f>
        <v>139.62</v>
      </c>
      <c r="Q2454">
        <f>1440.08</f>
        <v>1440.08</v>
      </c>
      <c r="R2454">
        <f>3127.87</f>
        <v>3127.87</v>
      </c>
      <c r="S2454">
        <f>1604.18</f>
        <v>1604.18</v>
      </c>
      <c r="T2454">
        <f>2494.911</f>
        <v>2494.9110000000001</v>
      </c>
      <c r="U2454">
        <f>44956.91</f>
        <v>44956.91</v>
      </c>
      <c r="V2454">
        <f>288.12</f>
        <v>288.12</v>
      </c>
    </row>
    <row r="2455" spans="1:22" x14ac:dyDescent="0.2">
      <c r="A2455" s="1">
        <v>41670</v>
      </c>
      <c r="B2455">
        <f>2708.5</f>
        <v>2708.5</v>
      </c>
      <c r="C2455">
        <f>8336.43</f>
        <v>8336.43</v>
      </c>
      <c r="D2455">
        <f>4750.05</f>
        <v>4750.05</v>
      </c>
      <c r="E2455">
        <f>1829.631</f>
        <v>1829.6310000000001</v>
      </c>
      <c r="F2455">
        <f>1785.33</f>
        <v>1785.33</v>
      </c>
      <c r="G2455">
        <f>7944.727</f>
        <v>7944.7269999999999</v>
      </c>
      <c r="H2455">
        <f>2275.84</f>
        <v>2275.84</v>
      </c>
      <c r="I2455">
        <f>8372.791</f>
        <v>8372.7909999999993</v>
      </c>
      <c r="J2455">
        <f>2325.18</f>
        <v>2325.1799999999998</v>
      </c>
      <c r="K2455">
        <f>6687.49</f>
        <v>6687.49</v>
      </c>
      <c r="L2455">
        <f>1464.59</f>
        <v>1464.59</v>
      </c>
      <c r="M2455">
        <f>5825.53</f>
        <v>5825.53</v>
      </c>
      <c r="N2455">
        <f>239.558</f>
        <v>239.55799999999999</v>
      </c>
      <c r="O2455">
        <f>2133.39</f>
        <v>2133.39</v>
      </c>
      <c r="P2455">
        <f>141.17</f>
        <v>141.16999999999999</v>
      </c>
      <c r="Q2455">
        <f>1478.2</f>
        <v>1478.2</v>
      </c>
      <c r="R2455">
        <f>3200.95</f>
        <v>3200.95</v>
      </c>
      <c r="S2455">
        <f>1636.79</f>
        <v>1636.79</v>
      </c>
      <c r="T2455">
        <f>2514.423</f>
        <v>2514.4229999999998</v>
      </c>
      <c r="U2455">
        <f>45132.1</f>
        <v>45132.1</v>
      </c>
      <c r="V2455">
        <f>290.39</f>
        <v>290.39</v>
      </c>
    </row>
    <row r="2456" spans="1:22" x14ac:dyDescent="0.2">
      <c r="A2456" s="1">
        <v>41669</v>
      </c>
      <c r="B2456">
        <f>2729.51</f>
        <v>2729.51</v>
      </c>
      <c r="C2456">
        <f>8345.63</f>
        <v>8345.6299999999992</v>
      </c>
      <c r="D2456">
        <f>4770.49</f>
        <v>4770.49</v>
      </c>
      <c r="E2456">
        <f>1829.295</f>
        <v>1829.2950000000001</v>
      </c>
      <c r="F2456">
        <f>1808.17</f>
        <v>1808.17</v>
      </c>
      <c r="G2456">
        <f>8008.708</f>
        <v>8008.7079999999996</v>
      </c>
      <c r="H2456">
        <f>2251.61</f>
        <v>2251.61</v>
      </c>
      <c r="I2456">
        <f>8444.604</f>
        <v>8444.6039999999994</v>
      </c>
      <c r="J2456">
        <f>2335.97</f>
        <v>2335.9699999999998</v>
      </c>
      <c r="K2456">
        <f>6729.7</f>
        <v>6729.7</v>
      </c>
      <c r="L2456">
        <f>1474.36</f>
        <v>1474.36</v>
      </c>
      <c r="M2456">
        <f>5858.3</f>
        <v>5858.3</v>
      </c>
      <c r="N2456">
        <f>239.542</f>
        <v>239.542</v>
      </c>
      <c r="O2456">
        <f>2139.2</f>
        <v>2139.1999999999998</v>
      </c>
      <c r="P2456">
        <f>140.88</f>
        <v>140.88</v>
      </c>
      <c r="Q2456">
        <f>1486.89</f>
        <v>1486.89</v>
      </c>
      <c r="R2456">
        <f>3221.78</f>
        <v>3221.78</v>
      </c>
      <c r="S2456">
        <f>1641.42</f>
        <v>1641.42</v>
      </c>
      <c r="T2456">
        <f>2495.477</f>
        <v>2495.4769999999999</v>
      </c>
      <c r="U2456">
        <f>45178.25</f>
        <v>45178.25</v>
      </c>
      <c r="V2456">
        <f>289.03</f>
        <v>289.02999999999997</v>
      </c>
    </row>
    <row r="2457" spans="1:22" x14ac:dyDescent="0.2">
      <c r="A2457" s="1">
        <v>41668</v>
      </c>
      <c r="B2457">
        <f>2723.65</f>
        <v>2723.65</v>
      </c>
      <c r="C2457">
        <f>8349.45</f>
        <v>8349.4500000000007</v>
      </c>
      <c r="D2457">
        <f>4774.74</f>
        <v>4774.74</v>
      </c>
      <c r="E2457">
        <f>1829.87</f>
        <v>1829.87</v>
      </c>
      <c r="F2457">
        <f>1807.18</f>
        <v>1807.18</v>
      </c>
      <c r="G2457">
        <f>8047.511</f>
        <v>8047.5110000000004</v>
      </c>
      <c r="H2457">
        <f>2305.8</f>
        <v>2305.8000000000002</v>
      </c>
      <c r="I2457">
        <f>8465.848</f>
        <v>8465.848</v>
      </c>
      <c r="J2457">
        <f>2321.08</f>
        <v>2321.08</v>
      </c>
      <c r="K2457">
        <f>6653.81</f>
        <v>6653.81</v>
      </c>
      <c r="L2457">
        <f>1471.58</f>
        <v>1471.58</v>
      </c>
      <c r="M2457">
        <f>5844.18</f>
        <v>5844.18</v>
      </c>
      <c r="N2457">
        <f>240.17</f>
        <v>240.17</v>
      </c>
      <c r="O2457">
        <f>2131.94</f>
        <v>2131.94</v>
      </c>
      <c r="P2457">
        <f>144.08</f>
        <v>144.08000000000001</v>
      </c>
      <c r="Q2457">
        <f>1477.29</f>
        <v>1477.29</v>
      </c>
      <c r="R2457">
        <f>3185.7</f>
        <v>3185.7</v>
      </c>
      <c r="S2457">
        <f>1684.44</f>
        <v>1684.44</v>
      </c>
      <c r="T2457">
        <f>2544.456</f>
        <v>2544.4560000000001</v>
      </c>
      <c r="U2457">
        <f>45564.62</f>
        <v>45564.62</v>
      </c>
      <c r="V2457">
        <f>294.41</f>
        <v>294.41000000000003</v>
      </c>
    </row>
    <row r="2458" spans="1:22" x14ac:dyDescent="0.2">
      <c r="A2458" s="1">
        <v>41667</v>
      </c>
      <c r="B2458">
        <f>2741.29</f>
        <v>2741.29</v>
      </c>
      <c r="C2458">
        <f>8373.52</f>
        <v>8373.52</v>
      </c>
      <c r="D2458">
        <f>4795.21</f>
        <v>4795.21</v>
      </c>
      <c r="E2458">
        <f>1824.674</f>
        <v>1824.674</v>
      </c>
      <c r="F2458">
        <f>1820.18</f>
        <v>1820.18</v>
      </c>
      <c r="G2458">
        <f>8097.655</f>
        <v>8097.6549999999997</v>
      </c>
      <c r="H2458">
        <f>2240.16</f>
        <v>2240.16</v>
      </c>
      <c r="I2458">
        <f>8524.972</f>
        <v>8524.9719999999998</v>
      </c>
      <c r="J2458">
        <f>2341.72</f>
        <v>2341.7199999999998</v>
      </c>
      <c r="K2458">
        <f>6721.52</f>
        <v>6721.52</v>
      </c>
      <c r="L2458">
        <f>1479.24</f>
        <v>1479.24</v>
      </c>
      <c r="M2458">
        <f>5871.11</f>
        <v>5871.11</v>
      </c>
      <c r="N2458">
        <f>241.702</f>
        <v>241.702</v>
      </c>
      <c r="O2458">
        <f>2144.18</f>
        <v>2144.1799999999998</v>
      </c>
      <c r="P2458">
        <f>140.25</f>
        <v>140.25</v>
      </c>
      <c r="Q2458">
        <f>1494.8</f>
        <v>1494.8</v>
      </c>
      <c r="R2458">
        <f>3218.21</f>
        <v>3218.21</v>
      </c>
      <c r="S2458">
        <f>1641.63</f>
        <v>1641.63</v>
      </c>
      <c r="T2458">
        <f>2571.844</f>
        <v>2571.8440000000001</v>
      </c>
      <c r="U2458">
        <f>45724.7</f>
        <v>45724.7</v>
      </c>
      <c r="V2458">
        <f>299.93</f>
        <v>299.93</v>
      </c>
    </row>
    <row r="2459" spans="1:22" x14ac:dyDescent="0.2">
      <c r="A2459" s="1">
        <v>41666</v>
      </c>
      <c r="B2459">
        <f>2712.33</f>
        <v>2712.33</v>
      </c>
      <c r="C2459">
        <f>8368.13</f>
        <v>8368.1299999999992</v>
      </c>
      <c r="D2459">
        <f>4779.4</f>
        <v>4779.3999999999996</v>
      </c>
      <c r="E2459">
        <f>1818.878</f>
        <v>1818.8779999999999</v>
      </c>
      <c r="F2459">
        <f>1817.93</f>
        <v>1817.93</v>
      </c>
      <c r="G2459">
        <f>8067.396</f>
        <v>8067.3959999999997</v>
      </c>
      <c r="H2459">
        <f>2262.53</f>
        <v>2262.5300000000002</v>
      </c>
      <c r="I2459">
        <f>8471.854</f>
        <v>8471.8539999999994</v>
      </c>
      <c r="J2459">
        <f>2338.65</f>
        <v>2338.65</v>
      </c>
      <c r="K2459">
        <f>6678.7</f>
        <v>6678.7</v>
      </c>
      <c r="L2459">
        <f>1475.37</f>
        <v>1475.37</v>
      </c>
      <c r="M2459">
        <f>5847.66</f>
        <v>5847.66</v>
      </c>
      <c r="N2459">
        <f>240.869</f>
        <v>240.869</v>
      </c>
      <c r="O2459">
        <f>2131.72</f>
        <v>2131.7199999999998</v>
      </c>
      <c r="P2459">
        <f>140.48</f>
        <v>140.47999999999999</v>
      </c>
      <c r="Q2459">
        <f>1481.94</f>
        <v>1481.94</v>
      </c>
      <c r="R2459">
        <f>3198.57</f>
        <v>3198.57</v>
      </c>
      <c r="S2459">
        <f>1648.22</f>
        <v>1648.22</v>
      </c>
      <c r="T2459">
        <f>2566.354</f>
        <v>2566.3539999999998</v>
      </c>
      <c r="U2459">
        <f>45750.7</f>
        <v>45750.7</v>
      </c>
      <c r="V2459">
        <f>300.98</f>
        <v>300.98</v>
      </c>
    </row>
    <row r="2460" spans="1:22" x14ac:dyDescent="0.2">
      <c r="A2460" s="1">
        <v>41663</v>
      </c>
      <c r="B2460">
        <f>2743.33</f>
        <v>2743.33</v>
      </c>
      <c r="C2460">
        <f>8516.14</f>
        <v>8516.14</v>
      </c>
      <c r="D2460">
        <f>4861.9</f>
        <v>4861.8999999999996</v>
      </c>
      <c r="E2460">
        <f>1854.089</f>
        <v>1854.0889999999999</v>
      </c>
      <c r="F2460">
        <f>1834.34</f>
        <v>1834.34</v>
      </c>
      <c r="G2460">
        <f>8169.84</f>
        <v>8169.84</v>
      </c>
      <c r="H2460">
        <f>2325.56</f>
        <v>2325.56</v>
      </c>
      <c r="I2460">
        <f>8535.546</f>
        <v>8535.5460000000003</v>
      </c>
      <c r="J2460">
        <f>2346.77</f>
        <v>2346.77</v>
      </c>
      <c r="K2460">
        <f>6712.5</f>
        <v>6712.5</v>
      </c>
      <c r="L2460">
        <f>1485.37</f>
        <v>1485.37</v>
      </c>
      <c r="M2460">
        <f>5896.41</f>
        <v>5896.41</v>
      </c>
      <c r="N2460">
        <f>243.118</f>
        <v>243.11799999999999</v>
      </c>
      <c r="O2460">
        <f>2148.95</f>
        <v>2148.9499999999998</v>
      </c>
      <c r="P2460">
        <f>143.88</f>
        <v>143.88</v>
      </c>
      <c r="Q2460">
        <f>1486.62</f>
        <v>1486.62</v>
      </c>
      <c r="R2460">
        <f>3214.13</f>
        <v>3214.13</v>
      </c>
      <c r="S2460">
        <f>1695.64</f>
        <v>1695.64</v>
      </c>
      <c r="T2460">
        <f>2611.722</f>
        <v>2611.7220000000002</v>
      </c>
      <c r="U2460">
        <f>46462.14</f>
        <v>46462.14</v>
      </c>
      <c r="V2460">
        <f>304.83</f>
        <v>304.83</v>
      </c>
    </row>
    <row r="2461" spans="1:22" x14ac:dyDescent="0.2">
      <c r="A2461" s="1">
        <v>41662</v>
      </c>
      <c r="B2461">
        <f>2779.37</f>
        <v>2779.37</v>
      </c>
      <c r="C2461">
        <f>8631.08</f>
        <v>8631.08</v>
      </c>
      <c r="D2461">
        <f>4941.82</f>
        <v>4941.82</v>
      </c>
      <c r="E2461">
        <f>1881.572</f>
        <v>1881.5719999999999</v>
      </c>
      <c r="F2461">
        <f>1865.99</f>
        <v>1865.99</v>
      </c>
      <c r="G2461">
        <f>8365.517</f>
        <v>8365.5169999999998</v>
      </c>
      <c r="H2461">
        <f>2333.09</f>
        <v>2333.09</v>
      </c>
      <c r="I2461">
        <f>8738.93</f>
        <v>8738.93</v>
      </c>
      <c r="J2461">
        <f>2383.48</f>
        <v>2383.48</v>
      </c>
      <c r="K2461">
        <f>6856.65</f>
        <v>6856.65</v>
      </c>
      <c r="L2461">
        <f>1511.29</f>
        <v>1511.29</v>
      </c>
      <c r="M2461">
        <f>6013.31</f>
        <v>6013.31</v>
      </c>
      <c r="N2461">
        <f>247.991</f>
        <v>247.99100000000001</v>
      </c>
      <c r="O2461">
        <f>2201.06</f>
        <v>2201.06</v>
      </c>
      <c r="P2461">
        <f>145.93</f>
        <v>145.93</v>
      </c>
      <c r="Q2461">
        <f>1518.05</f>
        <v>1518.05</v>
      </c>
      <c r="R2461">
        <f>3282.64</f>
        <v>3282.64</v>
      </c>
      <c r="S2461">
        <f>1726.38</f>
        <v>1726.38</v>
      </c>
      <c r="T2461">
        <f>2651.514</f>
        <v>2651.5140000000001</v>
      </c>
      <c r="U2461">
        <f>47045.44</f>
        <v>47045.440000000002</v>
      </c>
      <c r="V2461">
        <f>308.19</f>
        <v>308.19</v>
      </c>
    </row>
    <row r="2462" spans="1:22" x14ac:dyDescent="0.2">
      <c r="A2462" s="1">
        <v>41661</v>
      </c>
      <c r="B2462">
        <f>2804.25</f>
        <v>2804.25</v>
      </c>
      <c r="C2462">
        <f>8748.05</f>
        <v>8748.0499999999993</v>
      </c>
      <c r="D2462">
        <f>4980.53</f>
        <v>4980.53</v>
      </c>
      <c r="E2462">
        <f>1905.937</f>
        <v>1905.9369999999999</v>
      </c>
      <c r="F2462">
        <f>1868.84</f>
        <v>1868.84</v>
      </c>
      <c r="G2462">
        <f>8406.618</f>
        <v>8406.6180000000004</v>
      </c>
      <c r="H2462">
        <f>2341.55</f>
        <v>2341.5500000000002</v>
      </c>
      <c r="I2462">
        <f>8737.451</f>
        <v>8737.4509999999991</v>
      </c>
      <c r="J2462">
        <f>2401.84</f>
        <v>2401.84</v>
      </c>
      <c r="K2462">
        <f>6918.1</f>
        <v>6918.1</v>
      </c>
      <c r="L2462">
        <f>1518.71</f>
        <v>1518.71</v>
      </c>
      <c r="M2462">
        <f>6054.23</f>
        <v>6054.23</v>
      </c>
      <c r="N2462">
        <f>250.874</f>
        <v>250.874</v>
      </c>
      <c r="O2462">
        <f>2224.77</f>
        <v>2224.77</v>
      </c>
      <c r="P2462">
        <f>147.76</f>
        <v>147.76</v>
      </c>
      <c r="Q2462">
        <f>1533.72</f>
        <v>1533.72</v>
      </c>
      <c r="R2462">
        <f>3312.04</f>
        <v>3312.04</v>
      </c>
      <c r="S2462">
        <f>1742.61</f>
        <v>1742.61</v>
      </c>
      <c r="T2462">
        <f>2669.982</f>
        <v>2669.982</v>
      </c>
      <c r="U2462">
        <f>47000.95</f>
        <v>47000.95</v>
      </c>
      <c r="V2462">
        <f>308.71</f>
        <v>308.70999999999998</v>
      </c>
    </row>
    <row r="2463" spans="1:22" x14ac:dyDescent="0.2">
      <c r="A2463" s="1">
        <v>41660</v>
      </c>
      <c r="B2463">
        <f>2809.37</f>
        <v>2809.37</v>
      </c>
      <c r="C2463">
        <f>8705.7</f>
        <v>8705.7000000000007</v>
      </c>
      <c r="D2463">
        <f>4984.8</f>
        <v>4984.8</v>
      </c>
      <c r="E2463">
        <f>1894.744</f>
        <v>1894.7439999999999</v>
      </c>
      <c r="F2463">
        <f>1858.76</f>
        <v>1858.76</v>
      </c>
      <c r="G2463">
        <f>8353.785</f>
        <v>8353.7849999999999</v>
      </c>
      <c r="H2463">
        <f>2335.67</f>
        <v>2335.67</v>
      </c>
      <c r="I2463">
        <f>8732.403</f>
        <v>8732.4030000000002</v>
      </c>
      <c r="J2463">
        <f>2402.42</f>
        <v>2402.42</v>
      </c>
      <c r="K2463">
        <f>6911.72</f>
        <v>6911.72</v>
      </c>
      <c r="L2463">
        <f>1517.83</f>
        <v>1517.83</v>
      </c>
      <c r="M2463">
        <f>6045.46</f>
        <v>6045.46</v>
      </c>
      <c r="N2463">
        <f>249.712</f>
        <v>249.71199999999999</v>
      </c>
      <c r="O2463">
        <f>2221.28</f>
        <v>2221.2800000000002</v>
      </c>
      <c r="P2463">
        <f>147.81</f>
        <v>147.81</v>
      </c>
      <c r="Q2463">
        <f>1538.19</f>
        <v>1538.19</v>
      </c>
      <c r="R2463">
        <f>3309.74</f>
        <v>3309.74</v>
      </c>
      <c r="S2463">
        <f>1737.68</f>
        <v>1737.68</v>
      </c>
      <c r="T2463">
        <f>2649.121</f>
        <v>2649.1210000000001</v>
      </c>
      <c r="U2463">
        <f>46889.64</f>
        <v>46889.64</v>
      </c>
      <c r="V2463">
        <f>306.95</f>
        <v>306.95</v>
      </c>
    </row>
    <row r="2464" spans="1:22" x14ac:dyDescent="0.2">
      <c r="A2464" s="1">
        <v>41659</v>
      </c>
      <c r="B2464">
        <f>2815.16</f>
        <v>2815.16</v>
      </c>
      <c r="C2464">
        <f>8675.3</f>
        <v>8675.2999999999993</v>
      </c>
      <c r="D2464">
        <f>4986.6</f>
        <v>4986.6000000000004</v>
      </c>
      <c r="E2464">
        <f>1894.885</f>
        <v>1894.885</v>
      </c>
      <c r="F2464">
        <f>1856.11</f>
        <v>1856.11</v>
      </c>
      <c r="G2464">
        <f>8335.038</f>
        <v>8335.0380000000005</v>
      </c>
      <c r="H2464">
        <f>2336.23</f>
        <v>2336.23</v>
      </c>
      <c r="I2464">
        <f>8746.955</f>
        <v>8746.9549999999999</v>
      </c>
      <c r="J2464">
        <f>2397.94</f>
        <v>2397.94</v>
      </c>
      <c r="K2464">
        <f>6892.41</f>
        <v>6892.41</v>
      </c>
      <c r="L2464">
        <f>1517.46</f>
        <v>1517.46</v>
      </c>
      <c r="M2464">
        <f>6036.69</f>
        <v>6036.69</v>
      </c>
      <c r="N2464">
        <f>247.984</f>
        <v>247.98400000000001</v>
      </c>
      <c r="O2464">
        <f>2219.91</f>
        <v>2219.91</v>
      </c>
      <c r="P2464">
        <f>147.62</f>
        <v>147.62</v>
      </c>
      <c r="Q2464" t="e">
        <f>NA()</f>
        <v>#N/A</v>
      </c>
      <c r="R2464" t="e">
        <f>NA()</f>
        <v>#N/A</v>
      </c>
      <c r="S2464">
        <f>1734.89</f>
        <v>1734.89</v>
      </c>
      <c r="T2464">
        <f>2629.757</f>
        <v>2629.7570000000001</v>
      </c>
      <c r="U2464">
        <f>46934.59</f>
        <v>46934.59</v>
      </c>
      <c r="V2464">
        <f>305.75</f>
        <v>305.75</v>
      </c>
    </row>
    <row r="2465" spans="1:22" x14ac:dyDescent="0.2">
      <c r="A2465" s="1">
        <v>41656</v>
      </c>
      <c r="B2465">
        <f>2815.16</f>
        <v>2815.16</v>
      </c>
      <c r="C2465">
        <f>8701.48</f>
        <v>8701.48</v>
      </c>
      <c r="D2465">
        <f>4981.18</f>
        <v>4981.18</v>
      </c>
      <c r="E2465">
        <f>1897.525</f>
        <v>1897.5250000000001</v>
      </c>
      <c r="F2465">
        <f>1853.81</f>
        <v>1853.81</v>
      </c>
      <c r="G2465">
        <f>8337.507</f>
        <v>8337.5069999999996</v>
      </c>
      <c r="H2465">
        <f>2334.4</f>
        <v>2334.4</v>
      </c>
      <c r="I2465">
        <f>8751.723</f>
        <v>8751.723</v>
      </c>
      <c r="J2465">
        <f>2397.94</f>
        <v>2397.94</v>
      </c>
      <c r="K2465">
        <f>6892.41</f>
        <v>6892.41</v>
      </c>
      <c r="L2465">
        <f>1516.44</f>
        <v>1516.44</v>
      </c>
      <c r="M2465">
        <f>6037.42</f>
        <v>6037.42</v>
      </c>
      <c r="N2465">
        <f>247.266</f>
        <v>247.26599999999999</v>
      </c>
      <c r="O2465">
        <f>2221.33</f>
        <v>2221.33</v>
      </c>
      <c r="P2465">
        <f>147.88</f>
        <v>147.88</v>
      </c>
      <c r="Q2465">
        <f>1535.107</f>
        <v>1535.107</v>
      </c>
      <c r="R2465">
        <f>3300.51</f>
        <v>3300.51</v>
      </c>
      <c r="S2465">
        <f>1739.62</f>
        <v>1739.62</v>
      </c>
      <c r="T2465">
        <f>2632.619</f>
        <v>2632.6190000000001</v>
      </c>
      <c r="U2465">
        <f>46675.88</f>
        <v>46675.88</v>
      </c>
      <c r="V2465">
        <f>306.31</f>
        <v>306.31</v>
      </c>
    </row>
    <row r="2466" spans="1:22" x14ac:dyDescent="0.2">
      <c r="A2466" s="1">
        <v>41655</v>
      </c>
      <c r="B2466">
        <f>2803.92</f>
        <v>2803.92</v>
      </c>
      <c r="C2466">
        <f>8720.2</f>
        <v>8720.2000000000007</v>
      </c>
      <c r="D2466">
        <f>4971.06</f>
        <v>4971.0600000000004</v>
      </c>
      <c r="E2466">
        <f>1902.047</f>
        <v>1902.047</v>
      </c>
      <c r="F2466">
        <f>1832.43</f>
        <v>1832.43</v>
      </c>
      <c r="G2466">
        <f>8267.97</f>
        <v>8267.9699999999993</v>
      </c>
      <c r="H2466">
        <f>2324.28</f>
        <v>2324.2800000000002</v>
      </c>
      <c r="I2466">
        <f>8759.545</f>
        <v>8759.5450000000001</v>
      </c>
      <c r="J2466">
        <f>2411.72</f>
        <v>2411.7199999999998</v>
      </c>
      <c r="K2466">
        <f>6918.37</f>
        <v>6918.37</v>
      </c>
      <c r="L2466">
        <f>1515.62</f>
        <v>1515.62</v>
      </c>
      <c r="M2466">
        <f>6044.7</f>
        <v>6044.7</v>
      </c>
      <c r="N2466">
        <f>245.15</f>
        <v>245.15</v>
      </c>
      <c r="O2466">
        <f>2209.66</f>
        <v>2209.66</v>
      </c>
      <c r="P2466">
        <f>147.24</f>
        <v>147.24</v>
      </c>
      <c r="Q2466">
        <f>1542.11</f>
        <v>1542.11</v>
      </c>
      <c r="R2466">
        <f>3313.36</f>
        <v>3313.36</v>
      </c>
      <c r="S2466">
        <f>1735.6</f>
        <v>1735.6</v>
      </c>
      <c r="T2466">
        <f>2675.665</f>
        <v>2675.665</v>
      </c>
      <c r="U2466">
        <f>46728.46</f>
        <v>46728.46</v>
      </c>
      <c r="V2466">
        <f>308.69</f>
        <v>308.69</v>
      </c>
    </row>
    <row r="2467" spans="1:22" x14ac:dyDescent="0.2">
      <c r="A2467" s="1">
        <v>41654</v>
      </c>
      <c r="B2467">
        <f>2799.15</f>
        <v>2799.15</v>
      </c>
      <c r="C2467">
        <f>8733.44</f>
        <v>8733.44</v>
      </c>
      <c r="D2467">
        <f>4974.29</f>
        <v>4974.29</v>
      </c>
      <c r="E2467">
        <f>1908.338</f>
        <v>1908.338</v>
      </c>
      <c r="F2467">
        <f>1827.47</f>
        <v>1827.47</v>
      </c>
      <c r="G2467">
        <f>8275.364</f>
        <v>8275.3639999999996</v>
      </c>
      <c r="H2467">
        <f>2315.21</f>
        <v>2315.21</v>
      </c>
      <c r="I2467">
        <f>8763.085</f>
        <v>8763.0849999999991</v>
      </c>
      <c r="J2467">
        <f>2408.65</f>
        <v>2408.65</v>
      </c>
      <c r="K2467">
        <f>6926.4</f>
        <v>6926.4</v>
      </c>
      <c r="L2467">
        <f>1510.68</f>
        <v>1510.68</v>
      </c>
      <c r="M2467">
        <f>6047.05</f>
        <v>6047.05</v>
      </c>
      <c r="N2467">
        <f>245.646</f>
        <v>245.64599999999999</v>
      </c>
      <c r="O2467">
        <f>2213.72</f>
        <v>2213.7199999999998</v>
      </c>
      <c r="P2467">
        <f>147.25</f>
        <v>147.25</v>
      </c>
      <c r="Q2467">
        <f>1542.94</f>
        <v>1542.94</v>
      </c>
      <c r="R2467">
        <f>3317.75</f>
        <v>3317.75</v>
      </c>
      <c r="S2467">
        <f>1735.76</f>
        <v>1735.76</v>
      </c>
      <c r="T2467">
        <f>2686.358</f>
        <v>2686.3580000000002</v>
      </c>
      <c r="U2467">
        <f>46442.45</f>
        <v>46442.45</v>
      </c>
      <c r="V2467">
        <f>309.22</f>
        <v>309.22000000000003</v>
      </c>
    </row>
    <row r="2468" spans="1:22" x14ac:dyDescent="0.2">
      <c r="A2468" s="1">
        <v>41653</v>
      </c>
      <c r="B2468">
        <f>2789.25</f>
        <v>2789.25</v>
      </c>
      <c r="C2468">
        <f>8729.24</f>
        <v>8729.24</v>
      </c>
      <c r="D2468">
        <f>4933.37</f>
        <v>4933.37</v>
      </c>
      <c r="E2468">
        <f>1903.161</f>
        <v>1903.1610000000001</v>
      </c>
      <c r="F2468">
        <f>1831.51</f>
        <v>1831.51</v>
      </c>
      <c r="G2468">
        <f>8262.353</f>
        <v>8262.3529999999992</v>
      </c>
      <c r="H2468">
        <f>2302.76</f>
        <v>2302.7600000000002</v>
      </c>
      <c r="I2468">
        <f>8724.257</f>
        <v>8724.2569999999996</v>
      </c>
      <c r="J2468">
        <f>2400.5</f>
        <v>2400.5</v>
      </c>
      <c r="K2468">
        <f>6890.67</f>
        <v>6890.67</v>
      </c>
      <c r="L2468">
        <f>1508.08</f>
        <v>1508.08</v>
      </c>
      <c r="M2468">
        <f>6016.53</f>
        <v>6016.53</v>
      </c>
      <c r="N2468">
        <f>244.488</f>
        <v>244.488</v>
      </c>
      <c r="O2468">
        <f>2189.24</f>
        <v>2189.2399999999998</v>
      </c>
      <c r="P2468">
        <f>145.31</f>
        <v>145.31</v>
      </c>
      <c r="Q2468">
        <f>1540.7</f>
        <v>1540.7</v>
      </c>
      <c r="R2468">
        <f>3300.61</f>
        <v>3300.61</v>
      </c>
      <c r="S2468">
        <f>1701.65</f>
        <v>1701.65</v>
      </c>
      <c r="T2468">
        <f>2675.787</f>
        <v>2675.7869999999998</v>
      </c>
      <c r="U2468">
        <f>45982.07</f>
        <v>45982.07</v>
      </c>
      <c r="V2468">
        <f>306.33</f>
        <v>306.33</v>
      </c>
    </row>
    <row r="2469" spans="1:22" x14ac:dyDescent="0.2">
      <c r="A2469" s="1">
        <v>41652</v>
      </c>
      <c r="B2469">
        <f>2787.99</f>
        <v>2787.99</v>
      </c>
      <c r="C2469">
        <f>8767.08</f>
        <v>8767.08</v>
      </c>
      <c r="D2469">
        <f>4926.29</f>
        <v>4926.29</v>
      </c>
      <c r="E2469">
        <f>1907.341</f>
        <v>1907.3409999999999</v>
      </c>
      <c r="F2469">
        <f>1813.29</f>
        <v>1813.29</v>
      </c>
      <c r="G2469">
        <f>8211.435</f>
        <v>8211.4349999999995</v>
      </c>
      <c r="H2469">
        <f>2341.45</f>
        <v>2341.4499999999998</v>
      </c>
      <c r="I2469">
        <f>8696.954</f>
        <v>8696.9539999999997</v>
      </c>
      <c r="J2469">
        <f>2378.42</f>
        <v>2378.42</v>
      </c>
      <c r="K2469">
        <f>6816.13</f>
        <v>6816.13</v>
      </c>
      <c r="L2469">
        <f>1503.75</f>
        <v>1503.75</v>
      </c>
      <c r="M2469">
        <f>5993.43</f>
        <v>5993.43</v>
      </c>
      <c r="N2469">
        <f>244.036</f>
        <v>244.036</v>
      </c>
      <c r="O2469">
        <f>2185.98</f>
        <v>2185.98</v>
      </c>
      <c r="P2469" t="e">
        <f>NA()</f>
        <v>#N/A</v>
      </c>
      <c r="Q2469">
        <f>1526.97</f>
        <v>1526.97</v>
      </c>
      <c r="R2469">
        <f>3265.27</f>
        <v>3265.27</v>
      </c>
      <c r="S2469" t="e">
        <f>NA()</f>
        <v>#N/A</v>
      </c>
      <c r="T2469">
        <f>2690.281</f>
        <v>2690.2809999999999</v>
      </c>
      <c r="U2469">
        <f>46030.25</f>
        <v>46030.25</v>
      </c>
      <c r="V2469">
        <f>309.46</f>
        <v>309.45999999999998</v>
      </c>
    </row>
    <row r="2470" spans="1:22" x14ac:dyDescent="0.2">
      <c r="A2470" s="1">
        <v>41649</v>
      </c>
      <c r="B2470">
        <f>2776.96</f>
        <v>2776.96</v>
      </c>
      <c r="C2470">
        <f>8722.16</f>
        <v>8722.16</v>
      </c>
      <c r="D2470">
        <f>4913.75</f>
        <v>4913.75</v>
      </c>
      <c r="E2470">
        <f>1893.068</f>
        <v>1893.068</v>
      </c>
      <c r="F2470">
        <f>1833.42</f>
        <v>1833.42</v>
      </c>
      <c r="G2470">
        <f>8242.198</f>
        <v>8242.1980000000003</v>
      </c>
      <c r="H2470">
        <f>2323.92</f>
        <v>2323.92</v>
      </c>
      <c r="I2470">
        <f>8668.537</f>
        <v>8668.5370000000003</v>
      </c>
      <c r="J2470">
        <f>2398.01</f>
        <v>2398.0100000000002</v>
      </c>
      <c r="K2470">
        <f>6903.75</f>
        <v>6903.75</v>
      </c>
      <c r="L2470">
        <f>1505.93</f>
        <v>1505.93</v>
      </c>
      <c r="M2470">
        <f>6028.42</f>
        <v>6028.42</v>
      </c>
      <c r="N2470">
        <f>244.603</f>
        <v>244.60300000000001</v>
      </c>
      <c r="O2470">
        <f>2180.29</f>
        <v>2180.29</v>
      </c>
      <c r="P2470">
        <f>147.29</f>
        <v>147.29</v>
      </c>
      <c r="Q2470">
        <f>1546.55</f>
        <v>1546.55</v>
      </c>
      <c r="R2470">
        <f>3306.49</f>
        <v>3306.49</v>
      </c>
      <c r="S2470">
        <f>1741.08</f>
        <v>1741.08</v>
      </c>
      <c r="T2470">
        <f>2663.289</f>
        <v>2663.2890000000002</v>
      </c>
      <c r="U2470">
        <f>45548.15</f>
        <v>45548.15</v>
      </c>
      <c r="V2470">
        <f>306.06</f>
        <v>306.06</v>
      </c>
    </row>
    <row r="2471" spans="1:22" x14ac:dyDescent="0.2">
      <c r="A2471" s="1">
        <v>41648</v>
      </c>
      <c r="B2471">
        <f>2755.26</f>
        <v>2755.26</v>
      </c>
      <c r="C2471">
        <f>8656.44</f>
        <v>8656.44</v>
      </c>
      <c r="D2471">
        <f>4878.32</f>
        <v>4878.32</v>
      </c>
      <c r="E2471">
        <f>1879.333</f>
        <v>1879.3330000000001</v>
      </c>
      <c r="F2471">
        <f>1820.42</f>
        <v>1820.42</v>
      </c>
      <c r="G2471">
        <f>8171.649</f>
        <v>8171.6490000000003</v>
      </c>
      <c r="H2471">
        <f>2307.62</f>
        <v>2307.62</v>
      </c>
      <c r="I2471">
        <f>8564.656</f>
        <v>8564.6560000000009</v>
      </c>
      <c r="J2471">
        <f>2392.87</f>
        <v>2392.87</v>
      </c>
      <c r="K2471">
        <f>6887.3</f>
        <v>6887.3</v>
      </c>
      <c r="L2471">
        <f>1497.33</f>
        <v>1497.33</v>
      </c>
      <c r="M2471">
        <f>5996.58</f>
        <v>5996.58</v>
      </c>
      <c r="N2471">
        <f>243.36</f>
        <v>243.36</v>
      </c>
      <c r="O2471">
        <f>2169.94</f>
        <v>2169.94</v>
      </c>
      <c r="P2471">
        <f>147.16</f>
        <v>147.16</v>
      </c>
      <c r="Q2471">
        <f>1538.46</f>
        <v>1538.46</v>
      </c>
      <c r="R2471">
        <f>3298.87</f>
        <v>3298.87</v>
      </c>
      <c r="S2471">
        <f>1738.75</f>
        <v>1738.75</v>
      </c>
      <c r="T2471">
        <f>2649.732</f>
        <v>2649.732</v>
      </c>
      <c r="U2471">
        <f>45444.59</f>
        <v>45444.59</v>
      </c>
      <c r="V2471">
        <f>304.65</f>
        <v>304.64999999999998</v>
      </c>
    </row>
    <row r="2472" spans="1:22" x14ac:dyDescent="0.2">
      <c r="A2472" s="1">
        <v>41647</v>
      </c>
      <c r="B2472">
        <f>2766.14</f>
        <v>2766.14</v>
      </c>
      <c r="C2472">
        <f>8765.19</f>
        <v>8765.19</v>
      </c>
      <c r="D2472">
        <f>4900.5</f>
        <v>4900.5</v>
      </c>
      <c r="E2472">
        <f>1898.93</f>
        <v>1898.93</v>
      </c>
      <c r="F2472">
        <f>1823.37</f>
        <v>1823.37</v>
      </c>
      <c r="G2472">
        <f>8213.426</f>
        <v>8213.4259999999995</v>
      </c>
      <c r="H2472">
        <f>2325.66</f>
        <v>2325.66</v>
      </c>
      <c r="I2472">
        <f>8611.351</f>
        <v>8611.3510000000006</v>
      </c>
      <c r="J2472">
        <f>2393.84</f>
        <v>2393.84</v>
      </c>
      <c r="K2472">
        <f>6886.09</f>
        <v>6886.09</v>
      </c>
      <c r="L2472">
        <f>1502.21</f>
        <v>1502.21</v>
      </c>
      <c r="M2472">
        <f>6010.41</f>
        <v>6010.41</v>
      </c>
      <c r="N2472">
        <f>243.553</f>
        <v>243.553</v>
      </c>
      <c r="O2472">
        <f>2180.11</f>
        <v>2180.11</v>
      </c>
      <c r="P2472">
        <f>147.97</f>
        <v>147.97</v>
      </c>
      <c r="Q2472">
        <f>1535.84</f>
        <v>1535.84</v>
      </c>
      <c r="R2472">
        <f>3297.74</f>
        <v>3297.74</v>
      </c>
      <c r="S2472">
        <f>1751.47</f>
        <v>1751.47</v>
      </c>
      <c r="T2472">
        <f>2657.42</f>
        <v>2657.42</v>
      </c>
      <c r="U2472">
        <f>45696.97</f>
        <v>45696.97</v>
      </c>
      <c r="V2472">
        <f>306.37</f>
        <v>306.37</v>
      </c>
    </row>
    <row r="2473" spans="1:22" x14ac:dyDescent="0.2">
      <c r="A2473" s="1">
        <v>41646</v>
      </c>
      <c r="B2473">
        <f>2782.71</f>
        <v>2782.71</v>
      </c>
      <c r="C2473">
        <f>8757.57</f>
        <v>8757.57</v>
      </c>
      <c r="D2473">
        <f>4924.86</f>
        <v>4924.8599999999997</v>
      </c>
      <c r="E2473">
        <f>1895.632</f>
        <v>1895.6320000000001</v>
      </c>
      <c r="F2473">
        <f>1829.02</f>
        <v>1829.02</v>
      </c>
      <c r="G2473">
        <f>8219.381</f>
        <v>8219.3809999999994</v>
      </c>
      <c r="H2473">
        <f>2292.46</f>
        <v>2292.46</v>
      </c>
      <c r="I2473">
        <f>8600.693</f>
        <v>8600.6929999999993</v>
      </c>
      <c r="J2473">
        <f>2405.4</f>
        <v>2405.4</v>
      </c>
      <c r="K2473">
        <f>6885.07</f>
        <v>6885.07</v>
      </c>
      <c r="L2473">
        <f>1505.7</f>
        <v>1505.7</v>
      </c>
      <c r="M2473">
        <f>6000.26</f>
        <v>6000.26</v>
      </c>
      <c r="N2473">
        <f>243.798</f>
        <v>243.798</v>
      </c>
      <c r="O2473">
        <f>2177.74</f>
        <v>2177.7399999999998</v>
      </c>
      <c r="P2473">
        <f>145.74</f>
        <v>145.74</v>
      </c>
      <c r="Q2473">
        <f>1539.26</f>
        <v>1539.26</v>
      </c>
      <c r="R2473">
        <f>3297.45</f>
        <v>3297.45</v>
      </c>
      <c r="S2473">
        <f>1720.65</f>
        <v>1720.65</v>
      </c>
      <c r="T2473">
        <f>2673.943</f>
        <v>2673.9430000000002</v>
      </c>
      <c r="U2473">
        <f>45867.52</f>
        <v>45867.519999999997</v>
      </c>
      <c r="V2473">
        <f>308.68</f>
        <v>308.68</v>
      </c>
    </row>
    <row r="2474" spans="1:22" x14ac:dyDescent="0.2">
      <c r="A2474" s="1">
        <v>41645</v>
      </c>
      <c r="B2474">
        <f>2778.65</f>
        <v>2778.65</v>
      </c>
      <c r="C2474">
        <f>8756.58</f>
        <v>8756.58</v>
      </c>
      <c r="D2474">
        <f>4906.85</f>
        <v>4906.8500000000004</v>
      </c>
      <c r="E2474">
        <f>1897.46</f>
        <v>1897.46</v>
      </c>
      <c r="F2474">
        <f>1833.59</f>
        <v>1833.59</v>
      </c>
      <c r="G2474">
        <f>8197.474</f>
        <v>8197.4740000000002</v>
      </c>
      <c r="H2474">
        <f>2305.52</f>
        <v>2305.52</v>
      </c>
      <c r="I2474">
        <f>8551.361</f>
        <v>8551.3610000000008</v>
      </c>
      <c r="J2474">
        <f>2391.62</f>
        <v>2391.62</v>
      </c>
      <c r="K2474">
        <f>6841.18</f>
        <v>6841.18</v>
      </c>
      <c r="L2474">
        <f>1502.96</f>
        <v>1502.96</v>
      </c>
      <c r="M2474">
        <f>5976.59</f>
        <v>5976.59</v>
      </c>
      <c r="N2474">
        <f>243.712</f>
        <v>243.71199999999999</v>
      </c>
      <c r="O2474">
        <f>2161.03</f>
        <v>2161.0300000000002</v>
      </c>
      <c r="P2474">
        <f>146.78</f>
        <v>146.78</v>
      </c>
      <c r="Q2474">
        <f>1530.96</f>
        <v>1530.96</v>
      </c>
      <c r="R2474">
        <f>3277.48</f>
        <v>3277.48</v>
      </c>
      <c r="S2474">
        <f>1732.58</f>
        <v>1732.58</v>
      </c>
      <c r="T2474">
        <f>2657.087</f>
        <v>2657.087</v>
      </c>
      <c r="U2474">
        <f>45897.44</f>
        <v>45897.440000000002</v>
      </c>
      <c r="V2474">
        <f>307.8</f>
        <v>307.8</v>
      </c>
    </row>
    <row r="2475" spans="1:22" x14ac:dyDescent="0.2">
      <c r="A2475" s="1">
        <v>41642</v>
      </c>
      <c r="B2475">
        <f>2774.49</f>
        <v>2774.49</v>
      </c>
      <c r="C2475">
        <f>8854.76</f>
        <v>8854.76</v>
      </c>
      <c r="D2475">
        <f>4906.8</f>
        <v>4906.8</v>
      </c>
      <c r="E2475">
        <f>1911.167</f>
        <v>1911.1669999999999</v>
      </c>
      <c r="F2475">
        <f>1833.3</f>
        <v>1833.3</v>
      </c>
      <c r="G2475">
        <f>8213.309</f>
        <v>8213.3089999999993</v>
      </c>
      <c r="H2475">
        <f>2323.24</f>
        <v>2323.2399999999998</v>
      </c>
      <c r="I2475">
        <f>8544.669</f>
        <v>8544.6689999999999</v>
      </c>
      <c r="J2475">
        <f>2398.83</f>
        <v>2398.83</v>
      </c>
      <c r="K2475">
        <f>6858.64</f>
        <v>6858.64</v>
      </c>
      <c r="L2475">
        <f>1507.72</f>
        <v>1507.72</v>
      </c>
      <c r="M2475">
        <f>5994.35</f>
        <v>5994.35</v>
      </c>
      <c r="N2475">
        <f>244.036</f>
        <v>244.036</v>
      </c>
      <c r="O2475">
        <f>2165.13</f>
        <v>2165.13</v>
      </c>
      <c r="P2475" t="e">
        <f>NA()</f>
        <v>#N/A</v>
      </c>
      <c r="Q2475">
        <f>1537.25</f>
        <v>1537.25</v>
      </c>
      <c r="R2475">
        <f>3285.68</f>
        <v>3285.68</v>
      </c>
      <c r="S2475" t="e">
        <f>NA()</f>
        <v>#N/A</v>
      </c>
      <c r="T2475">
        <f>2680.299</f>
        <v>2680.299</v>
      </c>
      <c r="U2475">
        <f>46206.09</f>
        <v>46206.09</v>
      </c>
      <c r="V2475">
        <f>311.68</f>
        <v>311.68</v>
      </c>
    </row>
    <row r="2476" spans="1:22" x14ac:dyDescent="0.2">
      <c r="A2476" s="1">
        <v>41641</v>
      </c>
      <c r="B2476">
        <f>2761.7</f>
        <v>2761.7</v>
      </c>
      <c r="C2476">
        <f>8968.26</f>
        <v>8968.26</v>
      </c>
      <c r="D2476">
        <f>4897.49</f>
        <v>4897.49</v>
      </c>
      <c r="E2476">
        <f>1933.177</f>
        <v>1933.1769999999999</v>
      </c>
      <c r="F2476">
        <f>1828.34</f>
        <v>1828.34</v>
      </c>
      <c r="G2476">
        <f>8197.183</f>
        <v>8197.1830000000009</v>
      </c>
      <c r="H2476">
        <f>2311.07</f>
        <v>2311.0700000000002</v>
      </c>
      <c r="I2476">
        <f>8526.186</f>
        <v>8526.1859999999997</v>
      </c>
      <c r="J2476">
        <f>2400.33</f>
        <v>2400.33</v>
      </c>
      <c r="K2476">
        <f>6861.38</f>
        <v>6861.38</v>
      </c>
      <c r="L2476">
        <f>1506.06</f>
        <v>1506.06</v>
      </c>
      <c r="M2476">
        <f>5991.07</f>
        <v>5991.07</v>
      </c>
      <c r="N2476">
        <f>242.311</f>
        <v>242.31100000000001</v>
      </c>
      <c r="O2476">
        <f>2153.12</f>
        <v>2153.12</v>
      </c>
      <c r="P2476" t="e">
        <f>NA()</f>
        <v>#N/A</v>
      </c>
      <c r="Q2476">
        <f>1534.97</f>
        <v>1534.97</v>
      </c>
      <c r="R2476">
        <f>3286.69</f>
        <v>3286.69</v>
      </c>
      <c r="S2476" t="e">
        <f>NA()</f>
        <v>#N/A</v>
      </c>
      <c r="T2476">
        <f>2701.164</f>
        <v>2701.1640000000002</v>
      </c>
      <c r="U2476">
        <f>46589.7</f>
        <v>46589.7</v>
      </c>
      <c r="V2476">
        <f>313.3</f>
        <v>313.3</v>
      </c>
    </row>
    <row r="2477" spans="1:22" x14ac:dyDescent="0.2">
      <c r="A2477" s="1">
        <v>41640</v>
      </c>
      <c r="B2477">
        <f>2779.87</f>
        <v>2779.87</v>
      </c>
      <c r="C2477">
        <f>9083.94</f>
        <v>9083.94</v>
      </c>
      <c r="D2477">
        <f>4920.23</f>
        <v>4920.2299999999996</v>
      </c>
      <c r="E2477">
        <f>1956.164</f>
        <v>1956.164</v>
      </c>
      <c r="F2477">
        <f>1854.63</f>
        <v>1854.63</v>
      </c>
      <c r="G2477">
        <f>8301.306</f>
        <v>8301.3060000000005</v>
      </c>
      <c r="H2477">
        <f>2309.31</f>
        <v>2309.31</v>
      </c>
      <c r="I2477">
        <f>8688.633</f>
        <v>8688.6329999999998</v>
      </c>
      <c r="J2477">
        <f>2426.01</f>
        <v>2426.0100000000002</v>
      </c>
      <c r="K2477">
        <f>6922.5</f>
        <v>6922.5</v>
      </c>
      <c r="L2477">
        <f>1523.65</f>
        <v>1523.65</v>
      </c>
      <c r="M2477">
        <f>6048.28</f>
        <v>6048.28</v>
      </c>
      <c r="N2477" t="e">
        <f>NA()</f>
        <v>#N/A</v>
      </c>
      <c r="O2477" t="e">
        <f>NA()</f>
        <v>#N/A</v>
      </c>
      <c r="P2477" t="e">
        <f>NA()</f>
        <v>#N/A</v>
      </c>
      <c r="Q2477" t="e">
        <f>NA()</f>
        <v>#N/A</v>
      </c>
      <c r="R2477" t="e">
        <f>NA()</f>
        <v>#N/A</v>
      </c>
      <c r="S2477" t="e">
        <f>NA()</f>
        <v>#N/A</v>
      </c>
      <c r="T2477" t="e">
        <f>NA()</f>
        <v>#N/A</v>
      </c>
      <c r="U2477" t="e">
        <f>NA()</f>
        <v>#N/A</v>
      </c>
      <c r="V2477" t="e">
        <f>NA()</f>
        <v>#N/A</v>
      </c>
    </row>
    <row r="2478" spans="1:22" x14ac:dyDescent="0.2">
      <c r="A2478" s="1">
        <v>41639</v>
      </c>
      <c r="B2478">
        <f>2779.87</f>
        <v>2779.87</v>
      </c>
      <c r="C2478">
        <f>9084.09</f>
        <v>9084.09</v>
      </c>
      <c r="D2478">
        <f>4920.23</f>
        <v>4920.2299999999996</v>
      </c>
      <c r="E2478">
        <f>1956.224</f>
        <v>1956.2239999999999</v>
      </c>
      <c r="F2478">
        <f>1854.63</f>
        <v>1854.63</v>
      </c>
      <c r="G2478">
        <f>8301.306</f>
        <v>8301.3060000000005</v>
      </c>
      <c r="H2478">
        <f>2309.31</f>
        <v>2309.31</v>
      </c>
      <c r="I2478">
        <f>8688.633</f>
        <v>8688.6329999999998</v>
      </c>
      <c r="J2478">
        <f>2426.01</f>
        <v>2426.0100000000002</v>
      </c>
      <c r="K2478">
        <f>6922.5</f>
        <v>6922.5</v>
      </c>
      <c r="L2478">
        <f>1523.61</f>
        <v>1523.61</v>
      </c>
      <c r="M2478">
        <f>6048.18</f>
        <v>6048.18</v>
      </c>
      <c r="N2478">
        <f>243.861</f>
        <v>243.86099999999999</v>
      </c>
      <c r="O2478">
        <f>2171.19</f>
        <v>2171.19</v>
      </c>
      <c r="P2478" t="e">
        <f>NA()</f>
        <v>#N/A</v>
      </c>
      <c r="Q2478">
        <f>1549.38</f>
        <v>1549.38</v>
      </c>
      <c r="R2478">
        <f>3315.59</f>
        <v>3315.59</v>
      </c>
      <c r="S2478" t="e">
        <f>NA()</f>
        <v>#N/A</v>
      </c>
      <c r="T2478">
        <f>2689.547</f>
        <v>2689.547</v>
      </c>
      <c r="U2478">
        <f>46256.23</f>
        <v>46256.23</v>
      </c>
      <c r="V2478">
        <f>311.79</f>
        <v>311.79000000000002</v>
      </c>
    </row>
    <row r="2479" spans="1:22" x14ac:dyDescent="0.2">
      <c r="A2479" s="1">
        <v>41638</v>
      </c>
      <c r="B2479">
        <f>2778.84</f>
        <v>2778.84</v>
      </c>
      <c r="C2479">
        <f>9070.99</f>
        <v>9070.99</v>
      </c>
      <c r="D2479">
        <f>4907.04</f>
        <v>4907.04</v>
      </c>
      <c r="E2479">
        <f>1954.679</f>
        <v>1954.6790000000001</v>
      </c>
      <c r="F2479">
        <f>1849.95</f>
        <v>1849.95</v>
      </c>
      <c r="G2479">
        <f>8260.894</f>
        <v>8260.8940000000002</v>
      </c>
      <c r="H2479">
        <f>2310.85</f>
        <v>2310.85</v>
      </c>
      <c r="I2479">
        <f>8696.001</f>
        <v>8696.0010000000002</v>
      </c>
      <c r="J2479">
        <f>2421.12</f>
        <v>2421.12</v>
      </c>
      <c r="K2479">
        <f>6893.65</f>
        <v>6893.65</v>
      </c>
      <c r="L2479">
        <f>1521.65</f>
        <v>1521.65</v>
      </c>
      <c r="M2479">
        <f>6030.14</f>
        <v>6030.14</v>
      </c>
      <c r="N2479">
        <f>242.457</f>
        <v>242.45699999999999</v>
      </c>
      <c r="O2479">
        <f>2163.31</f>
        <v>2163.31</v>
      </c>
      <c r="P2479">
        <f>147.65</f>
        <v>147.65</v>
      </c>
      <c r="Q2479">
        <f>1549.16</f>
        <v>1549.16</v>
      </c>
      <c r="R2479">
        <f>3302.3</f>
        <v>3302.3</v>
      </c>
      <c r="S2479">
        <f>1746.17</f>
        <v>1746.17</v>
      </c>
      <c r="T2479">
        <f>2684.367</f>
        <v>2684.3670000000002</v>
      </c>
      <c r="U2479">
        <f>46131.29</f>
        <v>46131.29</v>
      </c>
      <c r="V2479">
        <f>312.5</f>
        <v>312.5</v>
      </c>
    </row>
    <row r="2480" spans="1:22" x14ac:dyDescent="0.2">
      <c r="A2480" s="1">
        <v>41635</v>
      </c>
      <c r="B2480">
        <f>2784.2</f>
        <v>2784.2</v>
      </c>
      <c r="C2480">
        <f>9048.82</f>
        <v>9048.82</v>
      </c>
      <c r="D2480">
        <f>4921.33</f>
        <v>4921.33</v>
      </c>
      <c r="E2480">
        <f>1946.211</f>
        <v>1946.211</v>
      </c>
      <c r="F2480">
        <f>1853.74</f>
        <v>1853.74</v>
      </c>
      <c r="G2480">
        <f>8267.098</f>
        <v>8267.098</v>
      </c>
      <c r="H2480">
        <f>2283.84</f>
        <v>2283.84</v>
      </c>
      <c r="I2480">
        <f>8682.872</f>
        <v>8682.8719999999994</v>
      </c>
      <c r="J2480">
        <f>2420.37</f>
        <v>2420.37</v>
      </c>
      <c r="K2480">
        <f>6893.83</f>
        <v>6893.83</v>
      </c>
      <c r="L2480">
        <f>1519.27</f>
        <v>1519.27</v>
      </c>
      <c r="M2480">
        <f>6022.52</f>
        <v>6022.52</v>
      </c>
      <c r="N2480">
        <f>242.645</f>
        <v>242.64500000000001</v>
      </c>
      <c r="O2480">
        <f>2168.34</f>
        <v>2168.34</v>
      </c>
      <c r="P2480">
        <f>146.31</f>
        <v>146.31</v>
      </c>
      <c r="Q2480">
        <f>1547.03</f>
        <v>1547.03</v>
      </c>
      <c r="R2480">
        <f>3302.66</f>
        <v>3302.66</v>
      </c>
      <c r="S2480">
        <f>1729.8</f>
        <v>1729.8</v>
      </c>
      <c r="T2480">
        <f>2669.138</f>
        <v>2669.1379999999999</v>
      </c>
      <c r="U2480">
        <f>45735.26</f>
        <v>45735.26</v>
      </c>
      <c r="V2480">
        <f>309.22</f>
        <v>309.22000000000003</v>
      </c>
    </row>
    <row r="2481" spans="1:22" x14ac:dyDescent="0.2">
      <c r="A2481" s="1">
        <v>41634</v>
      </c>
      <c r="B2481">
        <f>2765.61</f>
        <v>2765.61</v>
      </c>
      <c r="C2481">
        <f>9038.26</f>
        <v>9038.26</v>
      </c>
      <c r="D2481">
        <f>4879.99</f>
        <v>4879.99</v>
      </c>
      <c r="E2481">
        <f>1937.617</f>
        <v>1937.617</v>
      </c>
      <c r="F2481">
        <f>1832.72</f>
        <v>1832.72</v>
      </c>
      <c r="G2481">
        <f>8165.116</f>
        <v>8165.116</v>
      </c>
      <c r="H2481">
        <f>2276.13</f>
        <v>2276.13</v>
      </c>
      <c r="I2481">
        <f>8524.186</f>
        <v>8524.1859999999997</v>
      </c>
      <c r="J2481">
        <f>2417.52</f>
        <v>2417.52</v>
      </c>
      <c r="K2481">
        <f>6895.01</f>
        <v>6895.01</v>
      </c>
      <c r="L2481">
        <f>1506.68</f>
        <v>1506.68</v>
      </c>
      <c r="M2481">
        <f>5992.85</f>
        <v>5992.85</v>
      </c>
      <c r="N2481" t="e">
        <f>NA()</f>
        <v>#N/A</v>
      </c>
      <c r="O2481" t="e">
        <f>NA()</f>
        <v>#N/A</v>
      </c>
      <c r="P2481">
        <f>144.97</f>
        <v>144.97</v>
      </c>
      <c r="Q2481">
        <f>1545.09</f>
        <v>1545.09</v>
      </c>
      <c r="R2481">
        <f>3303.15</f>
        <v>3303.15</v>
      </c>
      <c r="S2481">
        <f>1715.41</f>
        <v>1715.41</v>
      </c>
      <c r="T2481" t="e">
        <f>NA()</f>
        <v>#N/A</v>
      </c>
      <c r="U2481" t="e">
        <f>NA()</f>
        <v>#N/A</v>
      </c>
      <c r="V2481" t="e">
        <f>NA()</f>
        <v>#N/A</v>
      </c>
    </row>
    <row r="2482" spans="1:22" x14ac:dyDescent="0.2">
      <c r="A2482" s="1">
        <v>41633</v>
      </c>
      <c r="B2482">
        <f>2765.61</f>
        <v>2765.61</v>
      </c>
      <c r="C2482">
        <f>9046.95</f>
        <v>9046.9500000000007</v>
      </c>
      <c r="D2482">
        <f>4879.99</f>
        <v>4879.99</v>
      </c>
      <c r="E2482">
        <f>1940.609</f>
        <v>1940.6089999999999</v>
      </c>
      <c r="F2482">
        <f>1827.09</f>
        <v>1827.09</v>
      </c>
      <c r="G2482">
        <f>8140.014</f>
        <v>8140.0140000000001</v>
      </c>
      <c r="H2482">
        <f>2258.38</f>
        <v>2258.38</v>
      </c>
      <c r="I2482">
        <f>8508.632</f>
        <v>8508.6319999999996</v>
      </c>
      <c r="J2482">
        <f>2404.57</f>
        <v>2404.5700000000002</v>
      </c>
      <c r="K2482">
        <f>6863.13</f>
        <v>6863.13</v>
      </c>
      <c r="L2482">
        <f>1502.19</f>
        <v>1502.19</v>
      </c>
      <c r="M2482">
        <f>5968.56</f>
        <v>5968.56</v>
      </c>
      <c r="N2482" t="e">
        <f>NA()</f>
        <v>#N/A</v>
      </c>
      <c r="O2482" t="e">
        <f>NA()</f>
        <v>#N/A</v>
      </c>
      <c r="P2482">
        <f>142.82</f>
        <v>142.82</v>
      </c>
      <c r="Q2482" t="e">
        <f>NA()</f>
        <v>#N/A</v>
      </c>
      <c r="R2482" t="e">
        <f>NA()</f>
        <v>#N/A</v>
      </c>
      <c r="S2482">
        <f>1685.73</f>
        <v>1685.73</v>
      </c>
      <c r="T2482" t="e">
        <f>NA()</f>
        <v>#N/A</v>
      </c>
      <c r="U2482" t="e">
        <f>NA()</f>
        <v>#N/A</v>
      </c>
      <c r="V2482" t="e">
        <f>NA()</f>
        <v>#N/A</v>
      </c>
    </row>
    <row r="2483" spans="1:22" x14ac:dyDescent="0.2">
      <c r="A2483" s="1">
        <v>41632</v>
      </c>
      <c r="B2483">
        <f>2765.61</f>
        <v>2765.61</v>
      </c>
      <c r="C2483">
        <f>9049.6</f>
        <v>9049.6</v>
      </c>
      <c r="D2483">
        <f>4879.99</f>
        <v>4879.99</v>
      </c>
      <c r="E2483">
        <f>1941.542</f>
        <v>1941.5419999999999</v>
      </c>
      <c r="F2483">
        <f>1827.09</f>
        <v>1827.09</v>
      </c>
      <c r="G2483">
        <f>8140.014</f>
        <v>8140.0140000000001</v>
      </c>
      <c r="H2483">
        <f>2257.14</f>
        <v>2257.14</v>
      </c>
      <c r="I2483">
        <f>8508.632</f>
        <v>8508.6319999999996</v>
      </c>
      <c r="J2483">
        <f>2404.57</f>
        <v>2404.5700000000002</v>
      </c>
      <c r="K2483">
        <f>6863.13</f>
        <v>6863.13</v>
      </c>
      <c r="L2483">
        <f>1502.13</f>
        <v>1502.13</v>
      </c>
      <c r="M2483">
        <f>5968.28</f>
        <v>5968.28</v>
      </c>
      <c r="N2483">
        <f>240.301</f>
        <v>240.30099999999999</v>
      </c>
      <c r="O2483">
        <f>2144.01</f>
        <v>2144.0100000000002</v>
      </c>
      <c r="P2483">
        <f>143.14</f>
        <v>143.13999999999999</v>
      </c>
      <c r="Q2483">
        <f>1537.75</f>
        <v>1537.75</v>
      </c>
      <c r="R2483">
        <f>3287.55</f>
        <v>3287.55</v>
      </c>
      <c r="S2483">
        <f>1684.88</f>
        <v>1684.88</v>
      </c>
      <c r="T2483">
        <f>2650.862</f>
        <v>2650.8620000000001</v>
      </c>
      <c r="U2483">
        <f>44912.8</f>
        <v>44912.800000000003</v>
      </c>
      <c r="V2483">
        <f>306.22</f>
        <v>306.22000000000003</v>
      </c>
    </row>
    <row r="2484" spans="1:22" x14ac:dyDescent="0.2">
      <c r="A2484" s="1">
        <v>41631</v>
      </c>
      <c r="B2484">
        <f>2758.83</f>
        <v>2758.83</v>
      </c>
      <c r="C2484">
        <f>9011.8</f>
        <v>9011.7999999999993</v>
      </c>
      <c r="D2484">
        <f>4868.65</f>
        <v>4868.6499999999996</v>
      </c>
      <c r="E2484">
        <f>1936.336</f>
        <v>1936.336</v>
      </c>
      <c r="F2484">
        <f>1819.4</f>
        <v>1819.4</v>
      </c>
      <c r="G2484">
        <f>8111.779</f>
        <v>8111.7790000000005</v>
      </c>
      <c r="H2484">
        <f>2262.52</f>
        <v>2262.52</v>
      </c>
      <c r="I2484">
        <f>8526.713</f>
        <v>8526.7129999999997</v>
      </c>
      <c r="J2484">
        <f>2396.61</f>
        <v>2396.61</v>
      </c>
      <c r="K2484">
        <f>6841.73</f>
        <v>6841.73</v>
      </c>
      <c r="L2484">
        <f>1500.06</f>
        <v>1500.06</v>
      </c>
      <c r="M2484">
        <f>5959.29</f>
        <v>5959.29</v>
      </c>
      <c r="N2484">
        <f>239.122</f>
        <v>239.12200000000001</v>
      </c>
      <c r="O2484">
        <f>2139.11</f>
        <v>2139.11</v>
      </c>
      <c r="P2484" t="e">
        <f>NA()</f>
        <v>#N/A</v>
      </c>
      <c r="Q2484">
        <f>1532.06</f>
        <v>1532.06</v>
      </c>
      <c r="R2484">
        <f>3277.62</f>
        <v>3277.62</v>
      </c>
      <c r="S2484" t="e">
        <f>NA()</f>
        <v>#N/A</v>
      </c>
      <c r="T2484">
        <f>2649.312</f>
        <v>2649.3119999999999</v>
      </c>
      <c r="U2484">
        <f>44753.19</f>
        <v>44753.19</v>
      </c>
      <c r="V2484">
        <f>307.06</f>
        <v>307.06</v>
      </c>
    </row>
    <row r="2485" spans="1:22" x14ac:dyDescent="0.2">
      <c r="A2485" s="1">
        <v>41628</v>
      </c>
      <c r="B2485">
        <f>2731.01</f>
        <v>2731.01</v>
      </c>
      <c r="C2485">
        <f>8983.54</f>
        <v>8983.5400000000009</v>
      </c>
      <c r="D2485">
        <f>4815.28</f>
        <v>4815.28</v>
      </c>
      <c r="E2485">
        <f>1927.189</f>
        <v>1927.1890000000001</v>
      </c>
      <c r="F2485">
        <f>1802.52</f>
        <v>1802.52</v>
      </c>
      <c r="G2485">
        <f>8020.684</f>
        <v>8020.6840000000002</v>
      </c>
      <c r="H2485">
        <f>2260.34</f>
        <v>2260.34</v>
      </c>
      <c r="I2485">
        <f>8449.22</f>
        <v>8449.2199999999993</v>
      </c>
      <c r="J2485">
        <f>2387.85</f>
        <v>2387.85</v>
      </c>
      <c r="K2485">
        <f>6805.04</f>
        <v>6805.04</v>
      </c>
      <c r="L2485">
        <f>1490.3</f>
        <v>1490.3</v>
      </c>
      <c r="M2485">
        <f>5919.65</f>
        <v>5919.65</v>
      </c>
      <c r="N2485">
        <f>237.526</f>
        <v>237.52600000000001</v>
      </c>
      <c r="O2485">
        <f>2123.64</f>
        <v>2123.64</v>
      </c>
      <c r="P2485">
        <f>143.82</f>
        <v>143.82</v>
      </c>
      <c r="Q2485">
        <f>1528.97</f>
        <v>1528.97</v>
      </c>
      <c r="R2485">
        <f>3259.79</f>
        <v>3259.79</v>
      </c>
      <c r="S2485">
        <f>1690.36</f>
        <v>1690.36</v>
      </c>
      <c r="T2485">
        <f>2640.995</f>
        <v>2640.9949999999999</v>
      </c>
      <c r="U2485">
        <f>44574.25</f>
        <v>44574.25</v>
      </c>
      <c r="V2485">
        <f>306.5</f>
        <v>306.5</v>
      </c>
    </row>
    <row r="2486" spans="1:22" x14ac:dyDescent="0.2">
      <c r="A2486" s="1">
        <v>41627</v>
      </c>
      <c r="B2486">
        <f>2714.99</f>
        <v>2714.99</v>
      </c>
      <c r="C2486">
        <f>8978.84</f>
        <v>8978.84</v>
      </c>
      <c r="D2486">
        <f>4799.33</f>
        <v>4799.33</v>
      </c>
      <c r="E2486">
        <f>1931.826</f>
        <v>1931.826</v>
      </c>
      <c r="F2486">
        <f>1807.35</f>
        <v>1807.35</v>
      </c>
      <c r="G2486">
        <f>7999.741</f>
        <v>7999.741</v>
      </c>
      <c r="H2486">
        <f>2265.41</f>
        <v>2265.41</v>
      </c>
      <c r="I2486">
        <f>8390.93</f>
        <v>8390.93</v>
      </c>
      <c r="J2486">
        <f>2379.36</f>
        <v>2379.36</v>
      </c>
      <c r="K2486">
        <f>6769.6</f>
        <v>6769.6</v>
      </c>
      <c r="L2486">
        <f>1483.12</f>
        <v>1483.12</v>
      </c>
      <c r="M2486">
        <f>5889.53</f>
        <v>5889.53</v>
      </c>
      <c r="N2486">
        <f>236.759</f>
        <v>236.75899999999999</v>
      </c>
      <c r="O2486">
        <f>2113.86</f>
        <v>2113.86</v>
      </c>
      <c r="P2486">
        <f>143.89</f>
        <v>143.88999999999999</v>
      </c>
      <c r="Q2486">
        <f>1520.77</f>
        <v>1520.77</v>
      </c>
      <c r="R2486">
        <f>3244.15</f>
        <v>3244.15</v>
      </c>
      <c r="S2486">
        <f>1692.28</f>
        <v>1692.28</v>
      </c>
      <c r="T2486">
        <f>2626.228</f>
        <v>2626.2280000000001</v>
      </c>
      <c r="U2486">
        <f>44327.84</f>
        <v>44327.839999999997</v>
      </c>
      <c r="V2486">
        <f>301.78</f>
        <v>301.77999999999997</v>
      </c>
    </row>
    <row r="2487" spans="1:22" x14ac:dyDescent="0.2">
      <c r="A2487" s="1">
        <v>41626</v>
      </c>
      <c r="B2487">
        <f>2672.3</f>
        <v>2672.3</v>
      </c>
      <c r="C2487">
        <f>9003.88</f>
        <v>9003.8799999999992</v>
      </c>
      <c r="D2487">
        <f>4731.82</f>
        <v>4731.82</v>
      </c>
      <c r="E2487">
        <f>1935.801</f>
        <v>1935.8009999999999</v>
      </c>
      <c r="F2487">
        <f>1781.05</f>
        <v>1781.05</v>
      </c>
      <c r="G2487">
        <f>7900.569</f>
        <v>7900.5690000000004</v>
      </c>
      <c r="H2487">
        <f>2271.99</f>
        <v>2271.9899999999998</v>
      </c>
      <c r="I2487">
        <f>8314.143</f>
        <v>8314.143</v>
      </c>
      <c r="J2487">
        <f>2385.24</f>
        <v>2385.2399999999998</v>
      </c>
      <c r="K2487">
        <f>6774.99</f>
        <v>6774.99</v>
      </c>
      <c r="L2487">
        <f>1475.57</f>
        <v>1475.57</v>
      </c>
      <c r="M2487">
        <f>5872.13</f>
        <v>5872.13</v>
      </c>
      <c r="N2487">
        <f>231.804</f>
        <v>231.804</v>
      </c>
      <c r="O2487">
        <f>2075.48</f>
        <v>2075.48</v>
      </c>
      <c r="P2487">
        <f>142.97</f>
        <v>142.97</v>
      </c>
      <c r="Q2487">
        <f>1524.42</f>
        <v>1524.42</v>
      </c>
      <c r="R2487">
        <f>3245.59</f>
        <v>3245.59</v>
      </c>
      <c r="S2487">
        <f>1675.43</f>
        <v>1675.43</v>
      </c>
      <c r="T2487">
        <f>2606.745</f>
        <v>2606.7449999999999</v>
      </c>
      <c r="U2487">
        <f>43925.38</f>
        <v>43925.38</v>
      </c>
      <c r="V2487">
        <f>299.22</f>
        <v>299.22000000000003</v>
      </c>
    </row>
    <row r="2488" spans="1:22" x14ac:dyDescent="0.2">
      <c r="A2488" s="1">
        <v>41625</v>
      </c>
      <c r="B2488">
        <f>2677.57</f>
        <v>2677.57</v>
      </c>
      <c r="C2488">
        <f>8997.41</f>
        <v>8997.41</v>
      </c>
      <c r="D2488">
        <f>4727.3</f>
        <v>4727.3</v>
      </c>
      <c r="E2488">
        <f>1931.345</f>
        <v>1931.345</v>
      </c>
      <c r="F2488">
        <f>1761.59</f>
        <v>1761.59</v>
      </c>
      <c r="G2488">
        <f>7820.157</f>
        <v>7820.1570000000002</v>
      </c>
      <c r="H2488">
        <f>2257.7</f>
        <v>2257.6999999999998</v>
      </c>
      <c r="I2488">
        <f>8222.019</f>
        <v>8222.0190000000002</v>
      </c>
      <c r="J2488">
        <f>2349.64</f>
        <v>2349.64</v>
      </c>
      <c r="K2488">
        <f>6665.92</f>
        <v>6665.92</v>
      </c>
      <c r="L2488">
        <f>1460.2</f>
        <v>1460.2</v>
      </c>
      <c r="M2488">
        <f>5795.67</f>
        <v>5795.67</v>
      </c>
      <c r="N2488">
        <f>230.275</f>
        <v>230.27500000000001</v>
      </c>
      <c r="O2488">
        <f>2057.95</f>
        <v>2057.9499999999998</v>
      </c>
      <c r="P2488">
        <f>141.84</f>
        <v>141.84</v>
      </c>
      <c r="Q2488">
        <f>1496.37</f>
        <v>1496.37</v>
      </c>
      <c r="R2488">
        <f>3192.33</f>
        <v>3192.33</v>
      </c>
      <c r="S2488">
        <f>1651.06</f>
        <v>1651.06</v>
      </c>
      <c r="T2488">
        <f>2601.57</f>
        <v>2601.5700000000002</v>
      </c>
      <c r="U2488">
        <f>43848.95</f>
        <v>43848.95</v>
      </c>
      <c r="V2488">
        <f>300.62</f>
        <v>300.62</v>
      </c>
    </row>
    <row r="2489" spans="1:22" x14ac:dyDescent="0.2">
      <c r="A2489" s="1">
        <v>41624</v>
      </c>
      <c r="B2489">
        <f>2691.16</f>
        <v>2691.16</v>
      </c>
      <c r="C2489">
        <f>8973.25</f>
        <v>8973.25</v>
      </c>
      <c r="D2489">
        <f>4753.54</f>
        <v>4753.54</v>
      </c>
      <c r="E2489">
        <f>1931.132</f>
        <v>1931.1320000000001</v>
      </c>
      <c r="F2489">
        <f>1776.48</f>
        <v>1776.48</v>
      </c>
      <c r="G2489">
        <f>7890.036</f>
        <v>7890.0360000000001</v>
      </c>
      <c r="H2489">
        <f>2238.95</f>
        <v>2238.9499999999998</v>
      </c>
      <c r="I2489">
        <f>8299.612</f>
        <v>8299.6119999999992</v>
      </c>
      <c r="J2489">
        <f>2357.76</f>
        <v>2357.7600000000002</v>
      </c>
      <c r="K2489">
        <f>6684.3</f>
        <v>6684.3</v>
      </c>
      <c r="L2489">
        <f>1466.12</f>
        <v>1466.12</v>
      </c>
      <c r="M2489">
        <f>5815.4</f>
        <v>5815.4</v>
      </c>
      <c r="N2489">
        <f>231.543</f>
        <v>231.54300000000001</v>
      </c>
      <c r="O2489">
        <f>2074.57</f>
        <v>2074.5700000000002</v>
      </c>
      <c r="P2489">
        <f>140.52</f>
        <v>140.52000000000001</v>
      </c>
      <c r="Q2489">
        <f>1500.53</f>
        <v>1500.53</v>
      </c>
      <c r="R2489">
        <f>3202.22</f>
        <v>3202.22</v>
      </c>
      <c r="S2489">
        <f>1638.53</f>
        <v>1638.53</v>
      </c>
      <c r="T2489" t="e">
        <f>NA()</f>
        <v>#N/A</v>
      </c>
      <c r="U2489" t="e">
        <f>NA()</f>
        <v>#N/A</v>
      </c>
      <c r="V2489" t="e">
        <f>NA()</f>
        <v>#N/A</v>
      </c>
    </row>
    <row r="2490" spans="1:22" x14ac:dyDescent="0.2">
      <c r="A2490" s="1">
        <v>41621</v>
      </c>
      <c r="B2490">
        <f>2658.07</f>
        <v>2658.07</v>
      </c>
      <c r="C2490">
        <f>9013.52</f>
        <v>9013.52</v>
      </c>
      <c r="D2490">
        <f>4693.6</f>
        <v>4693.6000000000004</v>
      </c>
      <c r="E2490">
        <f>1931.275</f>
        <v>1931.2750000000001</v>
      </c>
      <c r="F2490">
        <f>1758.05</f>
        <v>1758.05</v>
      </c>
      <c r="G2490">
        <f>7783.937</f>
        <v>7783.9369999999999</v>
      </c>
      <c r="H2490">
        <f>2256.75</f>
        <v>2256.75</v>
      </c>
      <c r="I2490">
        <f>8174.819</f>
        <v>8174.8190000000004</v>
      </c>
      <c r="J2490">
        <f>2346.45</f>
        <v>2346.4499999999998</v>
      </c>
      <c r="K2490">
        <f>6642.23</f>
        <v>6642.23</v>
      </c>
      <c r="L2490">
        <f>1454.03</f>
        <v>1454.03</v>
      </c>
      <c r="M2490">
        <f>5776.72</f>
        <v>5776.72</v>
      </c>
      <c r="N2490">
        <f>229.124</f>
        <v>229.124</v>
      </c>
      <c r="O2490">
        <f>2048.66</f>
        <v>2048.66</v>
      </c>
      <c r="P2490">
        <f>141.84</f>
        <v>141.84</v>
      </c>
      <c r="Q2490">
        <f>1493.51</f>
        <v>1493.51</v>
      </c>
      <c r="R2490">
        <f>3182.07</f>
        <v>3182.07</v>
      </c>
      <c r="S2490">
        <f>1659.87</f>
        <v>1659.87</v>
      </c>
      <c r="T2490">
        <f>2574.413</f>
        <v>2574.413</v>
      </c>
      <c r="U2490">
        <f>43185.73</f>
        <v>43185.73</v>
      </c>
      <c r="V2490">
        <f>295.55</f>
        <v>295.55</v>
      </c>
    </row>
    <row r="2491" spans="1:22" x14ac:dyDescent="0.2">
      <c r="A2491" s="1">
        <v>41620</v>
      </c>
      <c r="B2491">
        <f>2655.81</f>
        <v>2655.81</v>
      </c>
      <c r="C2491">
        <f>9005.19</f>
        <v>9005.19</v>
      </c>
      <c r="D2491">
        <f>4697.46</f>
        <v>4697.46</v>
      </c>
      <c r="E2491">
        <f>1933.121</f>
        <v>1933.1210000000001</v>
      </c>
      <c r="F2491">
        <f>1761.19</f>
        <v>1761.19</v>
      </c>
      <c r="G2491">
        <f>7813.373</f>
        <v>7813.3729999999996</v>
      </c>
      <c r="H2491">
        <f>2272.49</f>
        <v>2272.4899999999998</v>
      </c>
      <c r="I2491">
        <f>8200.476</f>
        <v>8200.4760000000006</v>
      </c>
      <c r="J2491">
        <f>2351.39</f>
        <v>2351.39</v>
      </c>
      <c r="K2491">
        <f>6639.96</f>
        <v>6639.96</v>
      </c>
      <c r="L2491">
        <f>1457.58</f>
        <v>1457.58</v>
      </c>
      <c r="M2491">
        <f>5780.32</f>
        <v>5780.32</v>
      </c>
      <c r="N2491">
        <f>229.405</f>
        <v>229.405</v>
      </c>
      <c r="O2491">
        <f>2050.61</f>
        <v>2050.61</v>
      </c>
      <c r="P2491">
        <f>142.75</f>
        <v>142.75</v>
      </c>
      <c r="Q2491">
        <f>1493.69</f>
        <v>1493.69</v>
      </c>
      <c r="R2491">
        <f>3182.33</f>
        <v>3182.33</v>
      </c>
      <c r="S2491">
        <f>1664.36</f>
        <v>1664.36</v>
      </c>
      <c r="T2491">
        <f>2585.648</f>
        <v>2585.6480000000001</v>
      </c>
      <c r="U2491">
        <f>43252.17</f>
        <v>43252.17</v>
      </c>
      <c r="V2491">
        <f>295.4</f>
        <v>295.39999999999998</v>
      </c>
    </row>
    <row r="2492" spans="1:22" x14ac:dyDescent="0.2">
      <c r="A2492" s="1">
        <v>41619</v>
      </c>
      <c r="B2492">
        <f>2676.24</f>
        <v>2676.24</v>
      </c>
      <c r="C2492">
        <f>9120.83</f>
        <v>9120.83</v>
      </c>
      <c r="D2492">
        <f>4742.99</f>
        <v>4742.99</v>
      </c>
      <c r="E2492">
        <f>1954.55</f>
        <v>1954.55</v>
      </c>
      <c r="F2492">
        <f>1772.61</f>
        <v>1772.61</v>
      </c>
      <c r="G2492">
        <f>7907.961</f>
        <v>7907.9610000000002</v>
      </c>
      <c r="H2492">
        <f>2301.29</f>
        <v>2301.29</v>
      </c>
      <c r="I2492">
        <f>8300.665</f>
        <v>8300.6650000000009</v>
      </c>
      <c r="J2492">
        <f>2366.4</f>
        <v>2366.4</v>
      </c>
      <c r="K2492">
        <f>6660.97</f>
        <v>6660.97</v>
      </c>
      <c r="L2492">
        <f>1471.53</f>
        <v>1471.53</v>
      </c>
      <c r="M2492">
        <f>5820.86</f>
        <v>5820.86</v>
      </c>
      <c r="N2492">
        <f>231.637</f>
        <v>231.637</v>
      </c>
      <c r="O2492">
        <f>2071.41</f>
        <v>2071.41</v>
      </c>
      <c r="P2492">
        <f>143.77</f>
        <v>143.77000000000001</v>
      </c>
      <c r="Q2492">
        <f>1502.33</f>
        <v>1502.33</v>
      </c>
      <c r="R2492">
        <f>3193.52</f>
        <v>3193.52</v>
      </c>
      <c r="S2492">
        <f>1675.37</f>
        <v>1675.37</v>
      </c>
      <c r="T2492">
        <f>2632.268</f>
        <v>2632.268</v>
      </c>
      <c r="U2492">
        <f>44436.86</f>
        <v>44436.86</v>
      </c>
      <c r="V2492">
        <f>301.18</f>
        <v>301.18</v>
      </c>
    </row>
    <row r="2493" spans="1:22" x14ac:dyDescent="0.2">
      <c r="A2493" s="1">
        <v>41618</v>
      </c>
      <c r="B2493">
        <f>2680.39</f>
        <v>2680.39</v>
      </c>
      <c r="C2493">
        <f>9246.16</f>
        <v>9246.16</v>
      </c>
      <c r="D2493">
        <f>4754.28</f>
        <v>4754.28</v>
      </c>
      <c r="E2493">
        <f>1973.592</f>
        <v>1973.5920000000001</v>
      </c>
      <c r="F2493">
        <f>1772.68</f>
        <v>1772.68</v>
      </c>
      <c r="G2493">
        <f>7954.317</f>
        <v>7954.317</v>
      </c>
      <c r="H2493">
        <f>2296.17</f>
        <v>2296.17</v>
      </c>
      <c r="I2493">
        <f>8322.779</f>
        <v>8322.7790000000005</v>
      </c>
      <c r="J2493">
        <f>2386.52</f>
        <v>2386.52</v>
      </c>
      <c r="K2493">
        <f>6737.61</f>
        <v>6737.61</v>
      </c>
      <c r="L2493">
        <f>1482.19</f>
        <v>1482.19</v>
      </c>
      <c r="M2493">
        <f>5871.66</f>
        <v>5871.66</v>
      </c>
      <c r="N2493">
        <f>232.544</f>
        <v>232.54400000000001</v>
      </c>
      <c r="O2493">
        <f>2081.65</f>
        <v>2081.65</v>
      </c>
      <c r="P2493">
        <f>143.9</f>
        <v>143.9</v>
      </c>
      <c r="Q2493">
        <f>1515.94</f>
        <v>1515.94</v>
      </c>
      <c r="R2493">
        <f>3229.72</f>
        <v>3229.72</v>
      </c>
      <c r="S2493">
        <f>1683.25</f>
        <v>1683.25</v>
      </c>
      <c r="T2493">
        <f>2631.322</f>
        <v>2631.3220000000001</v>
      </c>
      <c r="U2493">
        <f>44640.98</f>
        <v>44640.98</v>
      </c>
      <c r="V2493">
        <f>302.25</f>
        <v>302.25</v>
      </c>
    </row>
    <row r="2494" spans="1:22" x14ac:dyDescent="0.2">
      <c r="A2494" s="1">
        <v>41617</v>
      </c>
      <c r="B2494">
        <f>2688.16</f>
        <v>2688.16</v>
      </c>
      <c r="C2494">
        <f>9265.67</f>
        <v>9265.67</v>
      </c>
      <c r="D2494">
        <f>4780.64</f>
        <v>4780.6400000000003</v>
      </c>
      <c r="E2494">
        <f>1974.401</f>
        <v>1974.4010000000001</v>
      </c>
      <c r="F2494">
        <f>1774.88</f>
        <v>1774.88</v>
      </c>
      <c r="G2494">
        <f>7978.914</f>
        <v>7978.9139999999998</v>
      </c>
      <c r="H2494">
        <f>2285.46</f>
        <v>2285.46</v>
      </c>
      <c r="I2494">
        <f>8354.936</f>
        <v>8354.9359999999997</v>
      </c>
      <c r="J2494">
        <f>2398.96</f>
        <v>2398.96</v>
      </c>
      <c r="K2494">
        <f>6757.21</f>
        <v>6757.21</v>
      </c>
      <c r="L2494">
        <f>1486.62</f>
        <v>1486.62</v>
      </c>
      <c r="M2494">
        <f>5883.87</f>
        <v>5883.87</v>
      </c>
      <c r="N2494">
        <f>233.383</f>
        <v>233.38300000000001</v>
      </c>
      <c r="O2494">
        <f>2098.39</f>
        <v>2098.39</v>
      </c>
      <c r="P2494">
        <f>143.79</f>
        <v>143.79</v>
      </c>
      <c r="Q2494">
        <f>1522.57</f>
        <v>1522.57</v>
      </c>
      <c r="R2494">
        <f>3239.99</f>
        <v>3239.99</v>
      </c>
      <c r="S2494">
        <f>1681.89</f>
        <v>1681.89</v>
      </c>
      <c r="T2494">
        <f>2632.073</f>
        <v>2632.0729999999999</v>
      </c>
      <c r="U2494">
        <f>44732.42</f>
        <v>44732.42</v>
      </c>
      <c r="V2494">
        <f>302.39</f>
        <v>302.39</v>
      </c>
    </row>
    <row r="2495" spans="1:22" x14ac:dyDescent="0.2">
      <c r="A2495" s="1">
        <v>41614</v>
      </c>
      <c r="B2495">
        <f>2679.55</f>
        <v>2679.55</v>
      </c>
      <c r="C2495">
        <f>9216.8</f>
        <v>9216.7999999999993</v>
      </c>
      <c r="D2495">
        <f>4775.18</f>
        <v>4775.18</v>
      </c>
      <c r="E2495">
        <f>1953.679</f>
        <v>1953.6790000000001</v>
      </c>
      <c r="F2495">
        <f>1770.08</f>
        <v>1770.08</v>
      </c>
      <c r="G2495">
        <f>7953.081</f>
        <v>7953.0810000000001</v>
      </c>
      <c r="H2495">
        <f>2257.46</f>
        <v>2257.46</v>
      </c>
      <c r="I2495">
        <f>8312.295</f>
        <v>8312.2950000000001</v>
      </c>
      <c r="J2495">
        <f>2393.41</f>
        <v>2393.41</v>
      </c>
      <c r="K2495">
        <f>6744.09</f>
        <v>6744.09</v>
      </c>
      <c r="L2495">
        <f>1483.28</f>
        <v>1483.28</v>
      </c>
      <c r="M2495">
        <f>5865.54</f>
        <v>5865.54</v>
      </c>
      <c r="N2495">
        <f>232.971</f>
        <v>232.971</v>
      </c>
      <c r="O2495">
        <f>2093.1</f>
        <v>2093.1</v>
      </c>
      <c r="P2495">
        <f>141.42</f>
        <v>141.41999999999999</v>
      </c>
      <c r="Q2495">
        <f>1518.94</f>
        <v>1518.94</v>
      </c>
      <c r="R2495">
        <f>3233.99</f>
        <v>3233.99</v>
      </c>
      <c r="S2495">
        <f>1655.78</f>
        <v>1655.78</v>
      </c>
      <c r="T2495">
        <f>2614.526</f>
        <v>2614.5259999999998</v>
      </c>
      <c r="U2495">
        <f>44616.21</f>
        <v>44616.21</v>
      </c>
      <c r="V2495">
        <f>300.95</f>
        <v>300.95</v>
      </c>
    </row>
    <row r="2496" spans="1:22" x14ac:dyDescent="0.2">
      <c r="A2496" s="1">
        <v>41613</v>
      </c>
      <c r="B2496">
        <f>2665</f>
        <v>2665</v>
      </c>
      <c r="C2496">
        <f>9136.62</f>
        <v>9136.6200000000008</v>
      </c>
      <c r="D2496">
        <f>4736.07</f>
        <v>4736.07</v>
      </c>
      <c r="E2496">
        <f>1946.319</f>
        <v>1946.319</v>
      </c>
      <c r="F2496">
        <f>1758.23</f>
        <v>1758.23</v>
      </c>
      <c r="G2496">
        <f>7872.238</f>
        <v>7872.2380000000003</v>
      </c>
      <c r="H2496">
        <f>2270.66</f>
        <v>2270.66</v>
      </c>
      <c r="I2496">
        <f>8244.7</f>
        <v>8244.7000000000007</v>
      </c>
      <c r="J2496">
        <f>2365.63</f>
        <v>2365.63</v>
      </c>
      <c r="K2496">
        <f>6671.56</f>
        <v>6671.56</v>
      </c>
      <c r="L2496">
        <f>1468.61</f>
        <v>1468.61</v>
      </c>
      <c r="M2496">
        <f>5815.06</f>
        <v>5815.06</v>
      </c>
      <c r="N2496">
        <f>232.036</f>
        <v>232.036</v>
      </c>
      <c r="O2496">
        <f>2079.65</f>
        <v>2079.65</v>
      </c>
      <c r="P2496">
        <f>141.24</f>
        <v>141.24</v>
      </c>
      <c r="Q2496">
        <f>1495.16</f>
        <v>1495.16</v>
      </c>
      <c r="R2496">
        <f>3197.76</f>
        <v>3197.76</v>
      </c>
      <c r="S2496">
        <f>1646.64</f>
        <v>1646.64</v>
      </c>
      <c r="T2496">
        <f>2602.005</f>
        <v>2602.0050000000001</v>
      </c>
      <c r="U2496">
        <f>44297.66</f>
        <v>44297.66</v>
      </c>
      <c r="V2496">
        <f>298.5</f>
        <v>298.5</v>
      </c>
    </row>
    <row r="2497" spans="1:22" x14ac:dyDescent="0.2">
      <c r="A2497" s="1">
        <v>41612</v>
      </c>
      <c r="B2497">
        <f>2672.27</f>
        <v>2672.27</v>
      </c>
      <c r="C2497">
        <f>9107.25</f>
        <v>9107.25</v>
      </c>
      <c r="D2497">
        <f>4744.56</f>
        <v>4744.5600000000004</v>
      </c>
      <c r="E2497">
        <f>1941.034</f>
        <v>1941.0340000000001</v>
      </c>
      <c r="F2497">
        <f>1763.55</f>
        <v>1763.55</v>
      </c>
      <c r="G2497">
        <f>7896.112</f>
        <v>7896.1120000000001</v>
      </c>
      <c r="H2497">
        <f>2273.96</f>
        <v>2273.96</v>
      </c>
      <c r="I2497">
        <f>8253.729</f>
        <v>8253.7289999999994</v>
      </c>
      <c r="J2497">
        <f>2380.15</f>
        <v>2380.15</v>
      </c>
      <c r="K2497">
        <f>6698.57</f>
        <v>6698.57</v>
      </c>
      <c r="L2497">
        <f>1473.05</f>
        <v>1473.05</v>
      </c>
      <c r="M2497">
        <f>5836.25</f>
        <v>5836.25</v>
      </c>
      <c r="N2497">
        <f>233.687</f>
        <v>233.68700000000001</v>
      </c>
      <c r="O2497">
        <f>2099.51</f>
        <v>2099.5100000000002</v>
      </c>
      <c r="P2497">
        <f>141.95</f>
        <v>141.94999999999999</v>
      </c>
      <c r="Q2497">
        <f>1503.06</f>
        <v>1503.06</v>
      </c>
      <c r="R2497">
        <f>3211.59</f>
        <v>3211.59</v>
      </c>
      <c r="S2497">
        <f>1661.83</f>
        <v>1661.83</v>
      </c>
      <c r="T2497">
        <f>2587.51</f>
        <v>2587.5100000000002</v>
      </c>
      <c r="U2497">
        <f>43986.37</f>
        <v>43986.37</v>
      </c>
      <c r="V2497">
        <f>297.95</f>
        <v>297.95</v>
      </c>
    </row>
    <row r="2498" spans="1:22" x14ac:dyDescent="0.2">
      <c r="A2498" s="1">
        <v>41611</v>
      </c>
      <c r="B2498">
        <f>2688.73</f>
        <v>2688.73</v>
      </c>
      <c r="C2498">
        <f>9175.85</f>
        <v>9175.85</v>
      </c>
      <c r="D2498">
        <f>4758.06</f>
        <v>4758.0600000000004</v>
      </c>
      <c r="E2498">
        <f>1954.573</f>
        <v>1954.5730000000001</v>
      </c>
      <c r="F2498">
        <f>1774.45</f>
        <v>1774.45</v>
      </c>
      <c r="G2498">
        <f>7954.975</f>
        <v>7954.9750000000004</v>
      </c>
      <c r="H2498">
        <f>2314.52</f>
        <v>2314.52</v>
      </c>
      <c r="I2498">
        <f>8324.195</f>
        <v>8324.1949999999997</v>
      </c>
      <c r="J2498">
        <f>2384.32</f>
        <v>2384.3200000000002</v>
      </c>
      <c r="K2498">
        <f>6704.27</f>
        <v>6704.27</v>
      </c>
      <c r="L2498">
        <f>1482.26</f>
        <v>1482.26</v>
      </c>
      <c r="M2498">
        <f>5866.31</f>
        <v>5866.31</v>
      </c>
      <c r="N2498">
        <f>234.495</f>
        <v>234.495</v>
      </c>
      <c r="O2498">
        <f>2110.65</f>
        <v>2110.65</v>
      </c>
      <c r="P2498">
        <f>143.84</f>
        <v>143.84</v>
      </c>
      <c r="Q2498">
        <f>1506.88</f>
        <v>1506.88</v>
      </c>
      <c r="R2498">
        <f>3214.95</f>
        <v>3214.95</v>
      </c>
      <c r="S2498">
        <f>1690.69</f>
        <v>1690.69</v>
      </c>
      <c r="T2498">
        <f>2608.339</f>
        <v>2608.3389999999999</v>
      </c>
      <c r="U2498">
        <f>43962.83</f>
        <v>43962.83</v>
      </c>
      <c r="V2498">
        <f>299.23</f>
        <v>299.23</v>
      </c>
    </row>
    <row r="2499" spans="1:22" x14ac:dyDescent="0.2">
      <c r="A2499" s="1">
        <v>41610</v>
      </c>
      <c r="B2499">
        <f>2719.16</f>
        <v>2719.16</v>
      </c>
      <c r="C2499">
        <f>9278.28</f>
        <v>9278.2800000000007</v>
      </c>
      <c r="D2499">
        <f>4803.88</f>
        <v>4803.88</v>
      </c>
      <c r="E2499">
        <f>1975.442</f>
        <v>1975.442</v>
      </c>
      <c r="F2499">
        <f>1784.03</f>
        <v>1784.03</v>
      </c>
      <c r="G2499">
        <f>8005.465</f>
        <v>8005.4650000000001</v>
      </c>
      <c r="H2499">
        <f>2301.31</f>
        <v>2301.31</v>
      </c>
      <c r="I2499">
        <f>8459.188</f>
        <v>8459.1880000000001</v>
      </c>
      <c r="J2499">
        <f>2382.16</f>
        <v>2382.16</v>
      </c>
      <c r="K2499">
        <f>6724.72</f>
        <v>6724.72</v>
      </c>
      <c r="L2499">
        <f>1491.43</f>
        <v>1491.43</v>
      </c>
      <c r="M2499">
        <f>5895.17</f>
        <v>5895.17</v>
      </c>
      <c r="N2499">
        <f>236.5</f>
        <v>236.5</v>
      </c>
      <c r="O2499">
        <f>2143.94</f>
        <v>2143.94</v>
      </c>
      <c r="P2499">
        <f>143.76</f>
        <v>143.76</v>
      </c>
      <c r="Q2499">
        <f>1509.37</f>
        <v>1509.37</v>
      </c>
      <c r="R2499">
        <f>3225.06</f>
        <v>3225.06</v>
      </c>
      <c r="S2499">
        <f>1685.87</f>
        <v>1685.87</v>
      </c>
      <c r="T2499">
        <f>2645.898</f>
        <v>2645.8980000000001</v>
      </c>
      <c r="U2499">
        <f>44659.37</f>
        <v>44659.37</v>
      </c>
      <c r="V2499">
        <f>303.64</f>
        <v>303.64</v>
      </c>
    </row>
    <row r="2500" spans="1:22" x14ac:dyDescent="0.2">
      <c r="A2500" s="1">
        <v>41607</v>
      </c>
      <c r="B2500">
        <f>2747.51</f>
        <v>2747.51</v>
      </c>
      <c r="C2500">
        <f>9308.17</f>
        <v>9308.17</v>
      </c>
      <c r="D2500">
        <f>4844.11</f>
        <v>4844.1099999999997</v>
      </c>
      <c r="E2500">
        <f>1984.758</f>
        <v>1984.758</v>
      </c>
      <c r="F2500">
        <f>1798.71</f>
        <v>1798.71</v>
      </c>
      <c r="G2500">
        <f>8080.289</f>
        <v>8080.2889999999998</v>
      </c>
      <c r="H2500">
        <f>2317.7</f>
        <v>2317.6999999999998</v>
      </c>
      <c r="I2500">
        <f>8516.861</f>
        <v>8516.8610000000008</v>
      </c>
      <c r="J2500">
        <f>2389.91</f>
        <v>2389.91</v>
      </c>
      <c r="K2500">
        <f>6741.45</f>
        <v>6741.45</v>
      </c>
      <c r="L2500">
        <f>1498.89</f>
        <v>1498.89</v>
      </c>
      <c r="M2500">
        <f>5920.68</f>
        <v>5920.68</v>
      </c>
      <c r="N2500">
        <f>237.159</f>
        <v>237.15899999999999</v>
      </c>
      <c r="O2500">
        <f>2150.74</f>
        <v>2150.7399999999998</v>
      </c>
      <c r="P2500">
        <f>143.27</f>
        <v>143.27000000000001</v>
      </c>
      <c r="Q2500">
        <f>1517.63</f>
        <v>1517.63</v>
      </c>
      <c r="R2500">
        <f>3233.72</f>
        <v>3233.72</v>
      </c>
      <c r="S2500">
        <f>1685.49</f>
        <v>1685.49</v>
      </c>
      <c r="T2500">
        <f>2651.77</f>
        <v>2651.77</v>
      </c>
      <c r="U2500">
        <f>44975.67</f>
        <v>44975.67</v>
      </c>
      <c r="V2500">
        <f>303.75</f>
        <v>303.75</v>
      </c>
    </row>
    <row r="2501" spans="1:22" x14ac:dyDescent="0.2">
      <c r="A2501" s="1">
        <v>41606</v>
      </c>
      <c r="B2501">
        <f>2748.41</f>
        <v>2748.41</v>
      </c>
      <c r="C2501">
        <f>9252.59</f>
        <v>9252.59</v>
      </c>
      <c r="D2501">
        <f>4846.95</f>
        <v>4846.95</v>
      </c>
      <c r="E2501">
        <f>1972.534</f>
        <v>1972.5340000000001</v>
      </c>
      <c r="F2501">
        <f>1798.4</f>
        <v>1798.4</v>
      </c>
      <c r="G2501">
        <f>8067.476</f>
        <v>8067.4759999999997</v>
      </c>
      <c r="H2501">
        <f>2317.98</f>
        <v>2317.98</v>
      </c>
      <c r="I2501">
        <f>8510.485</f>
        <v>8510.4850000000006</v>
      </c>
      <c r="J2501">
        <f>2389.56</f>
        <v>2389.56</v>
      </c>
      <c r="K2501">
        <f>6746.31</f>
        <v>6746.31</v>
      </c>
      <c r="L2501">
        <f>1498.7</f>
        <v>1498.7</v>
      </c>
      <c r="M2501">
        <f>5922.1</f>
        <v>5922.1</v>
      </c>
      <c r="N2501">
        <f>236.96</f>
        <v>236.96</v>
      </c>
      <c r="O2501">
        <f>2150.99</f>
        <v>2150.9899999999998</v>
      </c>
      <c r="P2501">
        <f>143.03</f>
        <v>143.03</v>
      </c>
      <c r="Q2501" t="e">
        <f>NA()</f>
        <v>#N/A</v>
      </c>
      <c r="R2501" t="e">
        <f>NA()</f>
        <v>#N/A</v>
      </c>
      <c r="S2501">
        <f>1688.68</f>
        <v>1688.68</v>
      </c>
      <c r="T2501">
        <f>2651.145</f>
        <v>2651.145</v>
      </c>
      <c r="U2501">
        <f>45058.22</f>
        <v>45058.22</v>
      </c>
      <c r="V2501">
        <f>302.94</f>
        <v>302.94</v>
      </c>
    </row>
    <row r="2502" spans="1:22" x14ac:dyDescent="0.2">
      <c r="A2502" s="1">
        <v>41605</v>
      </c>
      <c r="B2502">
        <f>2743.19</f>
        <v>2743.19</v>
      </c>
      <c r="C2502">
        <f>9218.2</f>
        <v>9218.2000000000007</v>
      </c>
      <c r="D2502">
        <f>4843.31</f>
        <v>4843.3100000000004</v>
      </c>
      <c r="E2502">
        <f>1966.239</f>
        <v>1966.239</v>
      </c>
      <c r="F2502">
        <f>1786.38</f>
        <v>1786.38</v>
      </c>
      <c r="G2502">
        <f>8025.778</f>
        <v>8025.7780000000002</v>
      </c>
      <c r="H2502">
        <f>2297.6</f>
        <v>2297.6</v>
      </c>
      <c r="I2502">
        <f>8464.724</f>
        <v>8464.7240000000002</v>
      </c>
      <c r="J2502">
        <f>2389.56</f>
        <v>2389.56</v>
      </c>
      <c r="K2502">
        <f>6746.31</f>
        <v>6746.31</v>
      </c>
      <c r="L2502">
        <f>1495.15</f>
        <v>1495.15</v>
      </c>
      <c r="M2502">
        <f>5907.21</f>
        <v>5907.21</v>
      </c>
      <c r="N2502">
        <f>236.345</f>
        <v>236.345</v>
      </c>
      <c r="O2502">
        <f>2143.65</f>
        <v>2143.65</v>
      </c>
      <c r="P2502">
        <f>141.77</f>
        <v>141.77000000000001</v>
      </c>
      <c r="Q2502">
        <f>1521.36</f>
        <v>1521.36</v>
      </c>
      <c r="R2502">
        <f>3236.14</f>
        <v>3236.14</v>
      </c>
      <c r="S2502">
        <f>1669.98</f>
        <v>1669.98</v>
      </c>
      <c r="T2502">
        <f>2634.439</f>
        <v>2634.4389999999999</v>
      </c>
      <c r="U2502">
        <f>44564.01</f>
        <v>44564.01</v>
      </c>
      <c r="V2502">
        <f>300.07</f>
        <v>300.07</v>
      </c>
    </row>
    <row r="2503" spans="1:22" x14ac:dyDescent="0.2">
      <c r="A2503" s="1">
        <v>41604</v>
      </c>
      <c r="B2503">
        <f>2732.57</f>
        <v>2732.57</v>
      </c>
      <c r="C2503">
        <f>9199.49</f>
        <v>9199.49</v>
      </c>
      <c r="D2503">
        <f>4833.41</f>
        <v>4833.41</v>
      </c>
      <c r="E2503">
        <f>1959.506</f>
        <v>1959.5060000000001</v>
      </c>
      <c r="F2503">
        <f>1774.19</f>
        <v>1774.19</v>
      </c>
      <c r="G2503">
        <f>7962.763</f>
        <v>7962.7629999999999</v>
      </c>
      <c r="H2503">
        <f>2322</f>
        <v>2322</v>
      </c>
      <c r="I2503">
        <f>8417.058</f>
        <v>8417.0580000000009</v>
      </c>
      <c r="J2503">
        <f>2383.68</f>
        <v>2383.6799999999998</v>
      </c>
      <c r="K2503">
        <f>6727.81</f>
        <v>6727.81</v>
      </c>
      <c r="L2503">
        <f>1493.78</f>
        <v>1493.78</v>
      </c>
      <c r="M2503">
        <f>5895.77</f>
        <v>5895.77</v>
      </c>
      <c r="N2503">
        <f>235.029</f>
        <v>235.029</v>
      </c>
      <c r="O2503">
        <f>2132.96</f>
        <v>2132.96</v>
      </c>
      <c r="P2503">
        <f>142.65</f>
        <v>142.65</v>
      </c>
      <c r="Q2503">
        <f>1520.82</f>
        <v>1520.82</v>
      </c>
      <c r="R2503">
        <f>3227.36</f>
        <v>3227.36</v>
      </c>
      <c r="S2503">
        <f>1677.9</f>
        <v>1677.9</v>
      </c>
      <c r="T2503">
        <f>2618.192</f>
        <v>2618.192</v>
      </c>
      <c r="U2503">
        <f>43988.14</f>
        <v>43988.14</v>
      </c>
      <c r="V2503">
        <f>299.17</f>
        <v>299.17</v>
      </c>
    </row>
    <row r="2504" spans="1:22" x14ac:dyDescent="0.2">
      <c r="A2504" s="1">
        <v>41603</v>
      </c>
      <c r="B2504">
        <f>2746.05</f>
        <v>2746.05</v>
      </c>
      <c r="C2504">
        <f>9311.34</f>
        <v>9311.34</v>
      </c>
      <c r="D2504">
        <f>4875.94</f>
        <v>4875.9399999999996</v>
      </c>
      <c r="E2504">
        <f>1969.659</f>
        <v>1969.6590000000001</v>
      </c>
      <c r="F2504">
        <f>1788.31</f>
        <v>1788.31</v>
      </c>
      <c r="G2504">
        <f>8018.785</f>
        <v>8018.7849999999999</v>
      </c>
      <c r="H2504">
        <f>2334.61</f>
        <v>2334.61</v>
      </c>
      <c r="I2504">
        <f>8420.647</f>
        <v>8420.6470000000008</v>
      </c>
      <c r="J2504">
        <f>2389.61</f>
        <v>2389.61</v>
      </c>
      <c r="K2504">
        <f>6724.39</f>
        <v>6724.39</v>
      </c>
      <c r="L2504">
        <f>1501.33</f>
        <v>1501.33</v>
      </c>
      <c r="M2504">
        <f>5901.86</f>
        <v>5901.86</v>
      </c>
      <c r="N2504">
        <f>236.579</f>
        <v>236.57900000000001</v>
      </c>
      <c r="O2504">
        <f>2146.1</f>
        <v>2146.1</v>
      </c>
      <c r="P2504">
        <f>143.56</f>
        <v>143.56</v>
      </c>
      <c r="Q2504">
        <f>1520.26</f>
        <v>1520.26</v>
      </c>
      <c r="R2504">
        <f>3226.53</f>
        <v>3226.53</v>
      </c>
      <c r="S2504">
        <f>1686.73</f>
        <v>1686.73</v>
      </c>
      <c r="T2504">
        <f>2647.887</f>
        <v>2647.8870000000002</v>
      </c>
      <c r="U2504">
        <f>44552.51</f>
        <v>44552.51</v>
      </c>
      <c r="V2504">
        <f>301.3</f>
        <v>301.3</v>
      </c>
    </row>
    <row r="2505" spans="1:22" x14ac:dyDescent="0.2">
      <c r="A2505" s="1">
        <v>41600</v>
      </c>
      <c r="B2505">
        <f>2733.2</f>
        <v>2733.2</v>
      </c>
      <c r="C2505">
        <f>9339.47</f>
        <v>9339.4699999999993</v>
      </c>
      <c r="D2505">
        <f>4861.14</f>
        <v>4861.1400000000003</v>
      </c>
      <c r="E2505">
        <f>1966.679</f>
        <v>1966.6790000000001</v>
      </c>
      <c r="F2505">
        <f>1788.05</f>
        <v>1788.05</v>
      </c>
      <c r="G2505">
        <f>8011.869</f>
        <v>8011.8689999999997</v>
      </c>
      <c r="H2505">
        <f>2332.73</f>
        <v>2332.73</v>
      </c>
      <c r="I2505">
        <f>8389.559</f>
        <v>8389.5589999999993</v>
      </c>
      <c r="J2505">
        <f>2393.11</f>
        <v>2393.11</v>
      </c>
      <c r="K2505">
        <f>6733.84</f>
        <v>6733.84</v>
      </c>
      <c r="L2505">
        <f>1501.06</f>
        <v>1501.06</v>
      </c>
      <c r="M2505">
        <f>5899.77</f>
        <v>5899.77</v>
      </c>
      <c r="N2505">
        <f>235.409</f>
        <v>235.40899999999999</v>
      </c>
      <c r="O2505">
        <f>2136.83</f>
        <v>2136.83</v>
      </c>
      <c r="P2505">
        <f>142.36</f>
        <v>142.36000000000001</v>
      </c>
      <c r="Q2505">
        <f>1525.55</f>
        <v>1525.55</v>
      </c>
      <c r="R2505">
        <f>3230.54</f>
        <v>3230.54</v>
      </c>
      <c r="S2505">
        <f>1671.95</f>
        <v>1671.95</v>
      </c>
      <c r="T2505">
        <f>2632.433</f>
        <v>2632.433</v>
      </c>
      <c r="U2505">
        <f>44435.61</f>
        <v>44435.61</v>
      </c>
      <c r="V2505">
        <f>300.4</f>
        <v>300.39999999999998</v>
      </c>
    </row>
    <row r="2506" spans="1:22" x14ac:dyDescent="0.2">
      <c r="A2506" s="1">
        <v>41599</v>
      </c>
      <c r="B2506">
        <f>2733.59</f>
        <v>2733.59</v>
      </c>
      <c r="C2506">
        <f>9293.34</f>
        <v>9293.34</v>
      </c>
      <c r="D2506">
        <f>4866.26</f>
        <v>4866.26</v>
      </c>
      <c r="E2506">
        <f>1957.052</f>
        <v>1957.0519999999999</v>
      </c>
      <c r="F2506">
        <f>1780.87</f>
        <v>1780.87</v>
      </c>
      <c r="G2506">
        <f>8000.184</f>
        <v>8000.1840000000002</v>
      </c>
      <c r="H2506">
        <f>2342.45</f>
        <v>2342.4499999999998</v>
      </c>
      <c r="I2506">
        <f>8326.448</f>
        <v>8326.4480000000003</v>
      </c>
      <c r="J2506">
        <f>2383.87</f>
        <v>2383.87</v>
      </c>
      <c r="K2506">
        <f>6700.23</f>
        <v>6700.23</v>
      </c>
      <c r="L2506">
        <f>1496.07</f>
        <v>1496.07</v>
      </c>
      <c r="M2506">
        <f>5874.61</f>
        <v>5874.61</v>
      </c>
      <c r="N2506">
        <f>235.514</f>
        <v>235.51400000000001</v>
      </c>
      <c r="O2506">
        <f>2134.72</f>
        <v>2134.7199999999998</v>
      </c>
      <c r="P2506">
        <f>142.52</f>
        <v>142.52000000000001</v>
      </c>
      <c r="Q2506">
        <f>1518.75</f>
        <v>1518.75</v>
      </c>
      <c r="R2506">
        <f>3214.16</f>
        <v>3214.16</v>
      </c>
      <c r="S2506">
        <f>1668.91</f>
        <v>1668.91</v>
      </c>
      <c r="T2506">
        <f>2646.565</f>
        <v>2646.5650000000001</v>
      </c>
      <c r="U2506">
        <f>44741.55</f>
        <v>44741.55</v>
      </c>
      <c r="V2506">
        <f>303.03</f>
        <v>303.02999999999997</v>
      </c>
    </row>
    <row r="2507" spans="1:22" x14ac:dyDescent="0.2">
      <c r="A2507" s="1">
        <v>41598</v>
      </c>
      <c r="B2507">
        <f>2731.97</f>
        <v>2731.97</v>
      </c>
      <c r="C2507">
        <f>9431.77</f>
        <v>9431.77</v>
      </c>
      <c r="D2507">
        <f>4866.08</f>
        <v>4866.08</v>
      </c>
      <c r="E2507">
        <f>1986.884</f>
        <v>1986.884</v>
      </c>
      <c r="F2507">
        <f>1772.72</f>
        <v>1772.72</v>
      </c>
      <c r="G2507">
        <f>8011.796</f>
        <v>8011.7960000000003</v>
      </c>
      <c r="H2507">
        <f>2347</f>
        <v>2347</v>
      </c>
      <c r="I2507">
        <f>8342.88</f>
        <v>8342.8799999999992</v>
      </c>
      <c r="J2507">
        <f>2370.47</f>
        <v>2370.4699999999998</v>
      </c>
      <c r="K2507">
        <f>6644.25</f>
        <v>6644.25</v>
      </c>
      <c r="L2507">
        <f>1497.68</f>
        <v>1497.68</v>
      </c>
      <c r="M2507">
        <f>5856.16</f>
        <v>5856.16</v>
      </c>
      <c r="N2507">
        <f>236.148</f>
        <v>236.148</v>
      </c>
      <c r="O2507">
        <f>2137.49</f>
        <v>2137.4899999999998</v>
      </c>
      <c r="P2507">
        <f>141.41</f>
        <v>141.41</v>
      </c>
      <c r="Q2507">
        <f>1508.41</f>
        <v>1508.41</v>
      </c>
      <c r="R2507">
        <f>3188.04</f>
        <v>3188.04</v>
      </c>
      <c r="S2507">
        <f>1651.67</f>
        <v>1651.67</v>
      </c>
      <c r="T2507">
        <f>2662.338</f>
        <v>2662.3380000000002</v>
      </c>
      <c r="U2507">
        <f>45201.08</f>
        <v>45201.08</v>
      </c>
      <c r="V2507">
        <f>305.01</f>
        <v>305.01</v>
      </c>
    </row>
    <row r="2508" spans="1:22" x14ac:dyDescent="0.2">
      <c r="A2508" s="1">
        <v>41597</v>
      </c>
      <c r="B2508">
        <f>2746.5</f>
        <v>2746.5</v>
      </c>
      <c r="C2508">
        <f>9429.33</f>
        <v>9429.33</v>
      </c>
      <c r="D2508">
        <f>4873.02</f>
        <v>4873.0200000000004</v>
      </c>
      <c r="E2508">
        <f>1996.367</f>
        <v>1996.367</v>
      </c>
      <c r="F2508">
        <f>1776.69</f>
        <v>1776.69</v>
      </c>
      <c r="G2508">
        <f>7991.816</f>
        <v>7991.8159999999998</v>
      </c>
      <c r="H2508">
        <f>2342.77</f>
        <v>2342.77</v>
      </c>
      <c r="I2508">
        <f>8387.942</f>
        <v>8387.9419999999991</v>
      </c>
      <c r="J2508">
        <f>2379.5</f>
        <v>2379.5</v>
      </c>
      <c r="K2508">
        <f>6668.11</f>
        <v>6668.11</v>
      </c>
      <c r="L2508">
        <f>1501.76</f>
        <v>1501.76</v>
      </c>
      <c r="M2508">
        <f>5873.86</f>
        <v>5873.86</v>
      </c>
      <c r="N2508">
        <f>236.097</f>
        <v>236.09700000000001</v>
      </c>
      <c r="O2508">
        <f>2134.36</f>
        <v>2134.36</v>
      </c>
      <c r="P2508">
        <f>141.41</f>
        <v>141.41</v>
      </c>
      <c r="Q2508">
        <f>1517.26</f>
        <v>1517.26</v>
      </c>
      <c r="R2508">
        <f>3199.51</f>
        <v>3199.51</v>
      </c>
      <c r="S2508">
        <f>1656.26</f>
        <v>1656.26</v>
      </c>
      <c r="T2508">
        <f>2651.43</f>
        <v>2651.43</v>
      </c>
      <c r="U2508">
        <f>45138.13</f>
        <v>45138.13</v>
      </c>
      <c r="V2508">
        <f>305.03</f>
        <v>305.02999999999997</v>
      </c>
    </row>
    <row r="2509" spans="1:22" x14ac:dyDescent="0.2">
      <c r="A2509" s="1">
        <v>41596</v>
      </c>
      <c r="B2509">
        <f>2758.33</f>
        <v>2758.33</v>
      </c>
      <c r="C2509">
        <f>9462.41</f>
        <v>9462.41</v>
      </c>
      <c r="D2509">
        <f>4891.54</f>
        <v>4891.54</v>
      </c>
      <c r="E2509">
        <f>1997.844</f>
        <v>1997.8440000000001</v>
      </c>
      <c r="F2509">
        <f>1782.47</f>
        <v>1782.47</v>
      </c>
      <c r="G2509">
        <f>8026.453</f>
        <v>8026.4530000000004</v>
      </c>
      <c r="H2509">
        <f>2353.24</f>
        <v>2353.2399999999998</v>
      </c>
      <c r="I2509">
        <f>8453.351</f>
        <v>8453.3510000000006</v>
      </c>
      <c r="J2509">
        <f>2383.25</f>
        <v>2383.25</v>
      </c>
      <c r="K2509">
        <f>6682.98</f>
        <v>6682.98</v>
      </c>
      <c r="L2509">
        <f>1507.15</f>
        <v>1507.15</v>
      </c>
      <c r="M2509">
        <f>5896.41</f>
        <v>5896.41</v>
      </c>
      <c r="N2509">
        <f>236.503</f>
        <v>236.50299999999999</v>
      </c>
      <c r="O2509">
        <f>2149.01</f>
        <v>2149.0100000000002</v>
      </c>
      <c r="P2509">
        <f>141.77</f>
        <v>141.77000000000001</v>
      </c>
      <c r="Q2509">
        <f>1519.01</f>
        <v>1519.01</v>
      </c>
      <c r="R2509">
        <f>3205.46</f>
        <v>3205.46</v>
      </c>
      <c r="S2509">
        <f>1662.7</f>
        <v>1662.7</v>
      </c>
      <c r="T2509">
        <f>2675.385</f>
        <v>2675.3850000000002</v>
      </c>
      <c r="U2509">
        <f>45428.85</f>
        <v>45428.85</v>
      </c>
      <c r="V2509">
        <f>308.28</f>
        <v>308.27999999999997</v>
      </c>
    </row>
    <row r="2510" spans="1:22" x14ac:dyDescent="0.2">
      <c r="A2510" s="1">
        <v>41593</v>
      </c>
      <c r="B2510">
        <f>2740.1</f>
        <v>2740.1</v>
      </c>
      <c r="C2510">
        <f>9251.84</f>
        <v>9251.84</v>
      </c>
      <c r="D2510">
        <f>4869.7</f>
        <v>4869.7</v>
      </c>
      <c r="E2510">
        <f>1958.45</f>
        <v>1958.45</v>
      </c>
      <c r="F2510">
        <f>1777.97</f>
        <v>1777.97</v>
      </c>
      <c r="G2510">
        <f>7978.199</f>
        <v>7978.1989999999996</v>
      </c>
      <c r="H2510">
        <f>2344.62</f>
        <v>2344.62</v>
      </c>
      <c r="I2510">
        <f>8363.843</f>
        <v>8363.8430000000008</v>
      </c>
      <c r="J2510">
        <f>2390.31</f>
        <v>2390.31</v>
      </c>
      <c r="K2510">
        <f>6712.47</f>
        <v>6712.47</v>
      </c>
      <c r="L2510">
        <f>1501.52</f>
        <v>1501.52</v>
      </c>
      <c r="M2510">
        <f>5891.19</f>
        <v>5891.19</v>
      </c>
      <c r="N2510">
        <f>236.165</f>
        <v>236.16499999999999</v>
      </c>
      <c r="O2510">
        <f>2137.65</f>
        <v>2137.65</v>
      </c>
      <c r="P2510">
        <f>141.84</f>
        <v>141.84</v>
      </c>
      <c r="Q2510">
        <f>1522.94</f>
        <v>1522.94</v>
      </c>
      <c r="R2510">
        <f>3217.2</f>
        <v>3217.2</v>
      </c>
      <c r="S2510">
        <f>1659.18</f>
        <v>1659.18</v>
      </c>
      <c r="T2510">
        <f>2657.596</f>
        <v>2657.596</v>
      </c>
      <c r="U2510">
        <f>45174.18</f>
        <v>45174.18</v>
      </c>
      <c r="V2510">
        <f>306.71</f>
        <v>306.70999999999998</v>
      </c>
    </row>
    <row r="2511" spans="1:22" x14ac:dyDescent="0.2">
      <c r="A2511" s="1">
        <v>41592</v>
      </c>
      <c r="B2511">
        <f>2735.56</f>
        <v>2735.56</v>
      </c>
      <c r="C2511">
        <f>9119.3</f>
        <v>9119.2999999999993</v>
      </c>
      <c r="D2511">
        <f>4849.83</f>
        <v>4849.83</v>
      </c>
      <c r="E2511">
        <f>1932.337</f>
        <v>1932.337</v>
      </c>
      <c r="F2511">
        <f>1776.58</f>
        <v>1776.58</v>
      </c>
      <c r="G2511">
        <f>7944.496</f>
        <v>7944.4960000000001</v>
      </c>
      <c r="H2511">
        <f>2325.55</f>
        <v>2325.5500000000002</v>
      </c>
      <c r="I2511">
        <f>8338.789</f>
        <v>8338.7890000000007</v>
      </c>
      <c r="J2511">
        <f>2382.02</f>
        <v>2382.02</v>
      </c>
      <c r="K2511">
        <f>6683.78</f>
        <v>6683.78</v>
      </c>
      <c r="L2511">
        <f>1494.37</f>
        <v>1494.37</v>
      </c>
      <c r="M2511">
        <f>5859.46</f>
        <v>5859.46</v>
      </c>
      <c r="N2511">
        <f>235.514</f>
        <v>235.51400000000001</v>
      </c>
      <c r="O2511">
        <f>2131.38</f>
        <v>2131.38</v>
      </c>
      <c r="P2511">
        <f>140.03</f>
        <v>140.03</v>
      </c>
      <c r="Q2511">
        <f>1518.77</f>
        <v>1518.77</v>
      </c>
      <c r="R2511">
        <f>3203.65</f>
        <v>3203.65</v>
      </c>
      <c r="S2511">
        <f>1631.73</f>
        <v>1631.73</v>
      </c>
      <c r="T2511">
        <f>2635.524</f>
        <v>2635.5239999999999</v>
      </c>
      <c r="U2511">
        <f>44903.85</f>
        <v>44903.85</v>
      </c>
      <c r="V2511">
        <f>303.24</f>
        <v>303.24</v>
      </c>
    </row>
    <row r="2512" spans="1:22" x14ac:dyDescent="0.2">
      <c r="A2512" s="1">
        <v>41591</v>
      </c>
      <c r="B2512">
        <f>2722.14</f>
        <v>2722.14</v>
      </c>
      <c r="C2512">
        <f>9025.13</f>
        <v>9025.1299999999992</v>
      </c>
      <c r="D2512">
        <f>4823.54</f>
        <v>4823.54</v>
      </c>
      <c r="E2512">
        <f>1909.1</f>
        <v>1909.1</v>
      </c>
      <c r="F2512">
        <f>1763.76</f>
        <v>1763.76</v>
      </c>
      <c r="G2512">
        <f>7854.89</f>
        <v>7854.89</v>
      </c>
      <c r="H2512">
        <f>2313.87</f>
        <v>2313.87</v>
      </c>
      <c r="I2512">
        <f>8233.843</f>
        <v>8233.8430000000008</v>
      </c>
      <c r="J2512">
        <f>2376.71</f>
        <v>2376.71</v>
      </c>
      <c r="K2512">
        <f>6651.22</f>
        <v>6651.22</v>
      </c>
      <c r="L2512">
        <f>1482.57</f>
        <v>1482.57</v>
      </c>
      <c r="M2512">
        <f>5817.83</f>
        <v>5817.83</v>
      </c>
      <c r="N2512">
        <f>234.977</f>
        <v>234.977</v>
      </c>
      <c r="O2512">
        <f>2113.78</f>
        <v>2113.7800000000002</v>
      </c>
      <c r="P2512">
        <f>138.65</f>
        <v>138.65</v>
      </c>
      <c r="Q2512">
        <f>1509.21</f>
        <v>1509.21</v>
      </c>
      <c r="R2512">
        <f>3187.64</f>
        <v>3187.64</v>
      </c>
      <c r="S2512">
        <f>1612.52</f>
        <v>1612.52</v>
      </c>
      <c r="T2512">
        <f>2618.191</f>
        <v>2618.1909999999998</v>
      </c>
      <c r="U2512">
        <f>44625</f>
        <v>44625</v>
      </c>
      <c r="V2512">
        <f>301.23</f>
        <v>301.23</v>
      </c>
    </row>
    <row r="2513" spans="1:22" x14ac:dyDescent="0.2">
      <c r="A2513" s="1">
        <v>41590</v>
      </c>
      <c r="B2513">
        <f>2747.77</f>
        <v>2747.77</v>
      </c>
      <c r="C2513">
        <f>9141.43</f>
        <v>9141.43</v>
      </c>
      <c r="D2513">
        <f>4885.95</f>
        <v>4885.95</v>
      </c>
      <c r="E2513">
        <f>1931.644</f>
        <v>1931.644</v>
      </c>
      <c r="F2513">
        <f>1767.25</f>
        <v>1767.25</v>
      </c>
      <c r="G2513">
        <f>7923.561</f>
        <v>7923.5609999999997</v>
      </c>
      <c r="H2513">
        <f>2317.77</f>
        <v>2317.77</v>
      </c>
      <c r="I2513">
        <f>8290.524</f>
        <v>8290.5239999999994</v>
      </c>
      <c r="J2513">
        <f>2362.88</f>
        <v>2362.88</v>
      </c>
      <c r="K2513">
        <f>6593.97</f>
        <v>6593.97</v>
      </c>
      <c r="L2513">
        <f>1484.87</f>
        <v>1484.87</v>
      </c>
      <c r="M2513">
        <f>5804.9</f>
        <v>5804.9</v>
      </c>
      <c r="N2513">
        <f>235.696</f>
        <v>235.696</v>
      </c>
      <c r="O2513">
        <f>2125.15</f>
        <v>2125.15</v>
      </c>
      <c r="P2513">
        <f>139.27</f>
        <v>139.27000000000001</v>
      </c>
      <c r="Q2513">
        <f>1499.21</f>
        <v>1499.21</v>
      </c>
      <c r="R2513">
        <f>3161.1</f>
        <v>3161.1</v>
      </c>
      <c r="S2513">
        <f>1614.13</f>
        <v>1614.13</v>
      </c>
      <c r="T2513">
        <f>2640.917</f>
        <v>2640.9169999999999</v>
      </c>
      <c r="U2513">
        <f>45448.28</f>
        <v>45448.28</v>
      </c>
      <c r="V2513">
        <f>304.67</f>
        <v>304.67</v>
      </c>
    </row>
    <row r="2514" spans="1:22" x14ac:dyDescent="0.2">
      <c r="A2514" s="1">
        <v>41589</v>
      </c>
      <c r="B2514">
        <f>2753.78</f>
        <v>2753.78</v>
      </c>
      <c r="C2514">
        <f>9190.43</f>
        <v>9190.43</v>
      </c>
      <c r="D2514">
        <f>4887.09</f>
        <v>4887.09</v>
      </c>
      <c r="E2514">
        <f>1934.289</f>
        <v>1934.289</v>
      </c>
      <c r="F2514">
        <f>1765.95</f>
        <v>1765.95</v>
      </c>
      <c r="G2514">
        <f>7949.922</f>
        <v>7949.9219999999996</v>
      </c>
      <c r="H2514">
        <f>2296.53</f>
        <v>2296.5300000000002</v>
      </c>
      <c r="I2514">
        <f>8320.654</f>
        <v>8320.6540000000005</v>
      </c>
      <c r="J2514">
        <f>2366.75</f>
        <v>2366.75</v>
      </c>
      <c r="K2514">
        <f>6608.62</f>
        <v>6608.62</v>
      </c>
      <c r="L2514">
        <f>1487.25</f>
        <v>1487.25</v>
      </c>
      <c r="M2514">
        <f>5812.95</f>
        <v>5812.95</v>
      </c>
      <c r="N2514">
        <f>236.868</f>
        <v>236.86799999999999</v>
      </c>
      <c r="O2514">
        <f>2138.09</f>
        <v>2138.09</v>
      </c>
      <c r="P2514">
        <f>137.66</f>
        <v>137.66</v>
      </c>
      <c r="Q2514">
        <f>1501.72</f>
        <v>1501.72</v>
      </c>
      <c r="R2514">
        <f>3168.41</f>
        <v>3168.41</v>
      </c>
      <c r="S2514">
        <f>1587.68</f>
        <v>1587.68</v>
      </c>
      <c r="T2514">
        <f>2643.255</f>
        <v>2643.2550000000001</v>
      </c>
      <c r="U2514">
        <f>45488.18</f>
        <v>45488.18</v>
      </c>
      <c r="V2514">
        <f>303.04</f>
        <v>303.04000000000002</v>
      </c>
    </row>
    <row r="2515" spans="1:22" x14ac:dyDescent="0.2">
      <c r="A2515" s="1">
        <v>41586</v>
      </c>
      <c r="B2515">
        <f>2746.13</f>
        <v>2746.13</v>
      </c>
      <c r="C2515">
        <f>9174.56</f>
        <v>9174.56</v>
      </c>
      <c r="D2515">
        <f>4872.6</f>
        <v>4872.6000000000004</v>
      </c>
      <c r="E2515">
        <f>1938.696</f>
        <v>1938.6959999999999</v>
      </c>
      <c r="F2515">
        <f>1769.24</f>
        <v>1769.24</v>
      </c>
      <c r="G2515">
        <f>7940.489</f>
        <v>7940.4889999999996</v>
      </c>
      <c r="H2515">
        <f>2273.92</f>
        <v>2273.92</v>
      </c>
      <c r="I2515">
        <f>8239.737</f>
        <v>8239.7369999999992</v>
      </c>
      <c r="J2515">
        <f>2367.09</f>
        <v>2367.09</v>
      </c>
      <c r="K2515">
        <f>6603.66</f>
        <v>6603.66</v>
      </c>
      <c r="L2515">
        <f>1484.18</f>
        <v>1484.18</v>
      </c>
      <c r="M2515">
        <f>5796.25</f>
        <v>5796.25</v>
      </c>
      <c r="N2515">
        <f>237.172</f>
        <v>237.172</v>
      </c>
      <c r="O2515">
        <f>2132.02</f>
        <v>2132.02</v>
      </c>
      <c r="P2515">
        <f>136.21</f>
        <v>136.21</v>
      </c>
      <c r="Q2515">
        <f>1500.83</f>
        <v>1500.83</v>
      </c>
      <c r="R2515">
        <f>3166.11</f>
        <v>3166.11</v>
      </c>
      <c r="S2515">
        <f>1575.32</f>
        <v>1575.32</v>
      </c>
      <c r="T2515">
        <f>2654.891</f>
        <v>2654.8910000000001</v>
      </c>
      <c r="U2515">
        <f>45481.19</f>
        <v>45481.19</v>
      </c>
      <c r="V2515">
        <f>305.08</f>
        <v>305.08</v>
      </c>
    </row>
    <row r="2516" spans="1:22" x14ac:dyDescent="0.2">
      <c r="A2516" s="1">
        <v>41585</v>
      </c>
      <c r="B2516">
        <f>2746.76</f>
        <v>2746.76</v>
      </c>
      <c r="C2516">
        <f>9316.31</f>
        <v>9316.31</v>
      </c>
      <c r="D2516">
        <f>4864.47</f>
        <v>4864.47</v>
      </c>
      <c r="E2516">
        <f>1967.688</f>
        <v>1967.6880000000001</v>
      </c>
      <c r="F2516">
        <f>1775.86</f>
        <v>1775.86</v>
      </c>
      <c r="G2516">
        <f>7954.78</f>
        <v>7954.78</v>
      </c>
      <c r="H2516">
        <f>2284.43</f>
        <v>2284.4299999999998</v>
      </c>
      <c r="I2516">
        <f>8279.706</f>
        <v>8279.7060000000001</v>
      </c>
      <c r="J2516">
        <f>2346.53</f>
        <v>2346.5300000000002</v>
      </c>
      <c r="K2516">
        <f>6517.96</f>
        <v>6517.96</v>
      </c>
      <c r="L2516">
        <f>1483.18</f>
        <v>1483.18</v>
      </c>
      <c r="M2516">
        <f>5767.12</f>
        <v>5767.12</v>
      </c>
      <c r="N2516">
        <f>237.352</f>
        <v>237.352</v>
      </c>
      <c r="O2516">
        <f>2135.93</f>
        <v>2135.9299999999998</v>
      </c>
      <c r="P2516">
        <f>136.64</f>
        <v>136.63999999999999</v>
      </c>
      <c r="Q2516">
        <f>1487.42</f>
        <v>1487.42</v>
      </c>
      <c r="R2516">
        <f>3124.12</f>
        <v>3124.12</v>
      </c>
      <c r="S2516">
        <f>1586.45</f>
        <v>1586.45</v>
      </c>
      <c r="T2516">
        <f>2684.847</f>
        <v>2684.8470000000002</v>
      </c>
      <c r="U2516">
        <f>46068.47</f>
        <v>46068.47</v>
      </c>
      <c r="V2516">
        <f>308.35</f>
        <v>308.35000000000002</v>
      </c>
    </row>
    <row r="2517" spans="1:22" x14ac:dyDescent="0.2">
      <c r="A2517" s="1">
        <v>41584</v>
      </c>
      <c r="B2517">
        <f>2763.03</f>
        <v>2763.03</v>
      </c>
      <c r="C2517">
        <f>9385.13</f>
        <v>9385.1299999999992</v>
      </c>
      <c r="D2517">
        <f>4896.77</f>
        <v>4896.7700000000004</v>
      </c>
      <c r="E2517">
        <f>1979.163</f>
        <v>1979.163</v>
      </c>
      <c r="F2517">
        <f>1790.46</f>
        <v>1790.46</v>
      </c>
      <c r="G2517">
        <f>8023.989</f>
        <v>8023.9889999999996</v>
      </c>
      <c r="H2517">
        <f>2301.78</f>
        <v>2301.7800000000002</v>
      </c>
      <c r="I2517">
        <f>8376.467</f>
        <v>8376.4670000000006</v>
      </c>
      <c r="J2517">
        <f>2372.21</f>
        <v>2372.21</v>
      </c>
      <c r="K2517">
        <f>6606.45</f>
        <v>6606.45</v>
      </c>
      <c r="L2517">
        <f>1497.59</f>
        <v>1497.59</v>
      </c>
      <c r="M2517">
        <f>5835.47</f>
        <v>5835.47</v>
      </c>
      <c r="N2517">
        <f>236.695</f>
        <v>236.69499999999999</v>
      </c>
      <c r="O2517">
        <f>2135.28</f>
        <v>2135.2800000000002</v>
      </c>
      <c r="P2517">
        <f>137.39</f>
        <v>137.38999999999999</v>
      </c>
      <c r="Q2517">
        <f>1506.62</f>
        <v>1506.62</v>
      </c>
      <c r="R2517">
        <f>3165.13</f>
        <v>3165.13</v>
      </c>
      <c r="S2517">
        <f>1596.39</f>
        <v>1596.39</v>
      </c>
      <c r="T2517">
        <f>2713.077</f>
        <v>2713.0770000000002</v>
      </c>
      <c r="U2517">
        <f>46192.91</f>
        <v>46192.91</v>
      </c>
      <c r="V2517">
        <f>309.5</f>
        <v>309.5</v>
      </c>
    </row>
    <row r="2518" spans="1:22" x14ac:dyDescent="0.2">
      <c r="A2518" s="1">
        <v>41583</v>
      </c>
      <c r="B2518">
        <f>2762.65</f>
        <v>2762.65</v>
      </c>
      <c r="C2518">
        <f>9362.95</f>
        <v>9362.9500000000007</v>
      </c>
      <c r="D2518">
        <f>4895.94</f>
        <v>4895.9399999999996</v>
      </c>
      <c r="E2518">
        <f>1979.351</f>
        <v>1979.3510000000001</v>
      </c>
      <c r="F2518">
        <f>1791.29</f>
        <v>1791.29</v>
      </c>
      <c r="G2518">
        <f>8006.378</f>
        <v>8006.3779999999997</v>
      </c>
      <c r="H2518">
        <f>2284.35</f>
        <v>2284.35</v>
      </c>
      <c r="I2518">
        <f>8280.891</f>
        <v>8280.8909999999996</v>
      </c>
      <c r="J2518">
        <f>2350.01</f>
        <v>2350.0100000000002</v>
      </c>
      <c r="K2518">
        <f>6577.51</f>
        <v>6577.51</v>
      </c>
      <c r="L2518">
        <f>1487.15</f>
        <v>1487.15</v>
      </c>
      <c r="M2518">
        <f>5802.7</f>
        <v>5802.7</v>
      </c>
      <c r="N2518">
        <f>236.264</f>
        <v>236.26400000000001</v>
      </c>
      <c r="O2518">
        <f>2125.98</f>
        <v>2125.98</v>
      </c>
      <c r="P2518">
        <f>136.1</f>
        <v>136.1</v>
      </c>
      <c r="Q2518">
        <f>1495.67</f>
        <v>1495.67</v>
      </c>
      <c r="R2518">
        <f>3149.96</f>
        <v>3149.96</v>
      </c>
      <c r="S2518">
        <f>1583.56</f>
        <v>1583.56</v>
      </c>
      <c r="T2518">
        <f>2711.201</f>
        <v>2711.201</v>
      </c>
      <c r="U2518">
        <f>45750.23</f>
        <v>45750.23</v>
      </c>
      <c r="V2518">
        <f>307.57</f>
        <v>307.57</v>
      </c>
    </row>
    <row r="2519" spans="1:22" x14ac:dyDescent="0.2">
      <c r="A2519" s="1">
        <v>41582</v>
      </c>
      <c r="B2519">
        <f>2783.67</f>
        <v>2783.67</v>
      </c>
      <c r="C2519">
        <f>9467.84</f>
        <v>9467.84</v>
      </c>
      <c r="D2519">
        <f>4908.11</f>
        <v>4908.1099999999997</v>
      </c>
      <c r="E2519">
        <f>2000.121</f>
        <v>2000.1210000000001</v>
      </c>
      <c r="F2519">
        <f>1785.85</f>
        <v>1785.85</v>
      </c>
      <c r="G2519">
        <f>7979.284</f>
        <v>7979.2839999999997</v>
      </c>
      <c r="H2519">
        <f>2281.33</f>
        <v>2281.33</v>
      </c>
      <c r="I2519">
        <f>8350.288</f>
        <v>8350.2880000000005</v>
      </c>
      <c r="J2519">
        <f>2354.4</f>
        <v>2354.4</v>
      </c>
      <c r="K2519">
        <f>6595.29</f>
        <v>6595.29</v>
      </c>
      <c r="L2519">
        <f>1490.61</f>
        <v>1490.61</v>
      </c>
      <c r="M2519">
        <f>5818.22</f>
        <v>5818.22</v>
      </c>
      <c r="N2519">
        <f>234.884</f>
        <v>234.88399999999999</v>
      </c>
      <c r="O2519">
        <f>2128.73</f>
        <v>2128.73</v>
      </c>
      <c r="P2519" t="e">
        <f>NA()</f>
        <v>#N/A</v>
      </c>
      <c r="Q2519">
        <f>1500.83</f>
        <v>1500.83</v>
      </c>
      <c r="R2519">
        <f>3158.47</f>
        <v>3158.47</v>
      </c>
      <c r="S2519" t="e">
        <f>NA()</f>
        <v>#N/A</v>
      </c>
      <c r="T2519">
        <f>2720.928</f>
        <v>2720.9279999999999</v>
      </c>
      <c r="U2519">
        <f>45671.44</f>
        <v>45671.44</v>
      </c>
      <c r="V2519">
        <f>309.07</f>
        <v>309.07</v>
      </c>
    </row>
    <row r="2520" spans="1:22" x14ac:dyDescent="0.2">
      <c r="A2520" s="1">
        <v>41579</v>
      </c>
      <c r="B2520">
        <f>2778.55</f>
        <v>2778.55</v>
      </c>
      <c r="C2520">
        <f>9442.51</f>
        <v>9442.51</v>
      </c>
      <c r="D2520">
        <f>4887.16</f>
        <v>4887.16</v>
      </c>
      <c r="E2520">
        <f>2001.6</f>
        <v>2001.6</v>
      </c>
      <c r="F2520">
        <f>1781.95</f>
        <v>1781.95</v>
      </c>
      <c r="G2520">
        <f>7930.686</f>
        <v>7930.6859999999997</v>
      </c>
      <c r="H2520">
        <f>2277.29</f>
        <v>2277.29</v>
      </c>
      <c r="I2520">
        <f>8311.355</f>
        <v>8311.3549999999996</v>
      </c>
      <c r="J2520">
        <f>2343.54</f>
        <v>2343.54</v>
      </c>
      <c r="K2520">
        <f>6572.22</f>
        <v>6572.22</v>
      </c>
      <c r="L2520">
        <f>1485.8</f>
        <v>1485.8</v>
      </c>
      <c r="M2520">
        <f>5796.51</f>
        <v>5796.51</v>
      </c>
      <c r="N2520">
        <f>234.908</f>
        <v>234.90799999999999</v>
      </c>
      <c r="O2520">
        <f>2122.52</f>
        <v>2122.52</v>
      </c>
      <c r="P2520">
        <f>135.99</f>
        <v>135.99</v>
      </c>
      <c r="Q2520">
        <f>1492.92</f>
        <v>1492.92</v>
      </c>
      <c r="R2520">
        <f>3147.21</f>
        <v>3147.21</v>
      </c>
      <c r="S2520">
        <f>1584.16</f>
        <v>1584.16</v>
      </c>
      <c r="T2520">
        <f>2730.54</f>
        <v>2730.54</v>
      </c>
      <c r="U2520">
        <f>45561.08</f>
        <v>45561.08</v>
      </c>
      <c r="V2520">
        <f>308.7</f>
        <v>308.7</v>
      </c>
    </row>
    <row r="2521" spans="1:22" x14ac:dyDescent="0.2">
      <c r="A2521" s="1">
        <v>41578</v>
      </c>
      <c r="B2521">
        <f>2780.73</f>
        <v>2780.73</v>
      </c>
      <c r="C2521">
        <f>9522.95</f>
        <v>9522.9500000000007</v>
      </c>
      <c r="D2521">
        <f>4884.75</f>
        <v>4884.75</v>
      </c>
      <c r="E2521">
        <f>2014.051</f>
        <v>2014.0509999999999</v>
      </c>
      <c r="F2521">
        <f>1790.12</f>
        <v>1790.12</v>
      </c>
      <c r="G2521">
        <f>7998.861</f>
        <v>7998.8609999999999</v>
      </c>
      <c r="H2521">
        <f>2303.69</f>
        <v>2303.69</v>
      </c>
      <c r="I2521">
        <f>8407.746</f>
        <v>8407.7459999999992</v>
      </c>
      <c r="J2521">
        <f>2335.49</f>
        <v>2335.4899999999998</v>
      </c>
      <c r="K2521">
        <f>6554.5</f>
        <v>6554.5</v>
      </c>
      <c r="L2521">
        <f>1490.31</f>
        <v>1490.31</v>
      </c>
      <c r="M2521">
        <f>5814.65</f>
        <v>5814.65</v>
      </c>
      <c r="N2521">
        <f>235.544</f>
        <v>235.54400000000001</v>
      </c>
      <c r="O2521">
        <f>2127.27</f>
        <v>2127.27</v>
      </c>
      <c r="P2521">
        <f>137.43</f>
        <v>137.43</v>
      </c>
      <c r="Q2521">
        <f>1489.79</f>
        <v>1489.79</v>
      </c>
      <c r="R2521">
        <f>3138.09</f>
        <v>3138.09</v>
      </c>
      <c r="S2521">
        <f>1599.21</f>
        <v>1599.21</v>
      </c>
      <c r="T2521">
        <f>2736.848</f>
        <v>2736.848</v>
      </c>
      <c r="U2521">
        <f>45517.56</f>
        <v>45517.56</v>
      </c>
      <c r="V2521">
        <f>309.54</f>
        <v>309.54000000000002</v>
      </c>
    </row>
    <row r="2522" spans="1:22" x14ac:dyDescent="0.2">
      <c r="A2522" s="1">
        <v>41577</v>
      </c>
      <c r="B2522">
        <f>2793.25</f>
        <v>2793.25</v>
      </c>
      <c r="C2522">
        <f>9581.04</f>
        <v>9581.0400000000009</v>
      </c>
      <c r="D2522">
        <f>4918.33</f>
        <v>4918.33</v>
      </c>
      <c r="E2522">
        <f>2030.215</f>
        <v>2030.2149999999999</v>
      </c>
      <c r="F2522">
        <f>1807.45</f>
        <v>1807.45</v>
      </c>
      <c r="G2522">
        <f>8058.973</f>
        <v>8058.973</v>
      </c>
      <c r="H2522">
        <f>2309</f>
        <v>2309</v>
      </c>
      <c r="I2522">
        <f>8485.035</f>
        <v>8485.0349999999999</v>
      </c>
      <c r="J2522">
        <f>2341.28</f>
        <v>2341.2800000000002</v>
      </c>
      <c r="K2522">
        <f>6577.77</f>
        <v>6577.77</v>
      </c>
      <c r="L2522">
        <f>1499.64</f>
        <v>1499.64</v>
      </c>
      <c r="M2522">
        <f>5846.97</f>
        <v>5846.97</v>
      </c>
      <c r="N2522">
        <f>234.495</f>
        <v>234.495</v>
      </c>
      <c r="O2522">
        <f>2118.21</f>
        <v>2118.21</v>
      </c>
      <c r="P2522">
        <f>137.67</f>
        <v>137.66999999999999</v>
      </c>
      <c r="Q2522">
        <f>1491.54</f>
        <v>1491.54</v>
      </c>
      <c r="R2522">
        <f>3149.93</f>
        <v>3149.93</v>
      </c>
      <c r="S2522">
        <f>1612.92</f>
        <v>1612.92</v>
      </c>
      <c r="T2522">
        <f>2735.936</f>
        <v>2735.9360000000001</v>
      </c>
      <c r="U2522">
        <f>45611.91</f>
        <v>45611.91</v>
      </c>
      <c r="V2522">
        <f>311.47</f>
        <v>311.47000000000003</v>
      </c>
    </row>
    <row r="2523" spans="1:22" x14ac:dyDescent="0.2">
      <c r="A2523" s="1">
        <v>41576</v>
      </c>
      <c r="B2523">
        <f>2799.94</f>
        <v>2799.94</v>
      </c>
      <c r="C2523">
        <f>9513.61</f>
        <v>9513.61</v>
      </c>
      <c r="D2523">
        <f>4915.99</f>
        <v>4915.99</v>
      </c>
      <c r="E2523">
        <f>2018.431</f>
        <v>2018.431</v>
      </c>
      <c r="F2523">
        <f>1805.96</f>
        <v>1805.96</v>
      </c>
      <c r="G2523">
        <f>8045.677</f>
        <v>8045.6769999999997</v>
      </c>
      <c r="H2523">
        <f>2291.17</f>
        <v>2291.17</v>
      </c>
      <c r="I2523">
        <f>8488.649</f>
        <v>8488.6489999999994</v>
      </c>
      <c r="J2523">
        <f>2353.65</f>
        <v>2353.65</v>
      </c>
      <c r="K2523">
        <f>6610.97</f>
        <v>6610.97</v>
      </c>
      <c r="L2523">
        <f>1501.67</f>
        <v>1501.67</v>
      </c>
      <c r="M2523">
        <f>5855.59</f>
        <v>5855.59</v>
      </c>
      <c r="N2523">
        <f>234.794</f>
        <v>234.79400000000001</v>
      </c>
      <c r="O2523">
        <f>2119.26</f>
        <v>2119.2600000000002</v>
      </c>
      <c r="P2523">
        <f>136.59</f>
        <v>136.59</v>
      </c>
      <c r="Q2523">
        <f>1502.72</f>
        <v>1502.72</v>
      </c>
      <c r="R2523">
        <f>3165.11</f>
        <v>3165.11</v>
      </c>
      <c r="S2523">
        <f>1598.19</f>
        <v>1598.19</v>
      </c>
      <c r="T2523">
        <f>2724.255</f>
        <v>2724.2550000000001</v>
      </c>
      <c r="U2523">
        <f>45443.88</f>
        <v>45443.88</v>
      </c>
      <c r="V2523">
        <f>310.75</f>
        <v>310.75</v>
      </c>
    </row>
    <row r="2524" spans="1:22" x14ac:dyDescent="0.2">
      <c r="A2524" s="1">
        <v>41575</v>
      </c>
      <c r="B2524">
        <f>2778.27</f>
        <v>2778.27</v>
      </c>
      <c r="C2524">
        <f>9478.19</f>
        <v>9478.19</v>
      </c>
      <c r="D2524">
        <f>4880.51</f>
        <v>4880.51</v>
      </c>
      <c r="E2524">
        <f>2013.769</f>
        <v>2013.769</v>
      </c>
      <c r="F2524">
        <f>1800.83</f>
        <v>1800.83</v>
      </c>
      <c r="G2524">
        <f>8024.699</f>
        <v>8024.6989999999996</v>
      </c>
      <c r="H2524">
        <f>2293.31</f>
        <v>2293.31</v>
      </c>
      <c r="I2524">
        <f>8468.147</f>
        <v>8468.1470000000008</v>
      </c>
      <c r="J2524">
        <f>2342.35</f>
        <v>2342.35</v>
      </c>
      <c r="K2524">
        <f>6576.36</f>
        <v>6576.36</v>
      </c>
      <c r="L2524">
        <f>1496.42</f>
        <v>1496.42</v>
      </c>
      <c r="M2524">
        <f>5840.44</f>
        <v>5840.44</v>
      </c>
      <c r="N2524">
        <f>234.763</f>
        <v>234.76300000000001</v>
      </c>
      <c r="O2524">
        <f>2110.12</f>
        <v>2110.12</v>
      </c>
      <c r="P2524">
        <f>136.38</f>
        <v>136.38</v>
      </c>
      <c r="Q2524">
        <f>1491.5</f>
        <v>1491.5</v>
      </c>
      <c r="R2524">
        <f>3147.36</f>
        <v>3147.36</v>
      </c>
      <c r="S2524">
        <f>1604.66</f>
        <v>1604.66</v>
      </c>
      <c r="T2524">
        <f>2722.892</f>
        <v>2722.8919999999998</v>
      </c>
      <c r="U2524">
        <f>45401.67</f>
        <v>45401.67</v>
      </c>
      <c r="V2524">
        <f>311.49</f>
        <v>311.49</v>
      </c>
    </row>
    <row r="2525" spans="1:22" x14ac:dyDescent="0.2">
      <c r="A2525" s="1">
        <v>41572</v>
      </c>
      <c r="B2525">
        <f>2783.26</f>
        <v>2783.26</v>
      </c>
      <c r="C2525">
        <f>9400.1</f>
        <v>9400.1</v>
      </c>
      <c r="D2525">
        <f>4877.25</f>
        <v>4877.25</v>
      </c>
      <c r="E2525">
        <f>1999.92</f>
        <v>1999.92</v>
      </c>
      <c r="F2525">
        <f>1799.55</f>
        <v>1799.55</v>
      </c>
      <c r="G2525">
        <f>8036.316</f>
        <v>8036.3159999999998</v>
      </c>
      <c r="H2525">
        <f>2270.55</f>
        <v>2270.5500000000002</v>
      </c>
      <c r="I2525">
        <f>8488.643</f>
        <v>8488.643</v>
      </c>
      <c r="J2525">
        <f>2331.64</f>
        <v>2331.64</v>
      </c>
      <c r="K2525">
        <f>6569.68</f>
        <v>6569.68</v>
      </c>
      <c r="L2525">
        <f>1493.55</f>
        <v>1493.55</v>
      </c>
      <c r="M2525">
        <f>5832.21</f>
        <v>5832.21</v>
      </c>
      <c r="N2525">
        <f>234.015</f>
        <v>234.01499999999999</v>
      </c>
      <c r="O2525">
        <f>2113.21</f>
        <v>2113.21</v>
      </c>
      <c r="P2525">
        <f>134.72</f>
        <v>134.72</v>
      </c>
      <c r="Q2525">
        <f>1487.04</f>
        <v>1487.04</v>
      </c>
      <c r="R2525">
        <f>3143.16</f>
        <v>3143.16</v>
      </c>
      <c r="S2525">
        <f>1577.77</f>
        <v>1577.77</v>
      </c>
      <c r="T2525">
        <f>2703.5</f>
        <v>2703.5</v>
      </c>
      <c r="U2525">
        <f>45124.04</f>
        <v>45124.04</v>
      </c>
      <c r="V2525">
        <f>307.4</f>
        <v>307.39999999999998</v>
      </c>
    </row>
    <row r="2526" spans="1:22" x14ac:dyDescent="0.2">
      <c r="A2526" s="1">
        <v>41571</v>
      </c>
      <c r="B2526">
        <f>2778.81</f>
        <v>2778.81</v>
      </c>
      <c r="C2526">
        <f>9430.82</f>
        <v>9430.82</v>
      </c>
      <c r="D2526">
        <f>4871.33</f>
        <v>4871.33</v>
      </c>
      <c r="E2526">
        <f>2006.765</f>
        <v>2006.7650000000001</v>
      </c>
      <c r="F2526">
        <f>1796.62</f>
        <v>1796.62</v>
      </c>
      <c r="G2526">
        <f>8025.429</f>
        <v>8025.4290000000001</v>
      </c>
      <c r="H2526">
        <f>2316.24</f>
        <v>2316.2399999999998</v>
      </c>
      <c r="I2526">
        <f>8511.053</f>
        <v>8511.0529999999999</v>
      </c>
      <c r="J2526">
        <f>2317.66</f>
        <v>2317.66</v>
      </c>
      <c r="K2526">
        <f>6543.41</f>
        <v>6543.41</v>
      </c>
      <c r="L2526">
        <f>1489.72</f>
        <v>1489.72</v>
      </c>
      <c r="M2526">
        <f>5832.03</f>
        <v>5832.03</v>
      </c>
      <c r="N2526">
        <f>234.045</f>
        <v>234.04499999999999</v>
      </c>
      <c r="O2526" t="e">
        <f>NA()</f>
        <v>#N/A</v>
      </c>
      <c r="P2526">
        <f>136.86</f>
        <v>136.86000000000001</v>
      </c>
      <c r="Q2526">
        <f>1479.33</f>
        <v>1479.33</v>
      </c>
      <c r="R2526">
        <f>3129.41</f>
        <v>3129.41</v>
      </c>
      <c r="S2526">
        <f>1611.34</f>
        <v>1611.34</v>
      </c>
      <c r="T2526">
        <f>2705.948</f>
        <v>2705.9479999999999</v>
      </c>
      <c r="U2526">
        <f>45063.49</f>
        <v>45063.49</v>
      </c>
      <c r="V2526">
        <f>307.11</f>
        <v>307.11</v>
      </c>
    </row>
    <row r="2527" spans="1:22" x14ac:dyDescent="0.2">
      <c r="A2527" s="1">
        <v>41570</v>
      </c>
      <c r="B2527">
        <f>2769.83</f>
        <v>2769.83</v>
      </c>
      <c r="C2527">
        <f>9476.31</f>
        <v>9476.31</v>
      </c>
      <c r="D2527">
        <f>4843.25</f>
        <v>4843.25</v>
      </c>
      <c r="E2527">
        <f>2011.909</f>
        <v>2011.9090000000001</v>
      </c>
      <c r="F2527">
        <f>1791.39</f>
        <v>1791.39</v>
      </c>
      <c r="G2527">
        <f>7978.659</f>
        <v>7978.6589999999997</v>
      </c>
      <c r="H2527">
        <f>2303.19</f>
        <v>2303.19</v>
      </c>
      <c r="I2527">
        <f>8459.488</f>
        <v>8459.4879999999994</v>
      </c>
      <c r="J2527">
        <f>2312.52</f>
        <v>2312.52</v>
      </c>
      <c r="K2527">
        <f>6521.2</f>
        <v>6521.2</v>
      </c>
      <c r="L2527">
        <f>1485.27</f>
        <v>1485.27</v>
      </c>
      <c r="M2527">
        <f>5809.22</f>
        <v>5809.22</v>
      </c>
      <c r="N2527">
        <f>233.381</f>
        <v>233.381</v>
      </c>
      <c r="O2527">
        <f>2105.25</f>
        <v>2105.25</v>
      </c>
      <c r="P2527">
        <f>135.48</f>
        <v>135.47999999999999</v>
      </c>
      <c r="Q2527">
        <f>1477.37</f>
        <v>1477.37</v>
      </c>
      <c r="R2527">
        <f>3119.2</f>
        <v>3119.2</v>
      </c>
      <c r="S2527">
        <f>1601.48</f>
        <v>1601.48</v>
      </c>
      <c r="T2527">
        <f>2706.954</f>
        <v>2706.9540000000002</v>
      </c>
      <c r="U2527">
        <f>45035.78</f>
        <v>45035.78</v>
      </c>
      <c r="V2527">
        <f>306.78</f>
        <v>306.77999999999997</v>
      </c>
    </row>
    <row r="2528" spans="1:22" x14ac:dyDescent="0.2">
      <c r="A2528" s="1">
        <v>41569</v>
      </c>
      <c r="B2528">
        <f>2771.14</f>
        <v>2771.14</v>
      </c>
      <c r="C2528">
        <f>9604.08</f>
        <v>9604.08</v>
      </c>
      <c r="D2528">
        <f>4854.27</f>
        <v>4854.2700000000004</v>
      </c>
      <c r="E2528">
        <f>2033.61</f>
        <v>2033.61</v>
      </c>
      <c r="F2528">
        <f>1798.43</f>
        <v>1798.43</v>
      </c>
      <c r="G2528">
        <f>8019.188</f>
        <v>8019.1880000000001</v>
      </c>
      <c r="H2528">
        <f>2306.82</f>
        <v>2306.8200000000002</v>
      </c>
      <c r="I2528">
        <f>8504.79</f>
        <v>8504.7900000000009</v>
      </c>
      <c r="J2528">
        <f>2317.94</f>
        <v>2317.94</v>
      </c>
      <c r="K2528">
        <f>6553.8</f>
        <v>6553.8</v>
      </c>
      <c r="L2528">
        <f>1489.89</f>
        <v>1489.89</v>
      </c>
      <c r="M2528">
        <f>5841.76</f>
        <v>5841.76</v>
      </c>
      <c r="N2528">
        <f>234.158</f>
        <v>234.15799999999999</v>
      </c>
      <c r="O2528">
        <f>2118.53</f>
        <v>2118.5300000000002</v>
      </c>
      <c r="P2528">
        <f>136.58</f>
        <v>136.58000000000001</v>
      </c>
      <c r="Q2528">
        <f>1475.85</f>
        <v>1475.85</v>
      </c>
      <c r="R2528">
        <f>3133.98</f>
        <v>3133.98</v>
      </c>
      <c r="S2528">
        <f>1626.2</f>
        <v>1626.2</v>
      </c>
      <c r="T2528">
        <f>2719.696</f>
        <v>2719.6959999999999</v>
      </c>
      <c r="U2528">
        <f>45357.81</f>
        <v>45357.81</v>
      </c>
      <c r="V2528">
        <f>309.59</f>
        <v>309.58999999999997</v>
      </c>
    </row>
    <row r="2529" spans="1:22" x14ac:dyDescent="0.2">
      <c r="A2529" s="1">
        <v>41568</v>
      </c>
      <c r="B2529">
        <f>2754.95</f>
        <v>2754.95</v>
      </c>
      <c r="C2529">
        <f>9602.65</f>
        <v>9602.65</v>
      </c>
      <c r="D2529">
        <f>4824.21</f>
        <v>4824.21</v>
      </c>
      <c r="E2529">
        <f>2029.697</f>
        <v>2029.6969999999999</v>
      </c>
      <c r="F2529">
        <f>1780.31</f>
        <v>1780.31</v>
      </c>
      <c r="G2529">
        <f>7941.879</f>
        <v>7941.8789999999999</v>
      </c>
      <c r="H2529">
        <f>2302.13</f>
        <v>2302.13</v>
      </c>
      <c r="I2529">
        <f>8393.015</f>
        <v>8393.0149999999994</v>
      </c>
      <c r="J2529">
        <f>2301.28</f>
        <v>2301.2800000000002</v>
      </c>
      <c r="K2529">
        <f>6518.45</f>
        <v>6518.45</v>
      </c>
      <c r="L2529">
        <f>1473.87</f>
        <v>1473.87</v>
      </c>
      <c r="M2529">
        <f>5801.42</f>
        <v>5801.42</v>
      </c>
      <c r="N2529">
        <f>233.333</f>
        <v>233.333</v>
      </c>
      <c r="O2529">
        <f>2107.74</f>
        <v>2107.7399999999998</v>
      </c>
      <c r="P2529">
        <f>136.38</f>
        <v>136.38</v>
      </c>
      <c r="Q2529">
        <f>1461.98</f>
        <v>1461.98</v>
      </c>
      <c r="R2529">
        <f>3116.09</f>
        <v>3116.09</v>
      </c>
      <c r="S2529">
        <f>1623.4</f>
        <v>1623.4</v>
      </c>
      <c r="T2529">
        <f>2708.942</f>
        <v>2708.942</v>
      </c>
      <c r="U2529">
        <f>44926.71</f>
        <v>44926.71</v>
      </c>
      <c r="V2529">
        <f>309.38</f>
        <v>309.38</v>
      </c>
    </row>
    <row r="2530" spans="1:22" x14ac:dyDescent="0.2">
      <c r="A2530" s="1">
        <v>41565</v>
      </c>
      <c r="B2530">
        <f>2741.27</f>
        <v>2741.27</v>
      </c>
      <c r="C2530">
        <f>9594.19</f>
        <v>9594.19</v>
      </c>
      <c r="D2530">
        <f>4801.29</f>
        <v>4801.29</v>
      </c>
      <c r="E2530">
        <f>2028.508</f>
        <v>2028.508</v>
      </c>
      <c r="F2530">
        <f>1774.77</f>
        <v>1774.77</v>
      </c>
      <c r="G2530">
        <f>7918.481</f>
        <v>7918.4809999999998</v>
      </c>
      <c r="H2530">
        <f>2297.32</f>
        <v>2297.3200000000002</v>
      </c>
      <c r="I2530">
        <f>8382.16</f>
        <v>8382.16</v>
      </c>
      <c r="J2530">
        <f>2300.18</f>
        <v>2300.1799999999998</v>
      </c>
      <c r="K2530">
        <f>6518.34</f>
        <v>6518.34</v>
      </c>
      <c r="L2530">
        <f>1471.22</f>
        <v>1471.22</v>
      </c>
      <c r="M2530">
        <f>5795.57</f>
        <v>5795.57</v>
      </c>
      <c r="N2530">
        <f>231.429</f>
        <v>231.429</v>
      </c>
      <c r="O2530">
        <f>2101.61</f>
        <v>2101.61</v>
      </c>
      <c r="P2530">
        <f>135.49</f>
        <v>135.49</v>
      </c>
      <c r="Q2530">
        <f>1461.172</f>
        <v>1461.172</v>
      </c>
      <c r="R2530">
        <f>3115.77</f>
        <v>3115.77</v>
      </c>
      <c r="S2530">
        <f>1614.25</f>
        <v>1614.25</v>
      </c>
      <c r="T2530">
        <f>2688.558</f>
        <v>2688.558</v>
      </c>
      <c r="U2530">
        <f>44689.29</f>
        <v>44689.29</v>
      </c>
      <c r="V2530">
        <f>307.94</f>
        <v>307.94</v>
      </c>
    </row>
    <row r="2531" spans="1:22" x14ac:dyDescent="0.2">
      <c r="A2531" s="1">
        <v>41564</v>
      </c>
      <c r="B2531">
        <f>2722.62</f>
        <v>2722.62</v>
      </c>
      <c r="C2531">
        <f>9544.67</f>
        <v>9544.67</v>
      </c>
      <c r="D2531">
        <f>4767.63</f>
        <v>4767.63</v>
      </c>
      <c r="E2531">
        <f>2012.016</f>
        <v>2012.0160000000001</v>
      </c>
      <c r="F2531">
        <f>1763.43</f>
        <v>1763.43</v>
      </c>
      <c r="G2531">
        <f>7842.889</f>
        <v>7842.8890000000001</v>
      </c>
      <c r="H2531">
        <f>2300.95</f>
        <v>2300.9499999999998</v>
      </c>
      <c r="I2531">
        <f>8296.112</f>
        <v>8296.1119999999992</v>
      </c>
      <c r="J2531">
        <f>2294.73</f>
        <v>2294.73</v>
      </c>
      <c r="K2531">
        <f>6474.5</f>
        <v>6474.5</v>
      </c>
      <c r="L2531">
        <f>1463.09</f>
        <v>1463.09</v>
      </c>
      <c r="M2531">
        <f>5753.78</f>
        <v>5753.78</v>
      </c>
      <c r="N2531">
        <f>229.189</f>
        <v>229.18899999999999</v>
      </c>
      <c r="O2531">
        <f>2086.15</f>
        <v>2086.15</v>
      </c>
      <c r="P2531">
        <f>135.45</f>
        <v>135.44999999999999</v>
      </c>
      <c r="Q2531">
        <f>1458.89</f>
        <v>1458.89</v>
      </c>
      <c r="R2531">
        <f>3095.42</f>
        <v>3095.42</v>
      </c>
      <c r="S2531">
        <f>1615.22</f>
        <v>1615.22</v>
      </c>
      <c r="T2531">
        <f>2669.617</f>
        <v>2669.6170000000002</v>
      </c>
      <c r="U2531">
        <f>44514.12</f>
        <v>44514.12</v>
      </c>
      <c r="V2531">
        <f>307.58</f>
        <v>307.58</v>
      </c>
    </row>
    <row r="2532" spans="1:22" x14ac:dyDescent="0.2">
      <c r="A2532" s="1">
        <v>41563</v>
      </c>
      <c r="B2532">
        <f>2717.54</f>
        <v>2717.54</v>
      </c>
      <c r="C2532">
        <f>9552.5</f>
        <v>9552.5</v>
      </c>
      <c r="D2532">
        <f>4764.32</f>
        <v>4764.32</v>
      </c>
      <c r="E2532">
        <f>2006.687</f>
        <v>2006.6869999999999</v>
      </c>
      <c r="F2532">
        <f>1733.27</f>
        <v>1733.27</v>
      </c>
      <c r="G2532">
        <f>7730.394</f>
        <v>7730.3940000000002</v>
      </c>
      <c r="H2532">
        <f>2259</f>
        <v>2259</v>
      </c>
      <c r="I2532">
        <f>8182.487</f>
        <v>8182.4870000000001</v>
      </c>
      <c r="J2532">
        <f>2275.52</f>
        <v>2275.52</v>
      </c>
      <c r="K2532">
        <f>6429.38</f>
        <v>6429.38</v>
      </c>
      <c r="L2532">
        <f>1444.12</f>
        <v>1444.12</v>
      </c>
      <c r="M2532">
        <f>5694.53</f>
        <v>5694.53</v>
      </c>
      <c r="N2532">
        <f>228.465</f>
        <v>228.465</v>
      </c>
      <c r="O2532">
        <f>2081.72</f>
        <v>2081.7199999999998</v>
      </c>
      <c r="P2532">
        <f>134.51</f>
        <v>134.51</v>
      </c>
      <c r="Q2532">
        <f>1443.36</f>
        <v>1443.36</v>
      </c>
      <c r="R2532">
        <f>3074.54</f>
        <v>3074.54</v>
      </c>
      <c r="S2532">
        <f>1602.54</f>
        <v>1602.54</v>
      </c>
      <c r="T2532">
        <f>2681.222</f>
        <v>2681.2220000000002</v>
      </c>
      <c r="U2532">
        <f>44418.01</f>
        <v>44418.01</v>
      </c>
      <c r="V2532">
        <f>309.86</f>
        <v>309.86</v>
      </c>
    </row>
    <row r="2533" spans="1:22" x14ac:dyDescent="0.2">
      <c r="A2533" s="1">
        <v>41562</v>
      </c>
      <c r="B2533">
        <f>2704.44</f>
        <v>2704.44</v>
      </c>
      <c r="C2533">
        <f>9515.52</f>
        <v>9515.52</v>
      </c>
      <c r="D2533">
        <f>4748.03</f>
        <v>4748.03</v>
      </c>
      <c r="E2533">
        <f>2003.927</f>
        <v>2003.9269999999999</v>
      </c>
      <c r="F2533">
        <f>1734.63</f>
        <v>1734.63</v>
      </c>
      <c r="G2533">
        <f>7723.641</f>
        <v>7723.6409999999996</v>
      </c>
      <c r="H2533">
        <f>2270.51</f>
        <v>2270.5100000000002</v>
      </c>
      <c r="I2533">
        <f>8165.493</f>
        <v>8165.4930000000004</v>
      </c>
      <c r="J2533">
        <f>2249.27</f>
        <v>2249.27</v>
      </c>
      <c r="K2533">
        <f>6340.66</f>
        <v>6340.66</v>
      </c>
      <c r="L2533">
        <f>1436.19</f>
        <v>1436.19</v>
      </c>
      <c r="M2533">
        <f>5650.13</f>
        <v>5650.13</v>
      </c>
      <c r="N2533">
        <f>228.754</f>
        <v>228.75399999999999</v>
      </c>
      <c r="O2533">
        <f>2078.06</f>
        <v>2078.06</v>
      </c>
      <c r="P2533">
        <f>134.68</f>
        <v>134.68</v>
      </c>
      <c r="Q2533">
        <f>1427.48</f>
        <v>1427.48</v>
      </c>
      <c r="R2533">
        <f>3032.27</f>
        <v>3032.27</v>
      </c>
      <c r="S2533">
        <f>1603.47</f>
        <v>1603.47</v>
      </c>
      <c r="T2533">
        <f>2658.094</f>
        <v>2658.0940000000001</v>
      </c>
      <c r="U2533">
        <f>44297.17</f>
        <v>44297.17</v>
      </c>
      <c r="V2533">
        <f>306.52</f>
        <v>306.52</v>
      </c>
    </row>
    <row r="2534" spans="1:22" x14ac:dyDescent="0.2">
      <c r="A2534" s="1">
        <v>41561</v>
      </c>
      <c r="B2534">
        <f>2686.84</f>
        <v>2686.84</v>
      </c>
      <c r="C2534">
        <f>9441.24</f>
        <v>9441.24</v>
      </c>
      <c r="D2534">
        <f>4717.96</f>
        <v>4717.96</v>
      </c>
      <c r="E2534">
        <f>1989.916</f>
        <v>1989.9159999999999</v>
      </c>
      <c r="F2534">
        <f>1730.4</f>
        <v>1730.4</v>
      </c>
      <c r="G2534">
        <f>7697.835</f>
        <v>7697.835</v>
      </c>
      <c r="H2534">
        <f>2276.86</f>
        <v>2276.86</v>
      </c>
      <c r="I2534">
        <f>8152.269</f>
        <v>8152.2690000000002</v>
      </c>
      <c r="J2534">
        <f>2262.9</f>
        <v>2262.9</v>
      </c>
      <c r="K2534">
        <f>6384.81</f>
        <v>6384.81</v>
      </c>
      <c r="L2534">
        <f>1437.49</f>
        <v>1437.49</v>
      </c>
      <c r="M2534">
        <f>5666.74</f>
        <v>5666.74</v>
      </c>
      <c r="N2534">
        <f>227.654</f>
        <v>227.654</v>
      </c>
      <c r="O2534">
        <f>2059.57</f>
        <v>2059.5700000000002</v>
      </c>
      <c r="P2534" t="e">
        <f>NA()</f>
        <v>#N/A</v>
      </c>
      <c r="Q2534">
        <f>1439.83</f>
        <v>1439.83</v>
      </c>
      <c r="R2534">
        <f>3053.84</f>
        <v>3053.84</v>
      </c>
      <c r="S2534" t="e">
        <f>NA()</f>
        <v>#N/A</v>
      </c>
      <c r="T2534">
        <f>2623.893</f>
        <v>2623.893</v>
      </c>
      <c r="U2534">
        <f>43723.16</f>
        <v>43723.16</v>
      </c>
      <c r="V2534">
        <f>304.24</f>
        <v>304.24</v>
      </c>
    </row>
    <row r="2535" spans="1:22" x14ac:dyDescent="0.2">
      <c r="A2535" s="1">
        <v>41558</v>
      </c>
      <c r="B2535">
        <f>2671.81</f>
        <v>2671.81</v>
      </c>
      <c r="C2535">
        <f>9427.26</f>
        <v>9427.26</v>
      </c>
      <c r="D2535">
        <f>4703.13</f>
        <v>4703.13</v>
      </c>
      <c r="E2535">
        <f>1990.995</f>
        <v>1990.9949999999999</v>
      </c>
      <c r="F2535">
        <f>1716.94</f>
        <v>1716.94</v>
      </c>
      <c r="G2535">
        <f>7642.951</f>
        <v>7642.951</v>
      </c>
      <c r="H2535">
        <f>2272.46</f>
        <v>2272.46</v>
      </c>
      <c r="I2535">
        <f>8137.188</f>
        <v>8137.1880000000001</v>
      </c>
      <c r="J2535">
        <f>2253.8</f>
        <v>2253.8000000000002</v>
      </c>
      <c r="K2535">
        <f>6358.62</f>
        <v>6358.62</v>
      </c>
      <c r="L2535">
        <f>1432.73</f>
        <v>1432.73</v>
      </c>
      <c r="M2535">
        <f>5647.07</f>
        <v>5647.07</v>
      </c>
      <c r="N2535">
        <f>226.685</f>
        <v>226.685</v>
      </c>
      <c r="O2535">
        <f>2056.56</f>
        <v>2056.56</v>
      </c>
      <c r="P2535">
        <f>134.84</f>
        <v>134.84</v>
      </c>
      <c r="Q2535">
        <f>1436.29</f>
        <v>1436.29</v>
      </c>
      <c r="R2535">
        <f>3041.43</f>
        <v>3041.43</v>
      </c>
      <c r="S2535">
        <f>1603.07</f>
        <v>1603.07</v>
      </c>
      <c r="T2535">
        <f>2623.505</f>
        <v>2623.5050000000001</v>
      </c>
      <c r="U2535">
        <f>43620.57</f>
        <v>43620.57</v>
      </c>
      <c r="V2535">
        <f>303.7</f>
        <v>303.7</v>
      </c>
    </row>
    <row r="2536" spans="1:22" x14ac:dyDescent="0.2">
      <c r="A2536" s="1">
        <v>41557</v>
      </c>
      <c r="B2536">
        <f>2656.03</f>
        <v>2656.03</v>
      </c>
      <c r="C2536">
        <f>9370.71</f>
        <v>9370.7099999999991</v>
      </c>
      <c r="D2536">
        <f>4662.02</f>
        <v>4662.0200000000004</v>
      </c>
      <c r="E2536">
        <f>1973.085</f>
        <v>1973.085</v>
      </c>
      <c r="F2536">
        <f>1713.49</f>
        <v>1713.49</v>
      </c>
      <c r="G2536">
        <f>7578.75</f>
        <v>7578.75</v>
      </c>
      <c r="H2536">
        <f>2254.82</f>
        <v>2254.8200000000002</v>
      </c>
      <c r="I2536">
        <f>8081.484</f>
        <v>8081.4840000000004</v>
      </c>
      <c r="J2536">
        <f>2242.03</f>
        <v>2242.0300000000002</v>
      </c>
      <c r="K2536">
        <f>6318.37</f>
        <v>6318.37</v>
      </c>
      <c r="L2536">
        <f>1423.74</f>
        <v>1423.74</v>
      </c>
      <c r="M2536">
        <f>5605.56</f>
        <v>5605.56</v>
      </c>
      <c r="N2536">
        <f>225.955</f>
        <v>225.95500000000001</v>
      </c>
      <c r="O2536">
        <f>2047.75</f>
        <v>2047.75</v>
      </c>
      <c r="P2536">
        <f>133.26</f>
        <v>133.26</v>
      </c>
      <c r="Q2536">
        <f>1426.32</f>
        <v>1426.32</v>
      </c>
      <c r="R2536">
        <f>3022.43</f>
        <v>3022.43</v>
      </c>
      <c r="S2536">
        <f>1577.34</f>
        <v>1577.34</v>
      </c>
      <c r="T2536">
        <f>2604.999</f>
        <v>2604.9989999999998</v>
      </c>
      <c r="U2536">
        <f>43321.36</f>
        <v>43321.36</v>
      </c>
      <c r="V2536">
        <f>302.89</f>
        <v>302.89</v>
      </c>
    </row>
    <row r="2537" spans="1:22" x14ac:dyDescent="0.2">
      <c r="A2537" s="1">
        <v>41556</v>
      </c>
      <c r="B2537">
        <f>2614.32</f>
        <v>2614.3200000000002</v>
      </c>
      <c r="C2537">
        <f>9284.3</f>
        <v>9284.2999999999993</v>
      </c>
      <c r="D2537">
        <f>4594.91</f>
        <v>4594.91</v>
      </c>
      <c r="E2537">
        <f>1956.705</f>
        <v>1956.7049999999999</v>
      </c>
      <c r="F2537">
        <f>1694.09</f>
        <v>1694.09</v>
      </c>
      <c r="G2537">
        <f>7460.72</f>
        <v>7460.72</v>
      </c>
      <c r="H2537">
        <f>2241.44</f>
        <v>2241.44</v>
      </c>
      <c r="I2537">
        <f>7939.716</f>
        <v>7939.7160000000003</v>
      </c>
      <c r="J2537">
        <f>2202.38</f>
        <v>2202.38</v>
      </c>
      <c r="K2537">
        <f>6182.25</f>
        <v>6182.25</v>
      </c>
      <c r="L2537">
        <f>1404.46</f>
        <v>1404.46</v>
      </c>
      <c r="M2537">
        <f>5510.31</f>
        <v>5510.31</v>
      </c>
      <c r="N2537">
        <f>223.121</f>
        <v>223.12100000000001</v>
      </c>
      <c r="O2537">
        <f>2013.31</f>
        <v>2013.31</v>
      </c>
      <c r="P2537">
        <f>131.09</f>
        <v>131.09</v>
      </c>
      <c r="Q2537">
        <f>1398.32</f>
        <v>1398.32</v>
      </c>
      <c r="R2537">
        <f>2957.4</f>
        <v>2957.4</v>
      </c>
      <c r="S2537">
        <f>1562.54</f>
        <v>1562.54</v>
      </c>
      <c r="T2537">
        <f>2580.977</f>
        <v>2580.9769999999999</v>
      </c>
      <c r="U2537">
        <f>42779.87</f>
        <v>42779.87</v>
      </c>
      <c r="V2537">
        <f>298.03</f>
        <v>298.02999999999997</v>
      </c>
    </row>
    <row r="2538" spans="1:22" x14ac:dyDescent="0.2">
      <c r="A2538" s="1">
        <v>41555</v>
      </c>
      <c r="B2538">
        <f>2618.07</f>
        <v>2618.0700000000002</v>
      </c>
      <c r="C2538">
        <f>9327.81</f>
        <v>9327.81</v>
      </c>
      <c r="D2538">
        <f>4612.46</f>
        <v>4612.46</v>
      </c>
      <c r="E2538">
        <f>1962.897</f>
        <v>1962.8969999999999</v>
      </c>
      <c r="F2538">
        <f>1721.33</f>
        <v>1721.33</v>
      </c>
      <c r="G2538">
        <f>7570.49</f>
        <v>7570.49</v>
      </c>
      <c r="H2538">
        <f>2218.71</f>
        <v>2218.71</v>
      </c>
      <c r="I2538">
        <f>8017.34</f>
        <v>8017.34</v>
      </c>
      <c r="J2538">
        <f>2197.75</f>
        <v>2197.75</v>
      </c>
      <c r="K2538">
        <f>6179.87</f>
        <v>6179.87</v>
      </c>
      <c r="L2538">
        <f>1413.42</f>
        <v>1413.42</v>
      </c>
      <c r="M2538">
        <f>5521.89</f>
        <v>5521.89</v>
      </c>
      <c r="N2538">
        <f>225.007</f>
        <v>225.00700000000001</v>
      </c>
      <c r="O2538">
        <f>2024.09</f>
        <v>2024.09</v>
      </c>
      <c r="P2538">
        <f>129.22</f>
        <v>129.22</v>
      </c>
      <c r="Q2538">
        <f>1395.19</f>
        <v>1395.19</v>
      </c>
      <c r="R2538">
        <f>2955.41</f>
        <v>2955.41</v>
      </c>
      <c r="S2538">
        <f>1540.07</f>
        <v>1540.07</v>
      </c>
      <c r="T2538">
        <f>2603.314</f>
        <v>2603.3139999999999</v>
      </c>
      <c r="U2538">
        <f>43253.61</f>
        <v>43253.61</v>
      </c>
      <c r="V2538">
        <f>299.18</f>
        <v>299.18</v>
      </c>
    </row>
    <row r="2539" spans="1:22" x14ac:dyDescent="0.2">
      <c r="A2539" s="1">
        <v>41554</v>
      </c>
      <c r="B2539">
        <f>2644.53</f>
        <v>2644.53</v>
      </c>
      <c r="C2539">
        <f>9293.4</f>
        <v>9293.4</v>
      </c>
      <c r="D2539">
        <f>4664.24</f>
        <v>4664.24</v>
      </c>
      <c r="E2539">
        <f>1954.677</f>
        <v>1954.6769999999999</v>
      </c>
      <c r="F2539">
        <f>1730.62</f>
        <v>1730.62</v>
      </c>
      <c r="G2539">
        <f>7641.506</f>
        <v>7641.5060000000003</v>
      </c>
      <c r="H2539">
        <f>2220.36</f>
        <v>2220.36</v>
      </c>
      <c r="I2539">
        <f>8050.624</f>
        <v>8050.6239999999998</v>
      </c>
      <c r="J2539">
        <f>2214.72</f>
        <v>2214.7199999999998</v>
      </c>
      <c r="K2539">
        <f>6259.11</f>
        <v>6259.11</v>
      </c>
      <c r="L2539">
        <f>1421.37</f>
        <v>1421.37</v>
      </c>
      <c r="M2539">
        <f>5569.1</f>
        <v>5569.1</v>
      </c>
      <c r="N2539">
        <f>226.714</f>
        <v>226.714</v>
      </c>
      <c r="O2539">
        <f>2039.98</f>
        <v>2039.98</v>
      </c>
      <c r="P2539">
        <f>129.09</f>
        <v>129.09</v>
      </c>
      <c r="Q2539">
        <f>1408.53</f>
        <v>1408.53</v>
      </c>
      <c r="R2539">
        <f>2991.39</f>
        <v>2991.39</v>
      </c>
      <c r="S2539">
        <f>1536.67</f>
        <v>1536.67</v>
      </c>
      <c r="T2539">
        <f>2608.656</f>
        <v>2608.6559999999999</v>
      </c>
      <c r="U2539">
        <f>43725.7</f>
        <v>43725.7</v>
      </c>
      <c r="V2539">
        <f>301.62</f>
        <v>301.62</v>
      </c>
    </row>
    <row r="2540" spans="1:22" x14ac:dyDescent="0.2">
      <c r="A2540" s="1">
        <v>41551</v>
      </c>
      <c r="B2540">
        <f>2655.4</f>
        <v>2655.4</v>
      </c>
      <c r="C2540">
        <f>9321.19</f>
        <v>9321.19</v>
      </c>
      <c r="D2540">
        <f>4676.27</f>
        <v>4676.2700000000004</v>
      </c>
      <c r="E2540">
        <f>1960.411</f>
        <v>1960.4110000000001</v>
      </c>
      <c r="F2540">
        <f>1736.74</f>
        <v>1736.74</v>
      </c>
      <c r="G2540">
        <f>7657.602</f>
        <v>7657.6019999999999</v>
      </c>
      <c r="H2540">
        <f>2243.37</f>
        <v>2243.37</v>
      </c>
      <c r="I2540">
        <f>8091.431</f>
        <v>8091.4309999999996</v>
      </c>
      <c r="J2540">
        <f>2226.46</f>
        <v>2226.46</v>
      </c>
      <c r="K2540">
        <f>6312.98</f>
        <v>6312.98</v>
      </c>
      <c r="L2540">
        <f>1427.87</f>
        <v>1427.87</v>
      </c>
      <c r="M2540">
        <f>5609.33</f>
        <v>5609.33</v>
      </c>
      <c r="N2540">
        <f>226.587</f>
        <v>226.58699999999999</v>
      </c>
      <c r="O2540">
        <f>2044.03</f>
        <v>2044.03</v>
      </c>
      <c r="P2540">
        <f>130.67</f>
        <v>130.66999999999999</v>
      </c>
      <c r="Q2540">
        <f>1420.27</f>
        <v>1420.27</v>
      </c>
      <c r="R2540">
        <f>3017.05</f>
        <v>3017.05</v>
      </c>
      <c r="S2540">
        <f>1558.4</f>
        <v>1558.4</v>
      </c>
      <c r="T2540">
        <f>2608.482</f>
        <v>2608.482</v>
      </c>
      <c r="U2540">
        <f>43925.68</f>
        <v>43925.68</v>
      </c>
      <c r="V2540">
        <f>302.68</f>
        <v>302.68</v>
      </c>
    </row>
    <row r="2541" spans="1:22" x14ac:dyDescent="0.2">
      <c r="A2541" s="1">
        <v>41550</v>
      </c>
      <c r="B2541">
        <f>2656.57</f>
        <v>2656.57</v>
      </c>
      <c r="C2541">
        <f>9300.5</f>
        <v>9300.5</v>
      </c>
      <c r="D2541">
        <f>4672.76</f>
        <v>4672.76</v>
      </c>
      <c r="E2541">
        <f>1955.211</f>
        <v>1955.211</v>
      </c>
      <c r="F2541">
        <f>1747.93</f>
        <v>1747.93</v>
      </c>
      <c r="G2541">
        <f>7699.651</f>
        <v>7699.6509999999998</v>
      </c>
      <c r="H2541">
        <f>2250.61</f>
        <v>2250.61</v>
      </c>
      <c r="I2541">
        <f>8081.77</f>
        <v>8081.77</v>
      </c>
      <c r="J2541">
        <f>2217.5</f>
        <v>2217.5</v>
      </c>
      <c r="K2541">
        <f>6267.69</f>
        <v>6267.69</v>
      </c>
      <c r="L2541">
        <f>1427.78</f>
        <v>1427.78</v>
      </c>
      <c r="M2541">
        <f>5592.14</f>
        <v>5592.14</v>
      </c>
      <c r="N2541">
        <f>227.583</f>
        <v>227.583</v>
      </c>
      <c r="O2541">
        <f>2041.19</f>
        <v>2041.19</v>
      </c>
      <c r="P2541">
        <f>131.48</f>
        <v>131.47999999999999</v>
      </c>
      <c r="Q2541">
        <f>1412.07</f>
        <v>1412.07</v>
      </c>
      <c r="R2541">
        <f>2995.81</f>
        <v>2995.81</v>
      </c>
      <c r="S2541">
        <f>1572.02</f>
        <v>1572.02</v>
      </c>
      <c r="T2541">
        <f>2604.554</f>
        <v>2604.5540000000001</v>
      </c>
      <c r="U2541">
        <f>44006.86</f>
        <v>44006.86</v>
      </c>
      <c r="V2541">
        <f>303.56</f>
        <v>303.56</v>
      </c>
    </row>
    <row r="2542" spans="1:22" x14ac:dyDescent="0.2">
      <c r="A2542" s="1">
        <v>41549</v>
      </c>
      <c r="B2542">
        <f>2651.48</f>
        <v>2651.48</v>
      </c>
      <c r="C2542">
        <f>9248.97</f>
        <v>9248.9699999999993</v>
      </c>
      <c r="D2542">
        <f>4664.39</f>
        <v>4664.3900000000003</v>
      </c>
      <c r="E2542">
        <f>1940.804</f>
        <v>1940.8040000000001</v>
      </c>
      <c r="F2542">
        <f>1749.45</f>
        <v>1749.45</v>
      </c>
      <c r="G2542">
        <f>7712.853</f>
        <v>7712.8530000000001</v>
      </c>
      <c r="H2542">
        <f>2258.85</f>
        <v>2258.85</v>
      </c>
      <c r="I2542">
        <f>8094.045</f>
        <v>8094.0450000000001</v>
      </c>
      <c r="J2542">
        <f>2236.2</f>
        <v>2236.1999999999998</v>
      </c>
      <c r="K2542">
        <f>6325.27</f>
        <v>6325.27</v>
      </c>
      <c r="L2542">
        <f>1434.15</f>
        <v>1434.15</v>
      </c>
      <c r="M2542">
        <f>5621.93</f>
        <v>5621.93</v>
      </c>
      <c r="N2542">
        <f>228.581</f>
        <v>228.58099999999999</v>
      </c>
      <c r="O2542">
        <f>2049.25</f>
        <v>2049.25</v>
      </c>
      <c r="P2542">
        <f>132.27</f>
        <v>132.27000000000001</v>
      </c>
      <c r="Q2542">
        <f>1425.19</f>
        <v>1425.19</v>
      </c>
      <c r="R2542">
        <f>3022.95</f>
        <v>3022.95</v>
      </c>
      <c r="S2542">
        <f>1573.58</f>
        <v>1573.58</v>
      </c>
      <c r="T2542">
        <f>2588.122</f>
        <v>2588.1219999999998</v>
      </c>
      <c r="U2542">
        <f>43967.84</f>
        <v>43967.839999999997</v>
      </c>
      <c r="V2542">
        <f>300.18</f>
        <v>300.18</v>
      </c>
    </row>
    <row r="2543" spans="1:22" x14ac:dyDescent="0.2">
      <c r="A2543" s="1">
        <v>41548</v>
      </c>
      <c r="B2543">
        <f>2664.15</f>
        <v>2664.15</v>
      </c>
      <c r="C2543">
        <f>9248.51</f>
        <v>9248.51</v>
      </c>
      <c r="D2543">
        <f>4680.17</f>
        <v>4680.17</v>
      </c>
      <c r="E2543">
        <f>1937.838</f>
        <v>1937.838</v>
      </c>
      <c r="F2543">
        <f>1750</f>
        <v>1750</v>
      </c>
      <c r="G2543">
        <f>7728.029</f>
        <v>7728.0290000000005</v>
      </c>
      <c r="H2543">
        <f>2270.96</f>
        <v>2270.96</v>
      </c>
      <c r="I2543">
        <f>8109.878</f>
        <v>8109.8779999999997</v>
      </c>
      <c r="J2543">
        <f>2237.7</f>
        <v>2237.6999999999998</v>
      </c>
      <c r="K2543">
        <f>6328.84</f>
        <v>6328.84</v>
      </c>
      <c r="L2543">
        <f>1437.07</f>
        <v>1437.07</v>
      </c>
      <c r="M2543">
        <f>5630.34</f>
        <v>5630.34</v>
      </c>
      <c r="N2543">
        <f>230.603</f>
        <v>230.60300000000001</v>
      </c>
      <c r="O2543">
        <f>2063.29</f>
        <v>2063.29</v>
      </c>
      <c r="P2543">
        <f>134.42</f>
        <v>134.41999999999999</v>
      </c>
      <c r="Q2543">
        <f>1428.08</f>
        <v>1428.08</v>
      </c>
      <c r="R2543">
        <f>3024.38</f>
        <v>3024.38</v>
      </c>
      <c r="S2543">
        <f>1598.06</f>
        <v>1598.06</v>
      </c>
      <c r="T2543">
        <f>2574.625</f>
        <v>2574.625</v>
      </c>
      <c r="U2543">
        <f>43946.53</f>
        <v>43946.53</v>
      </c>
      <c r="V2543">
        <f>297.38</f>
        <v>297.38</v>
      </c>
    </row>
    <row r="2544" spans="1:22" x14ac:dyDescent="0.2">
      <c r="A2544" s="1">
        <v>41547</v>
      </c>
      <c r="B2544">
        <f>2664.06</f>
        <v>2664.06</v>
      </c>
      <c r="C2544">
        <f>9178.07</f>
        <v>9178.07</v>
      </c>
      <c r="D2544">
        <f>4681.76</f>
        <v>4681.76</v>
      </c>
      <c r="E2544">
        <f>1920.464</f>
        <v>1920.4639999999999</v>
      </c>
      <c r="F2544">
        <f>1753.04</f>
        <v>1753.04</v>
      </c>
      <c r="G2544">
        <f>7728.187</f>
        <v>7728.1869999999999</v>
      </c>
      <c r="H2544">
        <f>2271.85</f>
        <v>2271.85</v>
      </c>
      <c r="I2544">
        <f>8032.066</f>
        <v>8032.0659999999998</v>
      </c>
      <c r="J2544">
        <f>2221.75</f>
        <v>2221.75</v>
      </c>
      <c r="K2544">
        <f>6275.87</f>
        <v>6275.87</v>
      </c>
      <c r="L2544">
        <f>1431.79</f>
        <v>1431.79</v>
      </c>
      <c r="M2544">
        <f>5594.34</f>
        <v>5594.34</v>
      </c>
      <c r="N2544">
        <f>230.063</f>
        <v>230.06299999999999</v>
      </c>
      <c r="O2544">
        <f>2048.03</f>
        <v>2048.0300000000002</v>
      </c>
      <c r="P2544">
        <f>135.02</f>
        <v>135.02000000000001</v>
      </c>
      <c r="Q2544">
        <f>1417.226</f>
        <v>1417.2260000000001</v>
      </c>
      <c r="R2544">
        <f>3000.18</f>
        <v>3000.18</v>
      </c>
      <c r="S2544">
        <f>1598.95</f>
        <v>1598.95</v>
      </c>
      <c r="T2544">
        <f>2574.155</f>
        <v>2574.1550000000002</v>
      </c>
      <c r="U2544">
        <f>44031.83</f>
        <v>44031.83</v>
      </c>
      <c r="V2544">
        <f>297.52</f>
        <v>297.52</v>
      </c>
    </row>
    <row r="2545" spans="1:22" x14ac:dyDescent="0.2">
      <c r="A2545" s="1">
        <v>41544</v>
      </c>
      <c r="B2545">
        <f>2682.76</f>
        <v>2682.76</v>
      </c>
      <c r="C2545">
        <f>9280.98</f>
        <v>9280.98</v>
      </c>
      <c r="D2545">
        <f>4718.31</f>
        <v>4718.3100000000004</v>
      </c>
      <c r="E2545">
        <f>1944.413</f>
        <v>1944.413</v>
      </c>
      <c r="F2545">
        <f>1754.8</f>
        <v>1754.8</v>
      </c>
      <c r="G2545">
        <f>7754.152</f>
        <v>7754.152</v>
      </c>
      <c r="H2545">
        <f>2311.29</f>
        <v>2311.29</v>
      </c>
      <c r="I2545">
        <f>8090.454</f>
        <v>8090.4539999999997</v>
      </c>
      <c r="J2545">
        <f>2235.15</f>
        <v>2235.15</v>
      </c>
      <c r="K2545">
        <f>6312.36</f>
        <v>6312.36</v>
      </c>
      <c r="L2545">
        <f>1439.08</f>
        <v>1439.08</v>
      </c>
      <c r="M2545">
        <f>5635.23</f>
        <v>5635.23</v>
      </c>
      <c r="N2545">
        <f>230.711</f>
        <v>230.71100000000001</v>
      </c>
      <c r="O2545">
        <f>2061.21</f>
        <v>2061.21</v>
      </c>
      <c r="P2545">
        <f>136.57</f>
        <v>136.57</v>
      </c>
      <c r="Q2545">
        <f>1422.798</f>
        <v>1422.798</v>
      </c>
      <c r="R2545">
        <f>3018.24</f>
        <v>3018.24</v>
      </c>
      <c r="S2545">
        <f>1630.31</f>
        <v>1630.31</v>
      </c>
      <c r="T2545">
        <f>2590.261</f>
        <v>2590.261</v>
      </c>
      <c r="U2545">
        <f>44358.74</f>
        <v>44358.74</v>
      </c>
      <c r="V2545">
        <f>299.71</f>
        <v>299.70999999999998</v>
      </c>
    </row>
    <row r="2546" spans="1:22" x14ac:dyDescent="0.2">
      <c r="A2546" s="1">
        <v>41543</v>
      </c>
      <c r="B2546">
        <f>2699.24</f>
        <v>2699.24</v>
      </c>
      <c r="C2546">
        <f>9333.52</f>
        <v>9333.52</v>
      </c>
      <c r="D2546">
        <f>4756.66</f>
        <v>4756.66</v>
      </c>
      <c r="E2546">
        <f>1950.237</f>
        <v>1950.2370000000001</v>
      </c>
      <c r="F2546">
        <f>1755.29</f>
        <v>1755.29</v>
      </c>
      <c r="G2546">
        <f>7759.696</f>
        <v>7759.6959999999999</v>
      </c>
      <c r="H2546">
        <f>2297.49</f>
        <v>2297.4899999999998</v>
      </c>
      <c r="I2546">
        <f>8066.53</f>
        <v>8066.53</v>
      </c>
      <c r="J2546">
        <f>2245.84</f>
        <v>2245.84</v>
      </c>
      <c r="K2546">
        <f>6336.87</f>
        <v>6336.87</v>
      </c>
      <c r="L2546">
        <f>1440.46</f>
        <v>1440.46</v>
      </c>
      <c r="M2546">
        <f>5641.14</f>
        <v>5641.14</v>
      </c>
      <c r="N2546">
        <f>230.664</f>
        <v>230.66399999999999</v>
      </c>
      <c r="O2546">
        <f>2066.11</f>
        <v>2066.11</v>
      </c>
      <c r="P2546">
        <f>136.82</f>
        <v>136.82</v>
      </c>
      <c r="Q2546">
        <f>1431.033</f>
        <v>1431.0329999999999</v>
      </c>
      <c r="R2546">
        <f>3030.41</f>
        <v>3030.41</v>
      </c>
      <c r="S2546">
        <f>1634.29</f>
        <v>1634.29</v>
      </c>
      <c r="T2546">
        <f>2593.162</f>
        <v>2593.1619999999998</v>
      </c>
      <c r="U2546">
        <f>44350.31</f>
        <v>44350.31</v>
      </c>
      <c r="V2546">
        <f>299.22</f>
        <v>299.22000000000003</v>
      </c>
    </row>
    <row r="2547" spans="1:22" x14ac:dyDescent="0.2">
      <c r="A2547" s="1">
        <v>41542</v>
      </c>
      <c r="B2547">
        <f>2697.4</f>
        <v>2697.4</v>
      </c>
      <c r="C2547">
        <f>9397.75</f>
        <v>9397.75</v>
      </c>
      <c r="D2547">
        <f>4746.47</f>
        <v>4746.47</v>
      </c>
      <c r="E2547">
        <f>1959.037</f>
        <v>1959.037</v>
      </c>
      <c r="F2547">
        <f>1760.53</f>
        <v>1760.53</v>
      </c>
      <c r="G2547">
        <f>7774.604</f>
        <v>7774.6040000000003</v>
      </c>
      <c r="H2547">
        <f>2277.08</f>
        <v>2277.08</v>
      </c>
      <c r="I2547">
        <f>8079.437</f>
        <v>8079.4369999999999</v>
      </c>
      <c r="J2547">
        <f>2240.88</f>
        <v>2240.88</v>
      </c>
      <c r="K2547">
        <f>6312.05</f>
        <v>6312.05</v>
      </c>
      <c r="L2547">
        <f>1439.59</f>
        <v>1439.59</v>
      </c>
      <c r="M2547">
        <f>5626.04</f>
        <v>5626.04</v>
      </c>
      <c r="N2547">
        <f>230.842</f>
        <v>230.84200000000001</v>
      </c>
      <c r="O2547">
        <f>2064.96</f>
        <v>2064.96</v>
      </c>
      <c r="P2547">
        <f>135.21</f>
        <v>135.21</v>
      </c>
      <c r="Q2547">
        <f>1425.643</f>
        <v>1425.643</v>
      </c>
      <c r="R2547">
        <f>3019.31</f>
        <v>3019.31</v>
      </c>
      <c r="S2547">
        <f>1611.11</f>
        <v>1611.11</v>
      </c>
      <c r="T2547">
        <f>2619.191</f>
        <v>2619.1909999999998</v>
      </c>
      <c r="U2547">
        <f>44453.88</f>
        <v>44453.88</v>
      </c>
      <c r="V2547">
        <f>301.67</f>
        <v>301.67</v>
      </c>
    </row>
    <row r="2548" spans="1:22" x14ac:dyDescent="0.2">
      <c r="A2548" s="1">
        <v>41541</v>
      </c>
      <c r="B2548">
        <f>2713.7</f>
        <v>2713.7</v>
      </c>
      <c r="C2548">
        <f>9381.51</f>
        <v>9381.51</v>
      </c>
      <c r="D2548">
        <f>4759.68</f>
        <v>4759.68</v>
      </c>
      <c r="E2548">
        <f>1964.817</f>
        <v>1964.817</v>
      </c>
      <c r="F2548">
        <f>1764.66</f>
        <v>1764.66</v>
      </c>
      <c r="G2548">
        <f>7756.649</f>
        <v>7756.6490000000003</v>
      </c>
      <c r="H2548">
        <f>2275.45</f>
        <v>2275.4499999999998</v>
      </c>
      <c r="I2548">
        <f>8081.423</f>
        <v>8081.4229999999998</v>
      </c>
      <c r="J2548">
        <f>2251.96</f>
        <v>2251.96</v>
      </c>
      <c r="K2548">
        <f>6327.69</f>
        <v>6327.69</v>
      </c>
      <c r="L2548">
        <f>1441.03</f>
        <v>1441.03</v>
      </c>
      <c r="M2548">
        <f>5632.28</f>
        <v>5632.28</v>
      </c>
      <c r="N2548">
        <f>232.149</f>
        <v>232.149</v>
      </c>
      <c r="O2548">
        <f>2067.49</f>
        <v>2067.4899999999998</v>
      </c>
      <c r="P2548">
        <f>135.33</f>
        <v>135.33000000000001</v>
      </c>
      <c r="Q2548">
        <f>1433.541</f>
        <v>1433.5409999999999</v>
      </c>
      <c r="R2548">
        <f>3027.52</f>
        <v>3027.52</v>
      </c>
      <c r="S2548">
        <f>1616.07</f>
        <v>1616.07</v>
      </c>
      <c r="T2548" t="e">
        <f>NA()</f>
        <v>#N/A</v>
      </c>
      <c r="U2548" t="e">
        <f>NA()</f>
        <v>#N/A</v>
      </c>
      <c r="V2548" t="e">
        <f>NA()</f>
        <v>#N/A</v>
      </c>
    </row>
    <row r="2549" spans="1:22" x14ac:dyDescent="0.2">
      <c r="A2549" s="1">
        <v>41540</v>
      </c>
      <c r="B2549">
        <f>2702.96</f>
        <v>2702.96</v>
      </c>
      <c r="C2549">
        <f>9444.47</f>
        <v>9444.4699999999993</v>
      </c>
      <c r="D2549">
        <f>4749.47</f>
        <v>4749.47</v>
      </c>
      <c r="E2549">
        <f>1975.749</f>
        <v>1975.749</v>
      </c>
      <c r="F2549">
        <f>1760.61</f>
        <v>1760.61</v>
      </c>
      <c r="G2549">
        <f>7763.654</f>
        <v>7763.6540000000005</v>
      </c>
      <c r="H2549">
        <f>2277.19</f>
        <v>2277.19</v>
      </c>
      <c r="I2549">
        <f>8056.64</f>
        <v>8056.64</v>
      </c>
      <c r="J2549">
        <f>2260.32</f>
        <v>2260.3200000000002</v>
      </c>
      <c r="K2549">
        <f>6341.47</f>
        <v>6341.47</v>
      </c>
      <c r="L2549">
        <f>1442.35</f>
        <v>1442.35</v>
      </c>
      <c r="M2549">
        <f>5639.97</f>
        <v>5639.97</v>
      </c>
      <c r="N2549">
        <f>232.15</f>
        <v>232.15</v>
      </c>
      <c r="O2549">
        <f>2062.56</f>
        <v>2062.56</v>
      </c>
      <c r="P2549" t="e">
        <f>NA()</f>
        <v>#N/A</v>
      </c>
      <c r="Q2549">
        <f>1436.874</f>
        <v>1436.874</v>
      </c>
      <c r="R2549">
        <f>3035.09</f>
        <v>3035.09</v>
      </c>
      <c r="S2549" t="e">
        <f>NA()</f>
        <v>#N/A</v>
      </c>
      <c r="T2549">
        <f>2580.544</f>
        <v>2580.5439999999999</v>
      </c>
      <c r="U2549">
        <f>44017.73</f>
        <v>44017.73</v>
      </c>
      <c r="V2549">
        <f>297.71</f>
        <v>297.70999999999998</v>
      </c>
    </row>
    <row r="2550" spans="1:22" x14ac:dyDescent="0.2">
      <c r="A2550" s="1">
        <v>41537</v>
      </c>
      <c r="B2550">
        <f>2719.63</f>
        <v>2719.63</v>
      </c>
      <c r="C2550">
        <f>9456.79</f>
        <v>9456.7900000000009</v>
      </c>
      <c r="D2550">
        <f>4777.76</f>
        <v>4777.76</v>
      </c>
      <c r="E2550">
        <f>1969.614</f>
        <v>1969.614</v>
      </c>
      <c r="F2550">
        <f>1766.96</f>
        <v>1766.96</v>
      </c>
      <c r="G2550">
        <f>7793.176</f>
        <v>7793.1760000000004</v>
      </c>
      <c r="H2550">
        <f>2255.93</f>
        <v>2255.9299999999998</v>
      </c>
      <c r="I2550">
        <f>8114.041</f>
        <v>8114.0410000000002</v>
      </c>
      <c r="J2550">
        <f>2260.69</f>
        <v>2260.69</v>
      </c>
      <c r="K2550">
        <f>6371.49</f>
        <v>6371.49</v>
      </c>
      <c r="L2550">
        <f>1445.68</f>
        <v>1445.68</v>
      </c>
      <c r="M2550">
        <f>5659.1</f>
        <v>5659.1</v>
      </c>
      <c r="N2550">
        <f>232.949</f>
        <v>232.94900000000001</v>
      </c>
      <c r="O2550">
        <f>2072.79</f>
        <v>2072.79</v>
      </c>
      <c r="P2550">
        <f>135.53</f>
        <v>135.53</v>
      </c>
      <c r="Q2550">
        <f>1443.389</f>
        <v>1443.3889999999999</v>
      </c>
      <c r="R2550">
        <f>3049.47</f>
        <v>3049.47</v>
      </c>
      <c r="S2550">
        <f>1621.53</f>
        <v>1621.53</v>
      </c>
      <c r="T2550">
        <f>2574.058</f>
        <v>2574.058</v>
      </c>
      <c r="U2550">
        <f>44094.31</f>
        <v>44094.31</v>
      </c>
      <c r="V2550">
        <f>299.57</f>
        <v>299.57</v>
      </c>
    </row>
    <row r="2551" spans="1:22" x14ac:dyDescent="0.2">
      <c r="A2551" s="1">
        <v>41536</v>
      </c>
      <c r="B2551">
        <f>2742.65</f>
        <v>2742.65</v>
      </c>
      <c r="C2551">
        <f>9541.78</f>
        <v>9541.7800000000007</v>
      </c>
      <c r="D2551">
        <f>4798.73</f>
        <v>4798.7299999999996</v>
      </c>
      <c r="E2551">
        <f>1987.755</f>
        <v>1987.7550000000001</v>
      </c>
      <c r="F2551">
        <f>1775.84</f>
        <v>1775.84</v>
      </c>
      <c r="G2551">
        <f>7859.465</f>
        <v>7859.4650000000001</v>
      </c>
      <c r="H2551">
        <f>2252.52</f>
        <v>2252.52</v>
      </c>
      <c r="I2551">
        <f>8143.674</f>
        <v>8143.674</v>
      </c>
      <c r="J2551">
        <f>2279.11</f>
        <v>2279.11</v>
      </c>
      <c r="K2551">
        <f>6417.64</f>
        <v>6417.64</v>
      </c>
      <c r="L2551">
        <f>1452.58</f>
        <v>1452.58</v>
      </c>
      <c r="M2551">
        <f>5694.8</f>
        <v>5694.8</v>
      </c>
      <c r="N2551">
        <f>232.649</f>
        <v>232.649</v>
      </c>
      <c r="O2551">
        <f>2077.37</f>
        <v>2077.37</v>
      </c>
      <c r="P2551">
        <f>135.16</f>
        <v>135.16</v>
      </c>
      <c r="Q2551">
        <f>1453.811</f>
        <v>1453.8109999999999</v>
      </c>
      <c r="R2551">
        <f>3071.61</f>
        <v>3071.61</v>
      </c>
      <c r="S2551">
        <f>1616.87</f>
        <v>1616.87</v>
      </c>
      <c r="T2551">
        <f>2586.88</f>
        <v>2586.88</v>
      </c>
      <c r="U2551">
        <f>44302.94</f>
        <v>44302.94</v>
      </c>
      <c r="V2551">
        <f>302.47</f>
        <v>302.47000000000003</v>
      </c>
    </row>
    <row r="2552" spans="1:22" x14ac:dyDescent="0.2">
      <c r="A2552" s="1">
        <v>41535</v>
      </c>
      <c r="B2552">
        <f>2721.33</f>
        <v>2721.33</v>
      </c>
      <c r="C2552">
        <f>9312.33</f>
        <v>9312.33</v>
      </c>
      <c r="D2552">
        <f>4750.51</f>
        <v>4750.51</v>
      </c>
      <c r="E2552">
        <f>1945.8</f>
        <v>1945.8</v>
      </c>
      <c r="F2552">
        <f>1751.85</f>
        <v>1751.85</v>
      </c>
      <c r="G2552">
        <f>7736.145</f>
        <v>7736.1450000000004</v>
      </c>
      <c r="H2552">
        <f>2234.28</f>
        <v>2234.2800000000002</v>
      </c>
      <c r="I2552">
        <f>7962.687</f>
        <v>7962.6869999999999</v>
      </c>
      <c r="J2552">
        <f>2280.68</f>
        <v>2280.6799999999998</v>
      </c>
      <c r="K2552">
        <f>6427.08</f>
        <v>6427.08</v>
      </c>
      <c r="L2552">
        <f>1437.93</f>
        <v>1437.93</v>
      </c>
      <c r="M2552">
        <f>5652.34</f>
        <v>5652.34</v>
      </c>
      <c r="N2552">
        <f>232.305</f>
        <v>232.30500000000001</v>
      </c>
      <c r="O2552">
        <f>2064.79</f>
        <v>2064.79</v>
      </c>
      <c r="P2552">
        <f>133.08</f>
        <v>133.08000000000001</v>
      </c>
      <c r="Q2552">
        <f>1454.562</f>
        <v>1454.5619999999999</v>
      </c>
      <c r="R2552">
        <f>3076.81</f>
        <v>3076.81</v>
      </c>
      <c r="S2552">
        <f>1587.06</f>
        <v>1587.06</v>
      </c>
      <c r="T2552">
        <f>2546.008</f>
        <v>2546.0079999999998</v>
      </c>
      <c r="U2552">
        <f>43371.44</f>
        <v>43371.44</v>
      </c>
      <c r="V2552">
        <f>295.05</f>
        <v>295.05</v>
      </c>
    </row>
    <row r="2553" spans="1:22" x14ac:dyDescent="0.2">
      <c r="A2553" s="1">
        <v>41534</v>
      </c>
      <c r="B2553">
        <f>2734.6</f>
        <v>2734.6</v>
      </c>
      <c r="C2553">
        <f>9339.11</f>
        <v>9339.11</v>
      </c>
      <c r="D2553">
        <f>4758.48</f>
        <v>4758.4799999999996</v>
      </c>
      <c r="E2553">
        <f>1948.536</f>
        <v>1948.5360000000001</v>
      </c>
      <c r="F2553">
        <f>1750.61</f>
        <v>1750.61</v>
      </c>
      <c r="G2553">
        <f>7716.363</f>
        <v>7716.3630000000003</v>
      </c>
      <c r="H2553">
        <f>2213.73</f>
        <v>2213.73</v>
      </c>
      <c r="I2553">
        <f>7919.744</f>
        <v>7919.7439999999997</v>
      </c>
      <c r="J2553">
        <f>2250.04</f>
        <v>2250.04</v>
      </c>
      <c r="K2553">
        <f>6350.05</f>
        <v>6350.05</v>
      </c>
      <c r="L2553">
        <f>1428.31</f>
        <v>1428.31</v>
      </c>
      <c r="M2553">
        <f>5600.45</f>
        <v>5600.45</v>
      </c>
      <c r="N2553">
        <f>231.754</f>
        <v>231.75399999999999</v>
      </c>
      <c r="O2553">
        <f>2055.77</f>
        <v>2055.77</v>
      </c>
      <c r="P2553">
        <f>131.95</f>
        <v>131.94999999999999</v>
      </c>
      <c r="Q2553">
        <f>1433.573</f>
        <v>1433.5730000000001</v>
      </c>
      <c r="R2553">
        <f>3039.75</f>
        <v>3039.75</v>
      </c>
      <c r="S2553">
        <f>1571.85</f>
        <v>1571.85</v>
      </c>
      <c r="T2553">
        <f>2584.236</f>
        <v>2584.2359999999999</v>
      </c>
      <c r="U2553">
        <f>43762.87</f>
        <v>43762.87</v>
      </c>
      <c r="V2553">
        <f>299.08</f>
        <v>299.08</v>
      </c>
    </row>
    <row r="2554" spans="1:22" x14ac:dyDescent="0.2">
      <c r="A2554" s="1">
        <v>41533</v>
      </c>
      <c r="B2554">
        <f>2744.6</f>
        <v>2744.6</v>
      </c>
      <c r="C2554">
        <f>9310.55</f>
        <v>9310.5499999999993</v>
      </c>
      <c r="D2554">
        <f>4796.64</f>
        <v>4796.6400000000003</v>
      </c>
      <c r="E2554">
        <f>1946.95</f>
        <v>1946.95</v>
      </c>
      <c r="F2554">
        <f>1763.09</f>
        <v>1763.09</v>
      </c>
      <c r="G2554">
        <f>7795.589</f>
        <v>7795.5889999999999</v>
      </c>
      <c r="H2554">
        <f>2235.48</f>
        <v>2235.48</v>
      </c>
      <c r="I2554">
        <f>7938.832</f>
        <v>7938.8320000000003</v>
      </c>
      <c r="J2554">
        <f>2240.57</f>
        <v>2240.5700000000002</v>
      </c>
      <c r="K2554">
        <f>6321.01</f>
        <v>6321.01</v>
      </c>
      <c r="L2554">
        <f>1428.27</f>
        <v>1428.27</v>
      </c>
      <c r="M2554">
        <f>5597.79</f>
        <v>5597.79</v>
      </c>
      <c r="N2554">
        <f>233.199</f>
        <v>233.19900000000001</v>
      </c>
      <c r="O2554">
        <f>2065.64</f>
        <v>2065.64</v>
      </c>
      <c r="P2554" t="e">
        <f>NA()</f>
        <v>#N/A</v>
      </c>
      <c r="Q2554">
        <f>1430.645</f>
        <v>1430.645</v>
      </c>
      <c r="R2554">
        <f>3026.94</f>
        <v>3026.94</v>
      </c>
      <c r="S2554" t="e">
        <f>NA()</f>
        <v>#N/A</v>
      </c>
      <c r="T2554">
        <f>2567.154</f>
        <v>2567.154</v>
      </c>
      <c r="U2554">
        <f>43594.92</f>
        <v>43594.92</v>
      </c>
      <c r="V2554">
        <f>296.9</f>
        <v>296.89999999999998</v>
      </c>
    </row>
    <row r="2555" spans="1:22" x14ac:dyDescent="0.2">
      <c r="A2555" s="1">
        <v>41530</v>
      </c>
      <c r="B2555">
        <f>2720.52</f>
        <v>2720.52</v>
      </c>
      <c r="C2555">
        <f>9173.7</f>
        <v>9173.7000000000007</v>
      </c>
      <c r="D2555">
        <f>4768.35</f>
        <v>4768.3500000000004</v>
      </c>
      <c r="E2555">
        <f>1917.432</f>
        <v>1917.432</v>
      </c>
      <c r="F2555">
        <f>1742.42</f>
        <v>1742.42</v>
      </c>
      <c r="G2555">
        <f>7717.401</f>
        <v>7717.4009999999998</v>
      </c>
      <c r="H2555">
        <f>2223.22</f>
        <v>2223.2199999999998</v>
      </c>
      <c r="I2555">
        <f>7820.96</f>
        <v>7820.96</v>
      </c>
      <c r="J2555">
        <f>2232.17</f>
        <v>2232.17</v>
      </c>
      <c r="K2555">
        <f>6287.65</f>
        <v>6287.65</v>
      </c>
      <c r="L2555">
        <f>1414.63</f>
        <v>1414.63</v>
      </c>
      <c r="M2555">
        <f>5551.32</f>
        <v>5551.32</v>
      </c>
      <c r="N2555">
        <f>232.069</f>
        <v>232.06899999999999</v>
      </c>
      <c r="O2555">
        <f>2051.75</f>
        <v>2051.75</v>
      </c>
      <c r="P2555">
        <f>132.53</f>
        <v>132.53</v>
      </c>
      <c r="Q2555">
        <f>1417.064</f>
        <v>1417.0640000000001</v>
      </c>
      <c r="R2555">
        <f>3009.79</f>
        <v>3009.79</v>
      </c>
      <c r="S2555">
        <f>1576.69</f>
        <v>1576.69</v>
      </c>
      <c r="T2555">
        <f>2566.409</f>
        <v>2566.4090000000001</v>
      </c>
      <c r="U2555">
        <f>43602.64</f>
        <v>43602.64</v>
      </c>
      <c r="V2555">
        <f>295.9</f>
        <v>295.89999999999998</v>
      </c>
    </row>
    <row r="2556" spans="1:22" x14ac:dyDescent="0.2">
      <c r="A2556" s="1">
        <v>41529</v>
      </c>
      <c r="B2556">
        <f>2726.8</f>
        <v>2726.8</v>
      </c>
      <c r="C2556">
        <f>9214.01</f>
        <v>9214.01</v>
      </c>
      <c r="D2556">
        <f>4772.1</f>
        <v>4772.1000000000004</v>
      </c>
      <c r="E2556">
        <f>1924.34</f>
        <v>1924.34</v>
      </c>
      <c r="F2556">
        <f>1739.45</f>
        <v>1739.45</v>
      </c>
      <c r="G2556">
        <f>7703.449</f>
        <v>7703.4489999999996</v>
      </c>
      <c r="H2556">
        <f>2225.68</f>
        <v>2225.6799999999998</v>
      </c>
      <c r="I2556">
        <f>7844.39</f>
        <v>7844.39</v>
      </c>
      <c r="J2556">
        <f>2223.37</f>
        <v>2223.37</v>
      </c>
      <c r="K2556">
        <f>6270.86</f>
        <v>6270.86</v>
      </c>
      <c r="L2556">
        <f>1413.12</f>
        <v>1413.12</v>
      </c>
      <c r="M2556">
        <f>5548.39</f>
        <v>5548.39</v>
      </c>
      <c r="N2556">
        <f>230.896</f>
        <v>230.89599999999999</v>
      </c>
      <c r="O2556">
        <f>2047.5</f>
        <v>2047.5</v>
      </c>
      <c r="P2556">
        <f>132.45</f>
        <v>132.44999999999999</v>
      </c>
      <c r="Q2556">
        <f>1414.037</f>
        <v>1414.037</v>
      </c>
      <c r="R2556">
        <f>3001.62</f>
        <v>3001.62</v>
      </c>
      <c r="S2556">
        <f>1575.46</f>
        <v>1575.46</v>
      </c>
      <c r="T2556">
        <f>2575.63</f>
        <v>2575.63</v>
      </c>
      <c r="U2556">
        <f>43752.3</f>
        <v>43752.3</v>
      </c>
      <c r="V2556">
        <f>296.57</f>
        <v>296.57</v>
      </c>
    </row>
    <row r="2557" spans="1:22" x14ac:dyDescent="0.2">
      <c r="A2557" s="1">
        <v>41528</v>
      </c>
      <c r="B2557">
        <f>2727.66</f>
        <v>2727.66</v>
      </c>
      <c r="C2557">
        <f>9202.38</f>
        <v>9202.3799999999992</v>
      </c>
      <c r="D2557">
        <f>4771.7</f>
        <v>4771.7</v>
      </c>
      <c r="E2557">
        <f>1927.183</f>
        <v>1927.183</v>
      </c>
      <c r="F2557">
        <f>1738.14</f>
        <v>1738.14</v>
      </c>
      <c r="G2557">
        <f>7696.671</f>
        <v>7696.6710000000003</v>
      </c>
      <c r="H2557">
        <f>2218.02</f>
        <v>2218.02</v>
      </c>
      <c r="I2557">
        <f>7845.318</f>
        <v>7845.3180000000002</v>
      </c>
      <c r="J2557">
        <f>2227.47</f>
        <v>2227.4699999999998</v>
      </c>
      <c r="K2557">
        <f>6290.32</f>
        <v>6290.32</v>
      </c>
      <c r="L2557">
        <f>1414.9</f>
        <v>1414.9</v>
      </c>
      <c r="M2557">
        <f>5557.6</f>
        <v>5557.6</v>
      </c>
      <c r="N2557">
        <f>231.471</f>
        <v>231.471</v>
      </c>
      <c r="O2557">
        <f>2048.18</f>
        <v>2048.1799999999998</v>
      </c>
      <c r="P2557">
        <f>133.11</f>
        <v>133.11000000000001</v>
      </c>
      <c r="Q2557">
        <f>1417.09</f>
        <v>1417.09</v>
      </c>
      <c r="R2557">
        <f>3010.94</f>
        <v>3010.94</v>
      </c>
      <c r="S2557">
        <f>1581.97</f>
        <v>1581.97</v>
      </c>
      <c r="T2557">
        <f>2534.842</f>
        <v>2534.8420000000001</v>
      </c>
      <c r="U2557">
        <f>43419.32</f>
        <v>43419.32</v>
      </c>
      <c r="V2557">
        <f>293.68</f>
        <v>293.68</v>
      </c>
    </row>
    <row r="2558" spans="1:22" x14ac:dyDescent="0.2">
      <c r="A2558" s="1">
        <v>41527</v>
      </c>
      <c r="B2558">
        <f>2724.42</f>
        <v>2724.42</v>
      </c>
      <c r="C2558">
        <f>9212.55</f>
        <v>9212.5499999999993</v>
      </c>
      <c r="D2558">
        <f>4767.61</f>
        <v>4767.6099999999997</v>
      </c>
      <c r="E2558">
        <f>1926.005</f>
        <v>1926.0050000000001</v>
      </c>
      <c r="F2558">
        <f>1721.49</f>
        <v>1721.49</v>
      </c>
      <c r="G2558">
        <f>7644.342</f>
        <v>7644.3419999999996</v>
      </c>
      <c r="H2558">
        <f>2215.19</f>
        <v>2215.19</v>
      </c>
      <c r="I2558">
        <f>7796.629</f>
        <v>7796.6289999999999</v>
      </c>
      <c r="J2558">
        <f>2223.42</f>
        <v>2223.42</v>
      </c>
      <c r="K2558">
        <f>6269.07</f>
        <v>6269.07</v>
      </c>
      <c r="L2558">
        <f>1407.21</f>
        <v>1407.21</v>
      </c>
      <c r="M2558">
        <f>5533.05</f>
        <v>5533.05</v>
      </c>
      <c r="N2558">
        <f>230.855</f>
        <v>230.85499999999999</v>
      </c>
      <c r="O2558">
        <f>2041.67</f>
        <v>2041.67</v>
      </c>
      <c r="P2558">
        <f>133.96</f>
        <v>133.96</v>
      </c>
      <c r="Q2558">
        <f>1409.262</f>
        <v>1409.2619999999999</v>
      </c>
      <c r="R2558">
        <f>3001.36</f>
        <v>3001.36</v>
      </c>
      <c r="S2558">
        <f>1583.26</f>
        <v>1583.26</v>
      </c>
      <c r="T2558">
        <f>2523.88</f>
        <v>2523.88</v>
      </c>
      <c r="U2558">
        <f>43545.83</f>
        <v>43545.83</v>
      </c>
      <c r="V2558">
        <f>291.55</f>
        <v>291.55</v>
      </c>
    </row>
    <row r="2559" spans="1:22" x14ac:dyDescent="0.2">
      <c r="A2559" s="1">
        <v>41526</v>
      </c>
      <c r="B2559">
        <f>2693.18</f>
        <v>2693.18</v>
      </c>
      <c r="C2559">
        <f>9099.16</f>
        <v>9099.16</v>
      </c>
      <c r="D2559">
        <f>4729.05</f>
        <v>4729.05</v>
      </c>
      <c r="E2559">
        <f>1891.718</f>
        <v>1891.7180000000001</v>
      </c>
      <c r="F2559">
        <f>1721.01</f>
        <v>1721.01</v>
      </c>
      <c r="G2559">
        <f>7582.211</f>
        <v>7582.2110000000002</v>
      </c>
      <c r="H2559">
        <f>2207.4</f>
        <v>2207.4</v>
      </c>
      <c r="I2559">
        <f>7669.645</f>
        <v>7669.6450000000004</v>
      </c>
      <c r="J2559">
        <f>2214.13</f>
        <v>2214.13</v>
      </c>
      <c r="K2559">
        <f>6223.43</f>
        <v>6223.43</v>
      </c>
      <c r="L2559">
        <f>1397.33</f>
        <v>1397.33</v>
      </c>
      <c r="M2559">
        <f>5485.12</f>
        <v>5485.12</v>
      </c>
      <c r="N2559">
        <f>229.195</f>
        <v>229.19499999999999</v>
      </c>
      <c r="O2559">
        <f>2014.77</f>
        <v>2014.77</v>
      </c>
      <c r="P2559">
        <f>132.68</f>
        <v>132.68</v>
      </c>
      <c r="Q2559">
        <f>1399.95</f>
        <v>1399.95</v>
      </c>
      <c r="R2559">
        <f>2979.45</f>
        <v>2979.45</v>
      </c>
      <c r="S2559">
        <f>1560.35</f>
        <v>1560.35</v>
      </c>
      <c r="T2559">
        <f>2497.548</f>
        <v>2497.5479999999998</v>
      </c>
      <c r="U2559">
        <f>42769.62</f>
        <v>42769.62</v>
      </c>
      <c r="V2559">
        <f>288.26</f>
        <v>288.26</v>
      </c>
    </row>
    <row r="2560" spans="1:22" x14ac:dyDescent="0.2">
      <c r="A2560" s="1">
        <v>41523</v>
      </c>
      <c r="B2560">
        <f>2681.55</f>
        <v>2681.55</v>
      </c>
      <c r="C2560">
        <f>8921.79</f>
        <v>8921.7900000000009</v>
      </c>
      <c r="D2560">
        <f>4741.07</f>
        <v>4741.07</v>
      </c>
      <c r="E2560">
        <f>1855.9</f>
        <v>1855.9</v>
      </c>
      <c r="F2560">
        <f>1713.48</f>
        <v>1713.48</v>
      </c>
      <c r="G2560">
        <f>7557.1</f>
        <v>7557.1</v>
      </c>
      <c r="H2560">
        <f>2183.55</f>
        <v>2183.5500000000002</v>
      </c>
      <c r="I2560">
        <f>7614.175</f>
        <v>7614.1750000000002</v>
      </c>
      <c r="J2560">
        <f>2195.02</f>
        <v>2195.02</v>
      </c>
      <c r="K2560">
        <f>6160.83</f>
        <v>6160.83</v>
      </c>
      <c r="L2560">
        <f>1389.46</f>
        <v>1389.46</v>
      </c>
      <c r="M2560">
        <f>5435.83</f>
        <v>5435.83</v>
      </c>
      <c r="N2560">
        <f>230.542</f>
        <v>230.542</v>
      </c>
      <c r="O2560">
        <f>2016.98</f>
        <v>2016.98</v>
      </c>
      <c r="P2560">
        <f>129.69</f>
        <v>129.69</v>
      </c>
      <c r="Q2560">
        <f>1384.366</f>
        <v>1384.366</v>
      </c>
      <c r="R2560">
        <f>2949.8</f>
        <v>2949.8</v>
      </c>
      <c r="S2560">
        <f>1526.86</f>
        <v>1526.86</v>
      </c>
      <c r="T2560">
        <f>2482.186</f>
        <v>2482.1860000000001</v>
      </c>
      <c r="U2560">
        <f>42837.71</f>
        <v>42837.71</v>
      </c>
      <c r="V2560">
        <f>286.58</f>
        <v>286.58</v>
      </c>
    </row>
    <row r="2561" spans="1:22" x14ac:dyDescent="0.2">
      <c r="A2561" s="1">
        <v>41522</v>
      </c>
      <c r="B2561">
        <f>2673.73</f>
        <v>2673.73</v>
      </c>
      <c r="C2561">
        <f>8842.8</f>
        <v>8842.7999999999993</v>
      </c>
      <c r="D2561">
        <f>4730.28</f>
        <v>4730.28</v>
      </c>
      <c r="E2561">
        <f>1840.096</f>
        <v>1840.096</v>
      </c>
      <c r="F2561">
        <f>1707.48</f>
        <v>1707.48</v>
      </c>
      <c r="G2561">
        <f>7520.841</f>
        <v>7520.8410000000003</v>
      </c>
      <c r="H2561">
        <f>2172.96</f>
        <v>2172.96</v>
      </c>
      <c r="I2561">
        <f>7542.156</f>
        <v>7542.1559999999999</v>
      </c>
      <c r="J2561">
        <f>2192.28</f>
        <v>2192.2800000000002</v>
      </c>
      <c r="K2561">
        <f>6158.51</f>
        <v>6158.51</v>
      </c>
      <c r="L2561">
        <f>1381.43</f>
        <v>1381.43</v>
      </c>
      <c r="M2561">
        <f>5418.01</f>
        <v>5418.01</v>
      </c>
      <c r="N2561">
        <f>230.215</f>
        <v>230.215</v>
      </c>
      <c r="O2561">
        <f>2007.76</f>
        <v>2007.76</v>
      </c>
      <c r="P2561">
        <f>130.63</f>
        <v>130.63</v>
      </c>
      <c r="Q2561">
        <f>1383.667</f>
        <v>1383.6669999999999</v>
      </c>
      <c r="R2561">
        <f>2949.27</f>
        <v>2949.27</v>
      </c>
      <c r="S2561">
        <f>1540.13</f>
        <v>1540.13</v>
      </c>
      <c r="T2561">
        <f>2472.075</f>
        <v>2472.0749999999998</v>
      </c>
      <c r="U2561">
        <f>42797.21</f>
        <v>42797.21</v>
      </c>
      <c r="V2561">
        <f>287</f>
        <v>287</v>
      </c>
    </row>
    <row r="2562" spans="1:22" x14ac:dyDescent="0.2">
      <c r="A2562" s="1">
        <v>41521</v>
      </c>
      <c r="B2562">
        <f>2650.07</f>
        <v>2650.07</v>
      </c>
      <c r="C2562">
        <f>8723.51</f>
        <v>8723.51</v>
      </c>
      <c r="D2562">
        <f>4688.5</f>
        <v>4688.5</v>
      </c>
      <c r="E2562">
        <f>1819.652</f>
        <v>1819.652</v>
      </c>
      <c r="F2562">
        <f>1703.52</f>
        <v>1703.52</v>
      </c>
      <c r="G2562">
        <f>7473.254</f>
        <v>7473.2539999999999</v>
      </c>
      <c r="H2562">
        <f>2183.78</f>
        <v>2183.7800000000002</v>
      </c>
      <c r="I2562">
        <f>7551.503</f>
        <v>7551.5029999999997</v>
      </c>
      <c r="J2562">
        <f>2195.48</f>
        <v>2195.48</v>
      </c>
      <c r="K2562">
        <f>6150.12</f>
        <v>6150.12</v>
      </c>
      <c r="L2562">
        <f>1381.67</f>
        <v>1381.67</v>
      </c>
      <c r="M2562">
        <f>5413.01</f>
        <v>5413.01</v>
      </c>
      <c r="N2562">
        <f>228.821</f>
        <v>228.821</v>
      </c>
      <c r="O2562">
        <f>1992.23</f>
        <v>1992.23</v>
      </c>
      <c r="P2562">
        <f>131.02</f>
        <v>131.02000000000001</v>
      </c>
      <c r="Q2562">
        <f>1381.949</f>
        <v>1381.9490000000001</v>
      </c>
      <c r="R2562">
        <f>2945.62</f>
        <v>2945.62</v>
      </c>
      <c r="S2562">
        <f>1538.09</f>
        <v>1538.09</v>
      </c>
      <c r="T2562">
        <f>2444.62</f>
        <v>2444.62</v>
      </c>
      <c r="U2562">
        <f>42522.8</f>
        <v>42522.8</v>
      </c>
      <c r="V2562">
        <f>284.15</f>
        <v>284.14999999999998</v>
      </c>
    </row>
    <row r="2563" spans="1:22" x14ac:dyDescent="0.2">
      <c r="A2563" s="1">
        <v>41520</v>
      </c>
      <c r="B2563">
        <f>2653.04</f>
        <v>2653.04</v>
      </c>
      <c r="C2563">
        <f>8704.16</f>
        <v>8704.16</v>
      </c>
      <c r="D2563">
        <f>4680.87</f>
        <v>4680.87</v>
      </c>
      <c r="E2563">
        <f>1811.847</f>
        <v>1811.847</v>
      </c>
      <c r="F2563">
        <f>1691.44</f>
        <v>1691.44</v>
      </c>
      <c r="G2563">
        <f>7414.391</f>
        <v>7414.3909999999996</v>
      </c>
      <c r="H2563">
        <f>2168.66</f>
        <v>2168.66</v>
      </c>
      <c r="I2563">
        <f>7520.697</f>
        <v>7520.6970000000001</v>
      </c>
      <c r="J2563">
        <f>2180.41</f>
        <v>2180.41</v>
      </c>
      <c r="K2563">
        <f>6099.98</f>
        <v>6099.98</v>
      </c>
      <c r="L2563">
        <f>1373.23</f>
        <v>1373.23</v>
      </c>
      <c r="M2563">
        <f>5374.98</f>
        <v>5374.98</v>
      </c>
      <c r="N2563">
        <f>228.237</f>
        <v>228.23699999999999</v>
      </c>
      <c r="O2563">
        <f>1988.51</f>
        <v>1988.51</v>
      </c>
      <c r="P2563">
        <f>130.85</f>
        <v>130.85</v>
      </c>
      <c r="Q2563">
        <f>1369.571</f>
        <v>1369.5709999999999</v>
      </c>
      <c r="R2563">
        <f>2921.23</f>
        <v>2921.23</v>
      </c>
      <c r="S2563">
        <f>1528.62</f>
        <v>1528.62</v>
      </c>
      <c r="T2563">
        <f>2449.643</f>
        <v>2449.643</v>
      </c>
      <c r="U2563">
        <f>42892.25</f>
        <v>42892.25</v>
      </c>
      <c r="V2563">
        <f>285.59</f>
        <v>285.58999999999997</v>
      </c>
    </row>
    <row r="2564" spans="1:22" x14ac:dyDescent="0.2">
      <c r="A2564" s="1">
        <v>41519</v>
      </c>
      <c r="B2564">
        <f>2671.96</f>
        <v>2671.96</v>
      </c>
      <c r="C2564">
        <f>8707.78</f>
        <v>8707.7800000000007</v>
      </c>
      <c r="D2564">
        <f>4708.21</f>
        <v>4708.21</v>
      </c>
      <c r="E2564">
        <f>1820.088</f>
        <v>1820.088</v>
      </c>
      <c r="F2564">
        <f>1708.59</f>
        <v>1708.59</v>
      </c>
      <c r="G2564">
        <f>7473.066</f>
        <v>7473.0659999999998</v>
      </c>
      <c r="H2564">
        <f>2124.91</f>
        <v>2124.91</v>
      </c>
      <c r="I2564">
        <f>7564.701</f>
        <v>7564.701</v>
      </c>
      <c r="J2564">
        <f>2185.64</f>
        <v>2185.64</v>
      </c>
      <c r="K2564">
        <f>6074.66</f>
        <v>6074.66</v>
      </c>
      <c r="L2564">
        <f>1377.72</f>
        <v>1377.72</v>
      </c>
      <c r="M2564">
        <f>5357.03</f>
        <v>5357.03</v>
      </c>
      <c r="N2564">
        <f>228.861</f>
        <v>228.86099999999999</v>
      </c>
      <c r="O2564">
        <f>1994.79</f>
        <v>1994.79</v>
      </c>
      <c r="P2564">
        <f>128.09</f>
        <v>128.09</v>
      </c>
      <c r="Q2564" t="e">
        <f>NA()</f>
        <v>#N/A</v>
      </c>
      <c r="R2564" t="e">
        <f>NA()</f>
        <v>#N/A</v>
      </c>
      <c r="S2564">
        <f>1486.85</f>
        <v>1486.85</v>
      </c>
      <c r="T2564">
        <f>2431.235</f>
        <v>2431.2350000000001</v>
      </c>
      <c r="U2564">
        <f>42725.7</f>
        <v>42725.7</v>
      </c>
      <c r="V2564">
        <f>284.67</f>
        <v>284.67</v>
      </c>
    </row>
    <row r="2565" spans="1:22" x14ac:dyDescent="0.2">
      <c r="A2565" s="1">
        <v>41516</v>
      </c>
      <c r="B2565">
        <f>2626.9</f>
        <v>2626.9</v>
      </c>
      <c r="C2565">
        <f>8593.06</f>
        <v>8593.06</v>
      </c>
      <c r="D2565">
        <f>4640.72</f>
        <v>4640.72</v>
      </c>
      <c r="E2565">
        <f>1802.664</f>
        <v>1802.664</v>
      </c>
      <c r="F2565">
        <f>1677.74</f>
        <v>1677.74</v>
      </c>
      <c r="G2565">
        <f>7320.357</f>
        <v>7320.357</v>
      </c>
      <c r="H2565">
        <f>2137.42</f>
        <v>2137.42</v>
      </c>
      <c r="I2565">
        <f>7434.641</f>
        <v>7434.6409999999996</v>
      </c>
      <c r="J2565">
        <f>2185.64</f>
        <v>2185.64</v>
      </c>
      <c r="K2565">
        <f>6074.66</f>
        <v>6074.66</v>
      </c>
      <c r="L2565">
        <f>1364.98</f>
        <v>1364.98</v>
      </c>
      <c r="M2565">
        <f>5325.89</f>
        <v>5325.89</v>
      </c>
      <c r="N2565">
        <f>225.391</f>
        <v>225.39099999999999</v>
      </c>
      <c r="O2565">
        <f>1959.04</f>
        <v>1959.04</v>
      </c>
      <c r="P2565">
        <f>127.07</f>
        <v>127.07</v>
      </c>
      <c r="Q2565">
        <f>1367.426</f>
        <v>1367.4259999999999</v>
      </c>
      <c r="R2565">
        <f>2908.96</f>
        <v>2908.96</v>
      </c>
      <c r="S2565">
        <f>1471.25</f>
        <v>1471.25</v>
      </c>
      <c r="T2565">
        <f>2419.281</f>
        <v>2419.2809999999999</v>
      </c>
      <c r="U2565">
        <f>42228.34</f>
        <v>42228.34</v>
      </c>
      <c r="V2565">
        <f>283.74</f>
        <v>283.74</v>
      </c>
    </row>
    <row r="2566" spans="1:22" x14ac:dyDescent="0.2">
      <c r="A2566" s="1">
        <v>41515</v>
      </c>
      <c r="B2566">
        <f>2652.68</f>
        <v>2652.68</v>
      </c>
      <c r="C2566">
        <f>8562.64</f>
        <v>8562.64</v>
      </c>
      <c r="D2566">
        <f>4691.46</f>
        <v>4691.46</v>
      </c>
      <c r="E2566">
        <f>1785.765</f>
        <v>1785.7650000000001</v>
      </c>
      <c r="F2566">
        <f>1695.08</f>
        <v>1695.08</v>
      </c>
      <c r="G2566">
        <f>7410.41</f>
        <v>7410.41</v>
      </c>
      <c r="H2566">
        <f>2154.99</f>
        <v>2154.9899999999998</v>
      </c>
      <c r="I2566">
        <f>7525.359</f>
        <v>7525.3590000000004</v>
      </c>
      <c r="J2566">
        <f>2187.87</f>
        <v>2187.87</v>
      </c>
      <c r="K2566">
        <f>6094.55</f>
        <v>6094.55</v>
      </c>
      <c r="L2566">
        <f>1372.08</f>
        <v>1372.08</v>
      </c>
      <c r="M2566">
        <f>5355.84</f>
        <v>5355.84</v>
      </c>
      <c r="N2566">
        <f>226.654</f>
        <v>226.654</v>
      </c>
      <c r="O2566">
        <f>1978.14</f>
        <v>1978.14</v>
      </c>
      <c r="P2566">
        <f>128.54</f>
        <v>128.54</v>
      </c>
      <c r="Q2566">
        <f>1369.678</f>
        <v>1369.6780000000001</v>
      </c>
      <c r="R2566">
        <f>2917.96</f>
        <v>2917.96</v>
      </c>
      <c r="S2566">
        <f>1485.16</f>
        <v>1485.16</v>
      </c>
      <c r="T2566">
        <f>2408.898</f>
        <v>2408.8980000000001</v>
      </c>
      <c r="U2566">
        <f>42429.36</f>
        <v>42429.36</v>
      </c>
      <c r="V2566">
        <f>282.71</f>
        <v>282.70999999999998</v>
      </c>
    </row>
    <row r="2567" spans="1:22" x14ac:dyDescent="0.2">
      <c r="A2567" s="1">
        <v>41514</v>
      </c>
      <c r="B2567">
        <f>2634.83</f>
        <v>2634.83</v>
      </c>
      <c r="C2567">
        <f>8521.06</f>
        <v>8521.06</v>
      </c>
      <c r="D2567">
        <f>4653.12</f>
        <v>4653.12</v>
      </c>
      <c r="E2567">
        <f>1764.195</f>
        <v>1764.1949999999999</v>
      </c>
      <c r="F2567">
        <f>1683.94</f>
        <v>1683.94</v>
      </c>
      <c r="G2567">
        <f>7373.257</f>
        <v>7373.2569999999996</v>
      </c>
      <c r="H2567">
        <f>2170.18</f>
        <v>2170.1799999999998</v>
      </c>
      <c r="I2567">
        <f>7563.27</f>
        <v>7563.27</v>
      </c>
      <c r="J2567">
        <f>2188.25</f>
        <v>2188.25</v>
      </c>
      <c r="K2567">
        <f>6079.57</f>
        <v>6079.57</v>
      </c>
      <c r="L2567">
        <f>1373.83</f>
        <v>1373.83</v>
      </c>
      <c r="M2567">
        <f>5351.43</f>
        <v>5351.43</v>
      </c>
      <c r="N2567">
        <f>225.315</f>
        <v>225.315</v>
      </c>
      <c r="O2567">
        <f>1964.31</f>
        <v>1964.31</v>
      </c>
      <c r="P2567">
        <f>128.11</f>
        <v>128.11000000000001</v>
      </c>
      <c r="Q2567">
        <f>1366.331</f>
        <v>1366.3309999999999</v>
      </c>
      <c r="R2567">
        <f>2911.83</f>
        <v>2911.83</v>
      </c>
      <c r="S2567">
        <f>1481.87</f>
        <v>1481.87</v>
      </c>
      <c r="T2567">
        <f>2398.653</f>
        <v>2398.6529999999998</v>
      </c>
      <c r="U2567">
        <f>42311</f>
        <v>42311</v>
      </c>
      <c r="V2567">
        <f>281.45</f>
        <v>281.45</v>
      </c>
    </row>
    <row r="2568" spans="1:22" x14ac:dyDescent="0.2">
      <c r="A2568" s="1">
        <v>41513</v>
      </c>
      <c r="B2568">
        <f>2645.92</f>
        <v>2645.92</v>
      </c>
      <c r="C2568">
        <f>8583.91</f>
        <v>8583.91</v>
      </c>
      <c r="D2568">
        <f>4659.28</f>
        <v>4659.28</v>
      </c>
      <c r="E2568">
        <f>1775.068</f>
        <v>1775.068</v>
      </c>
      <c r="F2568">
        <f>1688.86</f>
        <v>1688.86</v>
      </c>
      <c r="G2568">
        <f>7383.509</f>
        <v>7383.509</v>
      </c>
      <c r="H2568">
        <f>2215.03</f>
        <v>2215.0300000000002</v>
      </c>
      <c r="I2568">
        <f>7638.93</f>
        <v>7638.93</v>
      </c>
      <c r="J2568">
        <f>2182.3</f>
        <v>2182.3000000000002</v>
      </c>
      <c r="K2568">
        <f>6061.1</f>
        <v>6061.1</v>
      </c>
      <c r="L2568">
        <f>1377.69</f>
        <v>1377.69</v>
      </c>
      <c r="M2568">
        <f>5366.25</f>
        <v>5366.25</v>
      </c>
      <c r="N2568">
        <f>225.94</f>
        <v>225.94</v>
      </c>
      <c r="O2568">
        <f>1969.99</f>
        <v>1969.99</v>
      </c>
      <c r="P2568">
        <f>129.86</f>
        <v>129.86000000000001</v>
      </c>
      <c r="Q2568">
        <f>1366.101</f>
        <v>1366.1010000000001</v>
      </c>
      <c r="R2568">
        <f>2903.29</f>
        <v>2903.29</v>
      </c>
      <c r="S2568">
        <f>1508.06</f>
        <v>1508.06</v>
      </c>
      <c r="T2568">
        <f>2449.306</f>
        <v>2449.306</v>
      </c>
      <c r="U2568">
        <f>43082.83</f>
        <v>43082.83</v>
      </c>
      <c r="V2568">
        <f>286.72</f>
        <v>286.72000000000003</v>
      </c>
    </row>
    <row r="2569" spans="1:22" x14ac:dyDescent="0.2">
      <c r="A2569" s="1">
        <v>41512</v>
      </c>
      <c r="B2569">
        <f>2676.44</f>
        <v>2676.44</v>
      </c>
      <c r="C2569">
        <f>8718.04</f>
        <v>8718.0400000000009</v>
      </c>
      <c r="D2569">
        <f>4696.27</f>
        <v>4696.2700000000004</v>
      </c>
      <c r="E2569">
        <f>1808.536</f>
        <v>1808.5360000000001</v>
      </c>
      <c r="F2569">
        <f>1700.65</f>
        <v>1700.65</v>
      </c>
      <c r="G2569">
        <f>7460.585</f>
        <v>7460.585</v>
      </c>
      <c r="H2569">
        <f>2191.09</f>
        <v>2191.09</v>
      </c>
      <c r="I2569">
        <f>7786.031</f>
        <v>7786.0309999999999</v>
      </c>
      <c r="J2569">
        <f>2207.95</f>
        <v>2207.9499999999998</v>
      </c>
      <c r="K2569">
        <f>6159.61</f>
        <v>6159.61</v>
      </c>
      <c r="L2569">
        <f>1389.91</f>
        <v>1389.91</v>
      </c>
      <c r="M2569">
        <f>5438.4</f>
        <v>5438.4</v>
      </c>
      <c r="N2569">
        <f>228.56</f>
        <v>228.56</v>
      </c>
      <c r="O2569">
        <f>2005.47</f>
        <v>2005.47</v>
      </c>
      <c r="P2569">
        <f>130.44</f>
        <v>130.44</v>
      </c>
      <c r="Q2569">
        <f>1385.742</f>
        <v>1385.742</v>
      </c>
      <c r="R2569">
        <f>2950.13</f>
        <v>2950.13</v>
      </c>
      <c r="S2569">
        <f>1516.02</f>
        <v>1516.02</v>
      </c>
      <c r="T2569">
        <f>2473.476</f>
        <v>2473.4760000000001</v>
      </c>
      <c r="U2569">
        <f>43290.55</f>
        <v>43290.55</v>
      </c>
      <c r="V2569">
        <f>289.29</f>
        <v>289.29000000000002</v>
      </c>
    </row>
    <row r="2570" spans="1:22" x14ac:dyDescent="0.2">
      <c r="A2570" s="1">
        <v>41509</v>
      </c>
      <c r="B2570">
        <f>2676.44</f>
        <v>2676.44</v>
      </c>
      <c r="C2570">
        <f>8722.29</f>
        <v>8722.2900000000009</v>
      </c>
      <c r="D2570">
        <f>4696.27</f>
        <v>4696.2700000000004</v>
      </c>
      <c r="E2570">
        <f>1808.418</f>
        <v>1808.4179999999999</v>
      </c>
      <c r="F2570">
        <f>1702.29</f>
        <v>1702.29</v>
      </c>
      <c r="G2570">
        <f>7467.768</f>
        <v>7467.768</v>
      </c>
      <c r="H2570">
        <f>2197.13</f>
        <v>2197.13</v>
      </c>
      <c r="I2570">
        <f>7813.619</f>
        <v>7813.6189999999997</v>
      </c>
      <c r="J2570">
        <f>2222.32</f>
        <v>2222.3200000000002</v>
      </c>
      <c r="K2570">
        <f>6182.33</f>
        <v>6182.33</v>
      </c>
      <c r="L2570">
        <f>1393.74</f>
        <v>1393.74</v>
      </c>
      <c r="M2570">
        <f>5452.81</f>
        <v>5452.81</v>
      </c>
      <c r="N2570">
        <f>228.331</f>
        <v>228.33099999999999</v>
      </c>
      <c r="O2570">
        <f>2006.55</f>
        <v>2006.55</v>
      </c>
      <c r="P2570">
        <f>130.82</f>
        <v>130.82</v>
      </c>
      <c r="Q2570">
        <f>1394.585</f>
        <v>1394.585</v>
      </c>
      <c r="R2570">
        <f>2962.06</f>
        <v>2962.06</v>
      </c>
      <c r="S2570">
        <f>1518.19</f>
        <v>1518.19</v>
      </c>
      <c r="T2570">
        <f>2457.728</f>
        <v>2457.7280000000001</v>
      </c>
      <c r="U2570">
        <f>42994.92</f>
        <v>42994.92</v>
      </c>
      <c r="V2570">
        <f>286.95</f>
        <v>286.95</v>
      </c>
    </row>
    <row r="2571" spans="1:22" x14ac:dyDescent="0.2">
      <c r="A2571" s="1">
        <v>41508</v>
      </c>
      <c r="B2571">
        <f>2657.02</f>
        <v>2657.02</v>
      </c>
      <c r="C2571">
        <f>8660.58</f>
        <v>8660.58</v>
      </c>
      <c r="D2571">
        <f>4663.55</f>
        <v>4663.55</v>
      </c>
      <c r="E2571">
        <f>1787.955</f>
        <v>1787.9549999999999</v>
      </c>
      <c r="F2571">
        <f>1690.37</f>
        <v>1690.37</v>
      </c>
      <c r="G2571">
        <f>7406.045</f>
        <v>7406.0450000000001</v>
      </c>
      <c r="H2571">
        <f>2158.49</f>
        <v>2158.4899999999998</v>
      </c>
      <c r="I2571">
        <f>7749.672</f>
        <v>7749.6719999999996</v>
      </c>
      <c r="J2571">
        <f>2203.17</f>
        <v>2203.17</v>
      </c>
      <c r="K2571">
        <f>6155.04</f>
        <v>6155.04</v>
      </c>
      <c r="L2571">
        <f>1382.73</f>
        <v>1382.73</v>
      </c>
      <c r="M2571">
        <f>5413.63</f>
        <v>5413.63</v>
      </c>
      <c r="N2571">
        <f>228.392</f>
        <v>228.392</v>
      </c>
      <c r="O2571">
        <f>1998.43</f>
        <v>1998.43</v>
      </c>
      <c r="P2571">
        <f>128.95</f>
        <v>128.94999999999999</v>
      </c>
      <c r="Q2571">
        <f>1390.982</f>
        <v>1390.982</v>
      </c>
      <c r="R2571">
        <f>2949.96</f>
        <v>2949.96</v>
      </c>
      <c r="S2571">
        <f>1488.84</f>
        <v>1488.84</v>
      </c>
      <c r="T2571">
        <f>2472.856</f>
        <v>2472.8560000000002</v>
      </c>
      <c r="U2571">
        <f>43014.44</f>
        <v>43014.44</v>
      </c>
      <c r="V2571">
        <f>287.73</f>
        <v>287.73</v>
      </c>
    </row>
    <row r="2572" spans="1:22" x14ac:dyDescent="0.2">
      <c r="A2572" s="1">
        <v>41507</v>
      </c>
      <c r="B2572">
        <f>2636.13</f>
        <v>2636.13</v>
      </c>
      <c r="C2572">
        <f>8593.06</f>
        <v>8593.06</v>
      </c>
      <c r="D2572">
        <f>4623.02</f>
        <v>4623.0200000000004</v>
      </c>
      <c r="E2572">
        <f>1791.569</f>
        <v>1791.569</v>
      </c>
      <c r="F2572">
        <f>1692.69</f>
        <v>1692.69</v>
      </c>
      <c r="G2572">
        <f>7395.976</f>
        <v>7395.9759999999997</v>
      </c>
      <c r="H2572">
        <f>2181.43</f>
        <v>2181.4299999999998</v>
      </c>
      <c r="I2572">
        <f>7670.428</f>
        <v>7670.4279999999999</v>
      </c>
      <c r="J2572">
        <f>2191.53</f>
        <v>2191.5300000000002</v>
      </c>
      <c r="K2572">
        <f>6101.7</f>
        <v>6101.7</v>
      </c>
      <c r="L2572">
        <f>1379.08</f>
        <v>1379.08</v>
      </c>
      <c r="M2572">
        <f>5384.11</f>
        <v>5384.11</v>
      </c>
      <c r="N2572">
        <f>227.565</f>
        <v>227.565</v>
      </c>
      <c r="O2572">
        <f>1979.49</f>
        <v>1979.49</v>
      </c>
      <c r="P2572">
        <f>128.84</f>
        <v>128.84</v>
      </c>
      <c r="Q2572">
        <f>1380.267</f>
        <v>1380.2670000000001</v>
      </c>
      <c r="R2572">
        <f>2924.73</f>
        <v>2924.73</v>
      </c>
      <c r="S2572">
        <f>1491.73</f>
        <v>1491.73</v>
      </c>
      <c r="T2572">
        <f>2472.506</f>
        <v>2472.5059999999999</v>
      </c>
      <c r="U2572">
        <f>42762.37</f>
        <v>42762.37</v>
      </c>
      <c r="V2572">
        <f>287.16</f>
        <v>287.16000000000003</v>
      </c>
    </row>
    <row r="2573" spans="1:22" x14ac:dyDescent="0.2">
      <c r="A2573" s="1">
        <v>41506</v>
      </c>
      <c r="B2573">
        <f>2654.84</f>
        <v>2654.84</v>
      </c>
      <c r="C2573">
        <f>8657.26</f>
        <v>8657.26</v>
      </c>
      <c r="D2573">
        <f>4661.28</f>
        <v>4661.28</v>
      </c>
      <c r="E2573">
        <f>1806.706</f>
        <v>1806.7059999999999</v>
      </c>
      <c r="F2573">
        <f>1702.07</f>
        <v>1702.07</v>
      </c>
      <c r="G2573">
        <f>7451.613</f>
        <v>7451.6130000000003</v>
      </c>
      <c r="H2573">
        <f>2195.03</f>
        <v>2195.0300000000002</v>
      </c>
      <c r="I2573">
        <f>7743.93</f>
        <v>7743.93</v>
      </c>
      <c r="J2573">
        <f>2207.66</f>
        <v>2207.66</v>
      </c>
      <c r="K2573">
        <f>6136.16</f>
        <v>6136.16</v>
      </c>
      <c r="L2573">
        <f>1391.48</f>
        <v>1391.48</v>
      </c>
      <c r="M2573">
        <f>5422.62</f>
        <v>5422.62</v>
      </c>
      <c r="N2573">
        <f>228.391</f>
        <v>228.39099999999999</v>
      </c>
      <c r="O2573">
        <f>1989.49</f>
        <v>1989.49</v>
      </c>
      <c r="P2573">
        <f>129.17</f>
        <v>129.16999999999999</v>
      </c>
      <c r="Q2573">
        <f>1389.719</f>
        <v>1389.7190000000001</v>
      </c>
      <c r="R2573">
        <f>2941.58</f>
        <v>2941.58</v>
      </c>
      <c r="S2573">
        <f>1496.43</f>
        <v>1496.43</v>
      </c>
      <c r="T2573">
        <f>2466.318</f>
        <v>2466.3180000000002</v>
      </c>
      <c r="U2573">
        <f>42765.22</f>
        <v>42765.22</v>
      </c>
      <c r="V2573">
        <f>288.03</f>
        <v>288.02999999999997</v>
      </c>
    </row>
    <row r="2574" spans="1:22" x14ac:dyDescent="0.2">
      <c r="A2574" s="1">
        <v>41505</v>
      </c>
      <c r="B2574">
        <f>2662.1</f>
        <v>2662.1</v>
      </c>
      <c r="C2574">
        <f>8769.03</f>
        <v>8769.0300000000007</v>
      </c>
      <c r="D2574">
        <f>4670.14</f>
        <v>4670.1400000000003</v>
      </c>
      <c r="E2574">
        <f>1831.308</f>
        <v>1831.308</v>
      </c>
      <c r="F2574">
        <f>1694.83</f>
        <v>1694.83</v>
      </c>
      <c r="G2574">
        <f>7460.681</f>
        <v>7460.6809999999996</v>
      </c>
      <c r="H2574">
        <f>2222.47</f>
        <v>2222.4699999999998</v>
      </c>
      <c r="I2574">
        <f>7768.279</f>
        <v>7768.2790000000005</v>
      </c>
      <c r="J2574">
        <f>2207.24</f>
        <v>2207.2399999999998</v>
      </c>
      <c r="K2574">
        <f>6110.07</f>
        <v>6110.07</v>
      </c>
      <c r="L2574">
        <f>1391.69</f>
        <v>1391.69</v>
      </c>
      <c r="M2574">
        <f>5425.08</f>
        <v>5425.08</v>
      </c>
      <c r="N2574">
        <f>229.355</f>
        <v>229.35499999999999</v>
      </c>
      <c r="O2574">
        <f>2005.84</f>
        <v>2005.84</v>
      </c>
      <c r="P2574">
        <f>130.84</f>
        <v>130.84</v>
      </c>
      <c r="Q2574">
        <f>1385.197</f>
        <v>1385.1969999999999</v>
      </c>
      <c r="R2574">
        <f>2930.27</f>
        <v>2930.27</v>
      </c>
      <c r="S2574">
        <f>1528.16</f>
        <v>1528.16</v>
      </c>
      <c r="T2574">
        <f>2467.137</f>
        <v>2467.1370000000002</v>
      </c>
      <c r="U2574">
        <f>42920.22</f>
        <v>42920.22</v>
      </c>
      <c r="V2574">
        <f>288.39</f>
        <v>288.39</v>
      </c>
    </row>
    <row r="2575" spans="1:22" x14ac:dyDescent="0.2">
      <c r="A2575" s="1">
        <v>41502</v>
      </c>
      <c r="B2575">
        <f>2657.09</f>
        <v>2657.09</v>
      </c>
      <c r="C2575">
        <f>8873.54</f>
        <v>8873.5400000000009</v>
      </c>
      <c r="D2575">
        <f>4694.89</f>
        <v>4694.8900000000003</v>
      </c>
      <c r="E2575">
        <f>1856.842</f>
        <v>1856.8420000000001</v>
      </c>
      <c r="F2575">
        <f>1691.37</f>
        <v>1691.37</v>
      </c>
      <c r="G2575">
        <f>7473.823</f>
        <v>7473.8230000000003</v>
      </c>
      <c r="H2575">
        <f>2222.66</f>
        <v>2222.66</v>
      </c>
      <c r="I2575">
        <f>7809.949</f>
        <v>7809.9489999999996</v>
      </c>
      <c r="J2575">
        <f>2215.6</f>
        <v>2215.6</v>
      </c>
      <c r="K2575">
        <f>6146.01</f>
        <v>6146.01</v>
      </c>
      <c r="L2575">
        <f>1396.07</f>
        <v>1396.07</v>
      </c>
      <c r="M2575">
        <f>5451</f>
        <v>5451</v>
      </c>
      <c r="N2575">
        <f>229.151</f>
        <v>229.15100000000001</v>
      </c>
      <c r="O2575">
        <f>2018.28</f>
        <v>2018.28</v>
      </c>
      <c r="P2575">
        <f>130.12</f>
        <v>130.12</v>
      </c>
      <c r="Q2575">
        <f>1391.641</f>
        <v>1391.6410000000001</v>
      </c>
      <c r="R2575">
        <f>2947.46</f>
        <v>2947.46</v>
      </c>
      <c r="S2575">
        <f>1519.53</f>
        <v>1519.53</v>
      </c>
      <c r="T2575">
        <f>2470.775</f>
        <v>2470.7750000000001</v>
      </c>
      <c r="U2575">
        <f>43042.11</f>
        <v>43042.11</v>
      </c>
      <c r="V2575">
        <f>289.41</f>
        <v>289.41000000000003</v>
      </c>
    </row>
    <row r="2576" spans="1:22" x14ac:dyDescent="0.2">
      <c r="A2576" s="1">
        <v>41501</v>
      </c>
      <c r="B2576">
        <f>2644.76</f>
        <v>2644.76</v>
      </c>
      <c r="C2576">
        <f>8861.54</f>
        <v>8861.5400000000009</v>
      </c>
      <c r="D2576">
        <f>4682.86</f>
        <v>4682.8599999999997</v>
      </c>
      <c r="E2576">
        <f>1860.917</f>
        <v>1860.9169999999999</v>
      </c>
      <c r="F2576">
        <f>1686.31</f>
        <v>1686.31</v>
      </c>
      <c r="G2576">
        <f>7426.789</f>
        <v>7426.7889999999998</v>
      </c>
      <c r="H2576">
        <f>2238.64</f>
        <v>2238.64</v>
      </c>
      <c r="I2576">
        <f>7727.387</f>
        <v>7727.3869999999997</v>
      </c>
      <c r="J2576">
        <f>2225.18</f>
        <v>2225.1799999999998</v>
      </c>
      <c r="K2576">
        <f>6166.03</f>
        <v>6166.03</v>
      </c>
      <c r="L2576">
        <f>1395.4</f>
        <v>1395.4</v>
      </c>
      <c r="M2576">
        <f>5448.37</f>
        <v>5448.37</v>
      </c>
      <c r="N2576">
        <f>229.235</f>
        <v>229.23500000000001</v>
      </c>
      <c r="O2576">
        <f>2011.18</f>
        <v>2011.18</v>
      </c>
      <c r="P2576">
        <f>131.04</f>
        <v>131.04</v>
      </c>
      <c r="Q2576">
        <f>1395.822</f>
        <v>1395.8219999999999</v>
      </c>
      <c r="R2576">
        <f>2957.08</f>
        <v>2957.08</v>
      </c>
      <c r="S2576">
        <f>1531.7</f>
        <v>1531.7</v>
      </c>
      <c r="T2576">
        <f>2457.836</f>
        <v>2457.8359999999998</v>
      </c>
      <c r="U2576">
        <f>42509.7</f>
        <v>42509.7</v>
      </c>
      <c r="V2576">
        <f>287.71</f>
        <v>287.70999999999998</v>
      </c>
    </row>
    <row r="2577" spans="1:22" x14ac:dyDescent="0.2">
      <c r="A2577" s="1">
        <v>41500</v>
      </c>
      <c r="B2577">
        <f>2699.83</f>
        <v>2699.83</v>
      </c>
      <c r="C2577">
        <f>8945.73</f>
        <v>8945.73</v>
      </c>
      <c r="D2577">
        <f>4758.04</f>
        <v>4758.04</v>
      </c>
      <c r="E2577">
        <f>1875.118</f>
        <v>1875.1179999999999</v>
      </c>
      <c r="F2577">
        <f>1709.23</f>
        <v>1709.23</v>
      </c>
      <c r="G2577">
        <f>7538.437</f>
        <v>7538.4369999999999</v>
      </c>
      <c r="H2577">
        <f>2265.28</f>
        <v>2265.2800000000002</v>
      </c>
      <c r="I2577">
        <f>7800.726</f>
        <v>7800.7259999999997</v>
      </c>
      <c r="J2577">
        <f>2258.22</f>
        <v>2258.2199999999998</v>
      </c>
      <c r="K2577">
        <f>6254.72</f>
        <v>6254.72</v>
      </c>
      <c r="L2577">
        <f>1411.37</f>
        <v>1411.37</v>
      </c>
      <c r="M2577">
        <f>5516.02</f>
        <v>5516.02</v>
      </c>
      <c r="N2577">
        <f>231.811</f>
        <v>231.81100000000001</v>
      </c>
      <c r="O2577">
        <f>2031.66</f>
        <v>2031.66</v>
      </c>
      <c r="P2577">
        <f>133.25</f>
        <v>133.25</v>
      </c>
      <c r="Q2577">
        <f>1418.497</f>
        <v>1418.4970000000001</v>
      </c>
      <c r="R2577">
        <f>2999.42</f>
        <v>2999.42</v>
      </c>
      <c r="S2577">
        <f>1557.66</f>
        <v>1557.66</v>
      </c>
      <c r="T2577">
        <f>2479.547</f>
        <v>2479.547</v>
      </c>
      <c r="U2577">
        <f>43019.21</f>
        <v>43019.21</v>
      </c>
      <c r="V2577">
        <f>291.58</f>
        <v>291.58</v>
      </c>
    </row>
    <row r="2578" spans="1:22" x14ac:dyDescent="0.2">
      <c r="A2578" s="1">
        <v>41499</v>
      </c>
      <c r="B2578">
        <f>2710.78</f>
        <v>2710.78</v>
      </c>
      <c r="C2578">
        <f>8911.01</f>
        <v>8911.01</v>
      </c>
      <c r="D2578">
        <f>4760.98</f>
        <v>4760.9799999999996</v>
      </c>
      <c r="E2578">
        <f>1871.164</f>
        <v>1871.164</v>
      </c>
      <c r="F2578">
        <f>1704.82</f>
        <v>1704.82</v>
      </c>
      <c r="G2578">
        <f>7504.553</f>
        <v>7504.5529999999999</v>
      </c>
      <c r="H2578">
        <f>2246.92</f>
        <v>2246.92</v>
      </c>
      <c r="I2578">
        <f>7752.606</f>
        <v>7752.6059999999998</v>
      </c>
      <c r="J2578">
        <f>2266.3</f>
        <v>2266.3000000000002</v>
      </c>
      <c r="K2578">
        <f>6286.9</f>
        <v>6286.9</v>
      </c>
      <c r="L2578">
        <f>1410.68</f>
        <v>1410.68</v>
      </c>
      <c r="M2578">
        <f>5514.3</f>
        <v>5514.3</v>
      </c>
      <c r="N2578">
        <f>230.929</f>
        <v>230.929</v>
      </c>
      <c r="O2578">
        <f>2023.4</f>
        <v>2023.4</v>
      </c>
      <c r="P2578">
        <f>132.08</f>
        <v>132.08000000000001</v>
      </c>
      <c r="Q2578">
        <f>1429.246</f>
        <v>1429.2460000000001</v>
      </c>
      <c r="R2578">
        <f>3014.43</f>
        <v>3014.43</v>
      </c>
      <c r="S2578">
        <f>1538.78</f>
        <v>1538.78</v>
      </c>
      <c r="T2578">
        <f>2473.636</f>
        <v>2473.636</v>
      </c>
      <c r="U2578">
        <f>42685.35</f>
        <v>42685.35</v>
      </c>
      <c r="V2578">
        <f>288.97</f>
        <v>288.97000000000003</v>
      </c>
    </row>
    <row r="2579" spans="1:22" x14ac:dyDescent="0.2">
      <c r="A2579" s="1">
        <v>41498</v>
      </c>
      <c r="B2579">
        <f>2699.06</f>
        <v>2699.06</v>
      </c>
      <c r="C2579">
        <f>8839.07</f>
        <v>8839.07</v>
      </c>
      <c r="D2579">
        <f>4733.91</f>
        <v>4733.91</v>
      </c>
      <c r="E2579">
        <f>1855.159</f>
        <v>1855.1590000000001</v>
      </c>
      <c r="F2579">
        <f>1692.46</f>
        <v>1692.46</v>
      </c>
      <c r="G2579">
        <f>7471.921</f>
        <v>7471.9210000000003</v>
      </c>
      <c r="H2579">
        <f>2245.37</f>
        <v>2245.37</v>
      </c>
      <c r="I2579">
        <f>7753.182</f>
        <v>7753.1819999999998</v>
      </c>
      <c r="J2579">
        <f>2259.73</f>
        <v>2259.73</v>
      </c>
      <c r="K2579">
        <f>6269.97</f>
        <v>6269.97</v>
      </c>
      <c r="L2579">
        <f>1408.71</f>
        <v>1408.71</v>
      </c>
      <c r="M2579">
        <f>5502.24</f>
        <v>5502.24</v>
      </c>
      <c r="N2579">
        <f>229.42</f>
        <v>229.42</v>
      </c>
      <c r="O2579">
        <f>2011.56</f>
        <v>2011.56</v>
      </c>
      <c r="P2579">
        <f>129.34</f>
        <v>129.34</v>
      </c>
      <c r="Q2579">
        <f>1427.336</f>
        <v>1427.336</v>
      </c>
      <c r="R2579">
        <f>3005.42</f>
        <v>3005.42</v>
      </c>
      <c r="S2579">
        <f>1508.82</f>
        <v>1508.82</v>
      </c>
      <c r="T2579">
        <f>2468.444</f>
        <v>2468.444</v>
      </c>
      <c r="U2579">
        <f>42497.3</f>
        <v>42497.3</v>
      </c>
      <c r="V2579">
        <f>285.82</f>
        <v>285.82</v>
      </c>
    </row>
    <row r="2580" spans="1:22" x14ac:dyDescent="0.2">
      <c r="A2580" s="1">
        <v>41495</v>
      </c>
      <c r="B2580">
        <f>2712.57</f>
        <v>2712.57</v>
      </c>
      <c r="C2580">
        <f>8735.91</f>
        <v>8735.91</v>
      </c>
      <c r="D2580">
        <f>4740.42</f>
        <v>4740.42</v>
      </c>
      <c r="E2580">
        <f>1842.468</f>
        <v>1842.4680000000001</v>
      </c>
      <c r="F2580">
        <f>1704.56</f>
        <v>1704.56</v>
      </c>
      <c r="G2580">
        <f>7503.726</f>
        <v>7503.7259999999997</v>
      </c>
      <c r="H2580">
        <f>2249.66</f>
        <v>2249.66</v>
      </c>
      <c r="I2580">
        <f>7779.272</f>
        <v>7779.2719999999999</v>
      </c>
      <c r="J2580">
        <f>2260.27</f>
        <v>2260.27</v>
      </c>
      <c r="K2580">
        <f>6277.12</f>
        <v>6277.12</v>
      </c>
      <c r="L2580">
        <f>1412.47</f>
        <v>1412.47</v>
      </c>
      <c r="M2580">
        <f>5512.35</f>
        <v>5512.35</v>
      </c>
      <c r="N2580">
        <f>230.142</f>
        <v>230.142</v>
      </c>
      <c r="O2580">
        <f>2010.77</f>
        <v>2010.77</v>
      </c>
      <c r="P2580">
        <f>129.47</f>
        <v>129.47</v>
      </c>
      <c r="Q2580">
        <f>1430.28</f>
        <v>1430.28</v>
      </c>
      <c r="R2580">
        <f>3008.79</f>
        <v>3008.79</v>
      </c>
      <c r="S2580">
        <f>1517.19</f>
        <v>1517.19</v>
      </c>
      <c r="T2580" t="e">
        <f>NA()</f>
        <v>#N/A</v>
      </c>
      <c r="U2580" t="e">
        <f>NA()</f>
        <v>#N/A</v>
      </c>
      <c r="V2580" t="e">
        <f>NA()</f>
        <v>#N/A</v>
      </c>
    </row>
    <row r="2581" spans="1:22" x14ac:dyDescent="0.2">
      <c r="A2581" s="1">
        <v>41494</v>
      </c>
      <c r="B2581">
        <f>2706.7</f>
        <v>2706.7</v>
      </c>
      <c r="C2581">
        <f>8658.75</f>
        <v>8658.75</v>
      </c>
      <c r="D2581">
        <f>4701.74</f>
        <v>4701.74</v>
      </c>
      <c r="E2581">
        <f>1832.794</f>
        <v>1832.7940000000001</v>
      </c>
      <c r="F2581">
        <f>1702.6</f>
        <v>1702.6</v>
      </c>
      <c r="G2581">
        <f>7454.659</f>
        <v>7454.6589999999997</v>
      </c>
      <c r="H2581">
        <f>2250.99</f>
        <v>2250.9899999999998</v>
      </c>
      <c r="I2581">
        <f>7765.049</f>
        <v>7765.049</v>
      </c>
      <c r="J2581">
        <f>2269.68</f>
        <v>2269.6799999999998</v>
      </c>
      <c r="K2581">
        <f>6296.87</f>
        <v>6296.87</v>
      </c>
      <c r="L2581">
        <f>1412.15</f>
        <v>1412.15</v>
      </c>
      <c r="M2581">
        <f>5514.98</f>
        <v>5514.98</v>
      </c>
      <c r="N2581">
        <f>228.943</f>
        <v>228.94300000000001</v>
      </c>
      <c r="O2581">
        <f>1998.75</f>
        <v>1998.75</v>
      </c>
      <c r="P2581">
        <f>129.96</f>
        <v>129.96</v>
      </c>
      <c r="Q2581">
        <f>1432.549</f>
        <v>1432.549</v>
      </c>
      <c r="R2581">
        <f>3019</f>
        <v>3019</v>
      </c>
      <c r="S2581">
        <f>1515.43</f>
        <v>1515.43</v>
      </c>
      <c r="T2581">
        <f>2459.111</f>
        <v>2459.1109999999999</v>
      </c>
      <c r="U2581">
        <f>41747.16</f>
        <v>41747.160000000003</v>
      </c>
      <c r="V2581">
        <f>282.31</f>
        <v>282.31</v>
      </c>
    </row>
    <row r="2582" spans="1:22" x14ac:dyDescent="0.2">
      <c r="A2582" s="1">
        <v>41493</v>
      </c>
      <c r="B2582">
        <f>2703.05</f>
        <v>2703.05</v>
      </c>
      <c r="C2582">
        <f>8567.93</f>
        <v>8567.93</v>
      </c>
      <c r="D2582">
        <f>4688.45</f>
        <v>4688.45</v>
      </c>
      <c r="E2582">
        <f>1815.754</f>
        <v>1815.7539999999999</v>
      </c>
      <c r="F2582">
        <f>1701.1</f>
        <v>1701.1</v>
      </c>
      <c r="G2582">
        <f>7415.426</f>
        <v>7415.4260000000004</v>
      </c>
      <c r="H2582">
        <f>2260.04</f>
        <v>2260.04</v>
      </c>
      <c r="I2582">
        <f>7679.101</f>
        <v>7679.1009999999997</v>
      </c>
      <c r="J2582">
        <f>2262.28</f>
        <v>2262.2800000000002</v>
      </c>
      <c r="K2582">
        <f>6271.23</f>
        <v>6271.23</v>
      </c>
      <c r="L2582">
        <f>1404.98</f>
        <v>1404.98</v>
      </c>
      <c r="M2582">
        <f>5483.59</f>
        <v>5483.59</v>
      </c>
      <c r="N2582">
        <f>229.094</f>
        <v>229.09399999999999</v>
      </c>
      <c r="O2582">
        <f>1990.01</f>
        <v>1990.01</v>
      </c>
      <c r="P2582">
        <f>131.31</f>
        <v>131.31</v>
      </c>
      <c r="Q2582">
        <f>1426.241</f>
        <v>1426.241</v>
      </c>
      <c r="R2582">
        <f>3006.63</f>
        <v>3006.63</v>
      </c>
      <c r="S2582">
        <f>1536.28</f>
        <v>1536.28</v>
      </c>
      <c r="T2582">
        <f>2458.663</f>
        <v>2458.663</v>
      </c>
      <c r="U2582">
        <f>41600.03</f>
        <v>41600.03</v>
      </c>
      <c r="V2582">
        <f>282.51</f>
        <v>282.51</v>
      </c>
    </row>
    <row r="2583" spans="1:22" x14ac:dyDescent="0.2">
      <c r="A2583" s="1">
        <v>41492</v>
      </c>
      <c r="B2583">
        <f>2739.98</f>
        <v>2739.98</v>
      </c>
      <c r="C2583">
        <f>8621.48</f>
        <v>8621.48</v>
      </c>
      <c r="D2583">
        <f>4745.05</f>
        <v>4745.05</v>
      </c>
      <c r="E2583">
        <f>1831.683</f>
        <v>1831.683</v>
      </c>
      <c r="F2583">
        <f>1702.38</f>
        <v>1702.38</v>
      </c>
      <c r="G2583">
        <f>7440.01</f>
        <v>7440.01</v>
      </c>
      <c r="H2583">
        <f>2307.95</f>
        <v>2307.9499999999998</v>
      </c>
      <c r="I2583">
        <f>7677.142</f>
        <v>7677.1419999999998</v>
      </c>
      <c r="J2583">
        <f>2264.5</f>
        <v>2264.5</v>
      </c>
      <c r="K2583">
        <f>6292.79</f>
        <v>6292.79</v>
      </c>
      <c r="L2583">
        <f>1408.9</f>
        <v>1408.9</v>
      </c>
      <c r="M2583">
        <f>5512.96</f>
        <v>5512.96</v>
      </c>
      <c r="N2583">
        <f>229.813</f>
        <v>229.81299999999999</v>
      </c>
      <c r="O2583">
        <f>1993.21</f>
        <v>1993.21</v>
      </c>
      <c r="P2583">
        <f>134.66</f>
        <v>134.66</v>
      </c>
      <c r="Q2583">
        <f>1431.086</f>
        <v>1431.086</v>
      </c>
      <c r="R2583">
        <f>3017.16</f>
        <v>3017.16</v>
      </c>
      <c r="S2583">
        <f>1587.33</f>
        <v>1587.33</v>
      </c>
      <c r="T2583">
        <f>2460.417</f>
        <v>2460.4169999999999</v>
      </c>
      <c r="U2583">
        <f>41573.71</f>
        <v>41573.71</v>
      </c>
      <c r="V2583">
        <f>282.3</f>
        <v>282.3</v>
      </c>
    </row>
    <row r="2584" spans="1:22" x14ac:dyDescent="0.2">
      <c r="A2584" s="1">
        <v>41491</v>
      </c>
      <c r="B2584">
        <f>2756.23</f>
        <v>2756.23</v>
      </c>
      <c r="C2584">
        <f>8710.67</f>
        <v>8710.67</v>
      </c>
      <c r="D2584">
        <f>4756.1</f>
        <v>4756.1000000000004</v>
      </c>
      <c r="E2584">
        <f>1851.023</f>
        <v>1851.0229999999999</v>
      </c>
      <c r="F2584">
        <f>1698.84</f>
        <v>1698.84</v>
      </c>
      <c r="G2584">
        <f>7432.292</f>
        <v>7432.2920000000004</v>
      </c>
      <c r="H2584">
        <f>2260.29</f>
        <v>2260.29</v>
      </c>
      <c r="I2584">
        <f>7666.221</f>
        <v>7666.2209999999995</v>
      </c>
      <c r="J2584">
        <f>2271.96</f>
        <v>2271.96</v>
      </c>
      <c r="K2584">
        <f>6330.06</f>
        <v>6330.06</v>
      </c>
      <c r="L2584">
        <f>1409.03</f>
        <v>1409.03</v>
      </c>
      <c r="M2584">
        <f>5521.55</f>
        <v>5521.55</v>
      </c>
      <c r="N2584">
        <f>229.692</f>
        <v>229.69200000000001</v>
      </c>
      <c r="O2584">
        <f>2001.56</f>
        <v>2001.56</v>
      </c>
      <c r="P2584">
        <f>133.72</f>
        <v>133.72</v>
      </c>
      <c r="Q2584">
        <f>1434.953</f>
        <v>1434.953</v>
      </c>
      <c r="R2584">
        <f>3034.43</f>
        <v>3034.43</v>
      </c>
      <c r="S2584">
        <f>1575.48</f>
        <v>1575.48</v>
      </c>
      <c r="T2584">
        <f>2486.891</f>
        <v>2486.8910000000001</v>
      </c>
      <c r="U2584">
        <f>41803.93</f>
        <v>41803.93</v>
      </c>
      <c r="V2584">
        <f>285.28</f>
        <v>285.27999999999997</v>
      </c>
    </row>
    <row r="2585" spans="1:22" x14ac:dyDescent="0.2">
      <c r="A2585" s="1">
        <v>41488</v>
      </c>
      <c r="B2585">
        <f>2755.4</f>
        <v>2755.4</v>
      </c>
      <c r="C2585">
        <f>8712.21</f>
        <v>8712.2099999999991</v>
      </c>
      <c r="D2585">
        <f>4776.42</f>
        <v>4776.42</v>
      </c>
      <c r="E2585">
        <f>1848.984</f>
        <v>1848.9839999999999</v>
      </c>
      <c r="F2585">
        <f>1697.52</f>
        <v>1697.52</v>
      </c>
      <c r="G2585">
        <f>7436.309</f>
        <v>7436.3090000000002</v>
      </c>
      <c r="H2585">
        <f>2272.86</f>
        <v>2272.86</v>
      </c>
      <c r="I2585">
        <f>7683.027</f>
        <v>7683.027</v>
      </c>
      <c r="J2585">
        <f>2276.61</f>
        <v>2276.61</v>
      </c>
      <c r="K2585">
        <f>6337.91</f>
        <v>6337.91</v>
      </c>
      <c r="L2585">
        <f>1412.2</f>
        <v>1412.2</v>
      </c>
      <c r="M2585">
        <f>5533.33</f>
        <v>5533.33</v>
      </c>
      <c r="N2585">
        <f>228.743</f>
        <v>228.74299999999999</v>
      </c>
      <c r="O2585">
        <f>1999.4</f>
        <v>1999.4</v>
      </c>
      <c r="P2585">
        <f>134.83</f>
        <v>134.83000000000001</v>
      </c>
      <c r="Q2585">
        <f>1437.374</f>
        <v>1437.374</v>
      </c>
      <c r="R2585">
        <f>3038.63</f>
        <v>3038.63</v>
      </c>
      <c r="S2585">
        <f>1590.66</f>
        <v>1590.66</v>
      </c>
      <c r="T2585">
        <f>2487.742</f>
        <v>2487.7420000000002</v>
      </c>
      <c r="U2585">
        <f>41700.19</f>
        <v>41700.19</v>
      </c>
      <c r="V2585">
        <f>286.41</f>
        <v>286.41000000000003</v>
      </c>
    </row>
    <row r="2586" spans="1:22" x14ac:dyDescent="0.2">
      <c r="A2586" s="1">
        <v>41487</v>
      </c>
      <c r="B2586">
        <f>2739.69</f>
        <v>2739.69</v>
      </c>
      <c r="C2586">
        <f>8698.15</f>
        <v>8698.15</v>
      </c>
      <c r="D2586">
        <f>4800.93</f>
        <v>4800.93</v>
      </c>
      <c r="E2586">
        <f>1846.552</f>
        <v>1846.5519999999999</v>
      </c>
      <c r="F2586">
        <f>1691</f>
        <v>1691</v>
      </c>
      <c r="G2586">
        <f>7420.285</f>
        <v>7420.2849999999999</v>
      </c>
      <c r="H2586">
        <f>2207.62</f>
        <v>2207.62</v>
      </c>
      <c r="I2586">
        <f>7619.634</f>
        <v>7619.634</v>
      </c>
      <c r="J2586">
        <f>2273.8</f>
        <v>2273.8000000000002</v>
      </c>
      <c r="K2586">
        <f>6327.5</f>
        <v>6327.5</v>
      </c>
      <c r="L2586">
        <f>1404.49</f>
        <v>1404.49</v>
      </c>
      <c r="M2586">
        <f>5501.01</f>
        <v>5501.01</v>
      </c>
      <c r="N2586">
        <f>227.779</f>
        <v>227.779</v>
      </c>
      <c r="O2586">
        <f>1993.16</f>
        <v>1993.16</v>
      </c>
      <c r="P2586">
        <f>131.66</f>
        <v>131.66</v>
      </c>
      <c r="Q2586">
        <f>1438.012</f>
        <v>1438.0119999999999</v>
      </c>
      <c r="R2586">
        <f>3033.59</f>
        <v>3033.59</v>
      </c>
      <c r="S2586">
        <f>1547.08</f>
        <v>1547.08</v>
      </c>
      <c r="T2586">
        <f>2475.148</f>
        <v>2475.1480000000001</v>
      </c>
      <c r="U2586">
        <f>41909.39</f>
        <v>41909.39</v>
      </c>
      <c r="V2586">
        <f>286.26</f>
        <v>286.26</v>
      </c>
    </row>
    <row r="2587" spans="1:22" x14ac:dyDescent="0.2">
      <c r="A2587" s="1">
        <v>41486</v>
      </c>
      <c r="B2587">
        <f>2716.16</f>
        <v>2716.16</v>
      </c>
      <c r="C2587">
        <f>8636.26</f>
        <v>8636.26</v>
      </c>
      <c r="D2587">
        <f>4757.16</f>
        <v>4757.16</v>
      </c>
      <c r="E2587">
        <f>1833.432</f>
        <v>1833.432</v>
      </c>
      <c r="F2587">
        <f>1686.69</f>
        <v>1686.69</v>
      </c>
      <c r="G2587">
        <f>7351.318</f>
        <v>7351.3180000000002</v>
      </c>
      <c r="H2587">
        <f>2179.43</f>
        <v>2179.4299999999998</v>
      </c>
      <c r="I2587">
        <f>7562.223</f>
        <v>7562.223</v>
      </c>
      <c r="J2587">
        <f>2255.71</f>
        <v>2255.71</v>
      </c>
      <c r="K2587">
        <f>6247</f>
        <v>6247</v>
      </c>
      <c r="L2587">
        <f>1398.1</f>
        <v>1398.1</v>
      </c>
      <c r="M2587">
        <f>5439.35</f>
        <v>5439.35</v>
      </c>
      <c r="N2587">
        <f>226.703</f>
        <v>226.703</v>
      </c>
      <c r="O2587">
        <f>1970.66</f>
        <v>1970.66</v>
      </c>
      <c r="P2587">
        <f>128.93</f>
        <v>128.93</v>
      </c>
      <c r="Q2587">
        <f>1421.926</f>
        <v>1421.9259999999999</v>
      </c>
      <c r="R2587">
        <f>2995.72</f>
        <v>2995.72</v>
      </c>
      <c r="S2587">
        <f>1504.94</f>
        <v>1504.94</v>
      </c>
      <c r="T2587">
        <f>2459.202</f>
        <v>2459.2020000000002</v>
      </c>
      <c r="U2587">
        <f>41292.84</f>
        <v>41292.839999999997</v>
      </c>
      <c r="V2587">
        <f>284.19</f>
        <v>284.19</v>
      </c>
    </row>
    <row r="2588" spans="1:22" x14ac:dyDescent="0.2">
      <c r="A2588" s="1">
        <v>41485</v>
      </c>
      <c r="B2588">
        <f>2703.75</f>
        <v>2703.75</v>
      </c>
      <c r="C2588">
        <f>8676.06</f>
        <v>8676.06</v>
      </c>
      <c r="D2588">
        <f>4719.57</f>
        <v>4719.57</v>
      </c>
      <c r="E2588">
        <f>1845.151</f>
        <v>1845.1510000000001</v>
      </c>
      <c r="F2588">
        <f>1683.11</f>
        <v>1683.11</v>
      </c>
      <c r="G2588">
        <f>7341.012</f>
        <v>7341.0119999999997</v>
      </c>
      <c r="H2588">
        <f>2194.23</f>
        <v>2194.23</v>
      </c>
      <c r="I2588">
        <f>7535.029</f>
        <v>7535.0290000000005</v>
      </c>
      <c r="J2588">
        <f>2257.46</f>
        <v>2257.46</v>
      </c>
      <c r="K2588">
        <f>6246.8</f>
        <v>6246.8</v>
      </c>
      <c r="L2588">
        <f>1399.03</f>
        <v>1399.03</v>
      </c>
      <c r="M2588">
        <f>5447.44</f>
        <v>5447.44</v>
      </c>
      <c r="N2588">
        <f>226.598</f>
        <v>226.59800000000001</v>
      </c>
      <c r="O2588">
        <f>1966.98</f>
        <v>1966.98</v>
      </c>
      <c r="P2588">
        <f>130.11</f>
        <v>130.11000000000001</v>
      </c>
      <c r="Q2588">
        <f>1418.442</f>
        <v>1418.442</v>
      </c>
      <c r="R2588">
        <f>2995.68</f>
        <v>2995.68</v>
      </c>
      <c r="S2588">
        <f>1527.32</f>
        <v>1527.32</v>
      </c>
      <c r="T2588">
        <f>2450.274</f>
        <v>2450.2739999999999</v>
      </c>
      <c r="U2588">
        <f>40991.3</f>
        <v>40991.300000000003</v>
      </c>
      <c r="V2588">
        <f>282.65</f>
        <v>282.64999999999998</v>
      </c>
    </row>
    <row r="2589" spans="1:22" x14ac:dyDescent="0.2">
      <c r="A2589" s="1">
        <v>41484</v>
      </c>
      <c r="B2589">
        <f>2694.41</f>
        <v>2694.41</v>
      </c>
      <c r="C2589">
        <f>8708.1</f>
        <v>8708.1</v>
      </c>
      <c r="D2589">
        <f>4711.88</f>
        <v>4711.88</v>
      </c>
      <c r="E2589">
        <f>1845.385</f>
        <v>1845.385</v>
      </c>
      <c r="F2589">
        <f>1681.25</f>
        <v>1681.25</v>
      </c>
      <c r="G2589">
        <f>7371.955</f>
        <v>7371.9549999999999</v>
      </c>
      <c r="H2589">
        <f>2174.7</f>
        <v>2174.6999999999998</v>
      </c>
      <c r="I2589">
        <f>7512.436</f>
        <v>7512.4359999999997</v>
      </c>
      <c r="J2589">
        <f>2254.32</f>
        <v>2254.3200000000002</v>
      </c>
      <c r="K2589">
        <f>6241.36</f>
        <v>6241.36</v>
      </c>
      <c r="L2589">
        <f>1400.61</f>
        <v>1400.61</v>
      </c>
      <c r="M2589">
        <f>5441.89</f>
        <v>5441.89</v>
      </c>
      <c r="N2589">
        <f>226.489</f>
        <v>226.489</v>
      </c>
      <c r="O2589">
        <f>1966.07</f>
        <v>1966.07</v>
      </c>
      <c r="P2589">
        <f>128.56</f>
        <v>128.56</v>
      </c>
      <c r="Q2589">
        <f>1417.173</f>
        <v>1417.173</v>
      </c>
      <c r="R2589">
        <f>2994.45</f>
        <v>2994.45</v>
      </c>
      <c r="S2589">
        <f>1500.62</f>
        <v>1500.62</v>
      </c>
      <c r="T2589">
        <f>2430.361</f>
        <v>2430.3609999999999</v>
      </c>
      <c r="U2589">
        <f>40819.98</f>
        <v>40819.980000000003</v>
      </c>
      <c r="V2589">
        <f>282.59</f>
        <v>282.58999999999997</v>
      </c>
    </row>
    <row r="2590" spans="1:22" x14ac:dyDescent="0.2">
      <c r="A2590" s="1">
        <v>41481</v>
      </c>
      <c r="B2590">
        <f>2692.04</f>
        <v>2692.04</v>
      </c>
      <c r="C2590">
        <f>8761</f>
        <v>8761</v>
      </c>
      <c r="D2590">
        <f>4707.96</f>
        <v>4707.96</v>
      </c>
      <c r="E2590">
        <f>1860.142</f>
        <v>1860.1420000000001</v>
      </c>
      <c r="F2590">
        <f>1677.75</f>
        <v>1677.75</v>
      </c>
      <c r="G2590">
        <f>7375.633</f>
        <v>7375.6329999999998</v>
      </c>
      <c r="H2590">
        <f>2229.68</f>
        <v>2229.6799999999998</v>
      </c>
      <c r="I2590">
        <f>7514.494</f>
        <v>7514.4939999999997</v>
      </c>
      <c r="J2590">
        <f>2257.38</f>
        <v>2257.38</v>
      </c>
      <c r="K2590">
        <f>6263.31</f>
        <v>6263.31</v>
      </c>
      <c r="L2590">
        <f>1400.7</f>
        <v>1400.7</v>
      </c>
      <c r="M2590">
        <f>5468.15</f>
        <v>5468.15</v>
      </c>
      <c r="N2590">
        <f>226.115</f>
        <v>226.11500000000001</v>
      </c>
      <c r="O2590">
        <f>1964.94</f>
        <v>1964.94</v>
      </c>
      <c r="P2590">
        <f>132.18</f>
        <v>132.18</v>
      </c>
      <c r="Q2590">
        <f>1419.717</f>
        <v>1419.7170000000001</v>
      </c>
      <c r="R2590">
        <f>3005.51</f>
        <v>3005.51</v>
      </c>
      <c r="S2590">
        <f>1551.88</f>
        <v>1551.88</v>
      </c>
      <c r="T2590">
        <f>2427.087</f>
        <v>2427.087</v>
      </c>
      <c r="U2590">
        <f>40497.81</f>
        <v>40497.81</v>
      </c>
      <c r="V2590">
        <f>280.42</f>
        <v>280.42</v>
      </c>
    </row>
    <row r="2591" spans="1:22" x14ac:dyDescent="0.2">
      <c r="A2591" s="1">
        <v>41480</v>
      </c>
      <c r="B2591">
        <f>2701.57</f>
        <v>2701.57</v>
      </c>
      <c r="C2591">
        <f>8765.74</f>
        <v>8765.74</v>
      </c>
      <c r="D2591">
        <f>4731.78</f>
        <v>4731.78</v>
      </c>
      <c r="E2591">
        <f>1861.621</f>
        <v>1861.6210000000001</v>
      </c>
      <c r="F2591">
        <f>1679.5</f>
        <v>1679.5</v>
      </c>
      <c r="G2591">
        <f>7384.82</f>
        <v>7384.82</v>
      </c>
      <c r="H2591">
        <f>2255.06</f>
        <v>2255.06</v>
      </c>
      <c r="I2591">
        <f>7512.381</f>
        <v>7512.3810000000003</v>
      </c>
      <c r="J2591">
        <f>2253.27</f>
        <v>2253.27</v>
      </c>
      <c r="K2591">
        <f>6258.67</f>
        <v>6258.67</v>
      </c>
      <c r="L2591">
        <f>1400.67</f>
        <v>1400.67</v>
      </c>
      <c r="M2591">
        <f>5473.59</f>
        <v>5473.59</v>
      </c>
      <c r="N2591">
        <f>226.183</f>
        <v>226.18299999999999</v>
      </c>
      <c r="O2591">
        <f>1971.28</f>
        <v>1971.28</v>
      </c>
      <c r="P2591">
        <f>135.9</f>
        <v>135.9</v>
      </c>
      <c r="Q2591">
        <f>1417.844</f>
        <v>1417.8440000000001</v>
      </c>
      <c r="R2591">
        <f>3003.01</f>
        <v>3003.01</v>
      </c>
      <c r="S2591">
        <f>1598.76</f>
        <v>1598.76</v>
      </c>
      <c r="T2591">
        <f>2452.339</f>
        <v>2452.3389999999999</v>
      </c>
      <c r="U2591">
        <f>40739.95</f>
        <v>40739.949999999997</v>
      </c>
      <c r="V2591">
        <f>283.27</f>
        <v>283.27</v>
      </c>
    </row>
    <row r="2592" spans="1:22" x14ac:dyDescent="0.2">
      <c r="A2592" s="1">
        <v>41479</v>
      </c>
      <c r="B2592">
        <f>2710.28</f>
        <v>2710.28</v>
      </c>
      <c r="C2592">
        <f>8807.98</f>
        <v>8807.98</v>
      </c>
      <c r="D2592">
        <f>4755.1</f>
        <v>4755.1000000000004</v>
      </c>
      <c r="E2592">
        <f>1869.291</f>
        <v>1869.2909999999999</v>
      </c>
      <c r="F2592">
        <f>1691.26</f>
        <v>1691.26</v>
      </c>
      <c r="G2592">
        <f>7442.63</f>
        <v>7442.63</v>
      </c>
      <c r="H2592">
        <f>2269.13</f>
        <v>2269.13</v>
      </c>
      <c r="I2592">
        <f>7538.856</f>
        <v>7538.8559999999998</v>
      </c>
      <c r="J2592">
        <f>2249.09</f>
        <v>2249.09</v>
      </c>
      <c r="K2592">
        <f>6237.09</f>
        <v>6237.09</v>
      </c>
      <c r="L2592">
        <f>1403.71</f>
        <v>1403.71</v>
      </c>
      <c r="M2592">
        <f>5475.89</f>
        <v>5475.89</v>
      </c>
      <c r="N2592">
        <f>228.113</f>
        <v>228.113</v>
      </c>
      <c r="O2592">
        <f>1981.25</f>
        <v>1981.25</v>
      </c>
      <c r="P2592">
        <f>136.59</f>
        <v>136.59</v>
      </c>
      <c r="Q2592">
        <f>1412.218</f>
        <v>1412.2180000000001</v>
      </c>
      <c r="R2592">
        <f>2995.3</f>
        <v>2995.3</v>
      </c>
      <c r="S2592">
        <f>1622.18</f>
        <v>1622.18</v>
      </c>
      <c r="T2592">
        <f>2455</f>
        <v>2455</v>
      </c>
      <c r="U2592">
        <f>40886.61</f>
        <v>40886.61</v>
      </c>
      <c r="V2592">
        <f>284.7</f>
        <v>284.7</v>
      </c>
    </row>
    <row r="2593" spans="1:22" x14ac:dyDescent="0.2">
      <c r="A2593" s="1">
        <v>41478</v>
      </c>
      <c r="B2593">
        <f>2695.97</f>
        <v>2695.97</v>
      </c>
      <c r="C2593">
        <f>8860.93</f>
        <v>8860.93</v>
      </c>
      <c r="D2593">
        <f>4738.49</f>
        <v>4738.49</v>
      </c>
      <c r="E2593">
        <f>1874.011</f>
        <v>1874.011</v>
      </c>
      <c r="F2593">
        <f>1680.39</f>
        <v>1680.39</v>
      </c>
      <c r="G2593">
        <f>7422.744</f>
        <v>7422.7439999999997</v>
      </c>
      <c r="H2593">
        <f>2288.32</f>
        <v>2288.3200000000002</v>
      </c>
      <c r="I2593">
        <f>7468.707</f>
        <v>7468.7070000000003</v>
      </c>
      <c r="J2593">
        <f>2253.71</f>
        <v>2253.71</v>
      </c>
      <c r="K2593">
        <f>6260.62</f>
        <v>6260.62</v>
      </c>
      <c r="L2593">
        <f>1403.67</f>
        <v>1403.67</v>
      </c>
      <c r="M2593">
        <f>5480.84</f>
        <v>5480.84</v>
      </c>
      <c r="N2593">
        <f>227.467</f>
        <v>227.46700000000001</v>
      </c>
      <c r="O2593">
        <f>1968.44</f>
        <v>1968.44</v>
      </c>
      <c r="P2593">
        <f>137.44</f>
        <v>137.44</v>
      </c>
      <c r="Q2593">
        <f>1421.773</f>
        <v>1421.7729999999999</v>
      </c>
      <c r="R2593">
        <f>3006.72</f>
        <v>3006.72</v>
      </c>
      <c r="S2593">
        <f>1625.89</f>
        <v>1625.89</v>
      </c>
      <c r="T2593">
        <f>2465.954</f>
        <v>2465.9540000000002</v>
      </c>
      <c r="U2593">
        <f>41176.57</f>
        <v>41176.57</v>
      </c>
      <c r="V2593">
        <f>286.39</f>
        <v>286.39</v>
      </c>
    </row>
    <row r="2594" spans="1:22" x14ac:dyDescent="0.2">
      <c r="A2594" s="1">
        <v>41477</v>
      </c>
      <c r="B2594">
        <f>2708.28</f>
        <v>2708.28</v>
      </c>
      <c r="C2594">
        <f>8697.98</f>
        <v>8697.98</v>
      </c>
      <c r="D2594">
        <f>4756.98</f>
        <v>4756.9799999999996</v>
      </c>
      <c r="E2594">
        <f>1844.761</f>
        <v>1844.761</v>
      </c>
      <c r="F2594">
        <f>1690.34</f>
        <v>1690.34</v>
      </c>
      <c r="G2594">
        <f>7451.576</f>
        <v>7451.576</v>
      </c>
      <c r="H2594">
        <f>2274.68</f>
        <v>2274.6799999999998</v>
      </c>
      <c r="I2594">
        <f>7464.613</f>
        <v>7464.6130000000003</v>
      </c>
      <c r="J2594">
        <f>2255.75</f>
        <v>2255.75</v>
      </c>
      <c r="K2594">
        <f>6271.8</f>
        <v>6271.8</v>
      </c>
      <c r="L2594">
        <f>1404.19</f>
        <v>1404.19</v>
      </c>
      <c r="M2594">
        <f>5483.71</f>
        <v>5483.71</v>
      </c>
      <c r="N2594">
        <f>228.826</f>
        <v>228.82599999999999</v>
      </c>
      <c r="O2594">
        <f>1973.41</f>
        <v>1973.41</v>
      </c>
      <c r="P2594">
        <f>136.54</f>
        <v>136.54</v>
      </c>
      <c r="Q2594">
        <f>1423.356</f>
        <v>1423.356</v>
      </c>
      <c r="R2594">
        <f>3012.3</f>
        <v>3012.3</v>
      </c>
      <c r="S2594">
        <f>1617.67</f>
        <v>1617.67</v>
      </c>
      <c r="T2594">
        <f>2447.453</f>
        <v>2447.453</v>
      </c>
      <c r="U2594">
        <f>40894.05</f>
        <v>40894.050000000003</v>
      </c>
      <c r="V2594">
        <f>282.84</f>
        <v>282.83999999999997</v>
      </c>
    </row>
    <row r="2595" spans="1:22" x14ac:dyDescent="0.2">
      <c r="A2595" s="1">
        <v>41474</v>
      </c>
      <c r="B2595">
        <f>2708.9</f>
        <v>2708.9</v>
      </c>
      <c r="C2595">
        <f>8673.56</f>
        <v>8673.56</v>
      </c>
      <c r="D2595">
        <f>4762.36</f>
        <v>4762.3599999999997</v>
      </c>
      <c r="E2595">
        <f>1837.789</f>
        <v>1837.789</v>
      </c>
      <c r="F2595">
        <f>1681.7</f>
        <v>1681.7</v>
      </c>
      <c r="G2595">
        <f>7406.198</f>
        <v>7406.1980000000003</v>
      </c>
      <c r="H2595">
        <f>2244.12</f>
        <v>2244.12</v>
      </c>
      <c r="I2595">
        <f>7424.854</f>
        <v>7424.8540000000003</v>
      </c>
      <c r="J2595">
        <f>2253.46</f>
        <v>2253.46</v>
      </c>
      <c r="K2595">
        <f>6258.9</f>
        <v>6258.9</v>
      </c>
      <c r="L2595">
        <f>1399.36</f>
        <v>1399.36</v>
      </c>
      <c r="M2595">
        <f>5458.04</f>
        <v>5458.04</v>
      </c>
      <c r="N2595">
        <f>228.734</f>
        <v>228.73400000000001</v>
      </c>
      <c r="O2595">
        <f>1970.77</f>
        <v>1970.77</v>
      </c>
      <c r="P2595">
        <f>135.89</f>
        <v>135.88999999999999</v>
      </c>
      <c r="Q2595">
        <f>1422.089</f>
        <v>1422.0889999999999</v>
      </c>
      <c r="R2595">
        <f>3006.13</f>
        <v>3006.13</v>
      </c>
      <c r="S2595">
        <f>1611.62</f>
        <v>1611.62</v>
      </c>
      <c r="T2595">
        <f>2451.881</f>
        <v>2451.8809999999999</v>
      </c>
      <c r="U2595">
        <f>40549.4</f>
        <v>40549.4</v>
      </c>
      <c r="V2595">
        <f>281.46</f>
        <v>281.45999999999998</v>
      </c>
    </row>
    <row r="2596" spans="1:22" x14ac:dyDescent="0.2">
      <c r="A2596" s="1">
        <v>41473</v>
      </c>
      <c r="B2596">
        <f>2705.55</f>
        <v>2705.55</v>
      </c>
      <c r="C2596">
        <f>8714.02</f>
        <v>8714.02</v>
      </c>
      <c r="D2596">
        <f>4765.01</f>
        <v>4765.01</v>
      </c>
      <c r="E2596">
        <f>1851.155</f>
        <v>1851.155</v>
      </c>
      <c r="F2596">
        <f>1673.77</f>
        <v>1673.77</v>
      </c>
      <c r="G2596">
        <f>7381.843</f>
        <v>7381.8429999999998</v>
      </c>
      <c r="H2596">
        <f>2260.29</f>
        <v>2260.29</v>
      </c>
      <c r="I2596">
        <f>7393.648</f>
        <v>7393.6480000000001</v>
      </c>
      <c r="J2596">
        <f>2257.57</f>
        <v>2257.5700000000002</v>
      </c>
      <c r="K2596">
        <f>6249.27</f>
        <v>6249.27</v>
      </c>
      <c r="L2596">
        <f>1394.58</f>
        <v>1394.58</v>
      </c>
      <c r="M2596">
        <f>5449.33</f>
        <v>5449.33</v>
      </c>
      <c r="N2596">
        <f>229.136</f>
        <v>229.136</v>
      </c>
      <c r="O2596">
        <f>1970.8</f>
        <v>1970.8</v>
      </c>
      <c r="P2596">
        <f>137.53</f>
        <v>137.53</v>
      </c>
      <c r="Q2596">
        <f>1414.905</f>
        <v>1414.905</v>
      </c>
      <c r="R2596">
        <f>3001.21</f>
        <v>3001.21</v>
      </c>
      <c r="S2596">
        <f>1624.95</f>
        <v>1624.95</v>
      </c>
      <c r="T2596">
        <f>2487.723</f>
        <v>2487.723</v>
      </c>
      <c r="U2596">
        <f>41147.6</f>
        <v>41147.599999999999</v>
      </c>
      <c r="V2596">
        <f>285.69</f>
        <v>285.69</v>
      </c>
    </row>
    <row r="2597" spans="1:22" x14ac:dyDescent="0.2">
      <c r="A2597" s="1">
        <v>41472</v>
      </c>
      <c r="B2597">
        <f>2681.78</f>
        <v>2681.78</v>
      </c>
      <c r="C2597">
        <f>8706.95</f>
        <v>8706.9500000000007</v>
      </c>
      <c r="D2597">
        <f>4720.17</f>
        <v>4720.17</v>
      </c>
      <c r="E2597">
        <f>1854.66</f>
        <v>1854.66</v>
      </c>
      <c r="F2597">
        <f>1660.31</f>
        <v>1660.31</v>
      </c>
      <c r="G2597">
        <f>7301.944</f>
        <v>7301.9440000000004</v>
      </c>
      <c r="H2597">
        <f>2258.39</f>
        <v>2258.39</v>
      </c>
      <c r="I2597">
        <f>7339.425</f>
        <v>7339.4250000000002</v>
      </c>
      <c r="J2597">
        <f>2253.15</f>
        <v>2253.15</v>
      </c>
      <c r="K2597">
        <f>6217.45</f>
        <v>6217.45</v>
      </c>
      <c r="L2597">
        <f>1390.75</f>
        <v>1390.75</v>
      </c>
      <c r="M2597">
        <f>5421.09</f>
        <v>5421.09</v>
      </c>
      <c r="N2597">
        <f>227.713</f>
        <v>227.71299999999999</v>
      </c>
      <c r="O2597">
        <f>1953.37</f>
        <v>1953.37</v>
      </c>
      <c r="P2597">
        <f>136.19</f>
        <v>136.19</v>
      </c>
      <c r="Q2597">
        <f>1409.146</f>
        <v>1409.146</v>
      </c>
      <c r="R2597">
        <f>2985.85</f>
        <v>2985.85</v>
      </c>
      <c r="S2597">
        <f>1613.29</f>
        <v>1613.29</v>
      </c>
      <c r="T2597">
        <f>2486.94</f>
        <v>2486.94</v>
      </c>
      <c r="U2597">
        <f>40946.04</f>
        <v>40946.04</v>
      </c>
      <c r="V2597">
        <f>284.71</f>
        <v>284.70999999999998</v>
      </c>
    </row>
    <row r="2598" spans="1:22" x14ac:dyDescent="0.2">
      <c r="A2598" s="1">
        <v>41471</v>
      </c>
      <c r="B2598">
        <f>2680.89</f>
        <v>2680.89</v>
      </c>
      <c r="C2598">
        <f>8629.73</f>
        <v>8629.73</v>
      </c>
      <c r="D2598">
        <f>4708.02</f>
        <v>4708.0200000000004</v>
      </c>
      <c r="E2598">
        <f>1841.712</f>
        <v>1841.712</v>
      </c>
      <c r="F2598">
        <f>1654.55</f>
        <v>1654.55</v>
      </c>
      <c r="G2598">
        <f>7258.1</f>
        <v>7258.1</v>
      </c>
      <c r="H2598">
        <f>2267.37</f>
        <v>2267.37</v>
      </c>
      <c r="I2598">
        <f>7333.22</f>
        <v>7333.22</v>
      </c>
      <c r="J2598">
        <f>2253.06</f>
        <v>2253.06</v>
      </c>
      <c r="K2598">
        <f>6199.19</f>
        <v>6199.19</v>
      </c>
      <c r="L2598">
        <f>1389.55</f>
        <v>1389.55</v>
      </c>
      <c r="M2598">
        <f>5410.39</f>
        <v>5410.39</v>
      </c>
      <c r="N2598">
        <f>226.491</f>
        <v>226.49100000000001</v>
      </c>
      <c r="O2598">
        <f>1940.41</f>
        <v>1940.41</v>
      </c>
      <c r="P2598">
        <f>136.06</f>
        <v>136.06</v>
      </c>
      <c r="Q2598">
        <f>1404.496</f>
        <v>1404.4960000000001</v>
      </c>
      <c r="R2598">
        <f>2977.26</f>
        <v>2977.26</v>
      </c>
      <c r="S2598">
        <f>1609.69</f>
        <v>1609.69</v>
      </c>
      <c r="T2598">
        <f>2461.314</f>
        <v>2461.3139999999999</v>
      </c>
      <c r="U2598">
        <f>40385.34</f>
        <v>40385.339999999997</v>
      </c>
      <c r="V2598">
        <f>281.79</f>
        <v>281.79000000000002</v>
      </c>
    </row>
    <row r="2599" spans="1:22" x14ac:dyDescent="0.2">
      <c r="A2599" s="1">
        <v>41470</v>
      </c>
      <c r="B2599">
        <f>2695.63</f>
        <v>2695.63</v>
      </c>
      <c r="C2599">
        <f>8618.31</f>
        <v>8618.31</v>
      </c>
      <c r="D2599">
        <f>4729.39</f>
        <v>4729.3900000000003</v>
      </c>
      <c r="E2599">
        <f>1839.666</f>
        <v>1839.6659999999999</v>
      </c>
      <c r="F2599">
        <f>1656.09</f>
        <v>1656.09</v>
      </c>
      <c r="G2599">
        <f>7282.834</f>
        <v>7282.8339999999998</v>
      </c>
      <c r="H2599">
        <f>2245.01</f>
        <v>2245.0100000000002</v>
      </c>
      <c r="I2599">
        <f>7321.22</f>
        <v>7321.22</v>
      </c>
      <c r="J2599">
        <f>2258.95</f>
        <v>2258.9499999999998</v>
      </c>
      <c r="K2599">
        <f>6222.96</f>
        <v>6222.96</v>
      </c>
      <c r="L2599">
        <f>1388.45</f>
        <v>1388.45</v>
      </c>
      <c r="M2599">
        <f>5411.85</f>
        <v>5411.85</v>
      </c>
      <c r="N2599">
        <f>228.018</f>
        <v>228.018</v>
      </c>
      <c r="O2599">
        <f>1954.24</f>
        <v>1954.24</v>
      </c>
      <c r="P2599" t="e">
        <f>NA()</f>
        <v>#N/A</v>
      </c>
      <c r="Q2599">
        <f>1411.508</f>
        <v>1411.508</v>
      </c>
      <c r="R2599">
        <f>2988.35</f>
        <v>2988.35</v>
      </c>
      <c r="S2599" t="e">
        <f>NA()</f>
        <v>#N/A</v>
      </c>
      <c r="T2599">
        <f>2495.293</f>
        <v>2495.2930000000001</v>
      </c>
      <c r="U2599">
        <f>40740.14</f>
        <v>40740.14</v>
      </c>
      <c r="V2599">
        <f>285.04</f>
        <v>285.04000000000002</v>
      </c>
    </row>
    <row r="2600" spans="1:22" x14ac:dyDescent="0.2">
      <c r="A2600" s="1">
        <v>41467</v>
      </c>
      <c r="B2600">
        <f>2683.06</f>
        <v>2683.06</v>
      </c>
      <c r="C2600">
        <f>8571.6</f>
        <v>8571.6</v>
      </c>
      <c r="D2600">
        <f>4699.83</f>
        <v>4699.83</v>
      </c>
      <c r="E2600">
        <f>1826.192</f>
        <v>1826.192</v>
      </c>
      <c r="F2600">
        <f>1647.8</f>
        <v>1647.8</v>
      </c>
      <c r="G2600">
        <f>7242.854</f>
        <v>7242.8540000000003</v>
      </c>
      <c r="H2600">
        <f>2255.17</f>
        <v>2255.17</v>
      </c>
      <c r="I2600">
        <f>7299.269</f>
        <v>7299.2690000000002</v>
      </c>
      <c r="J2600">
        <f>2254.05</f>
        <v>2254.0500000000002</v>
      </c>
      <c r="K2600">
        <f>6213.39</f>
        <v>6213.39</v>
      </c>
      <c r="L2600">
        <f>1385</f>
        <v>1385</v>
      </c>
      <c r="M2600">
        <f>5402.35</f>
        <v>5402.35</v>
      </c>
      <c r="N2600">
        <f>227.29</f>
        <v>227.29</v>
      </c>
      <c r="O2600">
        <f>1946.35</f>
        <v>1946.35</v>
      </c>
      <c r="P2600">
        <f>135.03</f>
        <v>135.03</v>
      </c>
      <c r="Q2600">
        <f>1410.997</f>
        <v>1410.9970000000001</v>
      </c>
      <c r="R2600">
        <f>2984.24</f>
        <v>2984.24</v>
      </c>
      <c r="S2600">
        <f>1598.33</f>
        <v>1598.33</v>
      </c>
      <c r="T2600">
        <f>2489.243</f>
        <v>2489.2429999999999</v>
      </c>
      <c r="U2600">
        <f>40734.89</f>
        <v>40734.89</v>
      </c>
      <c r="V2600">
        <f>283.86</f>
        <v>283.86</v>
      </c>
    </row>
    <row r="2601" spans="1:22" x14ac:dyDescent="0.2">
      <c r="A2601" s="1">
        <v>41466</v>
      </c>
      <c r="B2601">
        <f>2681.82</f>
        <v>2681.82</v>
      </c>
      <c r="C2601">
        <f>8563.71</f>
        <v>8563.7099999999991</v>
      </c>
      <c r="D2601">
        <f>4698.72</f>
        <v>4698.72</v>
      </c>
      <c r="E2601">
        <f>1821.344</f>
        <v>1821.3440000000001</v>
      </c>
      <c r="F2601">
        <f>1647.68</f>
        <v>1647.68</v>
      </c>
      <c r="G2601">
        <f>7239.632</f>
        <v>7239.6319999999996</v>
      </c>
      <c r="H2601">
        <f>2254.08</f>
        <v>2254.08</v>
      </c>
      <c r="I2601">
        <f>7304.004</f>
        <v>7304.0039999999999</v>
      </c>
      <c r="J2601">
        <f>2249.93</f>
        <v>2249.9299999999998</v>
      </c>
      <c r="K2601">
        <f>6194.16</f>
        <v>6194.16</v>
      </c>
      <c r="L2601">
        <f>1384.06</f>
        <v>1384.06</v>
      </c>
      <c r="M2601">
        <f>5396.44</f>
        <v>5396.44</v>
      </c>
      <c r="N2601">
        <f>227.609</f>
        <v>227.60900000000001</v>
      </c>
      <c r="O2601">
        <f>1948.65</f>
        <v>1948.65</v>
      </c>
      <c r="P2601">
        <f>134</f>
        <v>134</v>
      </c>
      <c r="Q2601">
        <f>1407.145</f>
        <v>1407.145</v>
      </c>
      <c r="R2601">
        <f>2975.06</f>
        <v>2975.06</v>
      </c>
      <c r="S2601">
        <f>1588.72</f>
        <v>1588.72</v>
      </c>
      <c r="T2601">
        <f>2463.42</f>
        <v>2463.42</v>
      </c>
      <c r="U2601">
        <f>40543</f>
        <v>40543</v>
      </c>
      <c r="V2601">
        <f>281.46</f>
        <v>281.45999999999998</v>
      </c>
    </row>
    <row r="2602" spans="1:22" x14ac:dyDescent="0.2">
      <c r="A2602" s="1">
        <v>41465</v>
      </c>
      <c r="B2602">
        <f>2667.51</f>
        <v>2667.51</v>
      </c>
      <c r="C2602">
        <f>8326.44</f>
        <v>8326.44</v>
      </c>
      <c r="D2602">
        <f>4671.12</f>
        <v>4671.12</v>
      </c>
      <c r="E2602">
        <f>1768.661</f>
        <v>1768.6610000000001</v>
      </c>
      <c r="F2602">
        <f>1625.68</f>
        <v>1625.68</v>
      </c>
      <c r="G2602">
        <f>7113.933</f>
        <v>7113.933</v>
      </c>
      <c r="H2602">
        <f>2229.54</f>
        <v>2229.54</v>
      </c>
      <c r="I2602">
        <f>7151.837</f>
        <v>7151.8370000000004</v>
      </c>
      <c r="J2602">
        <f>2219.51</f>
        <v>2219.5100000000002</v>
      </c>
      <c r="K2602">
        <f>6110.57</f>
        <v>6110.57</v>
      </c>
      <c r="L2602">
        <f>1360.97</f>
        <v>1360.97</v>
      </c>
      <c r="M2602">
        <f>5311.94</f>
        <v>5311.94</v>
      </c>
      <c r="N2602">
        <f>227.333</f>
        <v>227.333</v>
      </c>
      <c r="O2602">
        <f>1937.29</f>
        <v>1937.29</v>
      </c>
      <c r="P2602">
        <f>134.33</f>
        <v>134.33000000000001</v>
      </c>
      <c r="Q2602">
        <f>1387.856</f>
        <v>1387.856</v>
      </c>
      <c r="R2602">
        <f>2934.97</f>
        <v>2934.97</v>
      </c>
      <c r="S2602">
        <f>1589.29</f>
        <v>1589.29</v>
      </c>
      <c r="T2602">
        <f>2441.953</f>
        <v>2441.953</v>
      </c>
      <c r="U2602">
        <f>39638.54</f>
        <v>39638.54</v>
      </c>
      <c r="V2602">
        <f>277.46</f>
        <v>277.45999999999998</v>
      </c>
    </row>
    <row r="2603" spans="1:22" x14ac:dyDescent="0.2">
      <c r="A2603" s="1">
        <v>41464</v>
      </c>
      <c r="B2603">
        <f>2670.99</f>
        <v>2670.99</v>
      </c>
      <c r="C2603">
        <f>8271.24</f>
        <v>8271.24</v>
      </c>
      <c r="D2603">
        <f>4676.88</f>
        <v>4676.88</v>
      </c>
      <c r="E2603">
        <f>1762.739</f>
        <v>1762.739</v>
      </c>
      <c r="F2603">
        <f>1615.84</f>
        <v>1615.84</v>
      </c>
      <c r="G2603">
        <f>7068.365</f>
        <v>7068.3649999999998</v>
      </c>
      <c r="H2603">
        <f>2210.12</f>
        <v>2210.12</v>
      </c>
      <c r="I2603">
        <f>7100.721</f>
        <v>7100.7209999999995</v>
      </c>
      <c r="J2603">
        <f>2215.74</f>
        <v>2215.7399999999998</v>
      </c>
      <c r="K2603">
        <f>6108.27</f>
        <v>6108.27</v>
      </c>
      <c r="L2603">
        <f>1354.06</f>
        <v>1354.06</v>
      </c>
      <c r="M2603">
        <f>5294.15</f>
        <v>5294.15</v>
      </c>
      <c r="N2603">
        <f>226.902</f>
        <v>226.90199999999999</v>
      </c>
      <c r="O2603">
        <f>1936.42</f>
        <v>1936.42</v>
      </c>
      <c r="P2603">
        <f>134.27</f>
        <v>134.27000000000001</v>
      </c>
      <c r="Q2603">
        <f>1385.175</f>
        <v>1385.175</v>
      </c>
      <c r="R2603">
        <f>2934.31</f>
        <v>2934.31</v>
      </c>
      <c r="S2603">
        <f>1591.55</f>
        <v>1591.55</v>
      </c>
      <c r="T2603">
        <f>2441.505</f>
        <v>2441.5050000000001</v>
      </c>
      <c r="U2603">
        <f>39769.08</f>
        <v>39769.08</v>
      </c>
      <c r="V2603">
        <f>279.05</f>
        <v>279.05</v>
      </c>
    </row>
    <row r="2604" spans="1:22" x14ac:dyDescent="0.2">
      <c r="A2604" s="1">
        <v>41463</v>
      </c>
      <c r="B2604">
        <f>2640.53</f>
        <v>2640.53</v>
      </c>
      <c r="C2604">
        <f>8235.94</f>
        <v>8235.94</v>
      </c>
      <c r="D2604">
        <f>4631.63</f>
        <v>4631.63</v>
      </c>
      <c r="E2604">
        <f>1749.673</f>
        <v>1749.673</v>
      </c>
      <c r="F2604">
        <f>1614.01</f>
        <v>1614.01</v>
      </c>
      <c r="G2604">
        <f>7050.113</f>
        <v>7050.1130000000003</v>
      </c>
      <c r="H2604">
        <f>2170.25</f>
        <v>2170.25</v>
      </c>
      <c r="I2604">
        <f>7094.633</f>
        <v>7094.6329999999998</v>
      </c>
      <c r="J2604">
        <f>2198.25</f>
        <v>2198.25</v>
      </c>
      <c r="K2604">
        <f>6063.73</f>
        <v>6063.73</v>
      </c>
      <c r="L2604">
        <f>1347.98</f>
        <v>1347.98</v>
      </c>
      <c r="M2604">
        <f>5254.61</f>
        <v>5254.61</v>
      </c>
      <c r="N2604">
        <f>225.419</f>
        <v>225.41900000000001</v>
      </c>
      <c r="O2604">
        <f>1920.49</f>
        <v>1920.49</v>
      </c>
      <c r="P2604">
        <f>131.78</f>
        <v>131.78</v>
      </c>
      <c r="Q2604">
        <f>1373.877</f>
        <v>1373.877</v>
      </c>
      <c r="R2604">
        <f>2913.2</f>
        <v>2913.2</v>
      </c>
      <c r="S2604">
        <f>1559.22</f>
        <v>1559.22</v>
      </c>
      <c r="T2604">
        <f>2428.23</f>
        <v>2428.23</v>
      </c>
      <c r="U2604">
        <f>39795.17</f>
        <v>39795.17</v>
      </c>
      <c r="V2604">
        <f>277.47</f>
        <v>277.47000000000003</v>
      </c>
    </row>
    <row r="2605" spans="1:22" x14ac:dyDescent="0.2">
      <c r="A2605" s="1">
        <v>41460</v>
      </c>
      <c r="B2605">
        <f>2606.3</f>
        <v>2606.3000000000002</v>
      </c>
      <c r="C2605">
        <f>8312.33</f>
        <v>8312.33</v>
      </c>
      <c r="D2605">
        <f>4578.1</f>
        <v>4578.1000000000004</v>
      </c>
      <c r="E2605">
        <f>1771.653</f>
        <v>1771.653</v>
      </c>
      <c r="F2605">
        <f>1594.28</f>
        <v>1594.28</v>
      </c>
      <c r="G2605">
        <f>6943.135</f>
        <v>6943.1350000000002</v>
      </c>
      <c r="H2605">
        <f>2199.87</f>
        <v>2199.87</v>
      </c>
      <c r="I2605">
        <f>6975.093</f>
        <v>6975.0929999999998</v>
      </c>
      <c r="J2605">
        <f>2186.7</f>
        <v>2186.6999999999998</v>
      </c>
      <c r="K2605">
        <f>6031.01</f>
        <v>6031.01</v>
      </c>
      <c r="L2605">
        <f>1335.57</f>
        <v>1335.57</v>
      </c>
      <c r="M2605">
        <f>5223.24</f>
        <v>5223.24</v>
      </c>
      <c r="N2605">
        <f>223.223</f>
        <v>223.22300000000001</v>
      </c>
      <c r="O2605">
        <f>1894.38</f>
        <v>1894.38</v>
      </c>
      <c r="P2605">
        <f>133.12</f>
        <v>133.12</v>
      </c>
      <c r="Q2605">
        <f>1363.136</f>
        <v>1363.136</v>
      </c>
      <c r="R2605">
        <f>2897.12</f>
        <v>2897.12</v>
      </c>
      <c r="S2605">
        <f>1580.49</f>
        <v>1580.49</v>
      </c>
      <c r="T2605">
        <f>2419.949</f>
        <v>2419.9490000000001</v>
      </c>
      <c r="U2605">
        <f>39169.83</f>
        <v>39169.83</v>
      </c>
      <c r="V2605">
        <f>277.27</f>
        <v>277.27</v>
      </c>
    </row>
    <row r="2606" spans="1:22" x14ac:dyDescent="0.2">
      <c r="A2606" s="1">
        <v>41459</v>
      </c>
      <c r="B2606">
        <f>2617.78</f>
        <v>2617.7800000000002</v>
      </c>
      <c r="C2606">
        <f>8352.2</f>
        <v>8352.2000000000007</v>
      </c>
      <c r="D2606">
        <f>4611.24</f>
        <v>4611.24</v>
      </c>
      <c r="E2606">
        <f>1780.305</f>
        <v>1780.3050000000001</v>
      </c>
      <c r="F2606">
        <f>1619.64</f>
        <v>1619.64</v>
      </c>
      <c r="G2606">
        <f>7079.782</f>
        <v>7079.7820000000002</v>
      </c>
      <c r="H2606">
        <f>2188.8</f>
        <v>2188.8000000000002</v>
      </c>
      <c r="I2606">
        <f>7114.088</f>
        <v>7114.0879999999997</v>
      </c>
      <c r="J2606">
        <f>2173.66</f>
        <v>2173.66</v>
      </c>
      <c r="K2606">
        <f>5971.55</f>
        <v>5971.55</v>
      </c>
      <c r="L2606">
        <f>1343.73</f>
        <v>1343.73</v>
      </c>
      <c r="M2606">
        <f>5220.1</f>
        <v>5220.1000000000004</v>
      </c>
      <c r="N2606">
        <f>224.831</f>
        <v>224.83099999999999</v>
      </c>
      <c r="O2606">
        <f>1919.49</f>
        <v>1919.49</v>
      </c>
      <c r="P2606">
        <f>131.65</f>
        <v>131.65</v>
      </c>
      <c r="Q2606" t="e">
        <f>NA()</f>
        <v>#N/A</v>
      </c>
      <c r="R2606" t="e">
        <f>NA()</f>
        <v>#N/A</v>
      </c>
      <c r="S2606">
        <f>1556.73</f>
        <v>1556.73</v>
      </c>
      <c r="T2606">
        <f>2468.027</f>
        <v>2468.027</v>
      </c>
      <c r="U2606">
        <f>40030.19</f>
        <v>40030.19</v>
      </c>
      <c r="V2606">
        <f>283.44</f>
        <v>283.44</v>
      </c>
    </row>
    <row r="2607" spans="1:22" x14ac:dyDescent="0.2">
      <c r="A2607" s="1">
        <v>41458</v>
      </c>
      <c r="B2607">
        <f>2555.19</f>
        <v>2555.19</v>
      </c>
      <c r="C2607">
        <f>8223.5</f>
        <v>8223.5</v>
      </c>
      <c r="D2607">
        <f>4473.51</f>
        <v>4473.51</v>
      </c>
      <c r="E2607">
        <f>1760.987</f>
        <v>1760.9870000000001</v>
      </c>
      <c r="F2607">
        <f>1597.14</f>
        <v>1597.14</v>
      </c>
      <c r="G2607">
        <f>6957.168</f>
        <v>6957.1679999999997</v>
      </c>
      <c r="H2607">
        <f>2210.63</f>
        <v>2210.63</v>
      </c>
      <c r="I2607">
        <f>6977.881</f>
        <v>6977.8810000000003</v>
      </c>
      <c r="J2607">
        <f>2173.66</f>
        <v>2173.66</v>
      </c>
      <c r="K2607">
        <f>5971.55</f>
        <v>5971.55</v>
      </c>
      <c r="L2607">
        <f>1333.03</f>
        <v>1333.03</v>
      </c>
      <c r="M2607">
        <f>5192.52</f>
        <v>5192.5200000000004</v>
      </c>
      <c r="N2607">
        <f>220.276</f>
        <v>220.27600000000001</v>
      </c>
      <c r="O2607">
        <f>1873.15</f>
        <v>1873.15</v>
      </c>
      <c r="P2607">
        <f>131.87</f>
        <v>131.87</v>
      </c>
      <c r="Q2607">
        <f>1351.536</f>
        <v>1351.5360000000001</v>
      </c>
      <c r="R2607">
        <f>2867.85</f>
        <v>2867.85</v>
      </c>
      <c r="S2607">
        <f>1560.86</f>
        <v>1560.86</v>
      </c>
      <c r="T2607">
        <f>2444.143</f>
        <v>2444.143</v>
      </c>
      <c r="U2607">
        <f>39343.31</f>
        <v>39343.31</v>
      </c>
      <c r="V2607">
        <f>280.03</f>
        <v>280.02999999999997</v>
      </c>
    </row>
    <row r="2608" spans="1:22" x14ac:dyDescent="0.2">
      <c r="A2608" s="1">
        <v>41457</v>
      </c>
      <c r="B2608">
        <f>2570.42</f>
        <v>2570.42</v>
      </c>
      <c r="C2608">
        <f>8391.6</f>
        <v>8391.6</v>
      </c>
      <c r="D2608">
        <f>4526.06</f>
        <v>4526.0600000000004</v>
      </c>
      <c r="E2608">
        <f>1798.014</f>
        <v>1798.0139999999999</v>
      </c>
      <c r="F2608">
        <f>1600.33</f>
        <v>1600.33</v>
      </c>
      <c r="G2608">
        <f>6996.573</f>
        <v>6996.5730000000003</v>
      </c>
      <c r="H2608">
        <f>2196.44</f>
        <v>2196.44</v>
      </c>
      <c r="I2608">
        <f>7070.308</f>
        <v>7070.308</v>
      </c>
      <c r="J2608">
        <f>2172.3</f>
        <v>2172.3000000000002</v>
      </c>
      <c r="K2608">
        <f>5965.88</f>
        <v>5965.88</v>
      </c>
      <c r="L2608">
        <f>1341.32</f>
        <v>1341.32</v>
      </c>
      <c r="M2608">
        <f>5207.72</f>
        <v>5207.72</v>
      </c>
      <c r="N2608">
        <f>221.074</f>
        <v>221.07400000000001</v>
      </c>
      <c r="O2608">
        <f>1886.55</f>
        <v>1886.55</v>
      </c>
      <c r="P2608">
        <f>131.67</f>
        <v>131.66999999999999</v>
      </c>
      <c r="Q2608">
        <f>1353.266</f>
        <v>1353.2660000000001</v>
      </c>
      <c r="R2608">
        <f>2865.48</f>
        <v>2865.48</v>
      </c>
      <c r="S2608">
        <f>1558.23</f>
        <v>1558.23</v>
      </c>
      <c r="T2608">
        <f>2493.941</f>
        <v>2493.9409999999998</v>
      </c>
      <c r="U2608">
        <f>39844.7</f>
        <v>39844.699999999997</v>
      </c>
      <c r="V2608">
        <f>286.26</f>
        <v>286.26</v>
      </c>
    </row>
    <row r="2609" spans="1:22" x14ac:dyDescent="0.2">
      <c r="A2609" s="1">
        <v>41456</v>
      </c>
      <c r="B2609">
        <f>2579.48</f>
        <v>2579.48</v>
      </c>
      <c r="C2609">
        <f>8478.11</f>
        <v>8478.11</v>
      </c>
      <c r="D2609">
        <f>4528.81</f>
        <v>4528.8100000000004</v>
      </c>
      <c r="E2609">
        <f>1816.877</f>
        <v>1816.877</v>
      </c>
      <c r="F2609">
        <f>1599.97</f>
        <v>1599.97</v>
      </c>
      <c r="G2609">
        <f>7026.579</f>
        <v>7026.5789999999997</v>
      </c>
      <c r="H2609">
        <f>2181.46</f>
        <v>2181.46</v>
      </c>
      <c r="I2609">
        <f>7100.369</f>
        <v>7100.3689999999997</v>
      </c>
      <c r="J2609">
        <f>2172.43</f>
        <v>2172.4299999999998</v>
      </c>
      <c r="K2609">
        <f>5968.65</f>
        <v>5968.65</v>
      </c>
      <c r="L2609">
        <f>1341.3</f>
        <v>1341.3</v>
      </c>
      <c r="M2609">
        <f>5205.16</f>
        <v>5205.16</v>
      </c>
      <c r="N2609">
        <f>221.556</f>
        <v>221.55600000000001</v>
      </c>
      <c r="O2609">
        <f>1893.51</f>
        <v>1893.51</v>
      </c>
      <c r="P2609">
        <f>130.55</f>
        <v>130.55000000000001</v>
      </c>
      <c r="Q2609">
        <f>1353.742</f>
        <v>1353.742</v>
      </c>
      <c r="R2609">
        <f>2866.41</f>
        <v>2866.41</v>
      </c>
      <c r="S2609">
        <f>1530.12</f>
        <v>1530.12</v>
      </c>
      <c r="T2609">
        <f>2500.026</f>
        <v>2500.0259999999998</v>
      </c>
      <c r="U2609">
        <f>39932.83</f>
        <v>39932.83</v>
      </c>
      <c r="V2609">
        <f>285.18</f>
        <v>285.18</v>
      </c>
    </row>
    <row r="2610" spans="1:22" x14ac:dyDescent="0.2">
      <c r="A2610" s="1">
        <v>41453</v>
      </c>
      <c r="B2610">
        <f>2546.81</f>
        <v>2546.81</v>
      </c>
      <c r="C2610">
        <f>8469.58</f>
        <v>8469.58</v>
      </c>
      <c r="D2610">
        <f>4462.54</f>
        <v>4462.54</v>
      </c>
      <c r="E2610">
        <f>1813.503</f>
        <v>1813.5029999999999</v>
      </c>
      <c r="F2610">
        <f>1576.89</f>
        <v>1576.89</v>
      </c>
      <c r="G2610">
        <f>6896.873</f>
        <v>6896.8729999999996</v>
      </c>
      <c r="H2610">
        <f>2163.61</f>
        <v>2163.61</v>
      </c>
      <c r="I2610">
        <f>7016.514</f>
        <v>7016.5140000000001</v>
      </c>
      <c r="J2610">
        <f>2163.02</f>
        <v>2163.02</v>
      </c>
      <c r="K2610">
        <f>5934.74</f>
        <v>5934.74</v>
      </c>
      <c r="L2610">
        <f>1333.87</f>
        <v>1333.87</v>
      </c>
      <c r="M2610">
        <f>5165.88</f>
        <v>5165.88</v>
      </c>
      <c r="N2610">
        <f>219.291</f>
        <v>219.291</v>
      </c>
      <c r="O2610">
        <f>1874.66</f>
        <v>1874.66</v>
      </c>
      <c r="P2610">
        <f>129.06</f>
        <v>129.06</v>
      </c>
      <c r="Q2610">
        <f>1344.014</f>
        <v>1344.0139999999999</v>
      </c>
      <c r="R2610">
        <f>2850.66</f>
        <v>2850.66</v>
      </c>
      <c r="S2610">
        <f>1507.7</f>
        <v>1507.7</v>
      </c>
      <c r="T2610">
        <f>2464.207</f>
        <v>2464.2069999999999</v>
      </c>
      <c r="U2610">
        <f>39578.1</f>
        <v>39578.1</v>
      </c>
      <c r="V2610">
        <f>280.09</f>
        <v>280.08999999999997</v>
      </c>
    </row>
    <row r="2611" spans="1:22" x14ac:dyDescent="0.2">
      <c r="A2611" s="1">
        <v>41452</v>
      </c>
      <c r="B2611">
        <f>2540.87</f>
        <v>2540.87</v>
      </c>
      <c r="C2611">
        <f>8307.76</f>
        <v>8307.76</v>
      </c>
      <c r="D2611">
        <f>4482.59</f>
        <v>4482.59</v>
      </c>
      <c r="E2611">
        <f>1772.886</f>
        <v>1772.886</v>
      </c>
      <c r="F2611">
        <f>1585.73</f>
        <v>1585.73</v>
      </c>
      <c r="G2611">
        <f>6944.596</f>
        <v>6944.5959999999995</v>
      </c>
      <c r="H2611">
        <f>2132.57</f>
        <v>2132.5700000000002</v>
      </c>
      <c r="I2611">
        <f>7047.428</f>
        <v>7047.4279999999999</v>
      </c>
      <c r="J2611">
        <f>2172.68</f>
        <v>2172.6799999999998</v>
      </c>
      <c r="K2611">
        <f>5959.08</f>
        <v>5959.08</v>
      </c>
      <c r="L2611">
        <f>1338.03</f>
        <v>1338.03</v>
      </c>
      <c r="M2611">
        <f>5174.72</f>
        <v>5174.72</v>
      </c>
      <c r="N2611">
        <f>219.972</f>
        <v>219.97200000000001</v>
      </c>
      <c r="O2611">
        <f>1883.57</f>
        <v>1883.57</v>
      </c>
      <c r="P2611">
        <f>124.69</f>
        <v>124.69</v>
      </c>
      <c r="Q2611">
        <f>1352.498</f>
        <v>1352.498</v>
      </c>
      <c r="R2611">
        <f>2862.92</f>
        <v>2862.92</v>
      </c>
      <c r="S2611">
        <f>1461.15</f>
        <v>1461.15</v>
      </c>
      <c r="T2611">
        <f>2424.488</f>
        <v>2424.4879999999998</v>
      </c>
      <c r="U2611">
        <f>39083.31</f>
        <v>39083.31</v>
      </c>
      <c r="V2611">
        <f>274.37</f>
        <v>274.37</v>
      </c>
    </row>
    <row r="2612" spans="1:22" x14ac:dyDescent="0.2">
      <c r="A2612" s="1">
        <v>41451</v>
      </c>
      <c r="B2612">
        <f>2509.46</f>
        <v>2509.46</v>
      </c>
      <c r="C2612">
        <f>8220.39</f>
        <v>8220.39</v>
      </c>
      <c r="D2612">
        <f>4426.65</f>
        <v>4426.6499999999996</v>
      </c>
      <c r="E2612">
        <f>1738.665</f>
        <v>1738.665</v>
      </c>
      <c r="F2612">
        <f>1576.63</f>
        <v>1576.63</v>
      </c>
      <c r="G2612">
        <f>6917.641</f>
        <v>6917.6409999999996</v>
      </c>
      <c r="H2612">
        <f>2108.11</f>
        <v>2108.11</v>
      </c>
      <c r="I2612">
        <f>6993.473</f>
        <v>6993.473</v>
      </c>
      <c r="J2612">
        <f>2162.94</f>
        <v>2162.94</v>
      </c>
      <c r="K2612">
        <f>5919.55</f>
        <v>5919.55</v>
      </c>
      <c r="L2612">
        <f>1329</f>
        <v>1329</v>
      </c>
      <c r="M2612">
        <f>5136.37</f>
        <v>5136.37</v>
      </c>
      <c r="N2612">
        <f>217.788</f>
        <v>217.78800000000001</v>
      </c>
      <c r="O2612">
        <f>1869.48</f>
        <v>1869.48</v>
      </c>
      <c r="P2612">
        <f>121.59</f>
        <v>121.59</v>
      </c>
      <c r="Q2612">
        <f>1346.639</f>
        <v>1346.6389999999999</v>
      </c>
      <c r="R2612">
        <f>2845.04</f>
        <v>2845.04</v>
      </c>
      <c r="S2612">
        <f>1421.86</f>
        <v>1421.86</v>
      </c>
      <c r="T2612">
        <f>2410.446</f>
        <v>2410.4459999999999</v>
      </c>
      <c r="U2612">
        <f>38946.07</f>
        <v>38946.07</v>
      </c>
      <c r="V2612">
        <f>273.31</f>
        <v>273.31</v>
      </c>
    </row>
    <row r="2613" spans="1:22" x14ac:dyDescent="0.2">
      <c r="A2613" s="1">
        <v>41450</v>
      </c>
      <c r="B2613">
        <f>2482</f>
        <v>2482</v>
      </c>
      <c r="C2613">
        <f>8061.83</f>
        <v>8061.83</v>
      </c>
      <c r="D2613">
        <f>4380.03</f>
        <v>4380.03</v>
      </c>
      <c r="E2613">
        <f>1707.432</f>
        <v>1707.432</v>
      </c>
      <c r="F2613">
        <f>1563.52</f>
        <v>1563.52</v>
      </c>
      <c r="G2613">
        <f>6875.553</f>
        <v>6875.5529999999999</v>
      </c>
      <c r="H2613">
        <f>2125.09</f>
        <v>2125.09</v>
      </c>
      <c r="I2613">
        <f>6893.09</f>
        <v>6893.09</v>
      </c>
      <c r="J2613">
        <f>2140.96</f>
        <v>2140.96</v>
      </c>
      <c r="K2613">
        <f>5861.2</f>
        <v>5861.2</v>
      </c>
      <c r="L2613">
        <f>1315.03</f>
        <v>1315.03</v>
      </c>
      <c r="M2613">
        <f>5088.15</f>
        <v>5088.1499999999996</v>
      </c>
      <c r="N2613">
        <f>215.231</f>
        <v>215.23099999999999</v>
      </c>
      <c r="O2613">
        <f>1838.3</f>
        <v>1838.3</v>
      </c>
      <c r="P2613">
        <f>122.92</f>
        <v>122.92</v>
      </c>
      <c r="Q2613">
        <f>1333.379</f>
        <v>1333.3789999999999</v>
      </c>
      <c r="R2613">
        <f>2817.44</f>
        <v>2817.44</v>
      </c>
      <c r="S2613">
        <f>1433.19</f>
        <v>1433.19</v>
      </c>
      <c r="T2613">
        <f>2354.721</f>
        <v>2354.721</v>
      </c>
      <c r="U2613">
        <f>38484.19</f>
        <v>38484.19</v>
      </c>
      <c r="V2613">
        <f>269.15</f>
        <v>269.14999999999998</v>
      </c>
    </row>
    <row r="2614" spans="1:22" x14ac:dyDescent="0.2">
      <c r="A2614" s="1">
        <v>41449</v>
      </c>
      <c r="B2614">
        <f>2451.64</f>
        <v>2451.64</v>
      </c>
      <c r="C2614">
        <f>7998.93</f>
        <v>7998.93</v>
      </c>
      <c r="D2614">
        <f>4327.76</f>
        <v>4327.76</v>
      </c>
      <c r="E2614">
        <f>1702.399</f>
        <v>1702.3989999999999</v>
      </c>
      <c r="F2614">
        <f>1553.16</f>
        <v>1553.16</v>
      </c>
      <c r="G2614">
        <f>6790.558</f>
        <v>6790.558</v>
      </c>
      <c r="H2614">
        <f>2142.34</f>
        <v>2142.34</v>
      </c>
      <c r="I2614">
        <f>6803.748</f>
        <v>6803.7479999999996</v>
      </c>
      <c r="J2614">
        <f>2127.83</f>
        <v>2127.83</v>
      </c>
      <c r="K2614">
        <f>5804.83</f>
        <v>5804.83</v>
      </c>
      <c r="L2614">
        <f>1303.23</f>
        <v>1303.23</v>
      </c>
      <c r="M2614">
        <f>5046.25</f>
        <v>5046.25</v>
      </c>
      <c r="N2614">
        <f>212.897</f>
        <v>212.89699999999999</v>
      </c>
      <c r="O2614">
        <f>1812.57</f>
        <v>1812.57</v>
      </c>
      <c r="P2614">
        <f>123.83</f>
        <v>123.83</v>
      </c>
      <c r="Q2614">
        <f>1324.158</f>
        <v>1324.1579999999999</v>
      </c>
      <c r="R2614">
        <f>2790.66</f>
        <v>2790.66</v>
      </c>
      <c r="S2614">
        <f>1447.78</f>
        <v>1447.78</v>
      </c>
      <c r="T2614">
        <f>2319.643</f>
        <v>2319.643</v>
      </c>
      <c r="U2614">
        <f>38075.22</f>
        <v>38075.22</v>
      </c>
      <c r="V2614">
        <f>265.92</f>
        <v>265.92</v>
      </c>
    </row>
    <row r="2615" spans="1:22" x14ac:dyDescent="0.2">
      <c r="A2615" s="1">
        <v>41446</v>
      </c>
      <c r="B2615">
        <f>2482.93</f>
        <v>2482.9299999999998</v>
      </c>
      <c r="C2615">
        <f>8155.62</f>
        <v>8155.62</v>
      </c>
      <c r="D2615">
        <f>4390.26</f>
        <v>4390.26</v>
      </c>
      <c r="E2615">
        <f>1735.373</f>
        <v>1735.373</v>
      </c>
      <c r="F2615">
        <f>1571.29</f>
        <v>1571.29</v>
      </c>
      <c r="G2615">
        <f>6884.979</f>
        <v>6884.9790000000003</v>
      </c>
      <c r="H2615">
        <f>2169.14</f>
        <v>2169.14</v>
      </c>
      <c r="I2615">
        <f>6955.565</f>
        <v>6955.5649999999996</v>
      </c>
      <c r="J2615">
        <f>2148.31</f>
        <v>2148.31</v>
      </c>
      <c r="K2615">
        <f>5875.78</f>
        <v>5875.78</v>
      </c>
      <c r="L2615">
        <f>1320.55</f>
        <v>1320.55</v>
      </c>
      <c r="M2615">
        <f>5118.14</f>
        <v>5118.1400000000003</v>
      </c>
      <c r="N2615">
        <f>215.394</f>
        <v>215.39400000000001</v>
      </c>
      <c r="O2615">
        <f>1841.31</f>
        <v>1841.31</v>
      </c>
      <c r="P2615">
        <f>124.49</f>
        <v>124.49</v>
      </c>
      <c r="Q2615">
        <f>1336.024</f>
        <v>1336.0239999999999</v>
      </c>
      <c r="R2615">
        <f>2824.97</f>
        <v>2824.97</v>
      </c>
      <c r="S2615">
        <f>1460.74</f>
        <v>1460.74</v>
      </c>
      <c r="T2615">
        <f>2358.615</f>
        <v>2358.6149999999998</v>
      </c>
      <c r="U2615">
        <f>39016.62</f>
        <v>39016.620000000003</v>
      </c>
      <c r="V2615">
        <f>272.13</f>
        <v>272.13</v>
      </c>
    </row>
    <row r="2616" spans="1:22" x14ac:dyDescent="0.2">
      <c r="A2616" s="1">
        <v>41445</v>
      </c>
      <c r="B2616">
        <f>2492.3</f>
        <v>2492.3000000000002</v>
      </c>
      <c r="C2616">
        <f>8192.27</f>
        <v>8192.27</v>
      </c>
      <c r="D2616">
        <f>4421.37</f>
        <v>4421.37</v>
      </c>
      <c r="E2616">
        <f>1750.415</f>
        <v>1750.415</v>
      </c>
      <c r="F2616">
        <f>1588.84</f>
        <v>1588.84</v>
      </c>
      <c r="G2616">
        <f>6968.747</f>
        <v>6968.7470000000003</v>
      </c>
      <c r="H2616">
        <f>2133.18</f>
        <v>2133.1799999999998</v>
      </c>
      <c r="I2616">
        <f>7064.702</f>
        <v>7064.7020000000002</v>
      </c>
      <c r="J2616">
        <f>2134.21</f>
        <v>2134.21</v>
      </c>
      <c r="K2616">
        <f>5862.35</f>
        <v>5862.35</v>
      </c>
      <c r="L2616">
        <f>1324.55</f>
        <v>1324.55</v>
      </c>
      <c r="M2616">
        <f>5127.78</f>
        <v>5127.78</v>
      </c>
      <c r="N2616">
        <f>216.662</f>
        <v>216.66200000000001</v>
      </c>
      <c r="O2616">
        <f>1860.04</f>
        <v>1860.04</v>
      </c>
      <c r="P2616">
        <f>123.03</f>
        <v>123.03</v>
      </c>
      <c r="Q2616">
        <f>1328.849</f>
        <v>1328.8489999999999</v>
      </c>
      <c r="R2616">
        <f>2817.44</f>
        <v>2817.44</v>
      </c>
      <c r="S2616">
        <f>1450.66</f>
        <v>1450.66</v>
      </c>
      <c r="T2616">
        <f>2375.783</f>
        <v>2375.7829999999999</v>
      </c>
      <c r="U2616">
        <f>39536.08</f>
        <v>39536.080000000002</v>
      </c>
      <c r="V2616">
        <f>273.69</f>
        <v>273.69</v>
      </c>
    </row>
    <row r="2617" spans="1:22" x14ac:dyDescent="0.2">
      <c r="A2617" s="1">
        <v>41444</v>
      </c>
      <c r="B2617">
        <f>2567.06</f>
        <v>2567.06</v>
      </c>
      <c r="C2617">
        <f>8524.05</f>
        <v>8524.0499999999993</v>
      </c>
      <c r="D2617">
        <f>4557.26</f>
        <v>4557.26</v>
      </c>
      <c r="E2617">
        <f>1823.768</f>
        <v>1823.768</v>
      </c>
      <c r="F2617">
        <f>1654.57</f>
        <v>1654.57</v>
      </c>
      <c r="G2617">
        <f>7273.931</f>
        <v>7273.9309999999996</v>
      </c>
      <c r="H2617">
        <f>2235.27</f>
        <v>2235.27</v>
      </c>
      <c r="I2617">
        <f>7422.66</f>
        <v>7422.66</v>
      </c>
      <c r="J2617">
        <f>2190.08</f>
        <v>2190.08</v>
      </c>
      <c r="K2617">
        <f>6013.32</f>
        <v>6013.32</v>
      </c>
      <c r="L2617">
        <f>1376.05</f>
        <v>1376.05</v>
      </c>
      <c r="M2617">
        <f>5310.95</f>
        <v>5310.95</v>
      </c>
      <c r="N2617">
        <f>222.192</f>
        <v>222.19200000000001</v>
      </c>
      <c r="O2617">
        <f>1919.45</f>
        <v>1919.45</v>
      </c>
      <c r="P2617">
        <f>124.84</f>
        <v>124.84</v>
      </c>
      <c r="Q2617">
        <f>1363.016</f>
        <v>1363.0160000000001</v>
      </c>
      <c r="R2617">
        <f>2889.25</f>
        <v>2889.25</v>
      </c>
      <c r="S2617">
        <f>1470.28</f>
        <v>1470.28</v>
      </c>
      <c r="T2617">
        <f>2435.412</f>
        <v>2435.4119999999998</v>
      </c>
      <c r="U2617">
        <f>40784.31</f>
        <v>40784.31</v>
      </c>
      <c r="V2617">
        <f>280.1</f>
        <v>280.10000000000002</v>
      </c>
    </row>
    <row r="2618" spans="1:22" x14ac:dyDescent="0.2">
      <c r="A2618" s="1">
        <v>41443</v>
      </c>
      <c r="B2618">
        <f>2578.6</f>
        <v>2578.6</v>
      </c>
      <c r="C2618">
        <f>8612.67</f>
        <v>8612.67</v>
      </c>
      <c r="D2618">
        <f>4574.14</f>
        <v>4574.1400000000003</v>
      </c>
      <c r="E2618">
        <f>1836.5</f>
        <v>1836.5</v>
      </c>
      <c r="F2618">
        <f>1653.11</f>
        <v>1653.11</v>
      </c>
      <c r="G2618">
        <f>7275.617</f>
        <v>7275.6170000000002</v>
      </c>
      <c r="H2618">
        <f>2163.85</f>
        <v>2163.85</v>
      </c>
      <c r="I2618">
        <f>7437.155</f>
        <v>7437.1549999999997</v>
      </c>
      <c r="J2618">
        <f>2224.29</f>
        <v>2224.29</v>
      </c>
      <c r="K2618">
        <f>6097.33</f>
        <v>6097.33</v>
      </c>
      <c r="L2618">
        <f>1382.92</f>
        <v>1382.92</v>
      </c>
      <c r="M2618">
        <f>5340.1</f>
        <v>5340.1</v>
      </c>
      <c r="N2618">
        <f>222.021</f>
        <v>222.02099999999999</v>
      </c>
      <c r="O2618">
        <f>1924.69</f>
        <v>1924.69</v>
      </c>
      <c r="P2618">
        <f>122.68</f>
        <v>122.68</v>
      </c>
      <c r="Q2618">
        <f>1384.584</f>
        <v>1384.5840000000001</v>
      </c>
      <c r="R2618">
        <f>2929.81</f>
        <v>2929.81</v>
      </c>
      <c r="S2618">
        <f>1443.47</f>
        <v>1443.47</v>
      </c>
      <c r="T2618">
        <f>2445.942</f>
        <v>2445.942</v>
      </c>
      <c r="U2618">
        <f>41003.25</f>
        <v>41003.25</v>
      </c>
      <c r="V2618">
        <f>281.47</f>
        <v>281.47000000000003</v>
      </c>
    </row>
    <row r="2619" spans="1:22" x14ac:dyDescent="0.2">
      <c r="A2619" s="1">
        <v>41442</v>
      </c>
      <c r="B2619">
        <f>2564.33</f>
        <v>2564.33</v>
      </c>
      <c r="C2619">
        <f>8634.71</f>
        <v>8634.7099999999991</v>
      </c>
      <c r="D2619">
        <f>4542.77</f>
        <v>4542.7700000000004</v>
      </c>
      <c r="E2619">
        <f>1843.313</f>
        <v>1843.3130000000001</v>
      </c>
      <c r="F2619">
        <f>1652.76</f>
        <v>1652.76</v>
      </c>
      <c r="G2619">
        <f>7273.682</f>
        <v>7273.6819999999998</v>
      </c>
      <c r="H2619">
        <f>2194.02</f>
        <v>2194.02</v>
      </c>
      <c r="I2619">
        <f>7410.464</f>
        <v>7410.4639999999999</v>
      </c>
      <c r="J2619">
        <f>2212.23</f>
        <v>2212.23</v>
      </c>
      <c r="K2619">
        <f>6050.29</f>
        <v>6050.29</v>
      </c>
      <c r="L2619">
        <f>1380.24</f>
        <v>1380.24</v>
      </c>
      <c r="M2619">
        <f>5318.13</f>
        <v>5318.13</v>
      </c>
      <c r="N2619">
        <f>222.809</f>
        <v>222.809</v>
      </c>
      <c r="O2619">
        <f>1926.54</f>
        <v>1926.54</v>
      </c>
      <c r="P2619">
        <f>123.65</f>
        <v>123.65</v>
      </c>
      <c r="Q2619">
        <f>1375.861</f>
        <v>1375.8610000000001</v>
      </c>
      <c r="R2619">
        <f>2907.12</f>
        <v>2907.12</v>
      </c>
      <c r="S2619">
        <f>1441.24</f>
        <v>1441.24</v>
      </c>
      <c r="T2619" t="e">
        <f>NA()</f>
        <v>#N/A</v>
      </c>
      <c r="U2619" t="e">
        <f>NA()</f>
        <v>#N/A</v>
      </c>
      <c r="V2619" t="e">
        <f>NA()</f>
        <v>#N/A</v>
      </c>
    </row>
    <row r="2620" spans="1:22" x14ac:dyDescent="0.2">
      <c r="A2620" s="1">
        <v>41439</v>
      </c>
      <c r="B2620">
        <f>2544.26</f>
        <v>2544.2600000000002</v>
      </c>
      <c r="C2620">
        <f>8563.77</f>
        <v>8563.77</v>
      </c>
      <c r="D2620">
        <f>4526.81</f>
        <v>4526.8100000000004</v>
      </c>
      <c r="E2620">
        <f>1835.194</f>
        <v>1835.194</v>
      </c>
      <c r="F2620">
        <f>1643.89</f>
        <v>1643.89</v>
      </c>
      <c r="G2620">
        <f>7231.742</f>
        <v>7231.7420000000002</v>
      </c>
      <c r="H2620">
        <f>2141</f>
        <v>2141</v>
      </c>
      <c r="I2620">
        <f>7343.979</f>
        <v>7343.9790000000003</v>
      </c>
      <c r="J2620">
        <f>2196.23</f>
        <v>2196.23</v>
      </c>
      <c r="K2620">
        <f>6005.05</f>
        <v>6005.05</v>
      </c>
      <c r="L2620">
        <f>1369.44</f>
        <v>1369.44</v>
      </c>
      <c r="M2620">
        <f>5270.77</f>
        <v>5270.77</v>
      </c>
      <c r="N2620">
        <f>221.27</f>
        <v>221.27</v>
      </c>
      <c r="O2620">
        <f>1912.9</f>
        <v>1912.9</v>
      </c>
      <c r="P2620">
        <f>119.62</f>
        <v>119.62</v>
      </c>
      <c r="Q2620">
        <f>1366.274</f>
        <v>1366.2739999999999</v>
      </c>
      <c r="R2620">
        <f>2885.24</f>
        <v>2885.24</v>
      </c>
      <c r="S2620">
        <f>1403.68</f>
        <v>1403.68</v>
      </c>
      <c r="T2620">
        <f>2405.321</f>
        <v>2405.3209999999999</v>
      </c>
      <c r="U2620">
        <f>40323.62</f>
        <v>40323.620000000003</v>
      </c>
      <c r="V2620">
        <f>277.76</f>
        <v>277.76</v>
      </c>
    </row>
    <row r="2621" spans="1:22" x14ac:dyDescent="0.2">
      <c r="A2621" s="1">
        <v>41438</v>
      </c>
      <c r="B2621">
        <f>2534.97</f>
        <v>2534.9699999999998</v>
      </c>
      <c r="C2621">
        <f>8520.83</f>
        <v>8520.83</v>
      </c>
      <c r="D2621">
        <f>4524.21</f>
        <v>4524.21</v>
      </c>
      <c r="E2621">
        <f>1815.7</f>
        <v>1815.7</v>
      </c>
      <c r="F2621">
        <f>1643.49</f>
        <v>1643.49</v>
      </c>
      <c r="G2621">
        <f>7228.212</f>
        <v>7228.2120000000004</v>
      </c>
      <c r="H2621">
        <f>2115.1</f>
        <v>2115.1</v>
      </c>
      <c r="I2621">
        <f>7293.905</f>
        <v>7293.9049999999997</v>
      </c>
      <c r="J2621">
        <f>2204.94</f>
        <v>2204.94</v>
      </c>
      <c r="K2621">
        <f>6038.4</f>
        <v>6038.4</v>
      </c>
      <c r="L2621">
        <f>1367.37</f>
        <v>1367.37</v>
      </c>
      <c r="M2621">
        <f>5272.1</f>
        <v>5272.1</v>
      </c>
      <c r="N2621">
        <f>221.437</f>
        <v>221.43700000000001</v>
      </c>
      <c r="O2621">
        <f>1909.42</f>
        <v>1909.42</v>
      </c>
      <c r="P2621">
        <f>117.65</f>
        <v>117.65</v>
      </c>
      <c r="Q2621">
        <f>1368.896</f>
        <v>1368.896</v>
      </c>
      <c r="R2621">
        <f>2902.32</f>
        <v>2902.32</v>
      </c>
      <c r="S2621">
        <f>1387.37</f>
        <v>1387.37</v>
      </c>
      <c r="T2621">
        <f>2363.113</f>
        <v>2363.1129999999998</v>
      </c>
      <c r="U2621">
        <f>39811.78</f>
        <v>39811.78</v>
      </c>
      <c r="V2621">
        <f>155.36</f>
        <v>155.36000000000001</v>
      </c>
    </row>
    <row r="2622" spans="1:22" x14ac:dyDescent="0.2">
      <c r="A2622" s="1">
        <v>41437</v>
      </c>
      <c r="B2622">
        <f>2536.67</f>
        <v>2536.67</v>
      </c>
      <c r="C2622">
        <f>8558.63</f>
        <v>8558.6299999999992</v>
      </c>
      <c r="D2622">
        <f>4520.49</f>
        <v>4520.49</v>
      </c>
      <c r="E2622">
        <f>1834.568</f>
        <v>1834.568</v>
      </c>
      <c r="F2622">
        <f>1646.85</f>
        <v>1646.85</v>
      </c>
      <c r="G2622">
        <f>7226.641</f>
        <v>7226.6409999999996</v>
      </c>
      <c r="H2622">
        <f>2176.24</f>
        <v>2176.2399999999998</v>
      </c>
      <c r="I2622">
        <f>7333.068</f>
        <v>7333.0680000000002</v>
      </c>
      <c r="J2622">
        <f>2178.26</f>
        <v>2178.2600000000002</v>
      </c>
      <c r="K2622">
        <f>5949.67</f>
        <v>5949.67</v>
      </c>
      <c r="L2622">
        <f>1361.77</f>
        <v>1361.77</v>
      </c>
      <c r="M2622">
        <f>5247.83</f>
        <v>5247.83</v>
      </c>
      <c r="N2622">
        <f>221.384</f>
        <v>221.38399999999999</v>
      </c>
      <c r="O2622">
        <f>1910.31</f>
        <v>1910.31</v>
      </c>
      <c r="P2622">
        <f>123.23</f>
        <v>123.23</v>
      </c>
      <c r="Q2622">
        <f>1349.681</f>
        <v>1349.681</v>
      </c>
      <c r="R2622">
        <f>2859.62</f>
        <v>2859.62</v>
      </c>
      <c r="S2622">
        <f>1456.94</f>
        <v>1456.94</v>
      </c>
      <c r="T2622">
        <f>2340.303</f>
        <v>2340.3029999999999</v>
      </c>
      <c r="U2622">
        <f>39766.53</f>
        <v>39766.53</v>
      </c>
      <c r="V2622">
        <f>274.46</f>
        <v>274.45999999999998</v>
      </c>
    </row>
    <row r="2623" spans="1:22" x14ac:dyDescent="0.2">
      <c r="A2623" s="1">
        <v>41436</v>
      </c>
      <c r="B2623">
        <f>2549.51</f>
        <v>2549.5100000000002</v>
      </c>
      <c r="C2623">
        <f>8566.94</f>
        <v>8566.94</v>
      </c>
      <c r="D2623">
        <f>4539.79</f>
        <v>4539.79</v>
      </c>
      <c r="E2623">
        <f>1834.512</f>
        <v>1834.5119999999999</v>
      </c>
      <c r="F2623">
        <f>1642.52</f>
        <v>1642.52</v>
      </c>
      <c r="G2623">
        <f>7214.667</f>
        <v>7214.6670000000004</v>
      </c>
      <c r="H2623">
        <f>2163.33</f>
        <v>2163.33</v>
      </c>
      <c r="I2623">
        <f>7321.101</f>
        <v>7321.1009999999997</v>
      </c>
      <c r="J2623">
        <f>2190.73</f>
        <v>2190.73</v>
      </c>
      <c r="K2623">
        <f>5998.8</f>
        <v>5998.8</v>
      </c>
      <c r="L2623">
        <f>1362.75</f>
        <v>1362.75</v>
      </c>
      <c r="M2623">
        <f>5266.62</f>
        <v>5266.62</v>
      </c>
      <c r="N2623">
        <f>220.85</f>
        <v>220.85</v>
      </c>
      <c r="O2623">
        <f>1915.94</f>
        <v>1915.94</v>
      </c>
      <c r="P2623">
        <f>123.93</f>
        <v>123.93</v>
      </c>
      <c r="Q2623">
        <f>1358.246</f>
        <v>1358.2460000000001</v>
      </c>
      <c r="R2623">
        <f>2883.07</f>
        <v>2883.07</v>
      </c>
      <c r="S2623">
        <f>1463.07</f>
        <v>1463.07</v>
      </c>
      <c r="T2623">
        <f>2330.748</f>
        <v>2330.748</v>
      </c>
      <c r="U2623">
        <f>39621</f>
        <v>39621</v>
      </c>
      <c r="V2623">
        <f>274.51</f>
        <v>274.51</v>
      </c>
    </row>
    <row r="2624" spans="1:22" x14ac:dyDescent="0.2">
      <c r="A2624" s="1">
        <v>41435</v>
      </c>
      <c r="B2624">
        <f>2588.31</f>
        <v>2588.31</v>
      </c>
      <c r="C2624">
        <f>8736.07</f>
        <v>8736.07</v>
      </c>
      <c r="D2624">
        <f>4583.02</f>
        <v>4583.0200000000004</v>
      </c>
      <c r="E2624">
        <f>1870.026</f>
        <v>1870.0260000000001</v>
      </c>
      <c r="F2624">
        <f>1644.54</f>
        <v>1644.54</v>
      </c>
      <c r="G2624">
        <f>7250.542</f>
        <v>7250.5420000000004</v>
      </c>
      <c r="H2624">
        <f>2136.98</f>
        <v>2136.98</v>
      </c>
      <c r="I2624">
        <f>7362.928</f>
        <v>7362.9279999999999</v>
      </c>
      <c r="J2624">
        <f>2208.34</f>
        <v>2208.34</v>
      </c>
      <c r="K2624">
        <f>6061.56</f>
        <v>6061.56</v>
      </c>
      <c r="L2624">
        <f>1368.9</f>
        <v>1368.9</v>
      </c>
      <c r="M2624">
        <f>5301.51</f>
        <v>5301.51</v>
      </c>
      <c r="N2624">
        <f>222.942</f>
        <v>222.94200000000001</v>
      </c>
      <c r="O2624">
        <f>1938.13</f>
        <v>1938.13</v>
      </c>
      <c r="P2624">
        <f>124.61</f>
        <v>124.61</v>
      </c>
      <c r="Q2624">
        <f>1366.89</f>
        <v>1366.89</v>
      </c>
      <c r="R2624">
        <f>2912.63</f>
        <v>2912.63</v>
      </c>
      <c r="S2624">
        <f>1477.45</f>
        <v>1477.45</v>
      </c>
      <c r="T2624">
        <f>2403.403</f>
        <v>2403.4029999999998</v>
      </c>
      <c r="U2624">
        <f>40933.88</f>
        <v>40933.879999999997</v>
      </c>
      <c r="V2624">
        <f>282.95</f>
        <v>282.95</v>
      </c>
    </row>
    <row r="2625" spans="1:22" x14ac:dyDescent="0.2">
      <c r="A2625" s="1">
        <v>41432</v>
      </c>
      <c r="B2625">
        <f>2595</f>
        <v>2595</v>
      </c>
      <c r="C2625">
        <f>8825.34</f>
        <v>8825.34</v>
      </c>
      <c r="D2625">
        <f>4591.28</f>
        <v>4591.28</v>
      </c>
      <c r="E2625">
        <f>1884.468</f>
        <v>1884.4680000000001</v>
      </c>
      <c r="F2625">
        <f>1643.45</f>
        <v>1643.45</v>
      </c>
      <c r="G2625">
        <f>7268.479</f>
        <v>7268.4790000000003</v>
      </c>
      <c r="H2625">
        <f>2087.34</f>
        <v>2087.34</v>
      </c>
      <c r="I2625">
        <f>7381.518</f>
        <v>7381.518</v>
      </c>
      <c r="J2625">
        <f>2207.32</f>
        <v>2207.3200000000002</v>
      </c>
      <c r="K2625">
        <f>6063.03</f>
        <v>6063.03</v>
      </c>
      <c r="L2625">
        <f>1367.47</f>
        <v>1367.47</v>
      </c>
      <c r="M2625">
        <f>5290.8</f>
        <v>5290.8</v>
      </c>
      <c r="N2625">
        <f>222.083</f>
        <v>222.083</v>
      </c>
      <c r="O2625">
        <f>1939.54</f>
        <v>1939.54</v>
      </c>
      <c r="P2625">
        <f>119.39</f>
        <v>119.39</v>
      </c>
      <c r="Q2625">
        <f>1367.393</f>
        <v>1367.393</v>
      </c>
      <c r="R2625">
        <f>2913.46</f>
        <v>2913.46</v>
      </c>
      <c r="S2625">
        <f>1404.34</f>
        <v>1404.34</v>
      </c>
      <c r="T2625">
        <f>2388.656</f>
        <v>2388.6559999999999</v>
      </c>
      <c r="U2625">
        <f>40813.33</f>
        <v>40813.33</v>
      </c>
      <c r="V2625">
        <f>283.91</f>
        <v>283.91000000000003</v>
      </c>
    </row>
    <row r="2626" spans="1:22" x14ac:dyDescent="0.2">
      <c r="A2626" s="1">
        <v>41431</v>
      </c>
      <c r="B2626">
        <f>2568.25</f>
        <v>2568.25</v>
      </c>
      <c r="C2626">
        <f>8812.64</f>
        <v>8812.64</v>
      </c>
      <c r="D2626">
        <f>4536.95</f>
        <v>4536.95</v>
      </c>
      <c r="E2626">
        <f>1891.658</f>
        <v>1891.6579999999999</v>
      </c>
      <c r="F2626">
        <f>1626.04</f>
        <v>1626.04</v>
      </c>
      <c r="G2626">
        <f>7176.029</f>
        <v>7176.0290000000005</v>
      </c>
      <c r="H2626">
        <f>2099.99</f>
        <v>2099.9899999999998</v>
      </c>
      <c r="I2626">
        <f>7266.455</f>
        <v>7266.4549999999999</v>
      </c>
      <c r="J2626">
        <f>2186.67</f>
        <v>2186.67</v>
      </c>
      <c r="K2626">
        <f>5986.89</f>
        <v>5986.89</v>
      </c>
      <c r="L2626">
        <f>1355.23</f>
        <v>1355.23</v>
      </c>
      <c r="M2626">
        <f>5235.61</f>
        <v>5235.6099999999997</v>
      </c>
      <c r="N2626">
        <f>220.961</f>
        <v>220.96100000000001</v>
      </c>
      <c r="O2626">
        <f>1915.36</f>
        <v>1915.36</v>
      </c>
      <c r="P2626">
        <f>120.86</f>
        <v>120.86</v>
      </c>
      <c r="Q2626">
        <f>1351.302</f>
        <v>1351.3019999999999</v>
      </c>
      <c r="R2626">
        <f>2876.5</f>
        <v>2876.5</v>
      </c>
      <c r="S2626">
        <f>1421.5</f>
        <v>1421.5</v>
      </c>
      <c r="T2626">
        <f>2375.845</f>
        <v>2375.8449999999998</v>
      </c>
      <c r="U2626">
        <f>40341.24</f>
        <v>40341.24</v>
      </c>
      <c r="V2626">
        <f>282.39</f>
        <v>282.39</v>
      </c>
    </row>
    <row r="2627" spans="1:22" x14ac:dyDescent="0.2">
      <c r="A2627" s="1">
        <v>41430</v>
      </c>
      <c r="B2627">
        <f>2595.52</f>
        <v>2595.52</v>
      </c>
      <c r="C2627">
        <f>8876.11</f>
        <v>8876.11</v>
      </c>
      <c r="D2627">
        <f>4596.52</f>
        <v>4596.5200000000004</v>
      </c>
      <c r="E2627">
        <f>1903.68</f>
        <v>1903.68</v>
      </c>
      <c r="F2627">
        <f>1624.19</f>
        <v>1624.19</v>
      </c>
      <c r="G2627">
        <f>7207.339</f>
        <v>7207.3389999999999</v>
      </c>
      <c r="H2627">
        <f>2104.54</f>
        <v>2104.54</v>
      </c>
      <c r="I2627">
        <f>7286.89</f>
        <v>7286.89</v>
      </c>
      <c r="J2627">
        <f>2174.53</f>
        <v>2174.5300000000002</v>
      </c>
      <c r="K2627">
        <f>5934.21</f>
        <v>5934.21</v>
      </c>
      <c r="L2627">
        <f>1354.34</f>
        <v>1354.34</v>
      </c>
      <c r="M2627">
        <f>5220.75</f>
        <v>5220.75</v>
      </c>
      <c r="N2627">
        <f>222.573</f>
        <v>222.57300000000001</v>
      </c>
      <c r="O2627">
        <f>1937.66</f>
        <v>1937.66</v>
      </c>
      <c r="P2627">
        <f>122.07</f>
        <v>122.07</v>
      </c>
      <c r="Q2627">
        <f>1340.473</f>
        <v>1340.473</v>
      </c>
      <c r="R2627">
        <f>2851.89</f>
        <v>2851.89</v>
      </c>
      <c r="S2627">
        <f>1447.05</f>
        <v>1447.05</v>
      </c>
      <c r="T2627">
        <f>2426.924</f>
        <v>2426.924</v>
      </c>
      <c r="U2627">
        <f>40793.81</f>
        <v>40793.81</v>
      </c>
      <c r="V2627">
        <f>285.09</f>
        <v>285.08999999999997</v>
      </c>
    </row>
    <row r="2628" spans="1:22" x14ac:dyDescent="0.2">
      <c r="A2628" s="1">
        <v>41429</v>
      </c>
      <c r="B2628">
        <f>2672.43</f>
        <v>2672.43</v>
      </c>
      <c r="C2628">
        <f>9019.46</f>
        <v>9019.4599999999991</v>
      </c>
      <c r="D2628">
        <f>4692.76</f>
        <v>4692.76</v>
      </c>
      <c r="E2628">
        <f>1927.838</f>
        <v>1927.838</v>
      </c>
      <c r="F2628">
        <f>1644.85</f>
        <v>1644.85</v>
      </c>
      <c r="G2628">
        <f>7309.741</f>
        <v>7309.741</v>
      </c>
      <c r="H2628">
        <f>2144.97</f>
        <v>2144.9699999999998</v>
      </c>
      <c r="I2628">
        <f>7382.782</f>
        <v>7382.7820000000002</v>
      </c>
      <c r="J2628">
        <f>2199.89</f>
        <v>2199.89</v>
      </c>
      <c r="K2628">
        <f>6015.33</f>
        <v>6015.33</v>
      </c>
      <c r="L2628">
        <f>1373.6</f>
        <v>1373.6</v>
      </c>
      <c r="M2628">
        <f>5300.35</f>
        <v>5300.35</v>
      </c>
      <c r="N2628">
        <f>225.06</f>
        <v>225.06</v>
      </c>
      <c r="O2628">
        <f>1966.65</f>
        <v>1966.65</v>
      </c>
      <c r="P2628">
        <f>125.32</f>
        <v>125.32</v>
      </c>
      <c r="Q2628">
        <f>1358.38</f>
        <v>1358.38</v>
      </c>
      <c r="R2628">
        <f>2891.02</f>
        <v>2891.02</v>
      </c>
      <c r="S2628">
        <f>1494.11</f>
        <v>1494.11</v>
      </c>
      <c r="T2628">
        <f>2452.654</f>
        <v>2452.654</v>
      </c>
      <c r="U2628">
        <f>40897.68</f>
        <v>40897.68</v>
      </c>
      <c r="V2628">
        <f>286.44</f>
        <v>286.44</v>
      </c>
    </row>
    <row r="2629" spans="1:22" x14ac:dyDescent="0.2">
      <c r="A2629" s="1">
        <v>41428</v>
      </c>
      <c r="B2629">
        <f>2658.42</f>
        <v>2658.42</v>
      </c>
      <c r="C2629">
        <f>8967.64</f>
        <v>8967.64</v>
      </c>
      <c r="D2629">
        <f>4668.82</f>
        <v>4668.82</v>
      </c>
      <c r="E2629">
        <f>1916.095</f>
        <v>1916.095</v>
      </c>
      <c r="F2629">
        <f>1639.21</f>
        <v>1639.21</v>
      </c>
      <c r="G2629">
        <f>7275.001</f>
        <v>7275.0010000000002</v>
      </c>
      <c r="H2629">
        <f>2131.64</f>
        <v>2131.64</v>
      </c>
      <c r="I2629">
        <f>7329.221</f>
        <v>7329.2209999999995</v>
      </c>
      <c r="J2629">
        <f>2204.75</f>
        <v>2204.75</v>
      </c>
      <c r="K2629">
        <f>6048.57</f>
        <v>6048.57</v>
      </c>
      <c r="L2629">
        <f>1370.57</f>
        <v>1370.57</v>
      </c>
      <c r="M2629">
        <f>5297.51</f>
        <v>5297.51</v>
      </c>
      <c r="N2629">
        <f>224.575</f>
        <v>224.57499999999999</v>
      </c>
      <c r="O2629">
        <f>1960.13</f>
        <v>1960.13</v>
      </c>
      <c r="P2629">
        <f>123.62</f>
        <v>123.62</v>
      </c>
      <c r="Q2629">
        <f>1364</f>
        <v>1364</v>
      </c>
      <c r="R2629">
        <f>2906.91</f>
        <v>2906.91</v>
      </c>
      <c r="S2629">
        <f>1456.25</f>
        <v>1456.25</v>
      </c>
      <c r="T2629">
        <f>2426.151</f>
        <v>2426.1509999999998</v>
      </c>
      <c r="U2629">
        <f>40957.61</f>
        <v>40957.61</v>
      </c>
      <c r="V2629">
        <f>284.35</f>
        <v>284.35000000000002</v>
      </c>
    </row>
    <row r="2630" spans="1:22" x14ac:dyDescent="0.2">
      <c r="A2630" s="1">
        <v>41425</v>
      </c>
      <c r="B2630">
        <f>2679.27</f>
        <v>2679.27</v>
      </c>
      <c r="C2630">
        <f>9013.07</f>
        <v>9013.07</v>
      </c>
      <c r="D2630">
        <f>4710.3</f>
        <v>4710.3</v>
      </c>
      <c r="E2630">
        <f>1935.82</f>
        <v>1935.82</v>
      </c>
      <c r="F2630">
        <f>1639.64</f>
        <v>1639.64</v>
      </c>
      <c r="G2630">
        <f>7275.003</f>
        <v>7275.0029999999997</v>
      </c>
      <c r="H2630">
        <f>2145.36</f>
        <v>2145.36</v>
      </c>
      <c r="I2630">
        <f>7354.299</f>
        <v>7354.299</v>
      </c>
      <c r="J2630">
        <f>2180.69</f>
        <v>2180.69</v>
      </c>
      <c r="K2630">
        <f>6014.94</f>
        <v>6014.94</v>
      </c>
      <c r="L2630">
        <f>1366.37</f>
        <v>1366.37</v>
      </c>
      <c r="M2630">
        <f>5294.22</f>
        <v>5294.22</v>
      </c>
      <c r="N2630">
        <f>226.206</f>
        <v>226.20599999999999</v>
      </c>
      <c r="O2630">
        <f>1975.02</f>
        <v>1975.02</v>
      </c>
      <c r="P2630">
        <f>126.38</f>
        <v>126.38</v>
      </c>
      <c r="Q2630">
        <f>1355.485</f>
        <v>1355.4849999999999</v>
      </c>
      <c r="R2630">
        <f>2889.46</f>
        <v>2889.46</v>
      </c>
      <c r="S2630">
        <f>1507.8</f>
        <v>1507.8</v>
      </c>
      <c r="T2630">
        <f>2464.136</f>
        <v>2464.136</v>
      </c>
      <c r="U2630">
        <f>42016.45</f>
        <v>42016.45</v>
      </c>
      <c r="V2630">
        <f>289.85</f>
        <v>289.85000000000002</v>
      </c>
    </row>
    <row r="2631" spans="1:22" x14ac:dyDescent="0.2">
      <c r="A2631" s="1">
        <v>41424</v>
      </c>
      <c r="B2631">
        <f>2706.33</f>
        <v>2706.33</v>
      </c>
      <c r="C2631">
        <f>9084.24</f>
        <v>9084.24</v>
      </c>
      <c r="D2631">
        <f>4763.18</f>
        <v>4763.18</v>
      </c>
      <c r="E2631">
        <f>1949.326</f>
        <v>1949.326</v>
      </c>
      <c r="F2631">
        <f>1659.36</f>
        <v>1659.36</v>
      </c>
      <c r="G2631">
        <f>7383.431</f>
        <v>7383.4309999999996</v>
      </c>
      <c r="H2631">
        <f>2156.37</f>
        <v>2156.37</v>
      </c>
      <c r="I2631">
        <f>7480.875</f>
        <v>7480.875</v>
      </c>
      <c r="J2631">
        <f>2214.71</f>
        <v>2214.71</v>
      </c>
      <c r="K2631">
        <f>6102.07</f>
        <v>6102.07</v>
      </c>
      <c r="L2631">
        <f>1388.01</f>
        <v>1388.01</v>
      </c>
      <c r="M2631">
        <f>5365.39</f>
        <v>5365.39</v>
      </c>
      <c r="N2631">
        <f>228.231</f>
        <v>228.23099999999999</v>
      </c>
      <c r="O2631">
        <f>1993.09</f>
        <v>1993.09</v>
      </c>
      <c r="P2631">
        <f>125.95</f>
        <v>125.95</v>
      </c>
      <c r="Q2631">
        <f>1376.325</f>
        <v>1376.325</v>
      </c>
      <c r="R2631">
        <f>2931.39</f>
        <v>2931.39</v>
      </c>
      <c r="S2631">
        <f>1506</f>
        <v>1506</v>
      </c>
      <c r="T2631">
        <f>2464.252</f>
        <v>2464.252</v>
      </c>
      <c r="U2631">
        <f>41941.88</f>
        <v>41941.879999999997</v>
      </c>
      <c r="V2631">
        <f>290.22</f>
        <v>290.22000000000003</v>
      </c>
    </row>
    <row r="2632" spans="1:22" x14ac:dyDescent="0.2">
      <c r="A2632" s="1">
        <v>41423</v>
      </c>
      <c r="B2632">
        <f>2693.39</f>
        <v>2693.39</v>
      </c>
      <c r="C2632">
        <f>9147.88</f>
        <v>9147.8799999999992</v>
      </c>
      <c r="D2632">
        <f>4741.84</f>
        <v>4741.84</v>
      </c>
      <c r="E2632">
        <f>1956.624</f>
        <v>1956.624</v>
      </c>
      <c r="F2632">
        <f>1649.33</f>
        <v>1649.33</v>
      </c>
      <c r="G2632">
        <f>7302.983</f>
        <v>7302.9830000000002</v>
      </c>
      <c r="H2632">
        <f>2228.99</f>
        <v>2228.9899999999998</v>
      </c>
      <c r="I2632">
        <f>7404.72</f>
        <v>7404.72</v>
      </c>
      <c r="J2632">
        <f>2210.91</f>
        <v>2210.91</v>
      </c>
      <c r="K2632">
        <f>6078.43</f>
        <v>6078.43</v>
      </c>
      <c r="L2632">
        <f>1384.74</f>
        <v>1384.74</v>
      </c>
      <c r="M2632">
        <f>5355.66</f>
        <v>5355.66</v>
      </c>
      <c r="N2632">
        <f>228.119</f>
        <v>228.119</v>
      </c>
      <c r="O2632">
        <f>1987.21</f>
        <v>1987.21</v>
      </c>
      <c r="P2632">
        <f>130.53</f>
        <v>130.53</v>
      </c>
      <c r="Q2632">
        <f>1375.303</f>
        <v>1375.3030000000001</v>
      </c>
      <c r="R2632">
        <f>2920.18</f>
        <v>2920.18</v>
      </c>
      <c r="S2632">
        <f>1564.99</f>
        <v>1564.99</v>
      </c>
      <c r="T2632">
        <f>2456.368</f>
        <v>2456.3679999999999</v>
      </c>
      <c r="U2632">
        <f>41233.07</f>
        <v>41233.07</v>
      </c>
      <c r="V2632">
        <f>288.45</f>
        <v>288.45</v>
      </c>
    </row>
    <row r="2633" spans="1:22" x14ac:dyDescent="0.2">
      <c r="A2633" s="1">
        <v>41422</v>
      </c>
      <c r="B2633">
        <f>2747.03</f>
        <v>2747.03</v>
      </c>
      <c r="C2633">
        <f>9260.98</f>
        <v>9260.98</v>
      </c>
      <c r="D2633">
        <f>4837.62</f>
        <v>4837.62</v>
      </c>
      <c r="E2633">
        <f>1975.961</f>
        <v>1975.961</v>
      </c>
      <c r="F2633">
        <f>1680.62</f>
        <v>1680.62</v>
      </c>
      <c r="G2633">
        <f>7408.763</f>
        <v>7408.7629999999999</v>
      </c>
      <c r="H2633">
        <f>2179.12</f>
        <v>2179.12</v>
      </c>
      <c r="I2633">
        <f>7461.467</f>
        <v>7461.4669999999996</v>
      </c>
      <c r="J2633">
        <f>2235.78</f>
        <v>2235.7800000000002</v>
      </c>
      <c r="K2633">
        <f>6121.8</f>
        <v>6121.8</v>
      </c>
      <c r="L2633">
        <f>1399.13</f>
        <v>1399.13</v>
      </c>
      <c r="M2633">
        <f>5382.43</f>
        <v>5382.43</v>
      </c>
      <c r="N2633">
        <f>232.998</f>
        <v>232.99799999999999</v>
      </c>
      <c r="O2633">
        <f>2023.77</f>
        <v>2023.77</v>
      </c>
      <c r="P2633">
        <f>129.13</f>
        <v>129.13</v>
      </c>
      <c r="Q2633">
        <f>1393.965</f>
        <v>1393.9649999999999</v>
      </c>
      <c r="R2633">
        <f>2940.45</f>
        <v>2940.45</v>
      </c>
      <c r="S2633">
        <f>1550.87</f>
        <v>1550.87</v>
      </c>
      <c r="T2633">
        <f>2513.873</f>
        <v>2513.873</v>
      </c>
      <c r="U2633">
        <f>41971.17</f>
        <v>41971.17</v>
      </c>
      <c r="V2633">
        <f>293.18</f>
        <v>293.18</v>
      </c>
    </row>
    <row r="2634" spans="1:22" x14ac:dyDescent="0.2">
      <c r="A2634" s="1">
        <v>41421</v>
      </c>
      <c r="B2634">
        <f>2716.77</f>
        <v>2716.77</v>
      </c>
      <c r="C2634">
        <f>9253.91</f>
        <v>9253.91</v>
      </c>
      <c r="D2634">
        <f>4760.59</f>
        <v>4760.59</v>
      </c>
      <c r="E2634">
        <f>1971.247</f>
        <v>1971.2470000000001</v>
      </c>
      <c r="F2634">
        <f>1660.8</f>
        <v>1660.8</v>
      </c>
      <c r="G2634">
        <f>7326.253</f>
        <v>7326.2529999999997</v>
      </c>
      <c r="H2634">
        <f>2188.87</f>
        <v>2188.87</v>
      </c>
      <c r="I2634">
        <f>7435.901</f>
        <v>7435.9009999999998</v>
      </c>
      <c r="J2634">
        <f>2225.82</f>
        <v>2225.8200000000002</v>
      </c>
      <c r="K2634">
        <f>6084.84</f>
        <v>6084.84</v>
      </c>
      <c r="L2634">
        <f>1396.1</f>
        <v>1396.1</v>
      </c>
      <c r="M2634">
        <f>5355.13</f>
        <v>5355.13</v>
      </c>
      <c r="N2634">
        <f>229.717</f>
        <v>229.71700000000001</v>
      </c>
      <c r="O2634">
        <f>1996.71</f>
        <v>1996.71</v>
      </c>
      <c r="P2634">
        <f>129.15</f>
        <v>129.15</v>
      </c>
      <c r="Q2634" t="e">
        <f>NA()</f>
        <v>#N/A</v>
      </c>
      <c r="R2634" t="e">
        <f>NA()</f>
        <v>#N/A</v>
      </c>
      <c r="S2634">
        <f>1532.03</f>
        <v>1532.03</v>
      </c>
      <c r="T2634">
        <f>2471.885</f>
        <v>2471.8850000000002</v>
      </c>
      <c r="U2634">
        <f>41432.46</f>
        <v>41432.46</v>
      </c>
      <c r="V2634">
        <f>290.06</f>
        <v>290.06</v>
      </c>
    </row>
    <row r="2635" spans="1:22" x14ac:dyDescent="0.2">
      <c r="A2635" s="1">
        <v>41418</v>
      </c>
      <c r="B2635">
        <f>2716.77</f>
        <v>2716.77</v>
      </c>
      <c r="C2635">
        <f>9229.4</f>
        <v>9229.4</v>
      </c>
      <c r="D2635">
        <f>4760.59</f>
        <v>4760.59</v>
      </c>
      <c r="E2635">
        <f>1967.598</f>
        <v>1967.598</v>
      </c>
      <c r="F2635">
        <f>1664.92</f>
        <v>1664.92</v>
      </c>
      <c r="G2635">
        <f>7344.445</f>
        <v>7344.4449999999997</v>
      </c>
      <c r="H2635">
        <f>2255.73</f>
        <v>2255.73</v>
      </c>
      <c r="I2635">
        <f>7382.624</f>
        <v>7382.6239999999998</v>
      </c>
      <c r="J2635">
        <f>2225.82</f>
        <v>2225.8200000000002</v>
      </c>
      <c r="K2635">
        <f>6084.84</f>
        <v>6084.84</v>
      </c>
      <c r="L2635">
        <f>1396.86</f>
        <v>1396.86</v>
      </c>
      <c r="M2635">
        <f>5366.39</f>
        <v>5366.39</v>
      </c>
      <c r="N2635">
        <f>229.845</f>
        <v>229.845</v>
      </c>
      <c r="O2635">
        <f>1990.49</f>
        <v>1990.49</v>
      </c>
      <c r="P2635">
        <f>131.9</f>
        <v>131.9</v>
      </c>
      <c r="Q2635">
        <f>1387.044</f>
        <v>1387.0440000000001</v>
      </c>
      <c r="R2635">
        <f>2921.88</f>
        <v>2921.88</v>
      </c>
      <c r="S2635">
        <f>1585.14</f>
        <v>1585.14</v>
      </c>
      <c r="T2635">
        <f>2462.315</f>
        <v>2462.3150000000001</v>
      </c>
      <c r="U2635">
        <f>40998.58</f>
        <v>40998.58</v>
      </c>
      <c r="V2635">
        <f>289.14</f>
        <v>289.14</v>
      </c>
    </row>
    <row r="2636" spans="1:22" x14ac:dyDescent="0.2">
      <c r="A2636" s="1">
        <v>41417</v>
      </c>
      <c r="B2636">
        <f>2729.53</f>
        <v>2729.53</v>
      </c>
      <c r="C2636">
        <f>9223.56</f>
        <v>9223.56</v>
      </c>
      <c r="D2636">
        <f>4790.96</f>
        <v>4790.96</v>
      </c>
      <c r="E2636">
        <f>1966.041</f>
        <v>1966.0409999999999</v>
      </c>
      <c r="F2636">
        <f>1660.02</f>
        <v>1660.02</v>
      </c>
      <c r="G2636">
        <f>7354.585</f>
        <v>7354.585</v>
      </c>
      <c r="H2636">
        <f>2266.09</f>
        <v>2266.09</v>
      </c>
      <c r="I2636">
        <f>7374.212</f>
        <v>7374.2120000000004</v>
      </c>
      <c r="J2636">
        <f>2226.36</f>
        <v>2226.36</v>
      </c>
      <c r="K2636">
        <f>6088.92</f>
        <v>6088.92</v>
      </c>
      <c r="L2636">
        <f>1399.31</f>
        <v>1399.31</v>
      </c>
      <c r="M2636">
        <f>5368.26</f>
        <v>5368.26</v>
      </c>
      <c r="N2636">
        <f>230.149</f>
        <v>230.149</v>
      </c>
      <c r="O2636">
        <f>1995.28</f>
        <v>1995.28</v>
      </c>
      <c r="P2636">
        <f>131.09</f>
        <v>131.09</v>
      </c>
      <c r="Q2636">
        <f>1386.35</f>
        <v>1386.35</v>
      </c>
      <c r="R2636">
        <f>2923.43</f>
        <v>2923.43</v>
      </c>
      <c r="S2636">
        <f>1577.51</f>
        <v>1577.51</v>
      </c>
      <c r="T2636">
        <f>2453.459</f>
        <v>2453.4589999999998</v>
      </c>
      <c r="U2636">
        <f>40855.89</f>
        <v>40855.89</v>
      </c>
      <c r="V2636">
        <f>289.82</f>
        <v>289.82</v>
      </c>
    </row>
    <row r="2637" spans="1:22" x14ac:dyDescent="0.2">
      <c r="A2637" s="1">
        <v>41416</v>
      </c>
      <c r="B2637">
        <f>2784.12</f>
        <v>2784.12</v>
      </c>
      <c r="C2637">
        <f>9432.38</f>
        <v>9432.3799999999992</v>
      </c>
      <c r="D2637">
        <f>4893.61</f>
        <v>4893.6099999999997</v>
      </c>
      <c r="E2637">
        <f>2008.348</f>
        <v>2008.348</v>
      </c>
      <c r="F2637">
        <f>1681.07</f>
        <v>1681.07</v>
      </c>
      <c r="G2637">
        <f>7503.351</f>
        <v>7503.3509999999997</v>
      </c>
      <c r="H2637">
        <f>2365.79</f>
        <v>2365.79</v>
      </c>
      <c r="I2637">
        <f>7516.468</f>
        <v>7516.4679999999998</v>
      </c>
      <c r="J2637">
        <f>2230.56</f>
        <v>2230.56</v>
      </c>
      <c r="K2637">
        <f>6106.13</f>
        <v>6106.13</v>
      </c>
      <c r="L2637">
        <f>1413.79</f>
        <v>1413.79</v>
      </c>
      <c r="M2637">
        <f>5437.73</f>
        <v>5437.73</v>
      </c>
      <c r="N2637">
        <f>234.131</f>
        <v>234.131</v>
      </c>
      <c r="O2637">
        <f>2038.25</f>
        <v>2038.25</v>
      </c>
      <c r="P2637">
        <f>139.29</f>
        <v>139.29</v>
      </c>
      <c r="Q2637">
        <f>1393.213</f>
        <v>1393.213</v>
      </c>
      <c r="R2637">
        <f>2931.58</f>
        <v>2931.58</v>
      </c>
      <c r="S2637">
        <f>1693.93</f>
        <v>1693.93</v>
      </c>
      <c r="T2637">
        <f>2468.595</f>
        <v>2468.5949999999998</v>
      </c>
      <c r="U2637">
        <f>41836.02</f>
        <v>41836.019999999997</v>
      </c>
      <c r="V2637">
        <f>293.57</f>
        <v>293.57</v>
      </c>
    </row>
    <row r="2638" spans="1:22" x14ac:dyDescent="0.2">
      <c r="A2638" s="1">
        <v>41415</v>
      </c>
      <c r="B2638">
        <f>2773.71</f>
        <v>2773.71</v>
      </c>
      <c r="C2638">
        <f>9436.24</f>
        <v>9436.24</v>
      </c>
      <c r="D2638">
        <f>4862.24</f>
        <v>4862.24</v>
      </c>
      <c r="E2638">
        <f>2008.3</f>
        <v>2008.3</v>
      </c>
      <c r="F2638">
        <f>1689.05</f>
        <v>1689.05</v>
      </c>
      <c r="G2638">
        <f>7504.037</f>
        <v>7504.0370000000003</v>
      </c>
      <c r="H2638">
        <f>2375.51</f>
        <v>2375.5100000000002</v>
      </c>
      <c r="I2638">
        <f>7484.165</f>
        <v>7484.165</v>
      </c>
      <c r="J2638">
        <f>2243.12</f>
        <v>2243.12</v>
      </c>
      <c r="K2638">
        <f>6158.72</f>
        <v>6158.72</v>
      </c>
      <c r="L2638">
        <f>1417.21</f>
        <v>1417.21</v>
      </c>
      <c r="M2638">
        <f>5464.44</f>
        <v>5464.44</v>
      </c>
      <c r="N2638">
        <f>234.143</f>
        <v>234.143</v>
      </c>
      <c r="O2638">
        <f>2032.4</f>
        <v>2032.4</v>
      </c>
      <c r="P2638">
        <f>139.1</f>
        <v>139.1</v>
      </c>
      <c r="Q2638">
        <f>1405.058</f>
        <v>1405.058</v>
      </c>
      <c r="R2638">
        <f>2955.69</f>
        <v>2955.69</v>
      </c>
      <c r="S2638">
        <f>1686.44</f>
        <v>1686.44</v>
      </c>
      <c r="T2638">
        <f>2444.614</f>
        <v>2444.614</v>
      </c>
      <c r="U2638">
        <f>41815.36</f>
        <v>41815.360000000001</v>
      </c>
      <c r="V2638">
        <f>287.99</f>
        <v>287.99</v>
      </c>
    </row>
    <row r="2639" spans="1:22" x14ac:dyDescent="0.2">
      <c r="A2639" s="1">
        <v>41414</v>
      </c>
      <c r="B2639">
        <f>2753.23</f>
        <v>2753.23</v>
      </c>
      <c r="C2639">
        <f>9437.33</f>
        <v>9437.33</v>
      </c>
      <c r="D2639">
        <f>4827.76</f>
        <v>4827.76</v>
      </c>
      <c r="E2639">
        <f>2008.037</f>
        <v>2008.037</v>
      </c>
      <c r="F2639">
        <f>1682.95</f>
        <v>1682.95</v>
      </c>
      <c r="G2639">
        <f>7488.069</f>
        <v>7488.0690000000004</v>
      </c>
      <c r="H2639">
        <f>2364.23</f>
        <v>2364.23</v>
      </c>
      <c r="I2639">
        <f>7465.818</f>
        <v>7465.8180000000002</v>
      </c>
      <c r="J2639">
        <f>2238.37</f>
        <v>2238.37</v>
      </c>
      <c r="K2639">
        <f>6147.83</f>
        <v>6147.83</v>
      </c>
      <c r="L2639">
        <f>1412.02</f>
        <v>1412.02</v>
      </c>
      <c r="M2639">
        <f>5455.92</f>
        <v>5455.92</v>
      </c>
      <c r="N2639">
        <f>233.04</f>
        <v>233.04</v>
      </c>
      <c r="O2639">
        <f>2030.22</f>
        <v>2030.22</v>
      </c>
      <c r="P2639">
        <f>139.04</f>
        <v>139.04</v>
      </c>
      <c r="Q2639">
        <f>1400.659</f>
        <v>1400.6590000000001</v>
      </c>
      <c r="R2639">
        <f>2950.53</f>
        <v>2950.53</v>
      </c>
      <c r="S2639">
        <f>1685.27</f>
        <v>1685.27</v>
      </c>
      <c r="T2639">
        <f>2422.545</f>
        <v>2422.5450000000001</v>
      </c>
      <c r="U2639">
        <f>41079.55</f>
        <v>41079.550000000003</v>
      </c>
      <c r="V2639">
        <f>285.5</f>
        <v>285.5</v>
      </c>
    </row>
    <row r="2640" spans="1:22" x14ac:dyDescent="0.2">
      <c r="A2640" s="1">
        <v>41411</v>
      </c>
      <c r="B2640">
        <f>2739.45</f>
        <v>2739.45</v>
      </c>
      <c r="C2640">
        <f>9400.3</f>
        <v>9400.2999999999993</v>
      </c>
      <c r="D2640">
        <f>4804.48</f>
        <v>4804.4799999999996</v>
      </c>
      <c r="E2640">
        <f>2003.028</f>
        <v>2003.028</v>
      </c>
      <c r="F2640">
        <f>1674.01</f>
        <v>1674.01</v>
      </c>
      <c r="G2640">
        <f>7439.15</f>
        <v>7439.15</v>
      </c>
      <c r="H2640">
        <f>2338.05</f>
        <v>2338.0500000000002</v>
      </c>
      <c r="I2640">
        <f>7417.423</f>
        <v>7417.4229999999998</v>
      </c>
      <c r="J2640">
        <f>2243.64</f>
        <v>2243.64</v>
      </c>
      <c r="K2640">
        <f>6152.72</f>
        <v>6152.72</v>
      </c>
      <c r="L2640">
        <f>1408.92</f>
        <v>1408.92</v>
      </c>
      <c r="M2640">
        <f>5435.28</f>
        <v>5435.28</v>
      </c>
      <c r="N2640">
        <f>231.751</f>
        <v>231.751</v>
      </c>
      <c r="O2640">
        <f>2021.94</f>
        <v>2021.94</v>
      </c>
      <c r="P2640">
        <f>138.5</f>
        <v>138.5</v>
      </c>
      <c r="Q2640">
        <f>1404.642</f>
        <v>1404.6420000000001</v>
      </c>
      <c r="R2640">
        <f>2952.56</f>
        <v>2952.56</v>
      </c>
      <c r="S2640">
        <f>1663.67</f>
        <v>1663.67</v>
      </c>
      <c r="T2640">
        <f>2473.989</f>
        <v>2473.989</v>
      </c>
      <c r="U2640">
        <f>41413.44</f>
        <v>41413.440000000002</v>
      </c>
      <c r="V2640">
        <f>294.59</f>
        <v>294.58999999999997</v>
      </c>
    </row>
    <row r="2641" spans="1:22" x14ac:dyDescent="0.2">
      <c r="A2641" s="1">
        <v>41410</v>
      </c>
      <c r="B2641">
        <f>2717.8</f>
        <v>2717.8</v>
      </c>
      <c r="C2641">
        <f>9407.45</f>
        <v>9407.4500000000007</v>
      </c>
      <c r="D2641">
        <f>4779.29</f>
        <v>4779.29</v>
      </c>
      <c r="E2641">
        <f>2004.006</f>
        <v>2004.0060000000001</v>
      </c>
      <c r="F2641">
        <f>1679.52</f>
        <v>1679.52</v>
      </c>
      <c r="G2641">
        <f>7457.366</f>
        <v>7457.366</v>
      </c>
      <c r="H2641">
        <f>2362.49</f>
        <v>2362.4899999999998</v>
      </c>
      <c r="I2641">
        <f>7455.676</f>
        <v>7455.6760000000004</v>
      </c>
      <c r="J2641">
        <f>2227.43</f>
        <v>2227.4299999999998</v>
      </c>
      <c r="K2641">
        <f>6090.97</f>
        <v>6090.97</v>
      </c>
      <c r="L2641">
        <f>1411.38</f>
        <v>1411.38</v>
      </c>
      <c r="M2641">
        <f>5416.73</f>
        <v>5416.73</v>
      </c>
      <c r="N2641">
        <f>232.38</f>
        <v>232.38</v>
      </c>
      <c r="O2641">
        <f>2015.87</f>
        <v>2015.87</v>
      </c>
      <c r="P2641">
        <f>137.07</f>
        <v>137.07</v>
      </c>
      <c r="Q2641">
        <f>1392.738</f>
        <v>1392.7380000000001</v>
      </c>
      <c r="R2641">
        <f>2922.4</f>
        <v>2922.4</v>
      </c>
      <c r="S2641">
        <f>1653.03</f>
        <v>1653.03</v>
      </c>
      <c r="T2641">
        <f>2490.257</f>
        <v>2490.2570000000001</v>
      </c>
      <c r="U2641">
        <f>41427.76</f>
        <v>41427.760000000002</v>
      </c>
      <c r="V2641">
        <f>294.41</f>
        <v>294.41000000000003</v>
      </c>
    </row>
    <row r="2642" spans="1:22" x14ac:dyDescent="0.2">
      <c r="A2642" s="1">
        <v>41409</v>
      </c>
      <c r="B2642">
        <f>2709.26</f>
        <v>2709.26</v>
      </c>
      <c r="C2642">
        <f>9431.15</f>
        <v>9431.15</v>
      </c>
      <c r="D2642">
        <f>4783.4</f>
        <v>4783.3999999999996</v>
      </c>
      <c r="E2642">
        <f>2003.363</f>
        <v>2003.3630000000001</v>
      </c>
      <c r="F2642">
        <f>1673.51</f>
        <v>1673.51</v>
      </c>
      <c r="G2642">
        <f>7424.182</f>
        <v>7424.1819999999998</v>
      </c>
      <c r="H2642">
        <f>2384.3</f>
        <v>2384.3000000000002</v>
      </c>
      <c r="I2642">
        <f>7428.149</f>
        <v>7428.1490000000003</v>
      </c>
      <c r="J2642">
        <f>2233.7</f>
        <v>2233.6999999999998</v>
      </c>
      <c r="K2642">
        <f>6121.56</f>
        <v>6121.56</v>
      </c>
      <c r="L2642">
        <f>1414.3</f>
        <v>1414.3</v>
      </c>
      <c r="M2642">
        <f>5426.3</f>
        <v>5426.3</v>
      </c>
      <c r="N2642">
        <f>232.748</f>
        <v>232.74799999999999</v>
      </c>
      <c r="O2642">
        <f>2015.22</f>
        <v>2015.22</v>
      </c>
      <c r="P2642">
        <f>138.11</f>
        <v>138.11000000000001</v>
      </c>
      <c r="Q2642">
        <f>1402.566</f>
        <v>1402.566</v>
      </c>
      <c r="R2642">
        <f>2936.98</f>
        <v>2936.98</v>
      </c>
      <c r="S2642">
        <f>1663.15</f>
        <v>1663.15</v>
      </c>
      <c r="T2642">
        <f>2488.282</f>
        <v>2488.2820000000002</v>
      </c>
      <c r="U2642">
        <f>41014.98</f>
        <v>41014.980000000003</v>
      </c>
      <c r="V2642">
        <f>293.4</f>
        <v>293.39999999999998</v>
      </c>
    </row>
    <row r="2643" spans="1:22" x14ac:dyDescent="0.2">
      <c r="A2643" s="1">
        <v>41408</v>
      </c>
      <c r="B2643">
        <f>2694.7</f>
        <v>2694.7</v>
      </c>
      <c r="C2643">
        <f>9460.28</f>
        <v>9460.2800000000007</v>
      </c>
      <c r="D2643">
        <f>4771.63</f>
        <v>4771.63</v>
      </c>
      <c r="E2643">
        <f>2003.259</f>
        <v>2003.259</v>
      </c>
      <c r="F2643">
        <f>1673.77</f>
        <v>1673.77</v>
      </c>
      <c r="G2643">
        <f>7421.272</f>
        <v>7421.2719999999999</v>
      </c>
      <c r="H2643">
        <f>2344.64</f>
        <v>2344.64</v>
      </c>
      <c r="I2643">
        <f>7441.16</f>
        <v>7441.16</v>
      </c>
      <c r="J2643">
        <f>2217.91</f>
        <v>2217.91</v>
      </c>
      <c r="K2643">
        <f>6089.53</f>
        <v>6089.53</v>
      </c>
      <c r="L2643">
        <f>1411.06</f>
        <v>1411.06</v>
      </c>
      <c r="M2643">
        <f>5406.62</f>
        <v>5406.62</v>
      </c>
      <c r="N2643">
        <f>231.222</f>
        <v>231.22200000000001</v>
      </c>
      <c r="O2643">
        <f>1999.08</f>
        <v>1999.08</v>
      </c>
      <c r="P2643">
        <f>136.46</f>
        <v>136.46</v>
      </c>
      <c r="Q2643">
        <f>1392.34</f>
        <v>1392.34</v>
      </c>
      <c r="R2643">
        <f>2921.12</f>
        <v>2921.12</v>
      </c>
      <c r="S2643">
        <f>1633.88</f>
        <v>1633.88</v>
      </c>
      <c r="T2643">
        <f>2465.437</f>
        <v>2465.4369999999999</v>
      </c>
      <c r="U2643">
        <f>40711.32</f>
        <v>40711.32</v>
      </c>
      <c r="V2643">
        <f>292.31</f>
        <v>292.31</v>
      </c>
    </row>
    <row r="2644" spans="1:22" x14ac:dyDescent="0.2">
      <c r="A2644" s="1">
        <v>41407</v>
      </c>
      <c r="B2644">
        <f>2661.95</f>
        <v>2661.95</v>
      </c>
      <c r="C2644">
        <f>9451.26</f>
        <v>9451.26</v>
      </c>
      <c r="D2644">
        <f>4732.88</f>
        <v>4732.88</v>
      </c>
      <c r="E2644">
        <f>1993.198</f>
        <v>1993.1980000000001</v>
      </c>
      <c r="F2644">
        <f>1669.69</f>
        <v>1669.69</v>
      </c>
      <c r="G2644">
        <f>7401.911</f>
        <v>7401.9110000000001</v>
      </c>
      <c r="H2644">
        <f>2361.13</f>
        <v>2361.13</v>
      </c>
      <c r="I2644">
        <f>7404.277</f>
        <v>7404.277</v>
      </c>
      <c r="J2644">
        <f>2195.53</f>
        <v>2195.5300000000002</v>
      </c>
      <c r="K2644">
        <f>6027.8</f>
        <v>6027.8</v>
      </c>
      <c r="L2644">
        <f>1405.27</f>
        <v>1405.27</v>
      </c>
      <c r="M2644">
        <f>5374.5</f>
        <v>5374.5</v>
      </c>
      <c r="N2644">
        <f>229.836</f>
        <v>229.83600000000001</v>
      </c>
      <c r="O2644">
        <f>1987.95</f>
        <v>1987.95</v>
      </c>
      <c r="P2644">
        <f>135.75</f>
        <v>135.75</v>
      </c>
      <c r="Q2644">
        <f>1373.91</f>
        <v>1373.91</v>
      </c>
      <c r="R2644">
        <f>2891.17</f>
        <v>2891.17</v>
      </c>
      <c r="S2644">
        <f>1635.74</f>
        <v>1635.74</v>
      </c>
      <c r="T2644">
        <f>2444.159</f>
        <v>2444.1590000000001</v>
      </c>
      <c r="U2644">
        <f>40407.27</f>
        <v>40407.269999999997</v>
      </c>
      <c r="V2644">
        <f>292.02</f>
        <v>292.02</v>
      </c>
    </row>
    <row r="2645" spans="1:22" x14ac:dyDescent="0.2">
      <c r="A2645" s="1">
        <v>41404</v>
      </c>
      <c r="B2645">
        <f>2661.98</f>
        <v>2661.98</v>
      </c>
      <c r="C2645">
        <f>9524.24</f>
        <v>9524.24</v>
      </c>
      <c r="D2645">
        <f>4728.04</f>
        <v>4728.04</v>
      </c>
      <c r="E2645">
        <f>2009.834</f>
        <v>2009.8340000000001</v>
      </c>
      <c r="F2645">
        <f>1663.71</f>
        <v>1663.71</v>
      </c>
      <c r="G2645">
        <f>7400.538</f>
        <v>7400.5379999999996</v>
      </c>
      <c r="H2645">
        <f>2311.63</f>
        <v>2311.63</v>
      </c>
      <c r="I2645">
        <f>7414.999</f>
        <v>7414.9989999999998</v>
      </c>
      <c r="J2645">
        <f>2194.35</f>
        <v>2194.35</v>
      </c>
      <c r="K2645">
        <f>6027.86</f>
        <v>6027.86</v>
      </c>
      <c r="L2645">
        <f>1404.98</f>
        <v>1404.98</v>
      </c>
      <c r="M2645">
        <f>5367.73</f>
        <v>5367.73</v>
      </c>
      <c r="N2645">
        <f>229.74</f>
        <v>229.74</v>
      </c>
      <c r="O2645">
        <f>1993.28</f>
        <v>1993.28</v>
      </c>
      <c r="P2645">
        <f>135.29</f>
        <v>135.29</v>
      </c>
      <c r="Q2645">
        <f>1373.761</f>
        <v>1373.761</v>
      </c>
      <c r="R2645">
        <f>2890.77</f>
        <v>2890.77</v>
      </c>
      <c r="S2645">
        <f>1607.06</f>
        <v>1607.06</v>
      </c>
      <c r="T2645">
        <f>2435.053</f>
        <v>2435.0529999999999</v>
      </c>
      <c r="U2645">
        <f>40232.05</f>
        <v>40232.050000000003</v>
      </c>
      <c r="V2645">
        <f>290.05</f>
        <v>290.05</v>
      </c>
    </row>
    <row r="2646" spans="1:22" x14ac:dyDescent="0.2">
      <c r="A2646" s="1">
        <v>41403</v>
      </c>
      <c r="B2646">
        <f>2642.25</f>
        <v>2642.25</v>
      </c>
      <c r="C2646">
        <f>9585.37</f>
        <v>9585.3700000000008</v>
      </c>
      <c r="D2646">
        <f>4705.03</f>
        <v>4705.03</v>
      </c>
      <c r="E2646">
        <f>2028.483</f>
        <v>2028.4829999999999</v>
      </c>
      <c r="F2646">
        <f>1668.23</f>
        <v>1668.23</v>
      </c>
      <c r="G2646">
        <f>7433.164</f>
        <v>7433.1639999999998</v>
      </c>
      <c r="H2646">
        <f>2343.55</f>
        <v>2343.5500000000002</v>
      </c>
      <c r="I2646">
        <f>7457.532</f>
        <v>7457.5320000000002</v>
      </c>
      <c r="J2646">
        <f>2189.18</f>
        <v>2189.1799999999998</v>
      </c>
      <c r="K2646">
        <f>6001.81</f>
        <v>6001.81</v>
      </c>
      <c r="L2646">
        <f>1410.38</f>
        <v>1410.38</v>
      </c>
      <c r="M2646">
        <f>5366.91</f>
        <v>5366.91</v>
      </c>
      <c r="N2646">
        <f>227.999</f>
        <v>227.999</v>
      </c>
      <c r="O2646">
        <f>1985.05</f>
        <v>1985.05</v>
      </c>
      <c r="P2646">
        <f>134.03</f>
        <v>134.03</v>
      </c>
      <c r="Q2646">
        <f>1367.046</f>
        <v>1367.046</v>
      </c>
      <c r="R2646">
        <f>2878.3</f>
        <v>2878.3</v>
      </c>
      <c r="S2646">
        <f>1568.87</f>
        <v>1568.87</v>
      </c>
      <c r="T2646">
        <f>2418.698</f>
        <v>2418.6979999999999</v>
      </c>
      <c r="U2646">
        <f>40337.81</f>
        <v>40337.81</v>
      </c>
      <c r="V2646">
        <f>289.58</f>
        <v>289.58</v>
      </c>
    </row>
    <row r="2647" spans="1:22" x14ac:dyDescent="0.2">
      <c r="A2647" s="1">
        <v>41402</v>
      </c>
      <c r="B2647">
        <f>2636.23</f>
        <v>2636.23</v>
      </c>
      <c r="C2647">
        <f>9592.78</f>
        <v>9592.7800000000007</v>
      </c>
      <c r="D2647">
        <f>4698.42</f>
        <v>4698.42</v>
      </c>
      <c r="E2647">
        <f>2029.363</f>
        <v>2029.3630000000001</v>
      </c>
      <c r="F2647">
        <f>1673.47</f>
        <v>1673.47</v>
      </c>
      <c r="G2647">
        <f>7454.811</f>
        <v>7454.8109999999997</v>
      </c>
      <c r="H2647">
        <f>2375.24</f>
        <v>2375.2399999999998</v>
      </c>
      <c r="I2647">
        <f>7503.516</f>
        <v>7503.5159999999996</v>
      </c>
      <c r="J2647">
        <f>2196.29</f>
        <v>2196.29</v>
      </c>
      <c r="K2647">
        <f>6021.45</f>
        <v>6021.45</v>
      </c>
      <c r="L2647">
        <f>1416.55</f>
        <v>1416.55</v>
      </c>
      <c r="M2647">
        <f>5392.41</f>
        <v>5392.41</v>
      </c>
      <c r="N2647">
        <f>226.833</f>
        <v>226.833</v>
      </c>
      <c r="O2647">
        <f>1983.08</f>
        <v>1983.08</v>
      </c>
      <c r="P2647">
        <f>135.64</f>
        <v>135.63999999999999</v>
      </c>
      <c r="Q2647">
        <f>1372.402</f>
        <v>1372.402</v>
      </c>
      <c r="R2647">
        <f>2887.61</f>
        <v>2887.61</v>
      </c>
      <c r="S2647">
        <f>1585.48</f>
        <v>1585.48</v>
      </c>
      <c r="T2647">
        <f>2413.987</f>
        <v>2413.9870000000001</v>
      </c>
      <c r="U2647">
        <f>40456.62</f>
        <v>40456.620000000003</v>
      </c>
      <c r="V2647">
        <f>288.89</f>
        <v>288.89</v>
      </c>
    </row>
    <row r="2648" spans="1:22" x14ac:dyDescent="0.2">
      <c r="A2648" s="1">
        <v>41401</v>
      </c>
      <c r="B2648">
        <f>2636.33</f>
        <v>2636.33</v>
      </c>
      <c r="C2648">
        <f>9485.73</f>
        <v>9485.73</v>
      </c>
      <c r="D2648">
        <f>4672.45</f>
        <v>4672.45</v>
      </c>
      <c r="E2648">
        <f>2012.784</f>
        <v>2012.7840000000001</v>
      </c>
      <c r="F2648">
        <f>1656.51</f>
        <v>1656.51</v>
      </c>
      <c r="G2648">
        <f>7366.832</f>
        <v>7366.8320000000003</v>
      </c>
      <c r="H2648">
        <f>2357.41</f>
        <v>2357.41</v>
      </c>
      <c r="I2648">
        <f>7390.01</f>
        <v>7390.01</v>
      </c>
      <c r="J2648">
        <f>2194.82</f>
        <v>2194.8200000000002</v>
      </c>
      <c r="K2648">
        <f>5993.61</f>
        <v>5993.61</v>
      </c>
      <c r="L2648">
        <f>1406.08</f>
        <v>1406.08</v>
      </c>
      <c r="M2648">
        <f>5348.06</f>
        <v>5348.06</v>
      </c>
      <c r="N2648">
        <f>224.776</f>
        <v>224.77600000000001</v>
      </c>
      <c r="O2648">
        <f>1968.74</f>
        <v>1968.74</v>
      </c>
      <c r="P2648">
        <f>135.46</f>
        <v>135.46</v>
      </c>
      <c r="Q2648">
        <f>1367.882</f>
        <v>1367.8820000000001</v>
      </c>
      <c r="R2648">
        <f>2874.46</f>
        <v>2874.46</v>
      </c>
      <c r="S2648">
        <f>1577.81</f>
        <v>1577.81</v>
      </c>
      <c r="T2648">
        <f>2388.425</f>
        <v>2388.4250000000002</v>
      </c>
      <c r="U2648">
        <f>39821.48</f>
        <v>39821.480000000003</v>
      </c>
      <c r="V2648">
        <f>285.02</f>
        <v>285.02</v>
      </c>
    </row>
    <row r="2649" spans="1:22" x14ac:dyDescent="0.2">
      <c r="A2649" s="1">
        <v>41400</v>
      </c>
      <c r="B2649">
        <f>2621.13</f>
        <v>2621.13</v>
      </c>
      <c r="C2649">
        <f>9417.27</f>
        <v>9417.27</v>
      </c>
      <c r="D2649">
        <f>4646.91</f>
        <v>4646.91</v>
      </c>
      <c r="E2649">
        <f>1999.848</f>
        <v>1999.848</v>
      </c>
      <c r="F2649">
        <f>1663.76</f>
        <v>1663.76</v>
      </c>
      <c r="G2649">
        <f>7355.518</f>
        <v>7355.518</v>
      </c>
      <c r="H2649">
        <f>2293.55</f>
        <v>2293.5500000000002</v>
      </c>
      <c r="I2649">
        <f>7341.056</f>
        <v>7341.0559999999996</v>
      </c>
      <c r="J2649">
        <f>2183.96</f>
        <v>2183.96</v>
      </c>
      <c r="K2649">
        <f>5962.44</f>
        <v>5962.44</v>
      </c>
      <c r="L2649">
        <f>1400.23</f>
        <v>1400.23</v>
      </c>
      <c r="M2649">
        <f>5310.91</f>
        <v>5310.91</v>
      </c>
      <c r="N2649">
        <f>225.839</f>
        <v>225.839</v>
      </c>
      <c r="O2649">
        <f>1962.35</f>
        <v>1962.35</v>
      </c>
      <c r="P2649" t="e">
        <f>NA()</f>
        <v>#N/A</v>
      </c>
      <c r="Q2649">
        <f>1358.434</f>
        <v>1358.434</v>
      </c>
      <c r="R2649">
        <f>2859.34</f>
        <v>2859.34</v>
      </c>
      <c r="S2649" t="e">
        <f>NA()</f>
        <v>#N/A</v>
      </c>
      <c r="T2649">
        <f>2400.71</f>
        <v>2400.71</v>
      </c>
      <c r="U2649">
        <f>39828.96</f>
        <v>39828.959999999999</v>
      </c>
      <c r="V2649">
        <f>286.23</f>
        <v>286.23</v>
      </c>
    </row>
    <row r="2650" spans="1:22" x14ac:dyDescent="0.2">
      <c r="A2650" s="1">
        <v>41397</v>
      </c>
      <c r="B2650">
        <f>2621.13</f>
        <v>2621.13</v>
      </c>
      <c r="C2650">
        <f>9372.95</f>
        <v>9372.9500000000007</v>
      </c>
      <c r="D2650">
        <f>4646.91</f>
        <v>4646.91</v>
      </c>
      <c r="E2650">
        <f>1992.356</f>
        <v>1992.356</v>
      </c>
      <c r="F2650">
        <f>1667.77</f>
        <v>1667.77</v>
      </c>
      <c r="G2650">
        <f>7373.278</f>
        <v>7373.2780000000002</v>
      </c>
      <c r="H2650">
        <f>2302.13</f>
        <v>2302.13</v>
      </c>
      <c r="I2650">
        <f>7378.295</f>
        <v>7378.2950000000001</v>
      </c>
      <c r="J2650">
        <f>2191.3</f>
        <v>2191.3000000000002</v>
      </c>
      <c r="K2650">
        <f>5951.23</f>
        <v>5951.23</v>
      </c>
      <c r="L2650">
        <f>1408.19</f>
        <v>1408.19</v>
      </c>
      <c r="M2650">
        <f>5312.24</f>
        <v>5312.24</v>
      </c>
      <c r="N2650">
        <f>225.505</f>
        <v>225.505</v>
      </c>
      <c r="O2650">
        <f>1962.76</f>
        <v>1962.76</v>
      </c>
      <c r="P2650" t="e">
        <f>NA()</f>
        <v>#N/A</v>
      </c>
      <c r="Q2650">
        <f>1361.955</f>
        <v>1361.9549999999999</v>
      </c>
      <c r="R2650">
        <f>2853.88</f>
        <v>2853.88</v>
      </c>
      <c r="S2650" t="e">
        <f>NA()</f>
        <v>#N/A</v>
      </c>
      <c r="T2650">
        <f>2398.142</f>
        <v>2398.1419999999998</v>
      </c>
      <c r="U2650">
        <f>39592.28</f>
        <v>39592.28</v>
      </c>
      <c r="V2650">
        <f>286.92</f>
        <v>286.92</v>
      </c>
    </row>
    <row r="2651" spans="1:22" x14ac:dyDescent="0.2">
      <c r="A2651" s="1">
        <v>41396</v>
      </c>
      <c r="B2651">
        <f>2579.04</f>
        <v>2579.04</v>
      </c>
      <c r="C2651">
        <f>9326.14</f>
        <v>9326.14</v>
      </c>
      <c r="D2651">
        <f>4603.62</f>
        <v>4603.62</v>
      </c>
      <c r="E2651">
        <f>1982.848</f>
        <v>1982.848</v>
      </c>
      <c r="F2651">
        <f>1655.86</f>
        <v>1655.86</v>
      </c>
      <c r="G2651">
        <f>7278.032</f>
        <v>7278.0320000000002</v>
      </c>
      <c r="H2651">
        <f>2323.73</f>
        <v>2323.73</v>
      </c>
      <c r="I2651">
        <f>7271.793</f>
        <v>7271.7929999999997</v>
      </c>
      <c r="J2651">
        <f>2176.57</f>
        <v>2176.5700000000002</v>
      </c>
      <c r="K2651">
        <f>5890.83</f>
        <v>5890.83</v>
      </c>
      <c r="L2651">
        <f>1400.23</f>
        <v>1400.23</v>
      </c>
      <c r="M2651">
        <f>5265.98</f>
        <v>5265.98</v>
      </c>
      <c r="N2651">
        <f>224.309</f>
        <v>224.309</v>
      </c>
      <c r="O2651">
        <f>1941.72</f>
        <v>1941.72</v>
      </c>
      <c r="P2651">
        <f>132.13</f>
        <v>132.13</v>
      </c>
      <c r="Q2651">
        <f>1346.909</f>
        <v>1346.9090000000001</v>
      </c>
      <c r="R2651">
        <f>2823.82</f>
        <v>2823.82</v>
      </c>
      <c r="S2651">
        <f>1530.97</f>
        <v>1530.97</v>
      </c>
      <c r="T2651">
        <f>2418.469</f>
        <v>2418.4690000000001</v>
      </c>
      <c r="U2651">
        <f>39082.85</f>
        <v>39082.85</v>
      </c>
      <c r="V2651">
        <f>291.23</f>
        <v>291.23</v>
      </c>
    </row>
    <row r="2652" spans="1:22" x14ac:dyDescent="0.2">
      <c r="A2652" s="1">
        <v>41395</v>
      </c>
      <c r="B2652">
        <f>2584.58</f>
        <v>2584.58</v>
      </c>
      <c r="C2652">
        <f>9335.04</f>
        <v>9335.0400000000009</v>
      </c>
      <c r="D2652">
        <f>4596.91</f>
        <v>4596.91</v>
      </c>
      <c r="E2652">
        <f>1983.292</f>
        <v>1983.2919999999999</v>
      </c>
      <c r="F2652">
        <f>1662.16</f>
        <v>1662.16</v>
      </c>
      <c r="G2652">
        <f>7286.461</f>
        <v>7286.4610000000002</v>
      </c>
      <c r="H2652">
        <f>2338.59</f>
        <v>2338.59</v>
      </c>
      <c r="I2652">
        <f>7323.74</f>
        <v>7323.74</v>
      </c>
      <c r="J2652">
        <f>2160.84</f>
        <v>2160.84</v>
      </c>
      <c r="K2652">
        <f>5835.44</f>
        <v>5835.44</v>
      </c>
      <c r="L2652">
        <f>1402.75</f>
        <v>1402.75</v>
      </c>
      <c r="M2652">
        <f>5253.51</f>
        <v>5253.51</v>
      </c>
      <c r="N2652">
        <f>223.251</f>
        <v>223.251</v>
      </c>
      <c r="O2652">
        <f>1934.39</f>
        <v>1934.39</v>
      </c>
      <c r="P2652">
        <f>132.75</f>
        <v>132.75</v>
      </c>
      <c r="Q2652">
        <f>1334.663</f>
        <v>1334.663</v>
      </c>
      <c r="R2652">
        <f>2797.28</f>
        <v>2797.28</v>
      </c>
      <c r="S2652">
        <f>1537.72</f>
        <v>1537.72</v>
      </c>
      <c r="T2652" t="e">
        <f>NA()</f>
        <v>#N/A</v>
      </c>
      <c r="U2652" t="e">
        <f>NA()</f>
        <v>#N/A</v>
      </c>
      <c r="V2652" t="e">
        <f>NA()</f>
        <v>#N/A</v>
      </c>
    </row>
    <row r="2653" spans="1:22" x14ac:dyDescent="0.2">
      <c r="A2653" s="1">
        <v>41394</v>
      </c>
      <c r="B2653">
        <f>2570.41</f>
        <v>2570.41</v>
      </c>
      <c r="C2653">
        <f>9355.06</f>
        <v>9355.06</v>
      </c>
      <c r="D2653">
        <f>4580.29</f>
        <v>4580.29</v>
      </c>
      <c r="E2653">
        <f>1985.833</f>
        <v>1985.8330000000001</v>
      </c>
      <c r="F2653">
        <f>1658.73</f>
        <v>1658.73</v>
      </c>
      <c r="G2653">
        <f>7265.402</f>
        <v>7265.402</v>
      </c>
      <c r="H2653">
        <f>2359.32</f>
        <v>2359.3200000000002</v>
      </c>
      <c r="I2653">
        <f>7319.578</f>
        <v>7319.5780000000004</v>
      </c>
      <c r="J2653">
        <f>2179.82</f>
        <v>2179.8200000000002</v>
      </c>
      <c r="K2653">
        <f>5890.81</f>
        <v>5890.81</v>
      </c>
      <c r="L2653">
        <f>1409.07</f>
        <v>1409.07</v>
      </c>
      <c r="M2653">
        <f>5287.52</f>
        <v>5287.52</v>
      </c>
      <c r="N2653">
        <f>222.33</f>
        <v>222.33</v>
      </c>
      <c r="O2653">
        <f>1931.15</f>
        <v>1931.15</v>
      </c>
      <c r="P2653">
        <f>133.46</f>
        <v>133.46</v>
      </c>
      <c r="Q2653">
        <f>1345.669</f>
        <v>1345.6690000000001</v>
      </c>
      <c r="R2653">
        <f>2823.42</f>
        <v>2823.42</v>
      </c>
      <c r="S2653">
        <f>1546.69</f>
        <v>1546.69</v>
      </c>
      <c r="T2653">
        <f>2378.883</f>
        <v>2378.8829999999998</v>
      </c>
      <c r="U2653">
        <f>38735</f>
        <v>38735</v>
      </c>
      <c r="V2653">
        <f>287.14</f>
        <v>287.14</v>
      </c>
    </row>
    <row r="2654" spans="1:22" x14ac:dyDescent="0.2">
      <c r="A2654" s="1">
        <v>41393</v>
      </c>
      <c r="B2654">
        <f>2580.31</f>
        <v>2580.31</v>
      </c>
      <c r="C2654">
        <f>9257.1</f>
        <v>9257.1</v>
      </c>
      <c r="D2654">
        <f>4600.17</f>
        <v>4600.17</v>
      </c>
      <c r="E2654">
        <f>1961.752</f>
        <v>1961.752</v>
      </c>
      <c r="F2654">
        <f>1658.7</f>
        <v>1658.7</v>
      </c>
      <c r="G2654">
        <f>7262.498</f>
        <v>7262.4979999999996</v>
      </c>
      <c r="H2654">
        <f>2331.33</f>
        <v>2331.33</v>
      </c>
      <c r="I2654">
        <f>7269.463</f>
        <v>7269.4629999999997</v>
      </c>
      <c r="J2654">
        <f>2180.5</f>
        <v>2180.5</v>
      </c>
      <c r="K2654">
        <f>5873.97</f>
        <v>5873.97</v>
      </c>
      <c r="L2654">
        <f>1403.22</f>
        <v>1403.22</v>
      </c>
      <c r="M2654">
        <f>5259.27</f>
        <v>5259.27</v>
      </c>
      <c r="N2654">
        <f>223.41</f>
        <v>223.41</v>
      </c>
      <c r="O2654">
        <f>1935.99</f>
        <v>1935.99</v>
      </c>
      <c r="P2654" t="e">
        <f>NA()</f>
        <v>#N/A</v>
      </c>
      <c r="Q2654">
        <f>1341.948</f>
        <v>1341.9480000000001</v>
      </c>
      <c r="R2654">
        <f>2816.39</f>
        <v>2816.39</v>
      </c>
      <c r="S2654" t="e">
        <f>NA()</f>
        <v>#N/A</v>
      </c>
      <c r="T2654">
        <f>2381.288</f>
        <v>2381.288</v>
      </c>
      <c r="U2654">
        <f>39025.64</f>
        <v>39025.64</v>
      </c>
      <c r="V2654">
        <f>287.96</f>
        <v>287.95999999999998</v>
      </c>
    </row>
    <row r="2655" spans="1:22" x14ac:dyDescent="0.2">
      <c r="A2655" s="1">
        <v>41390</v>
      </c>
      <c r="B2655">
        <f>2581.52</f>
        <v>2581.52</v>
      </c>
      <c r="C2655">
        <f>9192.64</f>
        <v>9192.64</v>
      </c>
      <c r="D2655">
        <f>4577.66</f>
        <v>4577.66</v>
      </c>
      <c r="E2655">
        <f>1951.797</f>
        <v>1951.797</v>
      </c>
      <c r="F2655">
        <f>1650.73</f>
        <v>1650.73</v>
      </c>
      <c r="G2655">
        <f>7227.076</f>
        <v>7227.076</v>
      </c>
      <c r="H2655">
        <f>2342.55</f>
        <v>2342.5500000000002</v>
      </c>
      <c r="I2655">
        <f>7157.886</f>
        <v>7157.8860000000004</v>
      </c>
      <c r="J2655">
        <f>2164.86</f>
        <v>2164.86</v>
      </c>
      <c r="K2655">
        <f>5831.92</f>
        <v>5831.92</v>
      </c>
      <c r="L2655">
        <f>1390.7</f>
        <v>1390.7</v>
      </c>
      <c r="M2655">
        <f>5219.35</f>
        <v>5219.3500000000004</v>
      </c>
      <c r="N2655">
        <f>222.085</f>
        <v>222.08500000000001</v>
      </c>
      <c r="O2655">
        <f>1922.12</f>
        <v>1922.12</v>
      </c>
      <c r="P2655">
        <f>132.18</f>
        <v>132.18</v>
      </c>
      <c r="Q2655">
        <f>1335.031</f>
        <v>1335.0309999999999</v>
      </c>
      <c r="R2655">
        <f>2796.24</f>
        <v>2796.24</v>
      </c>
      <c r="S2655">
        <f>1541.47</f>
        <v>1541.47</v>
      </c>
      <c r="T2655">
        <f>2377.198</f>
        <v>2377.1979999999999</v>
      </c>
      <c r="U2655">
        <f>39082.42</f>
        <v>39082.42</v>
      </c>
      <c r="V2655">
        <f>288.75</f>
        <v>288.75</v>
      </c>
    </row>
    <row r="2656" spans="1:22" x14ac:dyDescent="0.2">
      <c r="A2656" s="1">
        <v>41389</v>
      </c>
      <c r="B2656">
        <f>2586.08</f>
        <v>2586.08</v>
      </c>
      <c r="C2656">
        <f>9206.8</f>
        <v>9206.7999999999993</v>
      </c>
      <c r="D2656">
        <f>4589.18</f>
        <v>4589.18</v>
      </c>
      <c r="E2656">
        <f>1961.052</f>
        <v>1961.0519999999999</v>
      </c>
      <c r="F2656">
        <f>1647.1</f>
        <v>1647.1</v>
      </c>
      <c r="G2656">
        <f>7220.322</f>
        <v>7220.3220000000001</v>
      </c>
      <c r="H2656">
        <f>2326.84</f>
        <v>2326.84</v>
      </c>
      <c r="I2656">
        <f>7173.267</f>
        <v>7173.2669999999998</v>
      </c>
      <c r="J2656">
        <f>2164.57</f>
        <v>2164.5700000000002</v>
      </c>
      <c r="K2656">
        <f>5842.57</f>
        <v>5842.57</v>
      </c>
      <c r="L2656">
        <f>1389.25</f>
        <v>1389.25</v>
      </c>
      <c r="M2656">
        <f>5223.06</f>
        <v>5223.0600000000004</v>
      </c>
      <c r="N2656">
        <f>222.355</f>
        <v>222.35499999999999</v>
      </c>
      <c r="O2656">
        <f>1927.76</f>
        <v>1927.76</v>
      </c>
      <c r="P2656">
        <f>134.12</f>
        <v>134.12</v>
      </c>
      <c r="Q2656">
        <f>1342.017</f>
        <v>1342.0170000000001</v>
      </c>
      <c r="R2656">
        <f>2801.28</f>
        <v>2801.28</v>
      </c>
      <c r="S2656">
        <f>1556.84</f>
        <v>1556.84</v>
      </c>
      <c r="T2656">
        <f>2373.694</f>
        <v>2373.694</v>
      </c>
      <c r="U2656">
        <f>39128.87</f>
        <v>39128.870000000003</v>
      </c>
      <c r="V2656">
        <f>287.95</f>
        <v>287.95</v>
      </c>
    </row>
    <row r="2657" spans="1:22" x14ac:dyDescent="0.2">
      <c r="A2657" s="1">
        <v>41388</v>
      </c>
      <c r="B2657">
        <f>2581.94</f>
        <v>2581.94</v>
      </c>
      <c r="C2657">
        <f>9118.98</f>
        <v>9118.98</v>
      </c>
      <c r="D2657">
        <f>4581.46</f>
        <v>4581.46</v>
      </c>
      <c r="E2657">
        <f>1942.406</f>
        <v>1942.4059999999999</v>
      </c>
      <c r="F2657">
        <f>1623.82</f>
        <v>1623.82</v>
      </c>
      <c r="G2657">
        <f>7126.248</f>
        <v>7126.2479999999996</v>
      </c>
      <c r="H2657">
        <f>2293.32</f>
        <v>2293.3200000000002</v>
      </c>
      <c r="I2657">
        <f>7129.352</f>
        <v>7129.3519999999999</v>
      </c>
      <c r="J2657">
        <f>2162.86</f>
        <v>2162.86</v>
      </c>
      <c r="K2657">
        <f>5818.71</f>
        <v>5818.71</v>
      </c>
      <c r="L2657">
        <f>1381.31</f>
        <v>1381.31</v>
      </c>
      <c r="M2657">
        <f>5192.19</f>
        <v>5192.1899999999996</v>
      </c>
      <c r="N2657">
        <f>220.94</f>
        <v>220.94</v>
      </c>
      <c r="O2657">
        <f>1911.76</f>
        <v>1911.76</v>
      </c>
      <c r="P2657">
        <f>133.05</f>
        <v>133.05000000000001</v>
      </c>
      <c r="Q2657">
        <f>1338.868</f>
        <v>1338.8679999999999</v>
      </c>
      <c r="R2657">
        <f>2789.93</f>
        <v>2789.93</v>
      </c>
      <c r="S2657">
        <f>1545.64</f>
        <v>1545.64</v>
      </c>
      <c r="T2657">
        <f>2351.496</f>
        <v>2351.4960000000001</v>
      </c>
      <c r="U2657">
        <f>38783.07</f>
        <v>38783.07</v>
      </c>
      <c r="V2657">
        <f>284.78</f>
        <v>284.77999999999997</v>
      </c>
    </row>
    <row r="2658" spans="1:22" x14ac:dyDescent="0.2">
      <c r="A2658" s="1">
        <v>41387</v>
      </c>
      <c r="B2658">
        <f>2583.58</f>
        <v>2583.58</v>
      </c>
      <c r="C2658">
        <f>9026.64</f>
        <v>9026.64</v>
      </c>
      <c r="D2658">
        <f>4557.22</f>
        <v>4557.22</v>
      </c>
      <c r="E2658">
        <f>1927.296</f>
        <v>1927.296</v>
      </c>
      <c r="F2658">
        <f>1623.43</f>
        <v>1623.43</v>
      </c>
      <c r="G2658">
        <f>7096.729</f>
        <v>7096.7290000000003</v>
      </c>
      <c r="H2658">
        <f>2256.84</f>
        <v>2256.84</v>
      </c>
      <c r="I2658">
        <f>7074.617</f>
        <v>7074.6170000000002</v>
      </c>
      <c r="J2658">
        <f>2173.02</f>
        <v>2173.02</v>
      </c>
      <c r="K2658">
        <f>5816.95</f>
        <v>5816.95</v>
      </c>
      <c r="L2658">
        <f>1377.56</f>
        <v>1377.56</v>
      </c>
      <c r="M2658">
        <f>5165.88</f>
        <v>5165.88</v>
      </c>
      <c r="N2658">
        <f>220.185</f>
        <v>220.185</v>
      </c>
      <c r="O2658">
        <f>1896.14</f>
        <v>1896.14</v>
      </c>
      <c r="P2658">
        <f>130.62</f>
        <v>130.62</v>
      </c>
      <c r="Q2658">
        <f>1344.082</f>
        <v>1344.0820000000001</v>
      </c>
      <c r="R2658">
        <f>2789.56</f>
        <v>2789.56</v>
      </c>
      <c r="S2658">
        <f>1518.33</f>
        <v>1518.33</v>
      </c>
      <c r="T2658">
        <f>2358.664</f>
        <v>2358.6640000000002</v>
      </c>
      <c r="U2658">
        <f>38742.43</f>
        <v>38742.43</v>
      </c>
      <c r="V2658">
        <f>284.69</f>
        <v>284.69</v>
      </c>
    </row>
    <row r="2659" spans="1:22" x14ac:dyDescent="0.2">
      <c r="A2659" s="1">
        <v>41386</v>
      </c>
      <c r="B2659">
        <f>2536.48</f>
        <v>2536.48</v>
      </c>
      <c r="C2659">
        <f>9049.09</f>
        <v>9049.09</v>
      </c>
      <c r="D2659">
        <f>4467.94</f>
        <v>4467.9399999999996</v>
      </c>
      <c r="E2659">
        <f>1931.323</f>
        <v>1931.3230000000001</v>
      </c>
      <c r="F2659">
        <f>1595.54</f>
        <v>1595.54</v>
      </c>
      <c r="G2659">
        <f>6941.479</f>
        <v>6941.4790000000003</v>
      </c>
      <c r="H2659">
        <f>2266.67</f>
        <v>2266.67</v>
      </c>
      <c r="I2659">
        <f>6909.469</f>
        <v>6909.4690000000001</v>
      </c>
      <c r="J2659">
        <f>2154.12</f>
        <v>2154.12</v>
      </c>
      <c r="K2659">
        <f>5756.75</f>
        <v>5756.75</v>
      </c>
      <c r="L2659">
        <f>1360.03</f>
        <v>1360.03</v>
      </c>
      <c r="M2659">
        <f>5105.46</f>
        <v>5105.46</v>
      </c>
      <c r="N2659">
        <f>215.499</f>
        <v>215.499</v>
      </c>
      <c r="O2659">
        <f>1850.3</f>
        <v>1850.3</v>
      </c>
      <c r="P2659">
        <f>130.03</f>
        <v>130.03</v>
      </c>
      <c r="Q2659">
        <f>1330.181</f>
        <v>1330.181</v>
      </c>
      <c r="R2659">
        <f>2760.8</f>
        <v>2760.8</v>
      </c>
      <c r="S2659">
        <f>1520.75</f>
        <v>1520.75</v>
      </c>
      <c r="T2659">
        <f>2342.415</f>
        <v>2342.415</v>
      </c>
      <c r="U2659">
        <f>38169.13</f>
        <v>38169.129999999997</v>
      </c>
      <c r="V2659">
        <f>283.12</f>
        <v>283.12</v>
      </c>
    </row>
    <row r="2660" spans="1:22" x14ac:dyDescent="0.2">
      <c r="A2660" s="1">
        <v>41383</v>
      </c>
      <c r="B2660">
        <f>2533.25</f>
        <v>2533.25</v>
      </c>
      <c r="C2660">
        <f>9054.52</f>
        <v>9054.52</v>
      </c>
      <c r="D2660">
        <f>4472.19</f>
        <v>4472.1899999999996</v>
      </c>
      <c r="E2660">
        <f>1929.422</f>
        <v>1929.422</v>
      </c>
      <c r="F2660">
        <f>1594.23</f>
        <v>1594.23</v>
      </c>
      <c r="G2660">
        <f>6955.126</f>
        <v>6955.1260000000002</v>
      </c>
      <c r="H2660">
        <f>2239.06</f>
        <v>2239.06</v>
      </c>
      <c r="I2660">
        <f>6923.704</f>
        <v>6923.7039999999997</v>
      </c>
      <c r="J2660">
        <f>2142.08</f>
        <v>2142.08</v>
      </c>
      <c r="K2660">
        <f>5729.83</f>
        <v>5729.83</v>
      </c>
      <c r="L2660">
        <f>1358.06</f>
        <v>1358.06</v>
      </c>
      <c r="M2660">
        <f>5087.72</f>
        <v>5087.72</v>
      </c>
      <c r="N2660">
        <f>215.726</f>
        <v>215.726</v>
      </c>
      <c r="O2660">
        <f>1847.47</f>
        <v>1847.47</v>
      </c>
      <c r="P2660">
        <f>128.11</f>
        <v>128.11000000000001</v>
      </c>
      <c r="Q2660">
        <f>1326.386</f>
        <v>1326.386</v>
      </c>
      <c r="R2660">
        <f>2747.94</f>
        <v>2747.94</v>
      </c>
      <c r="S2660">
        <f>1495.62</f>
        <v>1495.62</v>
      </c>
      <c r="T2660">
        <f>2362.78</f>
        <v>2362.7800000000002</v>
      </c>
      <c r="U2660">
        <f>38422.21</f>
        <v>38422.21</v>
      </c>
      <c r="V2660">
        <f>283.49</f>
        <v>283.49</v>
      </c>
    </row>
    <row r="2661" spans="1:22" x14ac:dyDescent="0.2">
      <c r="A2661" s="1">
        <v>41382</v>
      </c>
      <c r="B2661">
        <f>2516.36</f>
        <v>2516.36</v>
      </c>
      <c r="C2661">
        <f>8890.81</f>
        <v>8890.81</v>
      </c>
      <c r="D2661">
        <f>4441.66</f>
        <v>4441.66</v>
      </c>
      <c r="E2661">
        <f>1902.844</f>
        <v>1902.8440000000001</v>
      </c>
      <c r="F2661">
        <f>1591.21</f>
        <v>1591.21</v>
      </c>
      <c r="G2661">
        <f>6922.38</f>
        <v>6922.38</v>
      </c>
      <c r="H2661">
        <f>2266.17</f>
        <v>2266.17</v>
      </c>
      <c r="I2661">
        <f>6879.73</f>
        <v>6879.73</v>
      </c>
      <c r="J2661">
        <f>2116.22</f>
        <v>2116.2199999999998</v>
      </c>
      <c r="K2661">
        <f>5677.35</f>
        <v>5677.35</v>
      </c>
      <c r="L2661">
        <f>1351.36</f>
        <v>1351.36</v>
      </c>
      <c r="M2661">
        <f>5056.31</f>
        <v>5056.3100000000004</v>
      </c>
      <c r="N2661">
        <f>214.536</f>
        <v>214.536</v>
      </c>
      <c r="O2661">
        <f>1836.29</f>
        <v>1836.29</v>
      </c>
      <c r="P2661">
        <f>127.56</f>
        <v>127.56</v>
      </c>
      <c r="Q2661">
        <f>1312.763</f>
        <v>1312.7629999999999</v>
      </c>
      <c r="R2661">
        <f>2723.72</f>
        <v>2723.72</v>
      </c>
      <c r="S2661">
        <f>1490.71</f>
        <v>1490.71</v>
      </c>
      <c r="T2661">
        <f>2339.885</f>
        <v>2339.8850000000002</v>
      </c>
      <c r="U2661">
        <f>37852.62</f>
        <v>37852.620000000003</v>
      </c>
      <c r="V2661">
        <f>280.15</f>
        <v>280.14999999999998</v>
      </c>
    </row>
    <row r="2662" spans="1:22" x14ac:dyDescent="0.2">
      <c r="A2662" s="1">
        <v>41381</v>
      </c>
      <c r="B2662">
        <f>2520.4</f>
        <v>2520.4</v>
      </c>
      <c r="C2662">
        <f>8912.59</f>
        <v>8912.59</v>
      </c>
      <c r="D2662">
        <f>4442.04</f>
        <v>4442.04</v>
      </c>
      <c r="E2662">
        <f>1909.718</f>
        <v>1909.7180000000001</v>
      </c>
      <c r="F2662">
        <f>1576.33</f>
        <v>1576.33</v>
      </c>
      <c r="G2662">
        <f>6896.466</f>
        <v>6896.4660000000003</v>
      </c>
      <c r="H2662">
        <f>2308.34</f>
        <v>2308.34</v>
      </c>
      <c r="I2662">
        <f>6862.053</f>
        <v>6862.0529999999999</v>
      </c>
      <c r="J2662">
        <f>2121.02</f>
        <v>2121.02</v>
      </c>
      <c r="K2662">
        <f>5715.26</f>
        <v>5715.26</v>
      </c>
      <c r="L2662">
        <f>1350.63</f>
        <v>1350.63</v>
      </c>
      <c r="M2662">
        <f>5081.15</f>
        <v>5081.1499999999996</v>
      </c>
      <c r="N2662">
        <f>214.344</f>
        <v>214.34399999999999</v>
      </c>
      <c r="O2662">
        <f>1836.74</f>
        <v>1836.74</v>
      </c>
      <c r="P2662">
        <f>128.93</f>
        <v>128.93</v>
      </c>
      <c r="Q2662">
        <f>1316.028</f>
        <v>1316.028</v>
      </c>
      <c r="R2662">
        <f>2742.01</f>
        <v>2742.01</v>
      </c>
      <c r="S2662">
        <f>1508.02</f>
        <v>1508.02</v>
      </c>
      <c r="T2662">
        <f>2348.184</f>
        <v>2348.1840000000002</v>
      </c>
      <c r="U2662">
        <f>37801.67</f>
        <v>37801.67</v>
      </c>
      <c r="V2662">
        <f>281</f>
        <v>281</v>
      </c>
    </row>
    <row r="2663" spans="1:22" x14ac:dyDescent="0.2">
      <c r="A2663" s="1">
        <v>41380</v>
      </c>
      <c r="B2663">
        <f>2543.56</f>
        <v>2543.56</v>
      </c>
      <c r="C2663">
        <f>8992.37</f>
        <v>8992.3700000000008</v>
      </c>
      <c r="D2663">
        <f>4481.08</f>
        <v>4481.08</v>
      </c>
      <c r="E2663">
        <f>1923.634</f>
        <v>1923.634</v>
      </c>
      <c r="F2663">
        <f>1585.61</f>
        <v>1585.61</v>
      </c>
      <c r="G2663">
        <f>6982.808</f>
        <v>6982.808</v>
      </c>
      <c r="H2663">
        <f>2268.69</f>
        <v>2268.69</v>
      </c>
      <c r="I2663">
        <f>7050.192</f>
        <v>7050.192</v>
      </c>
      <c r="J2663">
        <f>2139.01</f>
        <v>2139.0100000000002</v>
      </c>
      <c r="K2663">
        <f>5797.92</f>
        <v>5797.92</v>
      </c>
      <c r="L2663">
        <f>1365.38</f>
        <v>1365.38</v>
      </c>
      <c r="M2663">
        <f>5145.5</f>
        <v>5145.5</v>
      </c>
      <c r="N2663">
        <f>215.839</f>
        <v>215.839</v>
      </c>
      <c r="O2663">
        <f>1865.21</f>
        <v>1865.21</v>
      </c>
      <c r="P2663">
        <f>127.38</f>
        <v>127.38</v>
      </c>
      <c r="Q2663">
        <f>1329.396</f>
        <v>1329.396</v>
      </c>
      <c r="R2663">
        <f>2781.86</f>
        <v>2781.86</v>
      </c>
      <c r="S2663">
        <f>1485.71</f>
        <v>1485.71</v>
      </c>
      <c r="T2663">
        <f>2352.291</f>
        <v>2352.2910000000002</v>
      </c>
      <c r="U2663">
        <f>38429.66</f>
        <v>38429.660000000003</v>
      </c>
      <c r="V2663">
        <f>283.93</f>
        <v>283.93</v>
      </c>
    </row>
    <row r="2664" spans="1:22" x14ac:dyDescent="0.2">
      <c r="A2664" s="1">
        <v>41379</v>
      </c>
      <c r="B2664">
        <f>2556.4</f>
        <v>2556.4</v>
      </c>
      <c r="C2664">
        <f>8959.22</f>
        <v>8959.2199999999993</v>
      </c>
      <c r="D2664">
        <f>4508.82</f>
        <v>4508.82</v>
      </c>
      <c r="E2664">
        <f>1912.902</f>
        <v>1912.902</v>
      </c>
      <c r="F2664">
        <f>1601.68</f>
        <v>1601.68</v>
      </c>
      <c r="G2664">
        <f>7034.213</f>
        <v>7034.2129999999997</v>
      </c>
      <c r="H2664">
        <f>2305.44</f>
        <v>2305.44</v>
      </c>
      <c r="I2664">
        <f>7067.989</f>
        <v>7067.9889999999996</v>
      </c>
      <c r="J2664">
        <f>2113.6</f>
        <v>2113.6</v>
      </c>
      <c r="K2664">
        <f>5715.81</f>
        <v>5715.81</v>
      </c>
      <c r="L2664">
        <f>1362.97</f>
        <v>1362.97</v>
      </c>
      <c r="M2664">
        <f>5117.72</f>
        <v>5117.72</v>
      </c>
      <c r="N2664">
        <f>218.317</f>
        <v>218.31700000000001</v>
      </c>
      <c r="O2664">
        <f>1879.64</f>
        <v>1879.64</v>
      </c>
      <c r="P2664">
        <f>126.82</f>
        <v>126.82</v>
      </c>
      <c r="Q2664">
        <f>1308.053</f>
        <v>1308.0530000000001</v>
      </c>
      <c r="R2664">
        <f>2742.63</f>
        <v>2742.63</v>
      </c>
      <c r="S2664">
        <f>1505.34</f>
        <v>1505.34</v>
      </c>
      <c r="T2664">
        <f>2329.679</f>
        <v>2329.6790000000001</v>
      </c>
      <c r="U2664">
        <f>38003.7</f>
        <v>38003.699999999997</v>
      </c>
      <c r="V2664">
        <f>281.61</f>
        <v>281.61</v>
      </c>
    </row>
    <row r="2665" spans="1:22" x14ac:dyDescent="0.2">
      <c r="A2665" s="1">
        <v>41376</v>
      </c>
      <c r="B2665">
        <f>2566.28</f>
        <v>2566.2800000000002</v>
      </c>
      <c r="C2665">
        <f>9147.67</f>
        <v>9147.67</v>
      </c>
      <c r="D2665">
        <f>4537.81</f>
        <v>4537.8100000000004</v>
      </c>
      <c r="E2665">
        <f>1943.678</f>
        <v>1943.6780000000001</v>
      </c>
      <c r="F2665">
        <f>1597.93</f>
        <v>1597.93</v>
      </c>
      <c r="G2665">
        <f>7108.031</f>
        <v>7108.0309999999999</v>
      </c>
      <c r="H2665">
        <f>2328.76</f>
        <v>2328.7600000000002</v>
      </c>
      <c r="I2665">
        <f>7100.795</f>
        <v>7100.7950000000001</v>
      </c>
      <c r="J2665">
        <f>2154.55</f>
        <v>2154.5500000000002</v>
      </c>
      <c r="K2665">
        <f>5852.7</f>
        <v>5852.7</v>
      </c>
      <c r="L2665">
        <f>1376.36</f>
        <v>1376.36</v>
      </c>
      <c r="M2665">
        <f>5207.29</f>
        <v>5207.29</v>
      </c>
      <c r="N2665">
        <f>219.09</f>
        <v>219.09</v>
      </c>
      <c r="O2665">
        <f>1889.41</f>
        <v>1889.41</v>
      </c>
      <c r="P2665">
        <f>127.77</f>
        <v>127.77</v>
      </c>
      <c r="Q2665">
        <f>1336.098</f>
        <v>1336.098</v>
      </c>
      <c r="R2665">
        <f>2807.1</f>
        <v>2807.1</v>
      </c>
      <c r="S2665">
        <f>1524.7</f>
        <v>1524.7</v>
      </c>
      <c r="T2665">
        <f>2359.407</f>
        <v>2359.4070000000002</v>
      </c>
      <c r="U2665">
        <f>38630.54</f>
        <v>38630.54</v>
      </c>
      <c r="V2665">
        <f>286.47</f>
        <v>286.47000000000003</v>
      </c>
    </row>
    <row r="2666" spans="1:22" x14ac:dyDescent="0.2">
      <c r="A2666" s="1">
        <v>41375</v>
      </c>
      <c r="B2666">
        <f>2568.79</f>
        <v>2568.79</v>
      </c>
      <c r="C2666">
        <f>9196.46</f>
        <v>9196.4599999999991</v>
      </c>
      <c r="D2666">
        <f>4560.38</f>
        <v>4560.38</v>
      </c>
      <c r="E2666">
        <f>1961.33</f>
        <v>1961.33</v>
      </c>
      <c r="F2666">
        <f>1599.27</f>
        <v>1599.27</v>
      </c>
      <c r="G2666">
        <f>7154.417</f>
        <v>7154.4170000000004</v>
      </c>
      <c r="H2666">
        <f>2308.41</f>
        <v>2308.41</v>
      </c>
      <c r="I2666">
        <f>7190.073</f>
        <v>7190.0730000000003</v>
      </c>
      <c r="J2666">
        <f>2157.87</f>
        <v>2157.87</v>
      </c>
      <c r="K2666">
        <f>5868.94</f>
        <v>5868.94</v>
      </c>
      <c r="L2666">
        <f>1380.89</f>
        <v>1380.89</v>
      </c>
      <c r="M2666">
        <f>5228.8</f>
        <v>5228.8</v>
      </c>
      <c r="N2666">
        <f>219.409</f>
        <v>219.40899999999999</v>
      </c>
      <c r="O2666">
        <f>1905.08</f>
        <v>1905.08</v>
      </c>
      <c r="P2666">
        <f>127.8</f>
        <v>127.8</v>
      </c>
      <c r="Q2666">
        <f>1337.742</f>
        <v>1337.742</v>
      </c>
      <c r="R2666">
        <f>2815.02</f>
        <v>2815.02</v>
      </c>
      <c r="S2666">
        <f>1522.99</f>
        <v>1522.99</v>
      </c>
      <c r="T2666">
        <f>2374.636</f>
        <v>2374.636</v>
      </c>
      <c r="U2666">
        <f>39109.98</f>
        <v>39109.980000000003</v>
      </c>
      <c r="V2666">
        <f>289.44</f>
        <v>289.44</v>
      </c>
    </row>
    <row r="2667" spans="1:22" x14ac:dyDescent="0.2">
      <c r="A2667" s="1">
        <v>41374</v>
      </c>
      <c r="B2667">
        <f>2542.12</f>
        <v>2542.12</v>
      </c>
      <c r="C2667">
        <f>9169.06</f>
        <v>9169.06</v>
      </c>
      <c r="D2667">
        <f>4539.93</f>
        <v>4539.93</v>
      </c>
      <c r="E2667">
        <f>1952.252</f>
        <v>1952.252</v>
      </c>
      <c r="F2667">
        <f>1584.01</f>
        <v>1584.01</v>
      </c>
      <c r="G2667">
        <f>7091.62</f>
        <v>7091.62</v>
      </c>
      <c r="H2667">
        <f>2271.64</f>
        <v>2271.64</v>
      </c>
      <c r="I2667">
        <f>7122.638</f>
        <v>7122.6379999999999</v>
      </c>
      <c r="J2667">
        <f>2152.44</f>
        <v>2152.44</v>
      </c>
      <c r="K2667">
        <f>5846.51</f>
        <v>5846.51</v>
      </c>
      <c r="L2667">
        <f>1371.15</f>
        <v>1371.15</v>
      </c>
      <c r="M2667">
        <f>5190.79</f>
        <v>5190.79</v>
      </c>
      <c r="N2667">
        <f>218.39</f>
        <v>218.39</v>
      </c>
      <c r="O2667">
        <f>1893.77</f>
        <v>1893.77</v>
      </c>
      <c r="P2667">
        <f>127.13</f>
        <v>127.13</v>
      </c>
      <c r="Q2667">
        <f>1332.379</f>
        <v>1332.3789999999999</v>
      </c>
      <c r="R2667">
        <f>2804.81</f>
        <v>2804.81</v>
      </c>
      <c r="S2667">
        <f>1488.14</f>
        <v>1488.14</v>
      </c>
      <c r="T2667">
        <f>2367.211</f>
        <v>2367.2109999999998</v>
      </c>
      <c r="U2667">
        <f>39070.57</f>
        <v>39070.57</v>
      </c>
      <c r="V2667">
        <f>288.84</f>
        <v>288.83999999999997</v>
      </c>
    </row>
    <row r="2668" spans="1:22" x14ac:dyDescent="0.2">
      <c r="A2668" s="1">
        <v>41373</v>
      </c>
      <c r="B2668">
        <f>2499.2</f>
        <v>2499.1999999999998</v>
      </c>
      <c r="C2668">
        <f>9114.78</f>
        <v>9114.7800000000007</v>
      </c>
      <c r="D2668">
        <f>4486.81</f>
        <v>4486.8100000000004</v>
      </c>
      <c r="E2668">
        <f>1935.779</f>
        <v>1935.779</v>
      </c>
      <c r="F2668">
        <f>1566.14</f>
        <v>1566.14</v>
      </c>
      <c r="G2668">
        <f>6997.576</f>
        <v>6997.576</v>
      </c>
      <c r="H2668">
        <f>2217.35</f>
        <v>2217.35</v>
      </c>
      <c r="I2668">
        <f>6961.585</f>
        <v>6961.585</v>
      </c>
      <c r="J2668">
        <f>2129.69</f>
        <v>2129.69</v>
      </c>
      <c r="K2668">
        <f>5775.38</f>
        <v>5775.38</v>
      </c>
      <c r="L2668">
        <f>1351.67</f>
        <v>1351.67</v>
      </c>
      <c r="M2668">
        <f>5120.82</f>
        <v>5120.82</v>
      </c>
      <c r="N2668">
        <f>215.33</f>
        <v>215.33</v>
      </c>
      <c r="O2668">
        <f>1858.64</f>
        <v>1858.64</v>
      </c>
      <c r="P2668">
        <f>126.57</f>
        <v>126.57</v>
      </c>
      <c r="Q2668">
        <f>1318.535</f>
        <v>1318.5350000000001</v>
      </c>
      <c r="R2668">
        <f>2770.84</f>
        <v>2770.84</v>
      </c>
      <c r="S2668">
        <f>1462.93</f>
        <v>1462.93</v>
      </c>
      <c r="T2668">
        <f>2335.612</f>
        <v>2335.6120000000001</v>
      </c>
      <c r="U2668">
        <f>38540.81</f>
        <v>38540.81</v>
      </c>
      <c r="V2668">
        <f>284.85</f>
        <v>284.85000000000002</v>
      </c>
    </row>
    <row r="2669" spans="1:22" x14ac:dyDescent="0.2">
      <c r="A2669" s="1">
        <v>41372</v>
      </c>
      <c r="B2669">
        <f>2477.36</f>
        <v>2477.36</v>
      </c>
      <c r="C2669">
        <f>9015.06</f>
        <v>9015.06</v>
      </c>
      <c r="D2669">
        <f>4461.04</f>
        <v>4461.04</v>
      </c>
      <c r="E2669">
        <f>1918.565</f>
        <v>1918.5650000000001</v>
      </c>
      <c r="F2669">
        <f>1557.22</f>
        <v>1557.22</v>
      </c>
      <c r="G2669">
        <f>6949.017</f>
        <v>6949.0169999999998</v>
      </c>
      <c r="H2669">
        <f>2220.28</f>
        <v>2220.2800000000002</v>
      </c>
      <c r="I2669">
        <f>6939.262</f>
        <v>6939.2619999999997</v>
      </c>
      <c r="J2669">
        <f>2119.48</f>
        <v>2119.48</v>
      </c>
      <c r="K2669">
        <f>5755.87</f>
        <v>5755.87</v>
      </c>
      <c r="L2669">
        <f>1344.08</f>
        <v>1344.08</v>
      </c>
      <c r="M2669">
        <f>5097.31</f>
        <v>5097.3100000000004</v>
      </c>
      <c r="N2669">
        <f>216.181</f>
        <v>216.18100000000001</v>
      </c>
      <c r="O2669">
        <f>1856.52</f>
        <v>1856.52</v>
      </c>
      <c r="P2669">
        <f>126.24</f>
        <v>126.24</v>
      </c>
      <c r="Q2669">
        <f>1316.475</f>
        <v>1316.4749999999999</v>
      </c>
      <c r="R2669">
        <f>2761.05</f>
        <v>2761.05</v>
      </c>
      <c r="S2669">
        <f>1462.52</f>
        <v>1462.52</v>
      </c>
      <c r="T2669">
        <f>2355.498</f>
        <v>2355.498</v>
      </c>
      <c r="U2669">
        <f>38582.95</f>
        <v>38582.949999999997</v>
      </c>
      <c r="V2669">
        <f>285.17</f>
        <v>285.17</v>
      </c>
    </row>
    <row r="2670" spans="1:22" x14ac:dyDescent="0.2">
      <c r="A2670" s="1">
        <v>41369</v>
      </c>
      <c r="B2670">
        <f>2465.85</f>
        <v>2465.85</v>
      </c>
      <c r="C2670">
        <f>9035.59</f>
        <v>9035.59</v>
      </c>
      <c r="D2670">
        <f>4441.73</f>
        <v>4441.7299999999996</v>
      </c>
      <c r="E2670">
        <f>1920.217</f>
        <v>1920.2170000000001</v>
      </c>
      <c r="F2670">
        <f>1557.2</f>
        <v>1557.2</v>
      </c>
      <c r="G2670">
        <f>6950.741</f>
        <v>6950.741</v>
      </c>
      <c r="H2670">
        <f>2184.93</f>
        <v>2184.9299999999998</v>
      </c>
      <c r="I2670">
        <f>6919.383</f>
        <v>6919.3829999999998</v>
      </c>
      <c r="J2670">
        <f>2110.4</f>
        <v>2110.4</v>
      </c>
      <c r="K2670">
        <f>5718.15</f>
        <v>5718.15</v>
      </c>
      <c r="L2670">
        <f>1339.38</f>
        <v>1339.38</v>
      </c>
      <c r="M2670">
        <f>5069.37</f>
        <v>5069.37</v>
      </c>
      <c r="N2670">
        <f>215.129</f>
        <v>215.12899999999999</v>
      </c>
      <c r="O2670">
        <f>1852.17</f>
        <v>1852.17</v>
      </c>
      <c r="P2670">
        <f>122.98</f>
        <v>122.98</v>
      </c>
      <c r="Q2670">
        <f>1308.477</f>
        <v>1308.4770000000001</v>
      </c>
      <c r="R2670">
        <f>2742.86</f>
        <v>2742.86</v>
      </c>
      <c r="S2670">
        <f>1415.41</f>
        <v>1415.41</v>
      </c>
      <c r="T2670">
        <f>2334.813</f>
        <v>2334.8130000000001</v>
      </c>
      <c r="U2670">
        <f>38500.21</f>
        <v>38500.21</v>
      </c>
      <c r="V2670">
        <f>284.34</f>
        <v>284.33999999999997</v>
      </c>
    </row>
    <row r="2671" spans="1:22" x14ac:dyDescent="0.2">
      <c r="A2671" s="1">
        <v>41368</v>
      </c>
      <c r="B2671">
        <f>2507.14</f>
        <v>2507.14</v>
      </c>
      <c r="C2671">
        <f>9090.93</f>
        <v>9090.93</v>
      </c>
      <c r="D2671">
        <f>4508.78</f>
        <v>4508.78</v>
      </c>
      <c r="E2671">
        <f>1937.025</f>
        <v>1937.0250000000001</v>
      </c>
      <c r="F2671">
        <f>1553.88</f>
        <v>1553.88</v>
      </c>
      <c r="G2671">
        <f>6975.732</f>
        <v>6975.732</v>
      </c>
      <c r="H2671">
        <f>2153.88</f>
        <v>2153.88</v>
      </c>
      <c r="I2671">
        <f>6930.129</f>
        <v>6930.1289999999999</v>
      </c>
      <c r="J2671">
        <f>2119.27</f>
        <v>2119.27</v>
      </c>
      <c r="K2671">
        <f>5741.58</f>
        <v>5741.58</v>
      </c>
      <c r="L2671">
        <f>1343.67</f>
        <v>1343.67</v>
      </c>
      <c r="M2671">
        <f>5080.24</f>
        <v>5080.24</v>
      </c>
      <c r="N2671">
        <f>219.031</f>
        <v>219.03100000000001</v>
      </c>
      <c r="O2671">
        <f>1882.1</f>
        <v>1882.1</v>
      </c>
      <c r="P2671">
        <f>120.95</f>
        <v>120.95</v>
      </c>
      <c r="Q2671">
        <f>1315.563</f>
        <v>1315.5630000000001</v>
      </c>
      <c r="R2671">
        <f>2754.67</f>
        <v>2754.67</v>
      </c>
      <c r="S2671">
        <f>1377.59</f>
        <v>1377.59</v>
      </c>
      <c r="T2671">
        <f>2364.86</f>
        <v>2364.86</v>
      </c>
      <c r="U2671">
        <f>39064.88</f>
        <v>39064.879999999997</v>
      </c>
      <c r="V2671">
        <f>288.74</f>
        <v>288.74</v>
      </c>
    </row>
    <row r="2672" spans="1:22" x14ac:dyDescent="0.2">
      <c r="A2672" s="1">
        <v>41367</v>
      </c>
      <c r="B2672">
        <f>2536.81</f>
        <v>2536.81</v>
      </c>
      <c r="C2672">
        <f>9133.15</f>
        <v>9133.15</v>
      </c>
      <c r="D2672">
        <f>4562.91</f>
        <v>4562.91</v>
      </c>
      <c r="E2672">
        <f>1951.99</f>
        <v>1951.99</v>
      </c>
      <c r="F2672">
        <f>1562.5</f>
        <v>1562.5</v>
      </c>
      <c r="G2672">
        <f>7036.514</f>
        <v>7036.5140000000001</v>
      </c>
      <c r="H2672">
        <f>2166.48</f>
        <v>2166.48</v>
      </c>
      <c r="I2672">
        <f>7001.784</f>
        <v>7001.7839999999997</v>
      </c>
      <c r="J2672">
        <f>2109.61</f>
        <v>2109.61</v>
      </c>
      <c r="K2672">
        <f>5717.85</f>
        <v>5717.85</v>
      </c>
      <c r="L2672">
        <f>1348.63</f>
        <v>1348.63</v>
      </c>
      <c r="M2672">
        <f>5091.93</f>
        <v>5091.93</v>
      </c>
      <c r="N2672">
        <f>220.361</f>
        <v>220.36099999999999</v>
      </c>
      <c r="O2672">
        <f>1900.41</f>
        <v>1900.41</v>
      </c>
      <c r="P2672">
        <f>117.96</f>
        <v>117.96</v>
      </c>
      <c r="Q2672">
        <f>1306.006</f>
        <v>1306.0060000000001</v>
      </c>
      <c r="R2672">
        <f>2743.38</f>
        <v>2743.38</v>
      </c>
      <c r="S2672">
        <f>1341.31</f>
        <v>1341.31</v>
      </c>
      <c r="T2672">
        <f>2373.454</f>
        <v>2373.4540000000002</v>
      </c>
      <c r="U2672">
        <f>39414.34</f>
        <v>39414.339999999997</v>
      </c>
      <c r="V2672">
        <f>290.84</f>
        <v>290.83999999999997</v>
      </c>
    </row>
    <row r="2673" spans="1:22" x14ac:dyDescent="0.2">
      <c r="A2673" s="1">
        <v>41366</v>
      </c>
      <c r="B2673">
        <f>2556.62</f>
        <v>2556.62</v>
      </c>
      <c r="C2673">
        <f>9146.66</f>
        <v>9146.66</v>
      </c>
      <c r="D2673">
        <f>4610.84</f>
        <v>4610.84</v>
      </c>
      <c r="E2673">
        <f>1959.708</f>
        <v>1959.7080000000001</v>
      </c>
      <c r="F2673">
        <f>1577.13</f>
        <v>1577.13</v>
      </c>
      <c r="G2673">
        <f>7107.516</f>
        <v>7107.5159999999996</v>
      </c>
      <c r="H2673">
        <f>2128.76</f>
        <v>2128.7600000000002</v>
      </c>
      <c r="I2673">
        <f>7056.14</f>
        <v>7056.14</v>
      </c>
      <c r="J2673">
        <f>2125.87</f>
        <v>2125.87</v>
      </c>
      <c r="K2673">
        <f>5778.09</f>
        <v>5778.09</v>
      </c>
      <c r="L2673">
        <f>1356.98</f>
        <v>1356.98</v>
      </c>
      <c r="M2673">
        <f>5126.16</f>
        <v>5126.16</v>
      </c>
      <c r="N2673">
        <f>221.48</f>
        <v>221.48</v>
      </c>
      <c r="O2673">
        <f>1917.65</f>
        <v>1917.65</v>
      </c>
      <c r="P2673">
        <f>115.63</f>
        <v>115.63</v>
      </c>
      <c r="Q2673">
        <f>1318.178</f>
        <v>1318.1780000000001</v>
      </c>
      <c r="R2673">
        <f>2772.11</f>
        <v>2772.11</v>
      </c>
      <c r="S2673">
        <f>1315.96</f>
        <v>1315.96</v>
      </c>
      <c r="T2673">
        <f>2395.597</f>
        <v>2395.5970000000002</v>
      </c>
      <c r="U2673">
        <f>40041.32</f>
        <v>40041.32</v>
      </c>
      <c r="V2673">
        <f>294.61</f>
        <v>294.61</v>
      </c>
    </row>
    <row r="2674" spans="1:22" x14ac:dyDescent="0.2">
      <c r="A2674" s="1">
        <v>41365</v>
      </c>
      <c r="B2674">
        <f>2527.61</f>
        <v>2527.61</v>
      </c>
      <c r="C2674">
        <f>9173.08</f>
        <v>9173.08</v>
      </c>
      <c r="D2674">
        <f>4554.78</f>
        <v>4554.78</v>
      </c>
      <c r="E2674">
        <f>1963.404</f>
        <v>1963.404</v>
      </c>
      <c r="F2674">
        <f>1563.87</f>
        <v>1563.87</v>
      </c>
      <c r="G2674">
        <f>7070.522</f>
        <v>7070.5219999999999</v>
      </c>
      <c r="H2674">
        <f>2144.59</f>
        <v>2144.59</v>
      </c>
      <c r="I2674">
        <f>6953.262</f>
        <v>6953.2619999999997</v>
      </c>
      <c r="J2674">
        <f>2118</f>
        <v>2118</v>
      </c>
      <c r="K2674">
        <f>5750.63</f>
        <v>5750.63</v>
      </c>
      <c r="L2674">
        <f>1346.1</f>
        <v>1346.1</v>
      </c>
      <c r="M2674">
        <f>5099.72</f>
        <v>5099.72</v>
      </c>
      <c r="N2674" t="e">
        <f>NA()</f>
        <v>#N/A</v>
      </c>
      <c r="O2674" t="e">
        <f>NA()</f>
        <v>#N/A</v>
      </c>
      <c r="P2674">
        <f>117.16</f>
        <v>117.16</v>
      </c>
      <c r="Q2674">
        <f>1311.982</f>
        <v>1311.982</v>
      </c>
      <c r="R2674">
        <f>2757.83</f>
        <v>2757.83</v>
      </c>
      <c r="S2674">
        <f>1328.21</f>
        <v>1328.21</v>
      </c>
      <c r="T2674" t="e">
        <f>NA()</f>
        <v>#N/A</v>
      </c>
      <c r="U2674" t="e">
        <f>NA()</f>
        <v>#N/A</v>
      </c>
      <c r="V2674" t="e">
        <f>NA()</f>
        <v>#N/A</v>
      </c>
    </row>
    <row r="2675" spans="1:22" x14ac:dyDescent="0.2">
      <c r="A2675" s="1">
        <v>41362</v>
      </c>
      <c r="B2675">
        <f>2527.61</f>
        <v>2527.61</v>
      </c>
      <c r="C2675">
        <f>9210.03</f>
        <v>9210.0300000000007</v>
      </c>
      <c r="D2675">
        <f>4554.78</f>
        <v>4554.78</v>
      </c>
      <c r="E2675">
        <f>1970.211</f>
        <v>1970.211</v>
      </c>
      <c r="F2675">
        <f>1558.94</f>
        <v>1558.94</v>
      </c>
      <c r="G2675">
        <f>7048.242</f>
        <v>7048.2420000000002</v>
      </c>
      <c r="H2675">
        <f>2204.19</f>
        <v>2204.19</v>
      </c>
      <c r="I2675">
        <f>6952.577</f>
        <v>6952.5770000000002</v>
      </c>
      <c r="J2675">
        <f>2120.24</f>
        <v>2120.2399999999998</v>
      </c>
      <c r="K2675">
        <f>5776.56</f>
        <v>5776.56</v>
      </c>
      <c r="L2675">
        <f>1347.67</f>
        <v>1347.67</v>
      </c>
      <c r="M2675">
        <f>5122.56</f>
        <v>5122.5600000000004</v>
      </c>
      <c r="N2675" t="e">
        <f>NA()</f>
        <v>#N/A</v>
      </c>
      <c r="O2675" t="e">
        <f>NA()</f>
        <v>#N/A</v>
      </c>
      <c r="P2675">
        <f>121.81</f>
        <v>121.81</v>
      </c>
      <c r="Q2675" t="e">
        <f>NA()</f>
        <v>#N/A</v>
      </c>
      <c r="R2675" t="e">
        <f>NA()</f>
        <v>#N/A</v>
      </c>
      <c r="S2675">
        <f>1373.53</f>
        <v>1373.53</v>
      </c>
      <c r="T2675" t="e">
        <f>NA()</f>
        <v>#N/A</v>
      </c>
      <c r="U2675" t="e">
        <f>NA()</f>
        <v>#N/A</v>
      </c>
      <c r="V2675" t="e">
        <f>NA()</f>
        <v>#N/A</v>
      </c>
    </row>
    <row r="2676" spans="1:22" x14ac:dyDescent="0.2">
      <c r="A2676" s="1">
        <v>41361</v>
      </c>
      <c r="B2676">
        <f>2527.61</f>
        <v>2527.61</v>
      </c>
      <c r="C2676">
        <f>9190.48</f>
        <v>9190.48</v>
      </c>
      <c r="D2676">
        <f>4554.78</f>
        <v>4554.78</v>
      </c>
      <c r="E2676">
        <f>1965.854</f>
        <v>1965.854</v>
      </c>
      <c r="F2676">
        <f>1558.94</f>
        <v>1558.94</v>
      </c>
      <c r="G2676">
        <f>7048.242</f>
        <v>7048.2420000000002</v>
      </c>
      <c r="H2676">
        <f>2216.15</f>
        <v>2216.15</v>
      </c>
      <c r="I2676">
        <f>6952.577</f>
        <v>6952.5770000000002</v>
      </c>
      <c r="J2676">
        <f>2120.24</f>
        <v>2120.2399999999998</v>
      </c>
      <c r="K2676">
        <f>5776.56</f>
        <v>5776.56</v>
      </c>
      <c r="L2676">
        <f>1348.14</f>
        <v>1348.14</v>
      </c>
      <c r="M2676">
        <f>5122.93</f>
        <v>5122.93</v>
      </c>
      <c r="N2676">
        <f>219.646</f>
        <v>219.64599999999999</v>
      </c>
      <c r="O2676">
        <f>1894.03</f>
        <v>1894.03</v>
      </c>
      <c r="P2676">
        <f>121.2</f>
        <v>121.2</v>
      </c>
      <c r="Q2676">
        <f>1317.953</f>
        <v>1317.953</v>
      </c>
      <c r="R2676">
        <f>2770.05</f>
        <v>2770.05</v>
      </c>
      <c r="S2676">
        <f>1376.28</f>
        <v>1376.28</v>
      </c>
      <c r="T2676">
        <f>2382.484</f>
        <v>2382.4839999999999</v>
      </c>
      <c r="U2676">
        <f>39860.84</f>
        <v>39860.839999999997</v>
      </c>
      <c r="V2676">
        <f>292.28</f>
        <v>292.27999999999997</v>
      </c>
    </row>
    <row r="2677" spans="1:22" x14ac:dyDescent="0.2">
      <c r="A2677" s="1">
        <v>41360</v>
      </c>
      <c r="B2677">
        <f>2513.75</f>
        <v>2513.75</v>
      </c>
      <c r="C2677">
        <f>9193.78</f>
        <v>9193.7800000000007</v>
      </c>
      <c r="D2677">
        <f>4537.6</f>
        <v>4537.6000000000004</v>
      </c>
      <c r="E2677">
        <f>1964.641</f>
        <v>1964.6410000000001</v>
      </c>
      <c r="F2677">
        <f>1546.93</f>
        <v>1546.93</v>
      </c>
      <c r="G2677">
        <f>6989.643</f>
        <v>6989.643</v>
      </c>
      <c r="H2677">
        <f>2238.72</f>
        <v>2238.7199999999998</v>
      </c>
      <c r="I2677">
        <f>6888.297</f>
        <v>6888.2969999999996</v>
      </c>
      <c r="J2677">
        <f>2109.56</f>
        <v>2109.56</v>
      </c>
      <c r="K2677">
        <f>5752.83</f>
        <v>5752.83</v>
      </c>
      <c r="L2677">
        <f>1341.21</f>
        <v>1341.21</v>
      </c>
      <c r="M2677">
        <f>5102.49</f>
        <v>5102.49</v>
      </c>
      <c r="N2677">
        <f>218.083</f>
        <v>218.083</v>
      </c>
      <c r="O2677">
        <f>1886.26</f>
        <v>1886.26</v>
      </c>
      <c r="P2677">
        <f>122.23</f>
        <v>122.23</v>
      </c>
      <c r="Q2677">
        <f>1306.706</f>
        <v>1306.7059999999999</v>
      </c>
      <c r="R2677">
        <f>2758.85</f>
        <v>2758.85</v>
      </c>
      <c r="S2677">
        <f>1389.14</f>
        <v>1389.14</v>
      </c>
      <c r="T2677">
        <f>2382.221</f>
        <v>2382.221</v>
      </c>
      <c r="U2677">
        <f>39882.44</f>
        <v>39882.44</v>
      </c>
      <c r="V2677">
        <f>292.21</f>
        <v>292.20999999999998</v>
      </c>
    </row>
    <row r="2678" spans="1:22" x14ac:dyDescent="0.2">
      <c r="A2678" s="1">
        <v>41359</v>
      </c>
      <c r="B2678">
        <f>2535.61</f>
        <v>2535.61</v>
      </c>
      <c r="C2678">
        <f>9167.05</f>
        <v>9167.0499999999993</v>
      </c>
      <c r="D2678">
        <f>4543.8</f>
        <v>4543.8</v>
      </c>
      <c r="E2678">
        <f>1958.032</f>
        <v>1958.0319999999999</v>
      </c>
      <c r="F2678">
        <f>1552.74</f>
        <v>1552.74</v>
      </c>
      <c r="G2678">
        <f>7018.718</f>
        <v>7018.7179999999998</v>
      </c>
      <c r="H2678">
        <f>2225.86</f>
        <v>2225.86</v>
      </c>
      <c r="I2678">
        <f>6978.223</f>
        <v>6978.223</v>
      </c>
      <c r="J2678">
        <f>2109.73</f>
        <v>2109.73</v>
      </c>
      <c r="K2678">
        <f>5753.91</f>
        <v>5753.91</v>
      </c>
      <c r="L2678">
        <f>1346.69</f>
        <v>1346.69</v>
      </c>
      <c r="M2678">
        <f>5111.31</f>
        <v>5111.3100000000004</v>
      </c>
      <c r="N2678">
        <f>217.966</f>
        <v>217.96600000000001</v>
      </c>
      <c r="O2678">
        <f>1893.35</f>
        <v>1893.35</v>
      </c>
      <c r="P2678">
        <f>121.38</f>
        <v>121.38</v>
      </c>
      <c r="Q2678">
        <f>1309.035</f>
        <v>1309.0350000000001</v>
      </c>
      <c r="R2678">
        <f>2760.32</f>
        <v>2760.32</v>
      </c>
      <c r="S2678">
        <f>1374.31</f>
        <v>1374.31</v>
      </c>
      <c r="T2678">
        <f>2410.936</f>
        <v>2410.9360000000001</v>
      </c>
      <c r="U2678">
        <f>40253.25</f>
        <v>40253.25</v>
      </c>
      <c r="V2678">
        <f>297.8</f>
        <v>297.8</v>
      </c>
    </row>
    <row r="2679" spans="1:22" x14ac:dyDescent="0.2">
      <c r="A2679" s="1">
        <v>41358</v>
      </c>
      <c r="B2679">
        <f>2523.8</f>
        <v>2523.8000000000002</v>
      </c>
      <c r="C2679">
        <f>9116.94</f>
        <v>9116.94</v>
      </c>
      <c r="D2679">
        <f>4528.9</f>
        <v>4528.8999999999996</v>
      </c>
      <c r="E2679">
        <f>1945.773</f>
        <v>1945.7729999999999</v>
      </c>
      <c r="F2679">
        <f>1551.62</f>
        <v>1551.62</v>
      </c>
      <c r="G2679">
        <f>7010.35</f>
        <v>7010.35</v>
      </c>
      <c r="H2679">
        <f>2236.46</f>
        <v>2236.46</v>
      </c>
      <c r="I2679">
        <f>6983.176</f>
        <v>6983.1760000000004</v>
      </c>
      <c r="J2679">
        <f>2087.98</f>
        <v>2087.98</v>
      </c>
      <c r="K2679">
        <f>5707.52</f>
        <v>5707.52</v>
      </c>
      <c r="L2679">
        <f>1341.39</f>
        <v>1341.39</v>
      </c>
      <c r="M2679">
        <f>5088.92</f>
        <v>5088.92</v>
      </c>
      <c r="N2679">
        <f>218.134</f>
        <v>218.13399999999999</v>
      </c>
      <c r="O2679">
        <f>1891.27</f>
        <v>1891.27</v>
      </c>
      <c r="P2679">
        <f>120.73</f>
        <v>120.73</v>
      </c>
      <c r="Q2679">
        <f>1297.302</f>
        <v>1297.3019999999999</v>
      </c>
      <c r="R2679">
        <f>2738.08</f>
        <v>2738.08</v>
      </c>
      <c r="S2679">
        <f>1378.09</f>
        <v>1378.09</v>
      </c>
      <c r="T2679">
        <f>2391.704</f>
        <v>2391.7040000000002</v>
      </c>
      <c r="U2679">
        <f>40008.7</f>
        <v>40008.699999999997</v>
      </c>
      <c r="V2679">
        <f>293.73</f>
        <v>293.73</v>
      </c>
    </row>
    <row r="2680" spans="1:22" x14ac:dyDescent="0.2">
      <c r="A2680" s="1">
        <v>41355</v>
      </c>
      <c r="B2680">
        <f>2534.39</f>
        <v>2534.39</v>
      </c>
      <c r="C2680">
        <f>9071.62</f>
        <v>9071.6200000000008</v>
      </c>
      <c r="D2680">
        <f>4539.11</f>
        <v>4539.1099999999997</v>
      </c>
      <c r="E2680">
        <f>1932.818</f>
        <v>1932.818</v>
      </c>
      <c r="F2680">
        <f>1554.52</f>
        <v>1554.52</v>
      </c>
      <c r="G2680">
        <f>7051.721</f>
        <v>7051.7209999999995</v>
      </c>
      <c r="H2680">
        <f>2215.47</f>
        <v>2215.4699999999998</v>
      </c>
      <c r="I2680">
        <f>7085.282</f>
        <v>7085.2820000000002</v>
      </c>
      <c r="J2680">
        <f>2094.59</f>
        <v>2094.59</v>
      </c>
      <c r="K2680">
        <f>5727.06</f>
        <v>5727.06</v>
      </c>
      <c r="L2680">
        <f>1347.31</f>
        <v>1347.31</v>
      </c>
      <c r="M2680">
        <f>5108.87</f>
        <v>5108.87</v>
      </c>
      <c r="N2680">
        <f>217.29</f>
        <v>217.29</v>
      </c>
      <c r="O2680">
        <f>1895.97</f>
        <v>1895.97</v>
      </c>
      <c r="P2680">
        <f>119.54</f>
        <v>119.54</v>
      </c>
      <c r="Q2680">
        <f>1301.948</f>
        <v>1301.9480000000001</v>
      </c>
      <c r="R2680">
        <f>2747.25</f>
        <v>2747.25</v>
      </c>
      <c r="S2680">
        <f>1366.62</f>
        <v>1366.62</v>
      </c>
      <c r="T2680">
        <f>2377.932</f>
        <v>2377.9319999999998</v>
      </c>
      <c r="U2680">
        <f>40063.38</f>
        <v>40063.379999999997</v>
      </c>
      <c r="V2680">
        <f>293.56</f>
        <v>293.56</v>
      </c>
    </row>
    <row r="2681" spans="1:22" x14ac:dyDescent="0.2">
      <c r="A2681" s="1">
        <v>41354</v>
      </c>
      <c r="B2681">
        <f>2532.78</f>
        <v>2532.7800000000002</v>
      </c>
      <c r="C2681">
        <f>9130.48</f>
        <v>9130.48</v>
      </c>
      <c r="D2681">
        <f>4536.12</f>
        <v>4536.12</v>
      </c>
      <c r="E2681">
        <f>1945.097</f>
        <v>1945.097</v>
      </c>
      <c r="F2681">
        <f>1542.33</f>
        <v>1542.33</v>
      </c>
      <c r="G2681">
        <f>7019.841</f>
        <v>7019.8410000000003</v>
      </c>
      <c r="H2681">
        <f>2237.93</f>
        <v>2237.9299999999998</v>
      </c>
      <c r="I2681">
        <f>7056.172</f>
        <v>7056.1719999999996</v>
      </c>
      <c r="J2681">
        <f>2077.87</f>
        <v>2077.87</v>
      </c>
      <c r="K2681">
        <f>5686.86</f>
        <v>5686.86</v>
      </c>
      <c r="L2681">
        <f>1339.94</f>
        <v>1339.94</v>
      </c>
      <c r="M2681">
        <f>5088.47</f>
        <v>5088.47</v>
      </c>
      <c r="N2681">
        <f>217.575</f>
        <v>217.57499999999999</v>
      </c>
      <c r="O2681">
        <f>1897.92</f>
        <v>1897.92</v>
      </c>
      <c r="P2681">
        <f>121.07</f>
        <v>121.07</v>
      </c>
      <c r="Q2681">
        <f>1293.138</f>
        <v>1293.1379999999999</v>
      </c>
      <c r="R2681">
        <f>2727.69</f>
        <v>2727.69</v>
      </c>
      <c r="S2681">
        <f>1392.32</f>
        <v>1392.32</v>
      </c>
      <c r="T2681" t="e">
        <f>NA()</f>
        <v>#N/A</v>
      </c>
      <c r="U2681" t="e">
        <f>NA()</f>
        <v>#N/A</v>
      </c>
      <c r="V2681" t="e">
        <f>NA()</f>
        <v>#N/A</v>
      </c>
    </row>
    <row r="2682" spans="1:22" x14ac:dyDescent="0.2">
      <c r="A2682" s="1">
        <v>41353</v>
      </c>
      <c r="B2682">
        <f>2548.54</f>
        <v>2548.54</v>
      </c>
      <c r="C2682">
        <f>9158</f>
        <v>9158</v>
      </c>
      <c r="D2682">
        <f>4567.47</f>
        <v>4567.47</v>
      </c>
      <c r="E2682">
        <f>1952.499</f>
        <v>1952.499</v>
      </c>
      <c r="F2682">
        <f>1542.67</f>
        <v>1542.67</v>
      </c>
      <c r="G2682">
        <f>7045.86</f>
        <v>7045.86</v>
      </c>
      <c r="H2682">
        <f>2207.32</f>
        <v>2207.3200000000002</v>
      </c>
      <c r="I2682">
        <f>7132.016</f>
        <v>7132.0159999999996</v>
      </c>
      <c r="J2682">
        <f>2089.82</f>
        <v>2089.8200000000002</v>
      </c>
      <c r="K2682">
        <f>5733.93</f>
        <v>5733.93</v>
      </c>
      <c r="L2682">
        <f>1344.64</f>
        <v>1344.64</v>
      </c>
      <c r="M2682">
        <f>5115.14</f>
        <v>5115.1400000000003</v>
      </c>
      <c r="N2682">
        <f>218.33</f>
        <v>218.33</v>
      </c>
      <c r="O2682">
        <f>1909.9</f>
        <v>1909.9</v>
      </c>
      <c r="P2682" t="e">
        <f>NA()</f>
        <v>#N/A</v>
      </c>
      <c r="Q2682">
        <f>1302.533</f>
        <v>1302.5329999999999</v>
      </c>
      <c r="R2682">
        <f>2750.42</f>
        <v>2750.42</v>
      </c>
      <c r="S2682" t="e">
        <f>NA()</f>
        <v>#N/A</v>
      </c>
      <c r="T2682">
        <f>2394.974</f>
        <v>2394.9740000000002</v>
      </c>
      <c r="U2682">
        <f>40318.79</f>
        <v>40318.79</v>
      </c>
      <c r="V2682">
        <f>294.63</f>
        <v>294.63</v>
      </c>
    </row>
    <row r="2683" spans="1:22" x14ac:dyDescent="0.2">
      <c r="A2683" s="1">
        <v>41352</v>
      </c>
      <c r="B2683">
        <f>2554.34</f>
        <v>2554.34</v>
      </c>
      <c r="C2683">
        <f>9129.67</f>
        <v>9129.67</v>
      </c>
      <c r="D2683">
        <f>4565.23</f>
        <v>4565.2299999999996</v>
      </c>
      <c r="E2683">
        <f>1949.865</f>
        <v>1949.865</v>
      </c>
      <c r="F2683">
        <f>1542.55</f>
        <v>1542.55</v>
      </c>
      <c r="G2683">
        <f>7035.478</f>
        <v>7035.4780000000001</v>
      </c>
      <c r="H2683">
        <f>2222.57</f>
        <v>2222.5700000000002</v>
      </c>
      <c r="I2683">
        <f>7044.822</f>
        <v>7044.8220000000001</v>
      </c>
      <c r="J2683">
        <f>2074.59</f>
        <v>2074.59</v>
      </c>
      <c r="K2683">
        <f>5694.91</f>
        <v>5694.91</v>
      </c>
      <c r="L2683">
        <f>1336.27</f>
        <v>1336.27</v>
      </c>
      <c r="M2683">
        <f>5087.09</f>
        <v>5087.09</v>
      </c>
      <c r="N2683">
        <f>219.022</f>
        <v>219.02199999999999</v>
      </c>
      <c r="O2683">
        <f>1903.92</f>
        <v>1903.92</v>
      </c>
      <c r="P2683">
        <f>119.67</f>
        <v>119.67</v>
      </c>
      <c r="Q2683">
        <f>1292.55</f>
        <v>1292.55</v>
      </c>
      <c r="R2683">
        <f>2732.09</f>
        <v>2732.09</v>
      </c>
      <c r="S2683">
        <f>1376.25</f>
        <v>1376.25</v>
      </c>
      <c r="T2683">
        <f>2392.288</f>
        <v>2392.288</v>
      </c>
      <c r="U2683">
        <f>40346.17</f>
        <v>40346.17</v>
      </c>
      <c r="V2683">
        <f>293.88</f>
        <v>293.88</v>
      </c>
    </row>
    <row r="2684" spans="1:22" x14ac:dyDescent="0.2">
      <c r="A2684" s="1">
        <v>41351</v>
      </c>
      <c r="B2684">
        <f>2559.65</f>
        <v>2559.65</v>
      </c>
      <c r="C2684">
        <f>9193.65</f>
        <v>9193.65</v>
      </c>
      <c r="D2684">
        <f>4577</f>
        <v>4577</v>
      </c>
      <c r="E2684">
        <f>1959.659</f>
        <v>1959.6590000000001</v>
      </c>
      <c r="F2684">
        <f>1529.45</f>
        <v>1529.45</v>
      </c>
      <c r="G2684">
        <f>7050.519</f>
        <v>7050.5190000000002</v>
      </c>
      <c r="H2684">
        <f>2184.21</f>
        <v>2184.21</v>
      </c>
      <c r="I2684">
        <f>7141.335</f>
        <v>7141.335</v>
      </c>
      <c r="J2684">
        <f>2070.7</f>
        <v>2070.6999999999998</v>
      </c>
      <c r="K2684">
        <f>5709.16</f>
        <v>5709.16</v>
      </c>
      <c r="L2684">
        <f>1338.58</f>
        <v>1338.58</v>
      </c>
      <c r="M2684">
        <f>5102.01</f>
        <v>5102.01</v>
      </c>
      <c r="N2684">
        <f>217.73</f>
        <v>217.73</v>
      </c>
      <c r="O2684">
        <f>1909.25</f>
        <v>1909.25</v>
      </c>
      <c r="P2684">
        <f>117.32</f>
        <v>117.32</v>
      </c>
      <c r="Q2684">
        <f>1290.943</f>
        <v>1290.943</v>
      </c>
      <c r="R2684">
        <f>2738.68</f>
        <v>2738.68</v>
      </c>
      <c r="S2684">
        <f>1353.15</f>
        <v>1353.15</v>
      </c>
      <c r="T2684">
        <f>2392.706</f>
        <v>2392.7060000000001</v>
      </c>
      <c r="U2684">
        <f>40470.65</f>
        <v>40470.65</v>
      </c>
      <c r="V2684">
        <f>294.27</f>
        <v>294.27</v>
      </c>
    </row>
    <row r="2685" spans="1:22" x14ac:dyDescent="0.2">
      <c r="A2685" s="1">
        <v>41348</v>
      </c>
      <c r="B2685">
        <f>2565.33</f>
        <v>2565.33</v>
      </c>
      <c r="C2685">
        <f>9304.95</f>
        <v>9304.9500000000007</v>
      </c>
      <c r="D2685">
        <f>4599.48</f>
        <v>4599.4799999999996</v>
      </c>
      <c r="E2685">
        <f>1982.537</f>
        <v>1982.537</v>
      </c>
      <c r="F2685">
        <f>1535.44</f>
        <v>1535.44</v>
      </c>
      <c r="G2685">
        <f>7095.99</f>
        <v>7095.99</v>
      </c>
      <c r="H2685">
        <f>2225.25</f>
        <v>2225.25</v>
      </c>
      <c r="I2685">
        <f>7231.597</f>
        <v>7231.5969999999998</v>
      </c>
      <c r="J2685">
        <f>2081.22</f>
        <v>2081.2199999999998</v>
      </c>
      <c r="K2685">
        <f>5740.53</f>
        <v>5740.53</v>
      </c>
      <c r="L2685">
        <f>1350.06</f>
        <v>1350.06</v>
      </c>
      <c r="M2685">
        <f>5149.54</f>
        <v>5149.54</v>
      </c>
      <c r="N2685">
        <f>217.258</f>
        <v>217.25800000000001</v>
      </c>
      <c r="O2685">
        <f>1915</f>
        <v>1915</v>
      </c>
      <c r="P2685">
        <f>119.23</f>
        <v>119.23</v>
      </c>
      <c r="Q2685">
        <f>1298.103</f>
        <v>1298.1030000000001</v>
      </c>
      <c r="R2685">
        <f>2753.82</f>
        <v>2753.82</v>
      </c>
      <c r="S2685">
        <f>1383.83</f>
        <v>1383.83</v>
      </c>
      <c r="T2685">
        <f>2401.709</f>
        <v>2401.7089999999998</v>
      </c>
      <c r="U2685">
        <f>40757.94</f>
        <v>40757.94</v>
      </c>
      <c r="V2685">
        <f>296.25</f>
        <v>296.25</v>
      </c>
    </row>
    <row r="2686" spans="1:22" x14ac:dyDescent="0.2">
      <c r="A2686" s="1">
        <v>41347</v>
      </c>
      <c r="B2686">
        <f>2584.74</f>
        <v>2584.7399999999998</v>
      </c>
      <c r="C2686">
        <f>9351.9</f>
        <v>9351.9</v>
      </c>
      <c r="D2686">
        <f>4627.66</f>
        <v>4627.66</v>
      </c>
      <c r="E2686">
        <f>1992.824</f>
        <v>1992.8240000000001</v>
      </c>
      <c r="F2686">
        <f>1535.68</f>
        <v>1535.68</v>
      </c>
      <c r="G2686">
        <f>7102.458</f>
        <v>7102.4579999999996</v>
      </c>
      <c r="H2686">
        <f>2187.83</f>
        <v>2187.83</v>
      </c>
      <c r="I2686">
        <f>7197.511</f>
        <v>7197.5110000000004</v>
      </c>
      <c r="J2686">
        <f>2084.7</f>
        <v>2084.6999999999998</v>
      </c>
      <c r="K2686">
        <f>5750.36</f>
        <v>5750.36</v>
      </c>
      <c r="L2686">
        <f>1344.16</f>
        <v>1344.16</v>
      </c>
      <c r="M2686">
        <f>5134.09</f>
        <v>5134.09</v>
      </c>
      <c r="N2686">
        <f>218.207</f>
        <v>218.20699999999999</v>
      </c>
      <c r="O2686">
        <f>1921.28</f>
        <v>1921.28</v>
      </c>
      <c r="P2686">
        <f>117.25</f>
        <v>117.25</v>
      </c>
      <c r="Q2686">
        <f>1300.907</f>
        <v>1300.9069999999999</v>
      </c>
      <c r="R2686">
        <f>2758.3</f>
        <v>2758.3</v>
      </c>
      <c r="S2686">
        <f>1366.07</f>
        <v>1366.07</v>
      </c>
      <c r="T2686">
        <f>2411.723</f>
        <v>2411.723</v>
      </c>
      <c r="U2686">
        <f>40908.58</f>
        <v>40908.58</v>
      </c>
      <c r="V2686">
        <f>299</f>
        <v>299</v>
      </c>
    </row>
    <row r="2687" spans="1:22" x14ac:dyDescent="0.2">
      <c r="A2687" s="1">
        <v>41346</v>
      </c>
      <c r="B2687">
        <f>2568.99</f>
        <v>2568.9899999999998</v>
      </c>
      <c r="C2687">
        <f>9332.19</f>
        <v>9332.19</v>
      </c>
      <c r="D2687">
        <f>4593.71</f>
        <v>4593.71</v>
      </c>
      <c r="E2687">
        <f>1995.193</f>
        <v>1995.193</v>
      </c>
      <c r="F2687">
        <f>1516.24</f>
        <v>1516.24</v>
      </c>
      <c r="G2687">
        <f>6991.934</f>
        <v>6991.9340000000002</v>
      </c>
      <c r="H2687">
        <f>2183.45</f>
        <v>2183.4499999999998</v>
      </c>
      <c r="I2687">
        <f>7111.509</f>
        <v>7111.509</v>
      </c>
      <c r="J2687">
        <f>2073.85</f>
        <v>2073.85</v>
      </c>
      <c r="K2687">
        <f>5717.93</f>
        <v>5717.93</v>
      </c>
      <c r="L2687">
        <f>1333.53</f>
        <v>1333.53</v>
      </c>
      <c r="M2687">
        <f>5097.04</f>
        <v>5097.04</v>
      </c>
      <c r="N2687">
        <f>216.301</f>
        <v>216.30099999999999</v>
      </c>
      <c r="O2687">
        <f>1900.18</f>
        <v>1900.18</v>
      </c>
      <c r="P2687">
        <f>116.4</f>
        <v>116.4</v>
      </c>
      <c r="Q2687">
        <f>1295.356</f>
        <v>1295.356</v>
      </c>
      <c r="R2687">
        <f>2742.87</f>
        <v>2742.87</v>
      </c>
      <c r="S2687">
        <f>1357.19</f>
        <v>1357.19</v>
      </c>
      <c r="T2687">
        <f>2411.039</f>
        <v>2411.0390000000002</v>
      </c>
      <c r="U2687">
        <f>40876.1</f>
        <v>40876.1</v>
      </c>
      <c r="V2687">
        <f>299.06</f>
        <v>299.06</v>
      </c>
    </row>
    <row r="2688" spans="1:22" x14ac:dyDescent="0.2">
      <c r="A2688" s="1">
        <v>41345</v>
      </c>
      <c r="B2688">
        <f>2571.55</f>
        <v>2571.5500000000002</v>
      </c>
      <c r="C2688">
        <f>9423.49</f>
        <v>9423.49</v>
      </c>
      <c r="D2688">
        <f>4606.71</f>
        <v>4606.71</v>
      </c>
      <c r="E2688">
        <f>2011.459</f>
        <v>2011.4590000000001</v>
      </c>
      <c r="F2688">
        <f>1519.04</f>
        <v>1519.04</v>
      </c>
      <c r="G2688">
        <f>6993.74</f>
        <v>6993.74</v>
      </c>
      <c r="H2688">
        <f>2195.37</f>
        <v>2195.37</v>
      </c>
      <c r="I2688">
        <f>7163.687</f>
        <v>7163.6869999999999</v>
      </c>
      <c r="J2688">
        <f>2071.19</f>
        <v>2071.19</v>
      </c>
      <c r="K2688">
        <f>5708.8</f>
        <v>5708.8</v>
      </c>
      <c r="L2688">
        <f>1338.34</f>
        <v>1338.34</v>
      </c>
      <c r="M2688">
        <f>5107.33</f>
        <v>5107.33</v>
      </c>
      <c r="N2688">
        <f>215.685</f>
        <v>215.685</v>
      </c>
      <c r="O2688">
        <f>1900.39</f>
        <v>1900.39</v>
      </c>
      <c r="P2688">
        <f>116.92</f>
        <v>116.92</v>
      </c>
      <c r="Q2688">
        <f>1290.72</f>
        <v>1290.72</v>
      </c>
      <c r="R2688">
        <f>2738.35</f>
        <v>2738.35</v>
      </c>
      <c r="S2688">
        <f>1363.08</f>
        <v>1363.08</v>
      </c>
      <c r="T2688">
        <f>2421.536</f>
        <v>2421.5360000000001</v>
      </c>
      <c r="U2688">
        <f>40952.46</f>
        <v>40952.46</v>
      </c>
      <c r="V2688">
        <f>303.34</f>
        <v>303.33999999999997</v>
      </c>
    </row>
    <row r="2689" spans="1:22" x14ac:dyDescent="0.2">
      <c r="A2689" s="1">
        <v>41344</v>
      </c>
      <c r="B2689">
        <f>2564.63</f>
        <v>2564.63</v>
      </c>
      <c r="C2689">
        <f>9470.9</f>
        <v>9470.9</v>
      </c>
      <c r="D2689">
        <f>4601.77</f>
        <v>4601.7700000000004</v>
      </c>
      <c r="E2689">
        <f>2022.617</f>
        <v>2022.617</v>
      </c>
      <c r="F2689">
        <f>1518.84</f>
        <v>1518.84</v>
      </c>
      <c r="G2689">
        <f>6994.733</f>
        <v>6994.7330000000002</v>
      </c>
      <c r="H2689">
        <f>2196.8</f>
        <v>2196.8000000000002</v>
      </c>
      <c r="I2689">
        <f>7155.77</f>
        <v>7155.77</v>
      </c>
      <c r="J2689">
        <f>2072.17</f>
        <v>2072.17</v>
      </c>
      <c r="K2689">
        <f>5722.03</f>
        <v>5722.03</v>
      </c>
      <c r="L2689">
        <f>1336.73</f>
        <v>1336.73</v>
      </c>
      <c r="M2689">
        <f>5112.64</f>
        <v>5112.6400000000003</v>
      </c>
      <c r="N2689">
        <f>215.704</f>
        <v>215.70400000000001</v>
      </c>
      <c r="O2689">
        <f>1899.76</f>
        <v>1899.76</v>
      </c>
      <c r="P2689">
        <f>117.19</f>
        <v>117.19</v>
      </c>
      <c r="Q2689">
        <f>1293.025</f>
        <v>1293.0250000000001</v>
      </c>
      <c r="R2689">
        <f>2744.81</f>
        <v>2744.81</v>
      </c>
      <c r="S2689">
        <f>1368.45</f>
        <v>1368.45</v>
      </c>
      <c r="T2689">
        <f>2437.166</f>
        <v>2437.1660000000002</v>
      </c>
      <c r="U2689">
        <f>40984.22</f>
        <v>40984.22</v>
      </c>
      <c r="V2689">
        <f>305.22</f>
        <v>305.22000000000003</v>
      </c>
    </row>
    <row r="2690" spans="1:22" x14ac:dyDescent="0.2">
      <c r="A2690" s="1">
        <v>41341</v>
      </c>
      <c r="B2690">
        <f>2567.47</f>
        <v>2567.4699999999998</v>
      </c>
      <c r="C2690">
        <f>9460.49</f>
        <v>9460.49</v>
      </c>
      <c r="D2690">
        <f>4587.58</f>
        <v>4587.58</v>
      </c>
      <c r="E2690">
        <f>2026.971</f>
        <v>2026.971</v>
      </c>
      <c r="F2690">
        <f>1514.28</f>
        <v>1514.28</v>
      </c>
      <c r="G2690">
        <f>6985.697</f>
        <v>6985.6970000000001</v>
      </c>
      <c r="H2690">
        <f>2134.27</f>
        <v>2134.27</v>
      </c>
      <c r="I2690">
        <f>7143.137</f>
        <v>7143.1369999999997</v>
      </c>
      <c r="J2690">
        <f>2067.19</f>
        <v>2067.19</v>
      </c>
      <c r="K2690">
        <f>5703.96</f>
        <v>5703.96</v>
      </c>
      <c r="L2690">
        <f>1331.17</f>
        <v>1331.17</v>
      </c>
      <c r="M2690">
        <f>5090.61</f>
        <v>5090.6099999999997</v>
      </c>
      <c r="N2690">
        <f>215.495</f>
        <v>215.495</v>
      </c>
      <c r="O2690">
        <f>1900.28</f>
        <v>1900.28</v>
      </c>
      <c r="P2690">
        <f>116.18</f>
        <v>116.18</v>
      </c>
      <c r="Q2690">
        <f>1287.454</f>
        <v>1287.454</v>
      </c>
      <c r="R2690">
        <f>2735.67</f>
        <v>2735.67</v>
      </c>
      <c r="S2690">
        <f>1342.82</f>
        <v>1342.82</v>
      </c>
      <c r="T2690">
        <f>2416.284</f>
        <v>2416.2840000000001</v>
      </c>
      <c r="U2690">
        <f>40732.81</f>
        <v>40732.81</v>
      </c>
      <c r="V2690">
        <f>303.53</f>
        <v>303.52999999999997</v>
      </c>
    </row>
    <row r="2691" spans="1:22" x14ac:dyDescent="0.2">
      <c r="A2691" s="1">
        <v>41340</v>
      </c>
      <c r="B2691">
        <f>2554.03</f>
        <v>2554.0300000000002</v>
      </c>
      <c r="C2691">
        <f>9404.36</f>
        <v>9404.36</v>
      </c>
      <c r="D2691">
        <f>4556.15</f>
        <v>4556.1499999999996</v>
      </c>
      <c r="E2691">
        <f>2011.69</f>
        <v>2011.69</v>
      </c>
      <c r="F2691">
        <f>1513.95</f>
        <v>1513.95</v>
      </c>
      <c r="G2691">
        <f>6994.391</f>
        <v>6994.3909999999996</v>
      </c>
      <c r="H2691">
        <f>2138.5</f>
        <v>2138.5</v>
      </c>
      <c r="I2691">
        <f>7133.727</f>
        <v>7133.7269999999999</v>
      </c>
      <c r="J2691">
        <f>2061.09</f>
        <v>2061.09</v>
      </c>
      <c r="K2691">
        <f>5678.32</f>
        <v>5678.32</v>
      </c>
      <c r="L2691">
        <f>1330.16</f>
        <v>1330.16</v>
      </c>
      <c r="M2691">
        <f>5076.64</f>
        <v>5076.6400000000003</v>
      </c>
      <c r="N2691">
        <f>215.359</f>
        <v>215.35900000000001</v>
      </c>
      <c r="O2691">
        <f>1884.22</f>
        <v>1884.22</v>
      </c>
      <c r="P2691">
        <f>115.5</f>
        <v>115.5</v>
      </c>
      <c r="Q2691">
        <f>1280.946</f>
        <v>1280.9459999999999</v>
      </c>
      <c r="R2691">
        <f>2723.27</f>
        <v>2723.27</v>
      </c>
      <c r="S2691">
        <f>1321.57</f>
        <v>1321.57</v>
      </c>
      <c r="T2691">
        <f>2385.872</f>
        <v>2385.8719999999998</v>
      </c>
      <c r="U2691">
        <f>40719.68</f>
        <v>40719.68</v>
      </c>
      <c r="V2691">
        <f>300.85</f>
        <v>300.85000000000002</v>
      </c>
    </row>
    <row r="2692" spans="1:22" x14ac:dyDescent="0.2">
      <c r="A2692" s="1">
        <v>41339</v>
      </c>
      <c r="B2692">
        <f>2569.47</f>
        <v>2569.4699999999998</v>
      </c>
      <c r="C2692">
        <f>9415.15</f>
        <v>9415.15</v>
      </c>
      <c r="D2692">
        <f>4548</f>
        <v>4548</v>
      </c>
      <c r="E2692">
        <f>2015.234</f>
        <v>2015.2339999999999</v>
      </c>
      <c r="F2692">
        <f>1513.87</f>
        <v>1513.87</v>
      </c>
      <c r="G2692">
        <f>6985.463</f>
        <v>6985.4629999999997</v>
      </c>
      <c r="H2692">
        <f>2164.64</f>
        <v>2164.64</v>
      </c>
      <c r="I2692">
        <f>7069.058</f>
        <v>7069.058</v>
      </c>
      <c r="J2692">
        <f>2060.68</f>
        <v>2060.6799999999998</v>
      </c>
      <c r="K2692">
        <f>5666.76</f>
        <v>5666.76</v>
      </c>
      <c r="L2692">
        <f>1326.53</f>
        <v>1326.53</v>
      </c>
      <c r="M2692">
        <f>5065.98</f>
        <v>5065.9799999999996</v>
      </c>
      <c r="N2692">
        <f>215.629</f>
        <v>215.62899999999999</v>
      </c>
      <c r="O2692">
        <f>1885.2</f>
        <v>1885.2</v>
      </c>
      <c r="P2692">
        <f>114.96</f>
        <v>114.96</v>
      </c>
      <c r="Q2692">
        <f>1280.123</f>
        <v>1280.123</v>
      </c>
      <c r="R2692">
        <f>2718.07</f>
        <v>2718.07</v>
      </c>
      <c r="S2692">
        <f>1320.05</f>
        <v>1320.05</v>
      </c>
      <c r="T2692">
        <f>2380.238</f>
        <v>2380.2379999999998</v>
      </c>
      <c r="U2692">
        <f>40437.25</f>
        <v>40437.25</v>
      </c>
      <c r="V2692">
        <f>300.7</f>
        <v>300.7</v>
      </c>
    </row>
    <row r="2693" spans="1:22" x14ac:dyDescent="0.2">
      <c r="A2693" s="1">
        <v>41338</v>
      </c>
      <c r="B2693">
        <f>2569.19</f>
        <v>2569.19</v>
      </c>
      <c r="C2693">
        <f>9310.25</f>
        <v>9310.25</v>
      </c>
      <c r="D2693">
        <f>4545.7</f>
        <v>4545.7</v>
      </c>
      <c r="E2693">
        <f>1995.869</f>
        <v>1995.8689999999999</v>
      </c>
      <c r="F2693">
        <f>1507.17</f>
        <v>1507.17</v>
      </c>
      <c r="G2693">
        <f>7012.989</f>
        <v>7012.9889999999996</v>
      </c>
      <c r="H2693">
        <f>2145.85</f>
        <v>2145.85</v>
      </c>
      <c r="I2693">
        <f>7098.157</f>
        <v>7098.1570000000002</v>
      </c>
      <c r="J2693">
        <f>2057.92</f>
        <v>2057.92</v>
      </c>
      <c r="K2693">
        <f>5659.01</f>
        <v>5659.01</v>
      </c>
      <c r="L2693">
        <f>1326.53</f>
        <v>1326.53</v>
      </c>
      <c r="M2693">
        <f>5057.46</f>
        <v>5057.46</v>
      </c>
      <c r="N2693">
        <f>216.118</f>
        <v>216.11799999999999</v>
      </c>
      <c r="O2693">
        <f>1888.65</f>
        <v>1888.65</v>
      </c>
      <c r="P2693">
        <f>113.56</f>
        <v>113.56</v>
      </c>
      <c r="Q2693">
        <f>1280.901</f>
        <v>1280.9010000000001</v>
      </c>
      <c r="R2693">
        <f>2714.35</f>
        <v>2714.35</v>
      </c>
      <c r="S2693">
        <f>1300.83</f>
        <v>1300.83</v>
      </c>
      <c r="T2693">
        <f>2372.236</f>
        <v>2372.2359999999999</v>
      </c>
      <c r="U2693">
        <f>40546.24</f>
        <v>40546.239999999998</v>
      </c>
      <c r="V2693">
        <f>300.58</f>
        <v>300.58</v>
      </c>
    </row>
    <row r="2694" spans="1:22" x14ac:dyDescent="0.2">
      <c r="A2694" s="1">
        <v>41337</v>
      </c>
      <c r="B2694">
        <f>2537.35</f>
        <v>2537.35</v>
      </c>
      <c r="C2694">
        <f>9220.68</f>
        <v>9220.68</v>
      </c>
      <c r="D2694">
        <f>4484.7</f>
        <v>4484.7</v>
      </c>
      <c r="E2694">
        <f>1979.392</f>
        <v>1979.3920000000001</v>
      </c>
      <c r="F2694">
        <f>1492.11</f>
        <v>1492.11</v>
      </c>
      <c r="G2694">
        <f>6896.264</f>
        <v>6896.2640000000001</v>
      </c>
      <c r="H2694">
        <f>2156.08</f>
        <v>2156.08</v>
      </c>
      <c r="I2694">
        <f>6955.586</f>
        <v>6955.5860000000002</v>
      </c>
      <c r="J2694">
        <f>2043.13</f>
        <v>2043.13</v>
      </c>
      <c r="K2694">
        <f>5605.08</f>
        <v>5605.08</v>
      </c>
      <c r="L2694">
        <f>1310.77</f>
        <v>1310.77</v>
      </c>
      <c r="M2694">
        <f>5002.71</f>
        <v>5002.71</v>
      </c>
      <c r="N2694">
        <f>213.359</f>
        <v>213.35900000000001</v>
      </c>
      <c r="O2694">
        <f>1856.95</f>
        <v>1856.95</v>
      </c>
      <c r="P2694">
        <f>113.74</f>
        <v>113.74</v>
      </c>
      <c r="Q2694">
        <f>1272.044</f>
        <v>1272.0440000000001</v>
      </c>
      <c r="R2694">
        <f>2688.54</f>
        <v>2688.54</v>
      </c>
      <c r="S2694">
        <f>1305.61</f>
        <v>1305.6099999999999</v>
      </c>
      <c r="T2694">
        <f>2337.553</f>
        <v>2337.5529999999999</v>
      </c>
      <c r="U2694">
        <f>39844.24</f>
        <v>39844.239999999998</v>
      </c>
      <c r="V2694">
        <f>295.44</f>
        <v>295.44</v>
      </c>
    </row>
    <row r="2695" spans="1:22" x14ac:dyDescent="0.2">
      <c r="A2695" s="1">
        <v>41334</v>
      </c>
      <c r="B2695">
        <f>2544.06</f>
        <v>2544.06</v>
      </c>
      <c r="C2695">
        <f>9349.7</f>
        <v>9349.7000000000007</v>
      </c>
      <c r="D2695">
        <f>4507.99</f>
        <v>4507.99</v>
      </c>
      <c r="E2695">
        <f>2001.633</f>
        <v>2001.633</v>
      </c>
      <c r="F2695">
        <f>1483.32</f>
        <v>1483.32</v>
      </c>
      <c r="G2695">
        <f>6905.728</f>
        <v>6905.7280000000001</v>
      </c>
      <c r="H2695">
        <f>2140.3</f>
        <v>2140.3000000000002</v>
      </c>
      <c r="I2695">
        <f>6932.76</f>
        <v>6932.76</v>
      </c>
      <c r="J2695">
        <f>2033.78</f>
        <v>2033.78</v>
      </c>
      <c r="K2695">
        <f>5579.45</f>
        <v>5579.45</v>
      </c>
      <c r="L2695">
        <f>1306.7</f>
        <v>1306.7</v>
      </c>
      <c r="M2695">
        <f>4990.75</f>
        <v>4990.75</v>
      </c>
      <c r="N2695">
        <f>212.728</f>
        <v>212.72800000000001</v>
      </c>
      <c r="O2695">
        <f>1857.14</f>
        <v>1857.14</v>
      </c>
      <c r="P2695">
        <f>112.66</f>
        <v>112.66</v>
      </c>
      <c r="Q2695">
        <f>1264.608</f>
        <v>1264.6079999999999</v>
      </c>
      <c r="R2695">
        <f>2676.18</f>
        <v>2676.18</v>
      </c>
      <c r="S2695">
        <f>1295.19</f>
        <v>1295.19</v>
      </c>
      <c r="T2695">
        <f>2345.953</f>
        <v>2345.953</v>
      </c>
      <c r="U2695">
        <f>40134.97</f>
        <v>40134.97</v>
      </c>
      <c r="V2695">
        <f>296.69</f>
        <v>296.69</v>
      </c>
    </row>
    <row r="2696" spans="1:22" x14ac:dyDescent="0.2">
      <c r="A2696" s="1">
        <v>41333</v>
      </c>
      <c r="B2696">
        <f>2537.15</f>
        <v>2537.15</v>
      </c>
      <c r="C2696">
        <f>9371.05</f>
        <v>9371.0499999999993</v>
      </c>
      <c r="D2696">
        <f>4495.42</f>
        <v>4495.42</v>
      </c>
      <c r="E2696">
        <f>2004.298</f>
        <v>2004.298</v>
      </c>
      <c r="F2696">
        <f>1485.59</f>
        <v>1485.59</v>
      </c>
      <c r="G2696">
        <f>6965.409</f>
        <v>6965.4089999999997</v>
      </c>
      <c r="H2696">
        <f>2143.93</f>
        <v>2143.9299999999998</v>
      </c>
      <c r="I2696">
        <f>7010.426</f>
        <v>7010.4260000000004</v>
      </c>
      <c r="J2696">
        <f>2029.91</f>
        <v>2029.91</v>
      </c>
      <c r="K2696">
        <f>5567.15</f>
        <v>5567.15</v>
      </c>
      <c r="L2696">
        <f>1310.7</f>
        <v>1310.7</v>
      </c>
      <c r="M2696">
        <f>5002.8</f>
        <v>5002.8</v>
      </c>
      <c r="N2696">
        <f>212.1</f>
        <v>212.1</v>
      </c>
      <c r="O2696">
        <f>1861.67</f>
        <v>1861.67</v>
      </c>
      <c r="P2696">
        <f>111.69</f>
        <v>111.69</v>
      </c>
      <c r="Q2696">
        <f>1261.332</f>
        <v>1261.3320000000001</v>
      </c>
      <c r="R2696">
        <f>2669.92</f>
        <v>2669.92</v>
      </c>
      <c r="S2696">
        <f>1283.78</f>
        <v>1283.78</v>
      </c>
      <c r="T2696">
        <f>2303.884</f>
        <v>2303.884</v>
      </c>
      <c r="U2696">
        <f>39709.56</f>
        <v>39709.56</v>
      </c>
      <c r="V2696">
        <f>293.1</f>
        <v>293.10000000000002</v>
      </c>
    </row>
    <row r="2697" spans="1:22" x14ac:dyDescent="0.2">
      <c r="A2697" s="1">
        <v>41332</v>
      </c>
      <c r="B2697">
        <f>2526.3</f>
        <v>2526.3000000000002</v>
      </c>
      <c r="C2697">
        <f>9294.85</f>
        <v>9294.85</v>
      </c>
      <c r="D2697">
        <f>4470.74</f>
        <v>4470.74</v>
      </c>
      <c r="E2697">
        <f>1988.734</f>
        <v>1988.7339999999999</v>
      </c>
      <c r="F2697">
        <f>1473.5</f>
        <v>1473.5</v>
      </c>
      <c r="G2697">
        <f>6907.44</f>
        <v>6907.44</v>
      </c>
      <c r="H2697">
        <f>2122.45</f>
        <v>2122.4499999999998</v>
      </c>
      <c r="I2697">
        <f>6965.795</f>
        <v>6965.7950000000001</v>
      </c>
      <c r="J2697">
        <f>2030.78</f>
        <v>2030.78</v>
      </c>
      <c r="K2697">
        <f>5571.21</f>
        <v>5571.21</v>
      </c>
      <c r="L2697">
        <f>1303.42</f>
        <v>1303.42</v>
      </c>
      <c r="M2697">
        <f>4982.09</f>
        <v>4982.09</v>
      </c>
      <c r="N2697">
        <f>210.072</f>
        <v>210.072</v>
      </c>
      <c r="O2697">
        <f>1843.76</f>
        <v>1843.76</v>
      </c>
      <c r="P2697">
        <f>109.9</f>
        <v>109.9</v>
      </c>
      <c r="Q2697">
        <f>1261.343</f>
        <v>1261.3430000000001</v>
      </c>
      <c r="R2697">
        <f>2672.11</f>
        <v>2672.11</v>
      </c>
      <c r="S2697">
        <f>1254.9</f>
        <v>1254.9000000000001</v>
      </c>
      <c r="T2697">
        <f>2295.921</f>
        <v>2295.9209999999998</v>
      </c>
      <c r="U2697">
        <f>39275.37</f>
        <v>39275.370000000003</v>
      </c>
      <c r="V2697">
        <f>290.92</f>
        <v>290.92</v>
      </c>
    </row>
    <row r="2698" spans="1:22" x14ac:dyDescent="0.2">
      <c r="A2698" s="1">
        <v>41331</v>
      </c>
      <c r="B2698">
        <f>2505.92</f>
        <v>2505.92</v>
      </c>
      <c r="C2698">
        <f>9256.51</f>
        <v>9256.51</v>
      </c>
      <c r="D2698">
        <f>4430.28</f>
        <v>4430.28</v>
      </c>
      <c r="E2698">
        <f>1981.305</f>
        <v>1981.3050000000001</v>
      </c>
      <c r="F2698">
        <f>1462.05</f>
        <v>1462.05</v>
      </c>
      <c r="G2698">
        <f>6843.568</f>
        <v>6843.5680000000002</v>
      </c>
      <c r="H2698">
        <f>2155.46</f>
        <v>2155.46</v>
      </c>
      <c r="I2698">
        <f>6873.203</f>
        <v>6873.2030000000004</v>
      </c>
      <c r="J2698">
        <f>2008.52</f>
        <v>2008.52</v>
      </c>
      <c r="K2698">
        <f>5499.97</f>
        <v>5499.97</v>
      </c>
      <c r="L2698">
        <f>1292.62</f>
        <v>1292.6199999999999</v>
      </c>
      <c r="M2698">
        <f>4933.68</f>
        <v>4933.68</v>
      </c>
      <c r="N2698">
        <f>208.932</f>
        <v>208.93199999999999</v>
      </c>
      <c r="O2698">
        <f>1827.16</f>
        <v>1827.16</v>
      </c>
      <c r="P2698">
        <f>111.11</f>
        <v>111.11</v>
      </c>
      <c r="Q2698">
        <f>1245.511</f>
        <v>1245.511</v>
      </c>
      <c r="R2698">
        <f>2637.89</f>
        <v>2637.89</v>
      </c>
      <c r="S2698">
        <f>1272.08</f>
        <v>1272.08</v>
      </c>
      <c r="T2698">
        <f>2303.776</f>
        <v>2303.7759999999998</v>
      </c>
      <c r="U2698">
        <f>39568.28</f>
        <v>39568.28</v>
      </c>
      <c r="V2698">
        <f>293.99</f>
        <v>293.99</v>
      </c>
    </row>
    <row r="2699" spans="1:22" x14ac:dyDescent="0.2">
      <c r="A2699" s="1">
        <v>41330</v>
      </c>
      <c r="B2699">
        <f>2544.2</f>
        <v>2544.1999999999998</v>
      </c>
      <c r="C2699">
        <f>9361.63</f>
        <v>9361.6299999999992</v>
      </c>
      <c r="D2699">
        <f>4490.29</f>
        <v>4490.29</v>
      </c>
      <c r="E2699">
        <f>2003.47</f>
        <v>2003.47</v>
      </c>
      <c r="F2699">
        <f>1474.95</f>
        <v>1474.95</v>
      </c>
      <c r="G2699">
        <f>6926.214</f>
        <v>6926.2139999999999</v>
      </c>
      <c r="H2699">
        <f>2134.55</f>
        <v>2134.5500000000002</v>
      </c>
      <c r="I2699">
        <f>7073.77</f>
        <v>7073.77</v>
      </c>
      <c r="J2699">
        <f>1997.2</f>
        <v>1997.2</v>
      </c>
      <c r="K2699">
        <f>5465.69</f>
        <v>5465.69</v>
      </c>
      <c r="L2699">
        <f>1302.9</f>
        <v>1302.9000000000001</v>
      </c>
      <c r="M2699">
        <f>4950.25</f>
        <v>4950.25</v>
      </c>
      <c r="N2699">
        <f>209.161</f>
        <v>209.161</v>
      </c>
      <c r="O2699">
        <f>1852.63</f>
        <v>1852.63</v>
      </c>
      <c r="P2699">
        <f>112.12</f>
        <v>112.12</v>
      </c>
      <c r="Q2699">
        <f>1236.539</f>
        <v>1236.539</v>
      </c>
      <c r="R2699">
        <f>2621.46</f>
        <v>2621.46</v>
      </c>
      <c r="S2699">
        <f>1289.99</f>
        <v>1289.99</v>
      </c>
      <c r="T2699">
        <f>2309.692</f>
        <v>2309.692</v>
      </c>
      <c r="U2699">
        <f>39787.96</f>
        <v>39787.96</v>
      </c>
      <c r="V2699">
        <f>295.6</f>
        <v>295.60000000000002</v>
      </c>
    </row>
    <row r="2700" spans="1:22" x14ac:dyDescent="0.2">
      <c r="A2700" s="1">
        <v>41327</v>
      </c>
      <c r="B2700">
        <f>2547.01</f>
        <v>2547.0100000000002</v>
      </c>
      <c r="C2700">
        <f>9334.15</f>
        <v>9334.15</v>
      </c>
      <c r="D2700">
        <f>4476.39</f>
        <v>4476.3900000000003</v>
      </c>
      <c r="E2700">
        <f>2001.485</f>
        <v>2001.4849999999999</v>
      </c>
      <c r="F2700">
        <f>1487.23</f>
        <v>1487.23</v>
      </c>
      <c r="G2700">
        <f>6976.021</f>
        <v>6976.0209999999997</v>
      </c>
      <c r="H2700">
        <f>2108.51</f>
        <v>2108.5100000000002</v>
      </c>
      <c r="I2700">
        <f>7010.7</f>
        <v>7010.7</v>
      </c>
      <c r="J2700">
        <f>2025.67</f>
        <v>2025.67</v>
      </c>
      <c r="K2700">
        <f>5565.83</f>
        <v>5565.83</v>
      </c>
      <c r="L2700">
        <f>1306.53</f>
        <v>1306.53</v>
      </c>
      <c r="M2700">
        <f>4988.55</f>
        <v>4988.55</v>
      </c>
      <c r="N2700">
        <f>210.486</f>
        <v>210.48599999999999</v>
      </c>
      <c r="O2700">
        <f>1849.56</f>
        <v>1849.56</v>
      </c>
      <c r="P2700">
        <f>110.46</f>
        <v>110.46</v>
      </c>
      <c r="Q2700">
        <f>1257.049</f>
        <v>1257.049</v>
      </c>
      <c r="R2700">
        <f>2670.36</f>
        <v>2670.36</v>
      </c>
      <c r="S2700">
        <f>1267.34</f>
        <v>1267.3399999999999</v>
      </c>
      <c r="T2700">
        <f>2288.819</f>
        <v>2288.819</v>
      </c>
      <c r="U2700">
        <f>39657.82</f>
        <v>39657.82</v>
      </c>
      <c r="V2700">
        <f>293.3</f>
        <v>293.3</v>
      </c>
    </row>
    <row r="2701" spans="1:22" x14ac:dyDescent="0.2">
      <c r="A2701" s="1">
        <v>41326</v>
      </c>
      <c r="B2701">
        <f>2523.86</f>
        <v>2523.86</v>
      </c>
      <c r="C2701">
        <f>9354.43</f>
        <v>9354.43</v>
      </c>
      <c r="D2701">
        <f>4445.19</f>
        <v>4445.1899999999996</v>
      </c>
      <c r="E2701">
        <f>2001.015</f>
        <v>2001.0150000000001</v>
      </c>
      <c r="F2701">
        <f>1471.42</f>
        <v>1471.42</v>
      </c>
      <c r="G2701">
        <f>6923.77</f>
        <v>6923.77</v>
      </c>
      <c r="H2701">
        <f>2125.71</f>
        <v>2125.71</v>
      </c>
      <c r="I2701">
        <f>6951.431</f>
        <v>6951.4309999999996</v>
      </c>
      <c r="J2701">
        <f>2009.67</f>
        <v>2009.67</v>
      </c>
      <c r="K2701">
        <f>5516.03</f>
        <v>5516.03</v>
      </c>
      <c r="L2701">
        <f>1296.47</f>
        <v>1296.47</v>
      </c>
      <c r="M2701">
        <f>4952.76</f>
        <v>4952.76</v>
      </c>
      <c r="N2701">
        <f>207.88</f>
        <v>207.88</v>
      </c>
      <c r="O2701">
        <f>1827.3</f>
        <v>1827.3</v>
      </c>
      <c r="P2701">
        <f>109.99</f>
        <v>109.99</v>
      </c>
      <c r="Q2701">
        <f>1247.11</f>
        <v>1247.1099999999999</v>
      </c>
      <c r="R2701">
        <f>2646.75</f>
        <v>2646.75</v>
      </c>
      <c r="S2701">
        <f>1266.52</f>
        <v>1266.52</v>
      </c>
      <c r="T2701">
        <f>2295.616</f>
        <v>2295.616</v>
      </c>
      <c r="U2701">
        <f>39670.09</f>
        <v>39670.089999999997</v>
      </c>
      <c r="V2701">
        <f>293.54</f>
        <v>293.54000000000002</v>
      </c>
    </row>
    <row r="2702" spans="1:22" x14ac:dyDescent="0.2">
      <c r="A2702" s="1">
        <v>41325</v>
      </c>
      <c r="B2702">
        <f>2553.97</f>
        <v>2553.9699999999998</v>
      </c>
      <c r="C2702">
        <f>9485.27</f>
        <v>9485.27</v>
      </c>
      <c r="D2702">
        <f>4518.55</f>
        <v>4518.55</v>
      </c>
      <c r="E2702">
        <f>2030.014</f>
        <v>2030.0139999999999</v>
      </c>
      <c r="F2702">
        <f>1491.9</f>
        <v>1491.9</v>
      </c>
      <c r="G2702">
        <f>7058.699</f>
        <v>7058.6989999999996</v>
      </c>
      <c r="H2702">
        <f>2134.65</f>
        <v>2134.65</v>
      </c>
      <c r="I2702">
        <f>7155.987</f>
        <v>7155.9870000000001</v>
      </c>
      <c r="J2702">
        <f>2016.62</f>
        <v>2016.62</v>
      </c>
      <c r="K2702">
        <f>5551.27</f>
        <v>5551.27</v>
      </c>
      <c r="L2702">
        <f>1314.29</f>
        <v>1314.29</v>
      </c>
      <c r="M2702">
        <f>5015.77</f>
        <v>5015.7700000000004</v>
      </c>
      <c r="N2702">
        <f>209.178</f>
        <v>209.178</v>
      </c>
      <c r="O2702">
        <f>1854.74</f>
        <v>1854.74</v>
      </c>
      <c r="P2702">
        <f>110.35</f>
        <v>110.35</v>
      </c>
      <c r="Q2702">
        <f>1252.757</f>
        <v>1252.7570000000001</v>
      </c>
      <c r="R2702">
        <f>2662.94</f>
        <v>2662.94</v>
      </c>
      <c r="S2702">
        <f>1280.78</f>
        <v>1280.78</v>
      </c>
      <c r="T2702">
        <f>2310.721</f>
        <v>2310.721</v>
      </c>
      <c r="U2702">
        <f>40428.28</f>
        <v>40428.28</v>
      </c>
      <c r="V2702">
        <f>296.55</f>
        <v>296.55</v>
      </c>
    </row>
    <row r="2703" spans="1:22" x14ac:dyDescent="0.2">
      <c r="A2703" s="1">
        <v>41324</v>
      </c>
      <c r="B2703">
        <f>2556.4</f>
        <v>2556.4</v>
      </c>
      <c r="C2703">
        <f>9475.9</f>
        <v>9475.9</v>
      </c>
      <c r="D2703">
        <f>4501.34</f>
        <v>4501.34</v>
      </c>
      <c r="E2703">
        <f>2021.461</f>
        <v>2021.461</v>
      </c>
      <c r="F2703">
        <f>1493.05</f>
        <v>1493.05</v>
      </c>
      <c r="G2703">
        <f>7097.153</f>
        <v>7097.1530000000002</v>
      </c>
      <c r="H2703">
        <f>2121.12</f>
        <v>2121.12</v>
      </c>
      <c r="I2703">
        <f>7156.861</f>
        <v>7156.8609999999999</v>
      </c>
      <c r="J2703">
        <f>2029.13</f>
        <v>2029.13</v>
      </c>
      <c r="K2703">
        <f>5621.74</f>
        <v>5621.74</v>
      </c>
      <c r="L2703">
        <f>1315.52</f>
        <v>1315.52</v>
      </c>
      <c r="M2703">
        <f>5049.89</f>
        <v>5049.8900000000003</v>
      </c>
      <c r="N2703">
        <f>208.819</f>
        <v>208.81899999999999</v>
      </c>
      <c r="O2703">
        <f>1857.47</f>
        <v>1857.47</v>
      </c>
      <c r="P2703">
        <f>109.02</f>
        <v>109.02</v>
      </c>
      <c r="Q2703">
        <f>1263.517</f>
        <v>1263.5170000000001</v>
      </c>
      <c r="R2703">
        <f>2696.26</f>
        <v>2696.26</v>
      </c>
      <c r="S2703">
        <f>1267.51</f>
        <v>1267.51</v>
      </c>
      <c r="T2703">
        <f>2320.191</f>
        <v>2320.1909999999998</v>
      </c>
      <c r="U2703">
        <f>40732.52</f>
        <v>40732.519999999997</v>
      </c>
      <c r="V2703">
        <f>296.97</f>
        <v>296.97000000000003</v>
      </c>
    </row>
    <row r="2704" spans="1:22" x14ac:dyDescent="0.2">
      <c r="A2704" s="1">
        <v>41323</v>
      </c>
      <c r="B2704">
        <f>2518.55</f>
        <v>2518.5500000000002</v>
      </c>
      <c r="C2704">
        <f>9497.56</f>
        <v>9497.56</v>
      </c>
      <c r="D2704">
        <f>4458.38</f>
        <v>4458.38</v>
      </c>
      <c r="E2704">
        <f>2022.125</f>
        <v>2022.125</v>
      </c>
      <c r="F2704">
        <f>1485.1</f>
        <v>1485.1</v>
      </c>
      <c r="G2704">
        <f>7045.573</f>
        <v>7045.5730000000003</v>
      </c>
      <c r="H2704">
        <f>2107.66</f>
        <v>2107.66</v>
      </c>
      <c r="I2704">
        <f>7059.445</f>
        <v>7059.4449999999997</v>
      </c>
      <c r="J2704">
        <f>2010.78</f>
        <v>2010.78</v>
      </c>
      <c r="K2704">
        <f>5581.49</f>
        <v>5581.49</v>
      </c>
      <c r="L2704">
        <f>1302.16</f>
        <v>1302.1600000000001</v>
      </c>
      <c r="M2704">
        <f>5008.93</f>
        <v>5008.93</v>
      </c>
      <c r="N2704">
        <f>206.873</f>
        <v>206.87299999999999</v>
      </c>
      <c r="O2704">
        <f>1838.08</f>
        <v>1838.08</v>
      </c>
      <c r="P2704">
        <f>108.49</f>
        <v>108.49</v>
      </c>
      <c r="Q2704" t="e">
        <f>NA()</f>
        <v>#N/A</v>
      </c>
      <c r="R2704" t="e">
        <f>NA()</f>
        <v>#N/A</v>
      </c>
      <c r="S2704">
        <f>1266.31</f>
        <v>1266.31</v>
      </c>
      <c r="T2704">
        <f>2325.185</f>
        <v>2325.1849999999999</v>
      </c>
      <c r="U2704">
        <f>40512.76</f>
        <v>40512.76</v>
      </c>
      <c r="V2704">
        <f>296.91</f>
        <v>296.91000000000003</v>
      </c>
    </row>
    <row r="2705" spans="1:22" x14ac:dyDescent="0.2">
      <c r="A2705" s="1">
        <v>41320</v>
      </c>
      <c r="B2705">
        <f>2522.56</f>
        <v>2522.56</v>
      </c>
      <c r="C2705">
        <f>9508.73</f>
        <v>9508.73</v>
      </c>
      <c r="D2705">
        <f>4465.48</f>
        <v>4465.4799999999996</v>
      </c>
      <c r="E2705">
        <f>2026.177</f>
        <v>2026.1769999999999</v>
      </c>
      <c r="F2705">
        <f>1488.85</f>
        <v>1488.85</v>
      </c>
      <c r="G2705">
        <f>7076.692</f>
        <v>7076.692</v>
      </c>
      <c r="H2705">
        <f>2059.07</f>
        <v>2059.0700000000002</v>
      </c>
      <c r="I2705">
        <f>7062.2</f>
        <v>7062.2</v>
      </c>
      <c r="J2705">
        <f>2010.78</f>
        <v>2010.78</v>
      </c>
      <c r="K2705">
        <f>5581.49</f>
        <v>5581.49</v>
      </c>
      <c r="L2705">
        <f>1299.9</f>
        <v>1299.9000000000001</v>
      </c>
      <c r="M2705">
        <f>5002.8</f>
        <v>5002.8</v>
      </c>
      <c r="N2705">
        <f>207.549</f>
        <v>207.54900000000001</v>
      </c>
      <c r="O2705">
        <f>1841.5</f>
        <v>1841.5</v>
      </c>
      <c r="P2705">
        <f>106.45</f>
        <v>106.45</v>
      </c>
      <c r="Q2705">
        <f>1258.281</f>
        <v>1258.2809999999999</v>
      </c>
      <c r="R2705">
        <f>2676.21</f>
        <v>2676.21</v>
      </c>
      <c r="S2705">
        <f>1239.58</f>
        <v>1239.58</v>
      </c>
      <c r="T2705">
        <f>2333.712</f>
        <v>2333.712</v>
      </c>
      <c r="U2705">
        <f>40681.34</f>
        <v>40681.339999999997</v>
      </c>
      <c r="V2705">
        <f>297.45</f>
        <v>297.45</v>
      </c>
    </row>
    <row r="2706" spans="1:22" x14ac:dyDescent="0.2">
      <c r="A2706" s="1">
        <v>41319</v>
      </c>
      <c r="B2706">
        <f>2526.76</f>
        <v>2526.7600000000002</v>
      </c>
      <c r="C2706">
        <f>9511.99</f>
        <v>9511.99</v>
      </c>
      <c r="D2706">
        <f>4464.85</f>
        <v>4464.8500000000004</v>
      </c>
      <c r="E2706">
        <f>2024.861</f>
        <v>2024.8610000000001</v>
      </c>
      <c r="F2706">
        <f>1491.25</f>
        <v>1491.25</v>
      </c>
      <c r="G2706">
        <f>7076.196</f>
        <v>7076.1959999999999</v>
      </c>
      <c r="H2706">
        <f>2105.74</f>
        <v>2105.7399999999998</v>
      </c>
      <c r="I2706">
        <f>7076.576</f>
        <v>7076.576</v>
      </c>
      <c r="J2706">
        <f>2009.05</f>
        <v>2009.05</v>
      </c>
      <c r="K2706">
        <f>5587.51</f>
        <v>5587.51</v>
      </c>
      <c r="L2706">
        <f>1302.46</f>
        <v>1302.46</v>
      </c>
      <c r="M2706">
        <f>5019.14</f>
        <v>5019.1400000000003</v>
      </c>
      <c r="N2706">
        <f>207.365</f>
        <v>207.36500000000001</v>
      </c>
      <c r="O2706">
        <f>1844.72</f>
        <v>1844.72</v>
      </c>
      <c r="P2706">
        <f>107.14</f>
        <v>107.14</v>
      </c>
      <c r="Q2706">
        <f>1252.333</f>
        <v>1252.3330000000001</v>
      </c>
      <c r="R2706">
        <f>2678.77</f>
        <v>2678.77</v>
      </c>
      <c r="S2706">
        <f>1255.99</f>
        <v>1255.99</v>
      </c>
      <c r="T2706">
        <f>2329.911</f>
        <v>2329.9110000000001</v>
      </c>
      <c r="U2706">
        <f>40732.86</f>
        <v>40732.86</v>
      </c>
      <c r="V2706">
        <f>298.59</f>
        <v>298.58999999999997</v>
      </c>
    </row>
    <row r="2707" spans="1:22" x14ac:dyDescent="0.2">
      <c r="A2707" s="1">
        <v>41318</v>
      </c>
      <c r="B2707">
        <f>2537.9</f>
        <v>2537.9</v>
      </c>
      <c r="C2707">
        <f>9494.11</f>
        <v>9494.11</v>
      </c>
      <c r="D2707">
        <f>4487.26</f>
        <v>4487.26</v>
      </c>
      <c r="E2707">
        <f>2023.029</f>
        <v>2023.029</v>
      </c>
      <c r="F2707">
        <f>1505.04</f>
        <v>1505.04</v>
      </c>
      <c r="G2707">
        <f>7119.039</f>
        <v>7119.0389999999998</v>
      </c>
      <c r="H2707">
        <f>2105.27</f>
        <v>2105.27</v>
      </c>
      <c r="I2707">
        <f>7146.42</f>
        <v>7146.42</v>
      </c>
      <c r="J2707">
        <f>2007.62</f>
        <v>2007.62</v>
      </c>
      <c r="K2707">
        <f>5583.11</f>
        <v>5583.11</v>
      </c>
      <c r="L2707">
        <f>1306.87</f>
        <v>1306.8699999999999</v>
      </c>
      <c r="M2707">
        <f>5026.67</f>
        <v>5026.67</v>
      </c>
      <c r="N2707">
        <f>207.534</f>
        <v>207.53399999999999</v>
      </c>
      <c r="O2707">
        <f>1848.14</f>
        <v>1848.14</v>
      </c>
      <c r="P2707">
        <f>107.31</f>
        <v>107.31</v>
      </c>
      <c r="Q2707">
        <f>1248.207</f>
        <v>1248.2070000000001</v>
      </c>
      <c r="R2707">
        <f>2676.6</f>
        <v>2676.6</v>
      </c>
      <c r="S2707">
        <f>1258.8</f>
        <v>1258.8</v>
      </c>
      <c r="T2707">
        <f>2321.865</f>
        <v>2321.8649999999998</v>
      </c>
      <c r="U2707">
        <f>40808.73</f>
        <v>40808.730000000003</v>
      </c>
      <c r="V2707">
        <f>298.35</f>
        <v>298.35000000000002</v>
      </c>
    </row>
    <row r="2708" spans="1:22" x14ac:dyDescent="0.2">
      <c r="A2708" s="1">
        <v>41317</v>
      </c>
      <c r="B2708">
        <f>2528.6</f>
        <v>2528.6</v>
      </c>
      <c r="C2708">
        <f>9450.27</f>
        <v>9450.27</v>
      </c>
      <c r="D2708">
        <f>4460.71</f>
        <v>4460.71</v>
      </c>
      <c r="E2708">
        <f>2011.911</f>
        <v>2011.9110000000001</v>
      </c>
      <c r="F2708">
        <f>1512.49</f>
        <v>1512.49</v>
      </c>
      <c r="G2708">
        <f>7129.699</f>
        <v>7129.6989999999996</v>
      </c>
      <c r="H2708">
        <f>2132.05</f>
        <v>2132.0500000000002</v>
      </c>
      <c r="I2708">
        <f>7113.078</f>
        <v>7113.0780000000004</v>
      </c>
      <c r="J2708">
        <f>2006.95</f>
        <v>2006.95</v>
      </c>
      <c r="K2708">
        <f>5577.23</f>
        <v>5577.23</v>
      </c>
      <c r="L2708">
        <f>1304.59</f>
        <v>1304.5899999999999</v>
      </c>
      <c r="M2708">
        <f>5024.25</f>
        <v>5024.25</v>
      </c>
      <c r="N2708">
        <f>206.878</f>
        <v>206.87799999999999</v>
      </c>
      <c r="O2708">
        <f>1841.26</f>
        <v>1841.26</v>
      </c>
      <c r="P2708">
        <f>108.18</f>
        <v>108.18</v>
      </c>
      <c r="Q2708">
        <f>1246.095</f>
        <v>1246.095</v>
      </c>
      <c r="R2708">
        <f>2673.77</f>
        <v>2673.77</v>
      </c>
      <c r="S2708">
        <f>1273.91</f>
        <v>1273.9100000000001</v>
      </c>
      <c r="T2708">
        <f>2320.628</f>
        <v>2320.6280000000002</v>
      </c>
      <c r="U2708">
        <f>40700.45</f>
        <v>40700.449999999997</v>
      </c>
      <c r="V2708">
        <f>297.48</f>
        <v>297.48</v>
      </c>
    </row>
    <row r="2709" spans="1:22" x14ac:dyDescent="0.2">
      <c r="A2709" s="1">
        <v>41316</v>
      </c>
      <c r="B2709">
        <f>2509.74</f>
        <v>2509.7399999999998</v>
      </c>
      <c r="C2709">
        <f>9455.62</f>
        <v>9455.6200000000008</v>
      </c>
      <c r="D2709">
        <f>4417.56</f>
        <v>4417.5600000000004</v>
      </c>
      <c r="E2709">
        <f>2010.572</f>
        <v>2010.5719999999999</v>
      </c>
      <c r="F2709">
        <f>1507.64</f>
        <v>1507.64</v>
      </c>
      <c r="G2709">
        <f>7062.777</f>
        <v>7062.777</v>
      </c>
      <c r="H2709">
        <f>2090.01</f>
        <v>2090.0100000000002</v>
      </c>
      <c r="I2709">
        <f>7027.452</f>
        <v>7027.4520000000002</v>
      </c>
      <c r="J2709">
        <f>2004.13</f>
        <v>2004.13</v>
      </c>
      <c r="K2709">
        <f>5569.02</f>
        <v>5569.02</v>
      </c>
      <c r="L2709">
        <f>1296.53</f>
        <v>1296.53</v>
      </c>
      <c r="M2709">
        <f>4995.18</f>
        <v>4995.18</v>
      </c>
      <c r="N2709">
        <f>205.996</f>
        <v>205.99600000000001</v>
      </c>
      <c r="O2709">
        <f>1830.12</f>
        <v>1830.12</v>
      </c>
      <c r="P2709" t="e">
        <f>NA()</f>
        <v>#N/A</v>
      </c>
      <c r="Q2709">
        <f>1242.309</f>
        <v>1242.309</v>
      </c>
      <c r="R2709">
        <f>2669.37</f>
        <v>2669.37</v>
      </c>
      <c r="S2709" t="e">
        <f>NA()</f>
        <v>#N/A</v>
      </c>
      <c r="T2709">
        <f>2333.639</f>
        <v>2333.6390000000001</v>
      </c>
      <c r="U2709">
        <f>40832.67</f>
        <v>40832.67</v>
      </c>
      <c r="V2709">
        <f>298.74</f>
        <v>298.74</v>
      </c>
    </row>
    <row r="2710" spans="1:22" x14ac:dyDescent="0.2">
      <c r="A2710" s="1">
        <v>41313</v>
      </c>
      <c r="B2710">
        <f>2499.29</f>
        <v>2499.29</v>
      </c>
      <c r="C2710">
        <f>9478.29</f>
        <v>9478.2900000000009</v>
      </c>
      <c r="D2710">
        <f>4408.32</f>
        <v>4408.32</v>
      </c>
      <c r="E2710">
        <f>2014.581</f>
        <v>2014.5809999999999</v>
      </c>
      <c r="F2710">
        <f>1516.92</f>
        <v>1516.92</v>
      </c>
      <c r="G2710">
        <f>7125.871</f>
        <v>7125.8710000000001</v>
      </c>
      <c r="H2710">
        <f>2105.67</f>
        <v>2105.67</v>
      </c>
      <c r="I2710">
        <f>7059.099</f>
        <v>7059.0990000000002</v>
      </c>
      <c r="J2710">
        <f>2003.73</f>
        <v>2003.73</v>
      </c>
      <c r="K2710">
        <f>5572.73</f>
        <v>5572.73</v>
      </c>
      <c r="L2710">
        <f>1298.99</f>
        <v>1298.99</v>
      </c>
      <c r="M2710">
        <f>5011.89</f>
        <v>5011.8900000000003</v>
      </c>
      <c r="N2710">
        <f>208.27</f>
        <v>208.27</v>
      </c>
      <c r="O2710">
        <f>1842.56</f>
        <v>1842.56</v>
      </c>
      <c r="P2710">
        <f>106.87</f>
        <v>106.87</v>
      </c>
      <c r="Q2710">
        <f>1243.079</f>
        <v>1243.079</v>
      </c>
      <c r="R2710">
        <f>2670.85</f>
        <v>2670.85</v>
      </c>
      <c r="S2710">
        <f>1259.24</f>
        <v>1259.24</v>
      </c>
      <c r="T2710">
        <f>2330.95</f>
        <v>2330.9499999999998</v>
      </c>
      <c r="U2710">
        <f>40892.65</f>
        <v>40892.65</v>
      </c>
      <c r="V2710">
        <f>297.36</f>
        <v>297.36</v>
      </c>
    </row>
    <row r="2711" spans="1:22" x14ac:dyDescent="0.2">
      <c r="A2711" s="1">
        <v>41312</v>
      </c>
      <c r="B2711">
        <f>2480.3</f>
        <v>2480.3000000000002</v>
      </c>
      <c r="C2711">
        <f>9478.43</f>
        <v>9478.43</v>
      </c>
      <c r="D2711">
        <f>4383.33</f>
        <v>4383.33</v>
      </c>
      <c r="E2711">
        <f>2012.01</f>
        <v>2012.01</v>
      </c>
      <c r="F2711">
        <f>1501.9</f>
        <v>1501.9</v>
      </c>
      <c r="G2711">
        <f>7025.907</f>
        <v>7025.9070000000002</v>
      </c>
      <c r="H2711">
        <f>2112.61</f>
        <v>2112.61</v>
      </c>
      <c r="I2711">
        <f>6990.453</f>
        <v>6990.4530000000004</v>
      </c>
      <c r="J2711">
        <f>1997.86</f>
        <v>1997.86</v>
      </c>
      <c r="K2711">
        <f>5540.11</f>
        <v>5540.11</v>
      </c>
      <c r="L2711">
        <f>1291.41</f>
        <v>1291.4100000000001</v>
      </c>
      <c r="M2711">
        <f>4981.45</f>
        <v>4981.45</v>
      </c>
      <c r="N2711">
        <f>205.864</f>
        <v>205.864</v>
      </c>
      <c r="O2711">
        <f>1821.43</f>
        <v>1821.43</v>
      </c>
      <c r="P2711">
        <f>107.49</f>
        <v>107.49</v>
      </c>
      <c r="Q2711">
        <f>1239.577</f>
        <v>1239.577</v>
      </c>
      <c r="R2711">
        <f>2655.84</f>
        <v>2655.84</v>
      </c>
      <c r="S2711">
        <f>1274.81</f>
        <v>1274.81</v>
      </c>
      <c r="T2711">
        <f>2332.491</f>
        <v>2332.491</v>
      </c>
      <c r="U2711">
        <f>40694.77</f>
        <v>40694.769999999997</v>
      </c>
      <c r="V2711">
        <f>295.99</f>
        <v>295.99</v>
      </c>
    </row>
    <row r="2712" spans="1:22" x14ac:dyDescent="0.2">
      <c r="A2712" s="1">
        <v>41311</v>
      </c>
      <c r="B2712">
        <f>2493.65</f>
        <v>2493.65</v>
      </c>
      <c r="C2712">
        <f>9527.6</f>
        <v>9527.6</v>
      </c>
      <c r="D2712">
        <f>4430.43</f>
        <v>4430.43</v>
      </c>
      <c r="E2712">
        <f>2019.883</f>
        <v>2019.883</v>
      </c>
      <c r="F2712">
        <f>1512.29</f>
        <v>1512.29</v>
      </c>
      <c r="G2712">
        <f>7078.046</f>
        <v>7078.0460000000003</v>
      </c>
      <c r="H2712">
        <f>2099.21</f>
        <v>2099.21</v>
      </c>
      <c r="I2712">
        <f>7109.261</f>
        <v>7109.2610000000004</v>
      </c>
      <c r="J2712">
        <f>2001.06</f>
        <v>2001.06</v>
      </c>
      <c r="K2712">
        <f>5548.73</f>
        <v>5548.73</v>
      </c>
      <c r="L2712">
        <f>1299.99</f>
        <v>1299.99</v>
      </c>
      <c r="M2712">
        <f>5003.22</f>
        <v>5003.22</v>
      </c>
      <c r="N2712">
        <f>205.44</f>
        <v>205.44</v>
      </c>
      <c r="O2712">
        <f>1826.44</f>
        <v>1826.44</v>
      </c>
      <c r="P2712">
        <f>107.7</f>
        <v>107.7</v>
      </c>
      <c r="Q2712">
        <f>1241.696</f>
        <v>1241.6959999999999</v>
      </c>
      <c r="R2712">
        <f>2659.55</f>
        <v>2659.55</v>
      </c>
      <c r="S2712">
        <f>1274.33</f>
        <v>1274.33</v>
      </c>
      <c r="T2712">
        <f>2319.035</f>
        <v>2319.0349999999999</v>
      </c>
      <c r="U2712">
        <f>40559.67</f>
        <v>40559.67</v>
      </c>
      <c r="V2712">
        <f>293.78</f>
        <v>293.77999999999997</v>
      </c>
    </row>
    <row r="2713" spans="1:22" x14ac:dyDescent="0.2">
      <c r="A2713" s="1">
        <v>41310</v>
      </c>
      <c r="B2713">
        <f>2475.87</f>
        <v>2475.87</v>
      </c>
      <c r="C2713">
        <f>9563.4</f>
        <v>9563.4</v>
      </c>
      <c r="D2713">
        <f>4420.89</f>
        <v>4420.8900000000003</v>
      </c>
      <c r="E2713">
        <f>2027.136</f>
        <v>2027.136</v>
      </c>
      <c r="F2713">
        <f>1516.44</f>
        <v>1516.44</v>
      </c>
      <c r="G2713">
        <f>7068.307</f>
        <v>7068.3069999999998</v>
      </c>
      <c r="H2713">
        <f>2047.53</f>
        <v>2047.53</v>
      </c>
      <c r="I2713">
        <f>7149.371</f>
        <v>7149.3710000000001</v>
      </c>
      <c r="J2713">
        <f>1997.26</f>
        <v>1997.26</v>
      </c>
      <c r="K2713">
        <f>5544.69</f>
        <v>5544.69</v>
      </c>
      <c r="L2713">
        <f>1298.88</f>
        <v>1298.8800000000001</v>
      </c>
      <c r="M2713">
        <f>4991.37</f>
        <v>4991.37</v>
      </c>
      <c r="N2713">
        <f>204.68</f>
        <v>204.68</v>
      </c>
      <c r="O2713">
        <f>1830.09</f>
        <v>1830.09</v>
      </c>
      <c r="P2713">
        <f>105.49</f>
        <v>105.49</v>
      </c>
      <c r="Q2713">
        <f>1239.027</f>
        <v>1239.027</v>
      </c>
      <c r="R2713">
        <f>2657.76</f>
        <v>2657.76</v>
      </c>
      <c r="S2713">
        <f>1236.03</f>
        <v>1236.03</v>
      </c>
      <c r="T2713">
        <f>2320.649</f>
        <v>2320.6489999999999</v>
      </c>
      <c r="U2713">
        <f>40663.34</f>
        <v>40663.339999999997</v>
      </c>
      <c r="V2713">
        <f>294.9</f>
        <v>294.89999999999998</v>
      </c>
    </row>
    <row r="2714" spans="1:22" x14ac:dyDescent="0.2">
      <c r="A2714" s="1">
        <v>41309</v>
      </c>
      <c r="B2714">
        <f>2456.29</f>
        <v>2456.29</v>
      </c>
      <c r="C2714">
        <f>9607.62</f>
        <v>9607.6200000000008</v>
      </c>
      <c r="D2714">
        <f>4395.61</f>
        <v>4395.6099999999997</v>
      </c>
      <c r="E2714">
        <f>2036.712</f>
        <v>2036.712</v>
      </c>
      <c r="F2714">
        <f>1518.39</f>
        <v>1518.39</v>
      </c>
      <c r="G2714">
        <f>7059.466</f>
        <v>7059.4660000000003</v>
      </c>
      <c r="H2714">
        <f>2098.16</f>
        <v>2098.16</v>
      </c>
      <c r="I2714">
        <f>7115.118</f>
        <v>7115.1180000000004</v>
      </c>
      <c r="J2714">
        <f>1981.24</f>
        <v>1981.24</v>
      </c>
      <c r="K2714">
        <f>5487.07</f>
        <v>5487.07</v>
      </c>
      <c r="L2714">
        <f>1295.61</f>
        <v>1295.6099999999999</v>
      </c>
      <c r="M2714">
        <f>4971.63</f>
        <v>4971.63</v>
      </c>
      <c r="N2714">
        <f>204.6</f>
        <v>204.6</v>
      </c>
      <c r="O2714">
        <f>1824.31</f>
        <v>1824.31</v>
      </c>
      <c r="P2714">
        <f>106.63</f>
        <v>106.63</v>
      </c>
      <c r="Q2714">
        <f>1229.315</f>
        <v>1229.3150000000001</v>
      </c>
      <c r="R2714">
        <f>2630.05</f>
        <v>2630.05</v>
      </c>
      <c r="S2714">
        <f>1257.13</f>
        <v>1257.1300000000001</v>
      </c>
      <c r="T2714">
        <f>2301.656</f>
        <v>2301.6559999999999</v>
      </c>
      <c r="U2714">
        <f>40571.82</f>
        <v>40571.82</v>
      </c>
      <c r="V2714">
        <f>294.25</f>
        <v>294.25</v>
      </c>
    </row>
    <row r="2715" spans="1:22" x14ac:dyDescent="0.2">
      <c r="A2715" s="1">
        <v>41306</v>
      </c>
      <c r="B2715">
        <f>2490.01</f>
        <v>2490.0100000000002</v>
      </c>
      <c r="C2715">
        <f>9620.88</f>
        <v>9620.8799999999992</v>
      </c>
      <c r="D2715">
        <f>4466.26</f>
        <v>4466.26</v>
      </c>
      <c r="E2715">
        <f>2036.839</f>
        <v>2036.8389999999999</v>
      </c>
      <c r="F2715">
        <f>1542.33</f>
        <v>1542.33</v>
      </c>
      <c r="G2715">
        <f>7174.104</f>
        <v>7174.1040000000003</v>
      </c>
      <c r="H2715">
        <f>2065.72</f>
        <v>2065.7199999999998</v>
      </c>
      <c r="I2715">
        <f>7329.554</f>
        <v>7329.5540000000001</v>
      </c>
      <c r="J2715">
        <f>2000.05</f>
        <v>2000.05</v>
      </c>
      <c r="K2715">
        <f>5550.81</f>
        <v>5550.81</v>
      </c>
      <c r="L2715">
        <f>1313.57</f>
        <v>1313.57</v>
      </c>
      <c r="M2715">
        <f>5032.35</f>
        <v>5032.3500000000004</v>
      </c>
      <c r="N2715">
        <f>205.463</f>
        <v>205.46299999999999</v>
      </c>
      <c r="O2715">
        <f>1850.97</f>
        <v>1850.97</v>
      </c>
      <c r="P2715">
        <f>106.93</f>
        <v>106.93</v>
      </c>
      <c r="Q2715">
        <f>1243.047</f>
        <v>1243.047</v>
      </c>
      <c r="R2715">
        <f>2660.7</f>
        <v>2660.7</v>
      </c>
      <c r="S2715">
        <f>1239.91</f>
        <v>1239.9100000000001</v>
      </c>
      <c r="T2715">
        <f>2322.8</f>
        <v>2322.8000000000002</v>
      </c>
      <c r="U2715">
        <f>40601.09</f>
        <v>40601.089999999997</v>
      </c>
      <c r="V2715">
        <f>297.94</f>
        <v>297.94</v>
      </c>
    </row>
    <row r="2716" spans="1:22" x14ac:dyDescent="0.2">
      <c r="A2716" s="1">
        <v>41305</v>
      </c>
      <c r="B2716">
        <f>2461.46</f>
        <v>2461.46</v>
      </c>
      <c r="C2716">
        <f>9555.96</f>
        <v>9555.9599999999991</v>
      </c>
      <c r="D2716">
        <f>4416.75</f>
        <v>4416.75</v>
      </c>
      <c r="E2716">
        <f>2029.504</f>
        <v>2029.5039999999999</v>
      </c>
      <c r="F2716">
        <f>1543.26</f>
        <v>1543.26</v>
      </c>
      <c r="G2716">
        <f>7143.172</f>
        <v>7143.1719999999996</v>
      </c>
      <c r="H2716">
        <f>2108.25</f>
        <v>2108.25</v>
      </c>
      <c r="I2716">
        <f>7216.682</f>
        <v>7216.6819999999998</v>
      </c>
      <c r="J2716">
        <f>1985.34</f>
        <v>1985.34</v>
      </c>
      <c r="K2716">
        <f>5496.52</f>
        <v>5496.52</v>
      </c>
      <c r="L2716">
        <f>1306.25</f>
        <v>1306.25</v>
      </c>
      <c r="M2716">
        <f>4992.06</f>
        <v>4992.0600000000004</v>
      </c>
      <c r="N2716">
        <f>205.112</f>
        <v>205.11199999999999</v>
      </c>
      <c r="O2716">
        <f>1846.2</f>
        <v>1846.2</v>
      </c>
      <c r="P2716">
        <f>107.08</f>
        <v>107.08</v>
      </c>
      <c r="Q2716">
        <f>1230.522</f>
        <v>1230.5219999999999</v>
      </c>
      <c r="R2716">
        <f>2634.16</f>
        <v>2634.16</v>
      </c>
      <c r="S2716">
        <f>1236.75</f>
        <v>1236.75</v>
      </c>
      <c r="T2716">
        <f>2322.141</f>
        <v>2322.1410000000001</v>
      </c>
      <c r="U2716">
        <f>40482.92</f>
        <v>40482.92</v>
      </c>
      <c r="V2716">
        <f>297.04</f>
        <v>297.04000000000002</v>
      </c>
    </row>
    <row r="2717" spans="1:22" x14ac:dyDescent="0.2">
      <c r="A2717" s="1">
        <v>41304</v>
      </c>
      <c r="B2717">
        <f>2478.65</f>
        <v>2478.65</v>
      </c>
      <c r="C2717">
        <f>9526</f>
        <v>9526</v>
      </c>
      <c r="D2717">
        <f>4449.28</f>
        <v>4449.28</v>
      </c>
      <c r="E2717">
        <f>2027.821</f>
        <v>2027.8209999999999</v>
      </c>
      <c r="F2717" t="e">
        <f>NA()</f>
        <v>#N/A</v>
      </c>
      <c r="G2717">
        <f>7167.725</f>
        <v>7167.7250000000004</v>
      </c>
      <c r="H2717">
        <f>2078.72</f>
        <v>2078.7199999999998</v>
      </c>
      <c r="I2717">
        <f>7259.366</f>
        <v>7259.366</v>
      </c>
      <c r="J2717">
        <f>1993.51</f>
        <v>1993.51</v>
      </c>
      <c r="K2717">
        <f>5509.18</f>
        <v>5509.18</v>
      </c>
      <c r="L2717">
        <f>1310.25</f>
        <v>1310.25</v>
      </c>
      <c r="M2717">
        <f>5006.12</f>
        <v>5006.12</v>
      </c>
      <c r="N2717">
        <f>205.868</f>
        <v>205.86799999999999</v>
      </c>
      <c r="O2717">
        <f>1856.58</f>
        <v>1856.58</v>
      </c>
      <c r="P2717">
        <f>106.3</f>
        <v>106.3</v>
      </c>
      <c r="Q2717">
        <f>1232.516</f>
        <v>1232.5160000000001</v>
      </c>
      <c r="R2717">
        <f>2640.77</f>
        <v>2640.77</v>
      </c>
      <c r="S2717">
        <f>1229.41</f>
        <v>1229.4100000000001</v>
      </c>
      <c r="T2717">
        <f>2320.251</f>
        <v>2320.2510000000002</v>
      </c>
      <c r="U2717">
        <f>40461.18</f>
        <v>40461.18</v>
      </c>
      <c r="V2717">
        <f>298.49</f>
        <v>298.49</v>
      </c>
    </row>
    <row r="2718" spans="1:22" x14ac:dyDescent="0.2">
      <c r="A2718" s="1">
        <v>41303</v>
      </c>
      <c r="B2718">
        <f>2494.78</f>
        <v>2494.7800000000002</v>
      </c>
      <c r="C2718">
        <f>9563.83</f>
        <v>9563.83</v>
      </c>
      <c r="D2718">
        <f>4460.6</f>
        <v>4460.6000000000004</v>
      </c>
      <c r="E2718">
        <f>2030.944</f>
        <v>2030.944</v>
      </c>
      <c r="F2718">
        <f>1555.75</f>
        <v>1555.75</v>
      </c>
      <c r="G2718">
        <f>7165.58</f>
        <v>7165.58</v>
      </c>
      <c r="H2718">
        <f>2064.08</f>
        <v>2064.08</v>
      </c>
      <c r="I2718">
        <f>7248.324</f>
        <v>7248.3239999999996</v>
      </c>
      <c r="J2718">
        <f>2001.08</f>
        <v>2001.08</v>
      </c>
      <c r="K2718">
        <f>5528.93</f>
        <v>5528.93</v>
      </c>
      <c r="L2718">
        <f>1310.5</f>
        <v>1310.5</v>
      </c>
      <c r="M2718">
        <f>5009.6</f>
        <v>5009.6000000000004</v>
      </c>
      <c r="N2718">
        <f>206.719</f>
        <v>206.71899999999999</v>
      </c>
      <c r="O2718">
        <f>1866.73</f>
        <v>1866.73</v>
      </c>
      <c r="P2718">
        <f>105.07</f>
        <v>105.07</v>
      </c>
      <c r="Q2718">
        <f>1238.602</f>
        <v>1238.6020000000001</v>
      </c>
      <c r="R2718">
        <f>2650.43</f>
        <v>2650.43</v>
      </c>
      <c r="S2718">
        <f>1211.11</f>
        <v>1211.1099999999999</v>
      </c>
      <c r="T2718">
        <f>2360.849</f>
        <v>2360.8490000000002</v>
      </c>
      <c r="U2718">
        <f>40652.96</f>
        <v>40652.959999999999</v>
      </c>
      <c r="V2718">
        <f>300.26</f>
        <v>300.26</v>
      </c>
    </row>
    <row r="2719" spans="1:22" x14ac:dyDescent="0.2">
      <c r="A2719" s="1">
        <v>41302</v>
      </c>
      <c r="B2719">
        <f>2489.18</f>
        <v>2489.1799999999998</v>
      </c>
      <c r="C2719">
        <f>9519.25</f>
        <v>9519.25</v>
      </c>
      <c r="D2719">
        <f>4429.08</f>
        <v>4429.08</v>
      </c>
      <c r="E2719">
        <f>2015.53</f>
        <v>2015.53</v>
      </c>
      <c r="F2719">
        <f>1533.09</f>
        <v>1533.09</v>
      </c>
      <c r="G2719">
        <f>7095.019</f>
        <v>7095.0190000000002</v>
      </c>
      <c r="H2719">
        <f>2034.38</f>
        <v>2034.38</v>
      </c>
      <c r="I2719">
        <f>7229.903</f>
        <v>7229.9030000000002</v>
      </c>
      <c r="J2719">
        <f>1985.42</f>
        <v>1985.42</v>
      </c>
      <c r="K2719">
        <f>5503.32</f>
        <v>5503.32</v>
      </c>
      <c r="L2719">
        <f>1298.48</f>
        <v>1298.48</v>
      </c>
      <c r="M2719">
        <f>4982.27</f>
        <v>4982.2700000000004</v>
      </c>
      <c r="N2719">
        <f>205.852</f>
        <v>205.852</v>
      </c>
      <c r="O2719">
        <f>1859.16</f>
        <v>1859.16</v>
      </c>
      <c r="P2719">
        <f>104.95</f>
        <v>104.95</v>
      </c>
      <c r="Q2719">
        <f>1232.139</f>
        <v>1232.1389999999999</v>
      </c>
      <c r="R2719">
        <f>2636.83</f>
        <v>2636.83</v>
      </c>
      <c r="S2719">
        <f>1201.88</f>
        <v>1201.8800000000001</v>
      </c>
      <c r="T2719">
        <f>2371.604</f>
        <v>2371.6039999999998</v>
      </c>
      <c r="U2719">
        <f>40618.32</f>
        <v>40618.32</v>
      </c>
      <c r="V2719">
        <f>300.17</f>
        <v>300.17</v>
      </c>
    </row>
    <row r="2720" spans="1:22" x14ac:dyDescent="0.2">
      <c r="A2720" s="1">
        <v>41299</v>
      </c>
      <c r="B2720">
        <f>2484.21</f>
        <v>2484.21</v>
      </c>
      <c r="C2720">
        <f>9569.5</f>
        <v>9569.5</v>
      </c>
      <c r="D2720">
        <f>4422.07</f>
        <v>4422.07</v>
      </c>
      <c r="E2720">
        <f>2028.691</f>
        <v>2028.691</v>
      </c>
      <c r="F2720">
        <f>1538.11</f>
        <v>1538.11</v>
      </c>
      <c r="G2720">
        <f>7128.765</f>
        <v>7128.7650000000003</v>
      </c>
      <c r="H2720">
        <f>2028.33</f>
        <v>2028.33</v>
      </c>
      <c r="I2720">
        <f>7236.456</f>
        <v>7236.4560000000001</v>
      </c>
      <c r="J2720">
        <f>1989.36</f>
        <v>1989.36</v>
      </c>
      <c r="K2720">
        <f>5512.61</f>
        <v>5512.61</v>
      </c>
      <c r="L2720">
        <f>1300.64</f>
        <v>1300.6400000000001</v>
      </c>
      <c r="M2720">
        <f>4990.8</f>
        <v>4990.8</v>
      </c>
      <c r="N2720">
        <f>206.793</f>
        <v>206.79300000000001</v>
      </c>
      <c r="O2720">
        <f>1862.12</f>
        <v>1862.12</v>
      </c>
      <c r="P2720">
        <f>105.33</f>
        <v>105.33</v>
      </c>
      <c r="Q2720">
        <f>1235.857</f>
        <v>1235.857</v>
      </c>
      <c r="R2720">
        <f>2641.64</f>
        <v>2641.64</v>
      </c>
      <c r="S2720">
        <f>1206.23</f>
        <v>1206.23</v>
      </c>
      <c r="T2720">
        <f>2371.999</f>
        <v>2371.9989999999998</v>
      </c>
      <c r="U2720">
        <f>40538.96</f>
        <v>40538.959999999999</v>
      </c>
      <c r="V2720">
        <f>300.52</f>
        <v>300.52</v>
      </c>
    </row>
    <row r="2721" spans="1:22" x14ac:dyDescent="0.2">
      <c r="A2721" s="1">
        <v>41298</v>
      </c>
      <c r="B2721">
        <f>2472.43</f>
        <v>2472.4299999999998</v>
      </c>
      <c r="C2721">
        <f>9579.63</f>
        <v>9579.6299999999992</v>
      </c>
      <c r="D2721">
        <f>4408.33</f>
        <v>4408.33</v>
      </c>
      <c r="E2721">
        <f>2034.634</f>
        <v>2034.634</v>
      </c>
      <c r="F2721">
        <f>1526.61</f>
        <v>1526.61</v>
      </c>
      <c r="G2721">
        <f>7097.452</f>
        <v>7097.4520000000002</v>
      </c>
      <c r="H2721">
        <f>2008.41</f>
        <v>2008.41</v>
      </c>
      <c r="I2721">
        <f>7138.343</f>
        <v>7138.3429999999998</v>
      </c>
      <c r="J2721">
        <f>1978.71</f>
        <v>1978.71</v>
      </c>
      <c r="K2721">
        <f>5481.55</f>
        <v>5481.55</v>
      </c>
      <c r="L2721">
        <f>1292.02</f>
        <v>1292.02</v>
      </c>
      <c r="M2721">
        <f>4957.67</f>
        <v>4957.67</v>
      </c>
      <c r="N2721">
        <f>206.627</f>
        <v>206.62700000000001</v>
      </c>
      <c r="O2721">
        <f>1856.6</f>
        <v>1856.6</v>
      </c>
      <c r="P2721">
        <f>102.91</f>
        <v>102.91</v>
      </c>
      <c r="Q2721">
        <f>1231.058</f>
        <v>1231.058</v>
      </c>
      <c r="R2721">
        <f>2627.33</f>
        <v>2627.33</v>
      </c>
      <c r="S2721">
        <f>1180.62</f>
        <v>1180.6199999999999</v>
      </c>
      <c r="T2721">
        <f>2359.064</f>
        <v>2359.0639999999999</v>
      </c>
      <c r="U2721">
        <f>40604.59</f>
        <v>40604.589999999997</v>
      </c>
      <c r="V2721">
        <f>299.29</f>
        <v>299.29000000000002</v>
      </c>
    </row>
    <row r="2722" spans="1:22" x14ac:dyDescent="0.2">
      <c r="A2722" s="1">
        <v>41297</v>
      </c>
      <c r="B2722">
        <f>2439.32</f>
        <v>2439.3200000000002</v>
      </c>
      <c r="C2722">
        <f>9601.75</f>
        <v>9601.75</v>
      </c>
      <c r="D2722">
        <f>4360.99</f>
        <v>4360.99</v>
      </c>
      <c r="E2722">
        <f>2042.707</f>
        <v>2042.7070000000001</v>
      </c>
      <c r="F2722">
        <f>1513.49</f>
        <v>1513.49</v>
      </c>
      <c r="G2722">
        <f>7049.349</f>
        <v>7049.3490000000002</v>
      </c>
      <c r="H2722">
        <f>2018.96</f>
        <v>2018.96</v>
      </c>
      <c r="I2722">
        <f>7059.64</f>
        <v>7059.64</v>
      </c>
      <c r="J2722">
        <f>1971.13</f>
        <v>1971.13</v>
      </c>
      <c r="K2722">
        <f>5479.88</f>
        <v>5479.88</v>
      </c>
      <c r="L2722">
        <f>1285.91</f>
        <v>1285.9100000000001</v>
      </c>
      <c r="M2722">
        <f>4945.98</f>
        <v>4945.9799999999996</v>
      </c>
      <c r="N2722">
        <f>206.812</f>
        <v>206.81200000000001</v>
      </c>
      <c r="O2722">
        <f>1849.14</f>
        <v>1849.14</v>
      </c>
      <c r="P2722">
        <f>101.9</f>
        <v>101.9</v>
      </c>
      <c r="Q2722">
        <f>1229.285</f>
        <v>1229.2850000000001</v>
      </c>
      <c r="R2722">
        <f>2627.23</f>
        <v>2627.23</v>
      </c>
      <c r="S2722">
        <f>1167.68</f>
        <v>1167.68</v>
      </c>
      <c r="T2722">
        <f>2333.732</f>
        <v>2333.732</v>
      </c>
      <c r="U2722">
        <f>40185.19</f>
        <v>40185.19</v>
      </c>
      <c r="V2722">
        <f>296.92</f>
        <v>296.92</v>
      </c>
    </row>
    <row r="2723" spans="1:22" x14ac:dyDescent="0.2">
      <c r="A2723" s="1">
        <v>41296</v>
      </c>
      <c r="B2723">
        <f>2451.86</f>
        <v>2451.86</v>
      </c>
      <c r="C2723">
        <f>9624.82</f>
        <v>9624.82</v>
      </c>
      <c r="D2723">
        <f>4346.6</f>
        <v>4346.6000000000004</v>
      </c>
      <c r="E2723">
        <f>2047.502</f>
        <v>2047.502</v>
      </c>
      <c r="F2723">
        <f>1514.01</f>
        <v>1514.01</v>
      </c>
      <c r="G2723">
        <f>7037.92</f>
        <v>7037.92</v>
      </c>
      <c r="H2723">
        <f>2046.35</f>
        <v>2046.35</v>
      </c>
      <c r="I2723">
        <f>7047.547</f>
        <v>7047.5469999999996</v>
      </c>
      <c r="J2723">
        <f>1972.4</f>
        <v>1972.4</v>
      </c>
      <c r="K2723">
        <f>5472.15</f>
        <v>5472.15</v>
      </c>
      <c r="L2723">
        <f>1285.26</f>
        <v>1285.26</v>
      </c>
      <c r="M2723">
        <f>4947.84</f>
        <v>4947.84</v>
      </c>
      <c r="N2723">
        <f>205.72</f>
        <v>205.72</v>
      </c>
      <c r="O2723">
        <f>1846.19</f>
        <v>1846.19</v>
      </c>
      <c r="P2723">
        <f>102.88</f>
        <v>102.88</v>
      </c>
      <c r="Q2723">
        <f>1227.948</f>
        <v>1227.9480000000001</v>
      </c>
      <c r="R2723">
        <f>2623.22</f>
        <v>2623.22</v>
      </c>
      <c r="S2723">
        <f>1185.26</f>
        <v>1185.26</v>
      </c>
      <c r="T2723">
        <f>2321.188</f>
        <v>2321.1880000000001</v>
      </c>
      <c r="U2723">
        <f>39912.45</f>
        <v>39912.449999999997</v>
      </c>
      <c r="V2723">
        <f>297.02</f>
        <v>297.02</v>
      </c>
    </row>
    <row r="2724" spans="1:22" x14ac:dyDescent="0.2">
      <c r="A2724" s="1">
        <v>41295</v>
      </c>
      <c r="B2724">
        <f>2455.44</f>
        <v>2455.44</v>
      </c>
      <c r="C2724">
        <f>9619.33</f>
        <v>9619.33</v>
      </c>
      <c r="D2724">
        <f>4347.88</f>
        <v>4347.88</v>
      </c>
      <c r="E2724">
        <f>2045.442</f>
        <v>2045.442</v>
      </c>
      <c r="F2724">
        <f>1509.85</f>
        <v>1509.85</v>
      </c>
      <c r="G2724">
        <f>7025.734</f>
        <v>7025.7340000000004</v>
      </c>
      <c r="H2724">
        <f>2024.41</f>
        <v>2024.41</v>
      </c>
      <c r="I2724">
        <f>7080.123</f>
        <v>7080.1229999999996</v>
      </c>
      <c r="J2724">
        <f>1966.24</f>
        <v>1966.24</v>
      </c>
      <c r="K2724">
        <f>5446.97</f>
        <v>5446.97</v>
      </c>
      <c r="L2724">
        <f>1283.57</f>
        <v>1283.57</v>
      </c>
      <c r="M2724">
        <f>4933.21</f>
        <v>4933.21</v>
      </c>
      <c r="N2724">
        <f>205.042</f>
        <v>205.042</v>
      </c>
      <c r="O2724">
        <f>1847.16</f>
        <v>1847.16</v>
      </c>
      <c r="P2724">
        <f>103.35</f>
        <v>103.35</v>
      </c>
      <c r="Q2724" t="e">
        <f>NA()</f>
        <v>#N/A</v>
      </c>
      <c r="R2724" t="e">
        <f>NA()</f>
        <v>#N/A</v>
      </c>
      <c r="S2724">
        <f>1190.54</f>
        <v>1190.54</v>
      </c>
      <c r="T2724">
        <f>2327.457</f>
        <v>2327.4569999999999</v>
      </c>
      <c r="U2724">
        <f>39989.57</f>
        <v>39989.57</v>
      </c>
      <c r="V2724">
        <f>297.48</f>
        <v>297.48</v>
      </c>
    </row>
    <row r="2725" spans="1:22" x14ac:dyDescent="0.2">
      <c r="A2725" s="1">
        <v>41292</v>
      </c>
      <c r="B2725">
        <f>2441.68</f>
        <v>2441.6799999999998</v>
      </c>
      <c r="C2725">
        <f>9632</f>
        <v>9632</v>
      </c>
      <c r="D2725">
        <f>4329.19</f>
        <v>4329.1899999999996</v>
      </c>
      <c r="E2725">
        <f>2050.35</f>
        <v>2050.35</v>
      </c>
      <c r="F2725">
        <f>1500.53</f>
        <v>1500.53</v>
      </c>
      <c r="G2725">
        <f>7008.58</f>
        <v>7008.58</v>
      </c>
      <c r="H2725">
        <f>2032.22</f>
        <v>2032.22</v>
      </c>
      <c r="I2725">
        <f>7041.007</f>
        <v>7041.0069999999996</v>
      </c>
      <c r="J2725">
        <f>1966.24</f>
        <v>1966.24</v>
      </c>
      <c r="K2725">
        <f>5446.97</f>
        <v>5446.97</v>
      </c>
      <c r="L2725">
        <f>1280.48</f>
        <v>1280.48</v>
      </c>
      <c r="M2725">
        <f>4927.97</f>
        <v>4927.97</v>
      </c>
      <c r="N2725">
        <f>204.694</f>
        <v>204.69399999999999</v>
      </c>
      <c r="O2725">
        <f>1842.58</f>
        <v>1842.58</v>
      </c>
      <c r="P2725">
        <f>103.61</f>
        <v>103.61</v>
      </c>
      <c r="Q2725">
        <f>1222.97</f>
        <v>1222.97</v>
      </c>
      <c r="R2725">
        <f>2611.54</f>
        <v>2611.54</v>
      </c>
      <c r="S2725">
        <f>1198.8</f>
        <v>1198.8</v>
      </c>
      <c r="T2725">
        <f>2336.385</f>
        <v>2336.3850000000002</v>
      </c>
      <c r="U2725">
        <f>40166.53</f>
        <v>40166.53</v>
      </c>
      <c r="V2725">
        <f>297.43</f>
        <v>297.43</v>
      </c>
    </row>
    <row r="2726" spans="1:22" x14ac:dyDescent="0.2">
      <c r="A2726" s="1">
        <v>41291</v>
      </c>
      <c r="B2726">
        <f>2436.75</f>
        <v>2436.75</v>
      </c>
      <c r="C2726">
        <f>9562.64</f>
        <v>9562.64</v>
      </c>
      <c r="D2726">
        <f>4313.68</f>
        <v>4313.68</v>
      </c>
      <c r="E2726">
        <f>2035.954</f>
        <v>2035.954</v>
      </c>
      <c r="F2726">
        <f>1503.71</f>
        <v>1503.71</v>
      </c>
      <c r="G2726">
        <f>7030.479</f>
        <v>7030.4790000000003</v>
      </c>
      <c r="H2726">
        <f>2007.47</f>
        <v>2007.47</v>
      </c>
      <c r="I2726">
        <f>7096.492</f>
        <v>7096.4920000000002</v>
      </c>
      <c r="J2726">
        <f>1960.37</f>
        <v>1960.37</v>
      </c>
      <c r="K2726">
        <f>5428.74</f>
        <v>5428.74</v>
      </c>
      <c r="L2726">
        <f>1283.11</f>
        <v>1283.1099999999999</v>
      </c>
      <c r="M2726">
        <f>4920.99</f>
        <v>4920.99</v>
      </c>
      <c r="N2726">
        <f>204.748</f>
        <v>204.74799999999999</v>
      </c>
      <c r="O2726">
        <f>1846.15</f>
        <v>1846.15</v>
      </c>
      <c r="P2726">
        <f>102.31</f>
        <v>102.31</v>
      </c>
      <c r="Q2726">
        <f>1218.008</f>
        <v>1218.008</v>
      </c>
      <c r="R2726">
        <f>2602.64</f>
        <v>2602.64</v>
      </c>
      <c r="S2726">
        <f>1171.19</f>
        <v>1171.19</v>
      </c>
      <c r="T2726">
        <f>2328.868</f>
        <v>2328.8679999999999</v>
      </c>
      <c r="U2726">
        <f>39964.56</f>
        <v>39964.559999999998</v>
      </c>
      <c r="V2726">
        <f>296.25</f>
        <v>296.25</v>
      </c>
    </row>
    <row r="2727" spans="1:22" x14ac:dyDescent="0.2">
      <c r="A2727" s="1">
        <v>41290</v>
      </c>
      <c r="B2727">
        <f>2423.48</f>
        <v>2423.48</v>
      </c>
      <c r="C2727" t="e">
        <f>NA()</f>
        <v>#N/A</v>
      </c>
      <c r="D2727">
        <f>4293.72</f>
        <v>4293.72</v>
      </c>
      <c r="E2727">
        <f>2032.267</f>
        <v>2032.2670000000001</v>
      </c>
      <c r="F2727">
        <f>1500.84</f>
        <v>1500.84</v>
      </c>
      <c r="G2727">
        <f>7010.087</f>
        <v>7010.0870000000004</v>
      </c>
      <c r="H2727">
        <f>2019.47</f>
        <v>2019.47</v>
      </c>
      <c r="I2727">
        <f>7011.005</f>
        <v>7011.0050000000001</v>
      </c>
      <c r="J2727">
        <f>1946.51</f>
        <v>1946.51</v>
      </c>
      <c r="K2727">
        <f>5397.99</f>
        <v>5397.99</v>
      </c>
      <c r="L2727">
        <f>1274.72</f>
        <v>1274.72</v>
      </c>
      <c r="M2727">
        <f>4895.25</f>
        <v>4895.25</v>
      </c>
      <c r="N2727">
        <f>204.17</f>
        <v>204.17</v>
      </c>
      <c r="O2727">
        <f>1836.89</f>
        <v>1836.89</v>
      </c>
      <c r="P2727">
        <f>101.97</f>
        <v>101.97</v>
      </c>
      <c r="Q2727">
        <f>1208.412</f>
        <v>1208.412</v>
      </c>
      <c r="R2727">
        <f>2588.02</f>
        <v>2588.02</v>
      </c>
      <c r="S2727">
        <f>1168.11</f>
        <v>1168.1099999999999</v>
      </c>
      <c r="T2727">
        <f>2333.758</f>
        <v>2333.7579999999998</v>
      </c>
      <c r="U2727">
        <f>39879.76</f>
        <v>39879.760000000002</v>
      </c>
      <c r="V2727">
        <f>294.51</f>
        <v>294.51</v>
      </c>
    </row>
    <row r="2728" spans="1:22" x14ac:dyDescent="0.2">
      <c r="A2728" s="1">
        <v>41289</v>
      </c>
      <c r="B2728">
        <f>2429.38</f>
        <v>2429.38</v>
      </c>
      <c r="C2728">
        <f>9582.95</f>
        <v>9582.9500000000007</v>
      </c>
      <c r="D2728">
        <f>4301.07</f>
        <v>4301.07</v>
      </c>
      <c r="E2728">
        <f>2036.556</f>
        <v>2036.556</v>
      </c>
      <c r="F2728">
        <f>1512.36</f>
        <v>1512.36</v>
      </c>
      <c r="G2728">
        <f>7065.706</f>
        <v>7065.7060000000001</v>
      </c>
      <c r="H2728">
        <f>2053.68</f>
        <v>2053.6799999999998</v>
      </c>
      <c r="I2728">
        <f>7019.046</f>
        <v>7019.0460000000003</v>
      </c>
      <c r="J2728">
        <f>1950.26</f>
        <v>1950.26</v>
      </c>
      <c r="K2728">
        <f>5397.79</f>
        <v>5397.79</v>
      </c>
      <c r="L2728">
        <f>1278.35</f>
        <v>1278.3499999999999</v>
      </c>
      <c r="M2728">
        <f>4908.31</f>
        <v>4908.3100000000004</v>
      </c>
      <c r="N2728">
        <f>203.646</f>
        <v>203.64599999999999</v>
      </c>
      <c r="O2728">
        <f>1836.87</f>
        <v>1836.87</v>
      </c>
      <c r="P2728">
        <f>103.1</f>
        <v>103.1</v>
      </c>
      <c r="Q2728">
        <f>1210.915</f>
        <v>1210.915</v>
      </c>
      <c r="R2728">
        <f>2587.2</f>
        <v>2587.1999999999998</v>
      </c>
      <c r="S2728">
        <f>1191.93</f>
        <v>1191.93</v>
      </c>
      <c r="T2728">
        <f>2331.789</f>
        <v>2331.7890000000002</v>
      </c>
      <c r="U2728">
        <f>39913.08</f>
        <v>39913.08</v>
      </c>
      <c r="V2728">
        <f>294.38</f>
        <v>294.38</v>
      </c>
    </row>
    <row r="2729" spans="1:22" x14ac:dyDescent="0.2">
      <c r="A2729" s="1">
        <v>41288</v>
      </c>
      <c r="B2729">
        <f>2431.28</f>
        <v>2431.2800000000002</v>
      </c>
      <c r="C2729">
        <f>9648.47</f>
        <v>9648.4699999999993</v>
      </c>
      <c r="D2729">
        <f>4294.42</f>
        <v>4294.42</v>
      </c>
      <c r="E2729">
        <f>2050.277</f>
        <v>2050.277</v>
      </c>
      <c r="F2729">
        <f>1509.05</f>
        <v>1509.05</v>
      </c>
      <c r="G2729">
        <f>7043.756</f>
        <v>7043.7560000000003</v>
      </c>
      <c r="H2729">
        <f>2021.34</f>
        <v>2021.34</v>
      </c>
      <c r="I2729">
        <f>7042.071</f>
        <v>7042.0709999999999</v>
      </c>
      <c r="J2729">
        <f>1947.75</f>
        <v>1947.75</v>
      </c>
      <c r="K2729">
        <f>5391.14</f>
        <v>5391.14</v>
      </c>
      <c r="L2729">
        <f>1277.87</f>
        <v>1277.8699999999999</v>
      </c>
      <c r="M2729">
        <f>4898.87</f>
        <v>4898.87</v>
      </c>
      <c r="N2729">
        <f>202.227</f>
        <v>202.227</v>
      </c>
      <c r="O2729">
        <f>1836.18</f>
        <v>1836.18</v>
      </c>
      <c r="P2729" t="e">
        <f>NA()</f>
        <v>#N/A</v>
      </c>
      <c r="Q2729">
        <f>1208.864</f>
        <v>1208.864</v>
      </c>
      <c r="R2729">
        <f>2584.27</f>
        <v>2584.27</v>
      </c>
      <c r="S2729" t="e">
        <f>NA()</f>
        <v>#N/A</v>
      </c>
      <c r="T2729">
        <f>2367.07</f>
        <v>2367.0700000000002</v>
      </c>
      <c r="U2729">
        <f>40144.07</f>
        <v>40144.07</v>
      </c>
      <c r="V2729">
        <f>298.84</f>
        <v>298.83999999999997</v>
      </c>
    </row>
    <row r="2730" spans="1:22" x14ac:dyDescent="0.2">
      <c r="A2730" s="1">
        <v>41285</v>
      </c>
      <c r="B2730">
        <f>2435.88</f>
        <v>2435.88</v>
      </c>
      <c r="C2730">
        <f>9576.36</f>
        <v>9576.36</v>
      </c>
      <c r="D2730">
        <f>4304.07</f>
        <v>4304.07</v>
      </c>
      <c r="E2730">
        <f>2035.675</f>
        <v>2035.675</v>
      </c>
      <c r="F2730">
        <f>1519.74</f>
        <v>1519.74</v>
      </c>
      <c r="G2730">
        <f>7084.657</f>
        <v>7084.6570000000002</v>
      </c>
      <c r="H2730">
        <f>2025.2</f>
        <v>2025.2</v>
      </c>
      <c r="I2730">
        <f>7042.073</f>
        <v>7042.0730000000003</v>
      </c>
      <c r="J2730">
        <f>1942.8</f>
        <v>1942.8</v>
      </c>
      <c r="K2730">
        <f>5396.05</f>
        <v>5396.05</v>
      </c>
      <c r="L2730">
        <f>1279.28</f>
        <v>1279.28</v>
      </c>
      <c r="M2730">
        <f>4905.02</f>
        <v>4905.0200000000004</v>
      </c>
      <c r="N2730">
        <f>203.645</f>
        <v>203.64500000000001</v>
      </c>
      <c r="O2730">
        <f>1842.34</f>
        <v>1842.34</v>
      </c>
      <c r="P2730">
        <f>102.07</f>
        <v>102.07</v>
      </c>
      <c r="Q2730">
        <f>1206.5</f>
        <v>1206.5</v>
      </c>
      <c r="R2730">
        <f>2586.69</f>
        <v>2586.69</v>
      </c>
      <c r="S2730">
        <f>1182.02</f>
        <v>1182.02</v>
      </c>
      <c r="T2730">
        <f>2384.116</f>
        <v>2384.116</v>
      </c>
      <c r="U2730">
        <f>40281.14</f>
        <v>40281.14</v>
      </c>
      <c r="V2730">
        <f>299.38</f>
        <v>299.38</v>
      </c>
    </row>
    <row r="2731" spans="1:22" x14ac:dyDescent="0.2">
      <c r="A2731" s="1">
        <v>41284</v>
      </c>
      <c r="B2731">
        <f>2425.1</f>
        <v>2425.1</v>
      </c>
      <c r="C2731">
        <f>9622.26</f>
        <v>9622.26</v>
      </c>
      <c r="D2731">
        <f>4289.96</f>
        <v>4289.96</v>
      </c>
      <c r="E2731">
        <f>2043.169</f>
        <v>2043.1690000000001</v>
      </c>
      <c r="F2731">
        <f>1514.19</f>
        <v>1514.19</v>
      </c>
      <c r="G2731">
        <f>7054.395</f>
        <v>7054.3950000000004</v>
      </c>
      <c r="H2731">
        <f>2019.91</f>
        <v>2019.91</v>
      </c>
      <c r="I2731">
        <f>6965.116</f>
        <v>6965.116</v>
      </c>
      <c r="J2731">
        <f>1939.84</f>
        <v>1939.84</v>
      </c>
      <c r="K2731">
        <f>5394.89</f>
        <v>5394.89</v>
      </c>
      <c r="L2731">
        <f>1273.82</f>
        <v>1273.82</v>
      </c>
      <c r="M2731">
        <f>4892.46</f>
        <v>4892.46</v>
      </c>
      <c r="N2731">
        <f>204.661</f>
        <v>204.661</v>
      </c>
      <c r="O2731">
        <f>1844.78</f>
        <v>1844.78</v>
      </c>
      <c r="P2731">
        <f>101.13</f>
        <v>101.13</v>
      </c>
      <c r="Q2731">
        <f>1206.316</f>
        <v>1206.316</v>
      </c>
      <c r="R2731">
        <f>2586.52</f>
        <v>2586.52</v>
      </c>
      <c r="S2731">
        <f>1169.3</f>
        <v>1169.3</v>
      </c>
      <c r="T2731">
        <f>2385.494</f>
        <v>2385.4940000000001</v>
      </c>
      <c r="U2731">
        <f>40299.59</f>
        <v>40299.589999999997</v>
      </c>
      <c r="V2731">
        <f>299.5</f>
        <v>299.5</v>
      </c>
    </row>
    <row r="2732" spans="1:22" x14ac:dyDescent="0.2">
      <c r="A2732" s="1">
        <v>41283</v>
      </c>
      <c r="B2732">
        <f>2422.39</f>
        <v>2422.39</v>
      </c>
      <c r="C2732">
        <f>9580.77</f>
        <v>9580.77</v>
      </c>
      <c r="D2732">
        <f>4287.95</f>
        <v>4287.95</v>
      </c>
      <c r="E2732">
        <f>2035.647</f>
        <v>2035.6469999999999</v>
      </c>
      <c r="F2732">
        <f>1509.47</f>
        <v>1509.47</v>
      </c>
      <c r="G2732">
        <f>7008.018</f>
        <v>7008.018</v>
      </c>
      <c r="H2732">
        <f>1999.62</f>
        <v>1999.62</v>
      </c>
      <c r="I2732">
        <f>6880.137</f>
        <v>6880.1369999999997</v>
      </c>
      <c r="J2732">
        <f>1926.83</f>
        <v>1926.83</v>
      </c>
      <c r="K2732">
        <f>5355.48</f>
        <v>5355.48</v>
      </c>
      <c r="L2732">
        <f>1263.21</f>
        <v>1263.21</v>
      </c>
      <c r="M2732">
        <f>4852.11</f>
        <v>4852.1099999999997</v>
      </c>
      <c r="N2732">
        <f>206.334</f>
        <v>206.334</v>
      </c>
      <c r="O2732">
        <f>1848.73</f>
        <v>1848.73</v>
      </c>
      <c r="P2732">
        <f>100.21</f>
        <v>100.21</v>
      </c>
      <c r="Q2732">
        <f>1200.169</f>
        <v>1200.1690000000001</v>
      </c>
      <c r="R2732">
        <f>2567.02</f>
        <v>2567.02</v>
      </c>
      <c r="S2732">
        <f>1156.19</f>
        <v>1156.19</v>
      </c>
      <c r="T2732">
        <f>2405.687</f>
        <v>2405.6869999999999</v>
      </c>
      <c r="U2732">
        <f>40330.44</f>
        <v>40330.44</v>
      </c>
      <c r="V2732">
        <f>300.99</f>
        <v>300.99</v>
      </c>
    </row>
    <row r="2733" spans="1:22" x14ac:dyDescent="0.2">
      <c r="A2733" s="1">
        <v>41282</v>
      </c>
      <c r="B2733">
        <f>2413.4</f>
        <v>2413.4</v>
      </c>
      <c r="C2733">
        <f>9546</f>
        <v>9546</v>
      </c>
      <c r="D2733">
        <f>4256.13</f>
        <v>4256.13</v>
      </c>
      <c r="E2733">
        <f>2029.633</f>
        <v>2029.633</v>
      </c>
      <c r="F2733">
        <f>1504.41</f>
        <v>1504.41</v>
      </c>
      <c r="G2733">
        <f>6967.559</f>
        <v>6967.5590000000002</v>
      </c>
      <c r="H2733">
        <f>1999.95</f>
        <v>1999.95</v>
      </c>
      <c r="I2733">
        <f>6847.436</f>
        <v>6847.4359999999997</v>
      </c>
      <c r="J2733">
        <f>1919.52</f>
        <v>1919.52</v>
      </c>
      <c r="K2733">
        <f>5338.8</f>
        <v>5338.8</v>
      </c>
      <c r="L2733">
        <f>1258.67</f>
        <v>1258.67</v>
      </c>
      <c r="M2733">
        <f>4834.64</f>
        <v>4834.6400000000003</v>
      </c>
      <c r="N2733">
        <f>205.987</f>
        <v>205.98699999999999</v>
      </c>
      <c r="O2733">
        <f>1836.72</f>
        <v>1836.72</v>
      </c>
      <c r="P2733">
        <f>99.66</f>
        <v>99.66</v>
      </c>
      <c r="Q2733">
        <f>1197.547</f>
        <v>1197.547</v>
      </c>
      <c r="R2733">
        <f>2560.17</f>
        <v>2560.17</v>
      </c>
      <c r="S2733">
        <f>1146.76</f>
        <v>1146.76</v>
      </c>
      <c r="T2733">
        <f>2401.533</f>
        <v>2401.5329999999999</v>
      </c>
      <c r="U2733">
        <f>40155.62</f>
        <v>40155.620000000003</v>
      </c>
      <c r="V2733">
        <f>301.45</f>
        <v>301.45</v>
      </c>
    </row>
    <row r="2734" spans="1:22" x14ac:dyDescent="0.2">
      <c r="A2734" s="1">
        <v>41281</v>
      </c>
      <c r="B2734">
        <f>2418.62</f>
        <v>2418.62</v>
      </c>
      <c r="C2734">
        <f>9606.7</f>
        <v>9606.7000000000007</v>
      </c>
      <c r="D2734">
        <f>4263.83</f>
        <v>4263.83</v>
      </c>
      <c r="E2734">
        <f>2040.834</f>
        <v>2040.8340000000001</v>
      </c>
      <c r="F2734">
        <f>1506.34</f>
        <v>1506.34</v>
      </c>
      <c r="G2734">
        <f>7000.471</f>
        <v>7000.4709999999995</v>
      </c>
      <c r="H2734">
        <f>2002.89</f>
        <v>2002.89</v>
      </c>
      <c r="I2734">
        <f>6871.608</f>
        <v>6871.6080000000002</v>
      </c>
      <c r="J2734">
        <f>1924.55</f>
        <v>1924.55</v>
      </c>
      <c r="K2734">
        <f>5353.47</f>
        <v>5353.47</v>
      </c>
      <c r="L2734">
        <f>1263.4</f>
        <v>1263.4000000000001</v>
      </c>
      <c r="M2734">
        <f>4850.3</f>
        <v>4850.3</v>
      </c>
      <c r="N2734">
        <f>205.951</f>
        <v>205.95099999999999</v>
      </c>
      <c r="O2734">
        <f>1839.04</f>
        <v>1839.04</v>
      </c>
      <c r="P2734">
        <f>99.55</f>
        <v>99.55</v>
      </c>
      <c r="Q2734">
        <f>1196.91</f>
        <v>1196.9100000000001</v>
      </c>
      <c r="R2734">
        <f>2567.63</f>
        <v>2567.63</v>
      </c>
      <c r="S2734">
        <f>1158.83</f>
        <v>1158.83</v>
      </c>
      <c r="T2734">
        <f>2397.813</f>
        <v>2397.8130000000001</v>
      </c>
      <c r="U2734">
        <f>40162.56</f>
        <v>40162.559999999998</v>
      </c>
      <c r="V2734">
        <f>301.04</f>
        <v>301.04000000000002</v>
      </c>
    </row>
    <row r="2735" spans="1:22" x14ac:dyDescent="0.2">
      <c r="A2735" s="1">
        <v>41278</v>
      </c>
      <c r="B2735">
        <f>2419.88</f>
        <v>2419.88</v>
      </c>
      <c r="C2735">
        <f>9640.08</f>
        <v>9640.08</v>
      </c>
      <c r="D2735">
        <f>4281.59</f>
        <v>4281.59</v>
      </c>
      <c r="E2735">
        <f>2044.771</f>
        <v>2044.771</v>
      </c>
      <c r="F2735">
        <f>1509.44</f>
        <v>1509.44</v>
      </c>
      <c r="G2735">
        <f>7008.233</f>
        <v>7008.2330000000002</v>
      </c>
      <c r="H2735">
        <f>2010.42</f>
        <v>2010.42</v>
      </c>
      <c r="I2735">
        <f>6871.278</f>
        <v>6871.2780000000002</v>
      </c>
      <c r="J2735">
        <f>1933.46</f>
        <v>1933.46</v>
      </c>
      <c r="K2735">
        <f>5370.19</f>
        <v>5370.19</v>
      </c>
      <c r="L2735">
        <f>1265.29</f>
        <v>1265.29</v>
      </c>
      <c r="M2735">
        <f>4861.65</f>
        <v>4861.6499999999996</v>
      </c>
      <c r="N2735">
        <f>207.135</f>
        <v>207.13499999999999</v>
      </c>
      <c r="O2735">
        <f>1847.12</f>
        <v>1847.12</v>
      </c>
      <c r="P2735">
        <f>99.69</f>
        <v>99.69</v>
      </c>
      <c r="Q2735">
        <f>1201.571</f>
        <v>1201.5709999999999</v>
      </c>
      <c r="R2735">
        <f>2575.66</f>
        <v>2575.66</v>
      </c>
      <c r="S2735">
        <f>1168.63</f>
        <v>1168.6300000000001</v>
      </c>
      <c r="T2735">
        <f>2385.741</f>
        <v>2385.741</v>
      </c>
      <c r="U2735">
        <f>40274.79</f>
        <v>40274.79</v>
      </c>
      <c r="V2735">
        <f>300.82</f>
        <v>300.82</v>
      </c>
    </row>
    <row r="2736" spans="1:22" x14ac:dyDescent="0.2">
      <c r="A2736" s="1">
        <v>41277</v>
      </c>
      <c r="B2736">
        <f>2406.76</f>
        <v>2406.7600000000002</v>
      </c>
      <c r="C2736">
        <f>9686.96</f>
        <v>9686.9599999999991</v>
      </c>
      <c r="D2736">
        <f>4251.71</f>
        <v>4251.71</v>
      </c>
      <c r="E2736">
        <f>2053.831</f>
        <v>2053.8310000000001</v>
      </c>
      <c r="F2736">
        <f>1504.25</f>
        <v>1504.25</v>
      </c>
      <c r="G2736">
        <f>7011.42</f>
        <v>7011.42</v>
      </c>
      <c r="H2736">
        <f>1971.9</f>
        <v>1971.9</v>
      </c>
      <c r="I2736">
        <f>6871.891</f>
        <v>6871.8909999999996</v>
      </c>
      <c r="J2736">
        <f>1927.04</f>
        <v>1927.04</v>
      </c>
      <c r="K2736">
        <f>5343.25</f>
        <v>5343.25</v>
      </c>
      <c r="L2736">
        <f>1262.27</f>
        <v>1262.27</v>
      </c>
      <c r="M2736">
        <f>4841.32</f>
        <v>4841.32</v>
      </c>
      <c r="N2736">
        <f>206.406</f>
        <v>206.40600000000001</v>
      </c>
      <c r="O2736">
        <f>1839.53</f>
        <v>1839.53</v>
      </c>
      <c r="P2736" t="e">
        <f>NA()</f>
        <v>#N/A</v>
      </c>
      <c r="Q2736">
        <f>1194.034</f>
        <v>1194.0340000000001</v>
      </c>
      <c r="R2736">
        <f>2563.19</f>
        <v>2563.19</v>
      </c>
      <c r="S2736" t="e">
        <f>NA()</f>
        <v>#N/A</v>
      </c>
      <c r="T2736">
        <f>2370.434</f>
        <v>2370.4340000000002</v>
      </c>
      <c r="U2736">
        <f>40245.01</f>
        <v>40245.01</v>
      </c>
      <c r="V2736">
        <f>298.82</f>
        <v>298.82</v>
      </c>
    </row>
    <row r="2737" spans="1:22" x14ac:dyDescent="0.2">
      <c r="A2737" s="1">
        <v>41276</v>
      </c>
      <c r="B2737">
        <f>2392.7</f>
        <v>2392.6999999999998</v>
      </c>
      <c r="C2737">
        <f>9637.36</f>
        <v>9637.36</v>
      </c>
      <c r="D2737">
        <f>4237.67</f>
        <v>4237.67</v>
      </c>
      <c r="E2737">
        <f>2045.219</f>
        <v>2045.2190000000001</v>
      </c>
      <c r="F2737">
        <f>1509.48</f>
        <v>1509.48</v>
      </c>
      <c r="G2737">
        <f>7042.15</f>
        <v>7042.15</v>
      </c>
      <c r="H2737">
        <f>1964.44</f>
        <v>1964.44</v>
      </c>
      <c r="I2737">
        <f>6912.345</f>
        <v>6912.3450000000003</v>
      </c>
      <c r="J2737">
        <f>1929.12</f>
        <v>1929.12</v>
      </c>
      <c r="K2737">
        <f>5353.2</f>
        <v>5353.2</v>
      </c>
      <c r="L2737">
        <f>1263.62</f>
        <v>1263.6199999999999</v>
      </c>
      <c r="M2737">
        <f>4851.82</f>
        <v>4851.82</v>
      </c>
      <c r="N2737">
        <f>206.062</f>
        <v>206.06200000000001</v>
      </c>
      <c r="O2737">
        <f>1831.52</f>
        <v>1831.52</v>
      </c>
      <c r="P2737" t="e">
        <f>NA()</f>
        <v>#N/A</v>
      </c>
      <c r="Q2737">
        <f>1196.623</f>
        <v>1196.623</v>
      </c>
      <c r="R2737">
        <f>2568.55</f>
        <v>2568.5500000000002</v>
      </c>
      <c r="S2737" t="e">
        <f>NA()</f>
        <v>#N/A</v>
      </c>
      <c r="T2737">
        <f>2355.564</f>
        <v>2355.5639999999999</v>
      </c>
      <c r="U2737">
        <f>40061.75</f>
        <v>40061.75</v>
      </c>
      <c r="V2737">
        <f>296.41</f>
        <v>296.41000000000003</v>
      </c>
    </row>
    <row r="2738" spans="1:22" x14ac:dyDescent="0.2">
      <c r="A2738" s="1">
        <v>41275</v>
      </c>
      <c r="B2738">
        <f>2350.08</f>
        <v>2350.08</v>
      </c>
      <c r="C2738">
        <f>9460.39</f>
        <v>9460.39</v>
      </c>
      <c r="D2738">
        <f>4146.4</f>
        <v>4146.3999999999996</v>
      </c>
      <c r="E2738">
        <f>2002.668</f>
        <v>2002.6679999999999</v>
      </c>
      <c r="F2738">
        <f>1492.18</f>
        <v>1492.18</v>
      </c>
      <c r="G2738">
        <f>6876.91</f>
        <v>6876.91</v>
      </c>
      <c r="H2738">
        <f>1980.45</f>
        <v>1980.45</v>
      </c>
      <c r="I2738">
        <f>6749.121</f>
        <v>6749.1210000000001</v>
      </c>
      <c r="J2738">
        <f>1882.34</f>
        <v>1882.34</v>
      </c>
      <c r="K2738">
        <f>5220.28</f>
        <v>5220.28</v>
      </c>
      <c r="L2738">
        <f>1239.83</f>
        <v>1239.83</v>
      </c>
      <c r="M2738">
        <f>4748.89</f>
        <v>4748.8900000000003</v>
      </c>
      <c r="N2738" t="e">
        <f>NA()</f>
        <v>#N/A</v>
      </c>
      <c r="O2738" t="e">
        <f>NA()</f>
        <v>#N/A</v>
      </c>
      <c r="P2738" t="e">
        <f>NA()</f>
        <v>#N/A</v>
      </c>
      <c r="Q2738" t="e">
        <f>NA()</f>
        <v>#N/A</v>
      </c>
      <c r="R2738" t="e">
        <f>NA()</f>
        <v>#N/A</v>
      </c>
      <c r="S2738" t="e">
        <f>NA()</f>
        <v>#N/A</v>
      </c>
      <c r="T2738" t="e">
        <f>NA()</f>
        <v>#N/A</v>
      </c>
      <c r="U2738" t="e">
        <f>NA()</f>
        <v>#N/A</v>
      </c>
      <c r="V2738" t="e">
        <f>NA()</f>
        <v>#N/A</v>
      </c>
    </row>
    <row r="2739" spans="1:22" x14ac:dyDescent="0.2">
      <c r="A2739" s="1">
        <v>41274</v>
      </c>
      <c r="B2739">
        <f>2350.08</f>
        <v>2350.08</v>
      </c>
      <c r="C2739">
        <f>9460.1</f>
        <v>9460.1</v>
      </c>
      <c r="D2739">
        <f>4146.4</f>
        <v>4146.3999999999996</v>
      </c>
      <c r="E2739">
        <f>2001.596</f>
        <v>2001.596</v>
      </c>
      <c r="F2739">
        <f>1492.18</f>
        <v>1492.18</v>
      </c>
      <c r="G2739">
        <f>6876.91</f>
        <v>6876.91</v>
      </c>
      <c r="H2739">
        <f>1980.45</f>
        <v>1980.45</v>
      </c>
      <c r="I2739">
        <f>6749.121</f>
        <v>6749.1210000000001</v>
      </c>
      <c r="J2739">
        <f>1882.34</f>
        <v>1882.34</v>
      </c>
      <c r="K2739">
        <f>5220.28</f>
        <v>5220.28</v>
      </c>
      <c r="L2739">
        <f>1239.82</f>
        <v>1239.82</v>
      </c>
      <c r="M2739">
        <f>4748.7</f>
        <v>4748.7</v>
      </c>
      <c r="N2739">
        <f>202.802</f>
        <v>202.80199999999999</v>
      </c>
      <c r="O2739">
        <f>1794.83</f>
        <v>1794.83</v>
      </c>
      <c r="P2739" t="e">
        <f>NA()</f>
        <v>#N/A</v>
      </c>
      <c r="Q2739">
        <f>1171.344</f>
        <v>1171.3440000000001</v>
      </c>
      <c r="R2739">
        <f>2504.44</f>
        <v>2504.44</v>
      </c>
      <c r="S2739" t="e">
        <f>NA()</f>
        <v>#N/A</v>
      </c>
      <c r="T2739">
        <f>2347.95</f>
        <v>2347.9499999999998</v>
      </c>
      <c r="U2739">
        <f>39250.24</f>
        <v>39250.239999999998</v>
      </c>
      <c r="V2739">
        <f>293.04</f>
        <v>293.04000000000002</v>
      </c>
    </row>
    <row r="2740" spans="1:22" x14ac:dyDescent="0.2">
      <c r="A2740" s="1">
        <v>41271</v>
      </c>
      <c r="B2740">
        <f>2356.66</f>
        <v>2356.66</v>
      </c>
      <c r="C2740">
        <f>9468.29</f>
        <v>9468.2900000000009</v>
      </c>
      <c r="D2740">
        <f>4165.77</f>
        <v>4165.7700000000004</v>
      </c>
      <c r="E2740">
        <f>2001.563</f>
        <v>2001.5630000000001</v>
      </c>
      <c r="F2740">
        <f>1490.96</f>
        <v>1490.96</v>
      </c>
      <c r="G2740">
        <f>6866.329</f>
        <v>6866.3289999999997</v>
      </c>
      <c r="H2740">
        <f>1988.97</f>
        <v>1988.97</v>
      </c>
      <c r="I2740">
        <f>6751.208</f>
        <v>6751.2079999999996</v>
      </c>
      <c r="J2740">
        <f>1858.41</f>
        <v>1858.41</v>
      </c>
      <c r="K2740">
        <f>5133.35</f>
        <v>5133.3500000000004</v>
      </c>
      <c r="L2740">
        <f>1234.26</f>
        <v>1234.26</v>
      </c>
      <c r="M2740">
        <f>4707.3</f>
        <v>4707.3</v>
      </c>
      <c r="N2740">
        <f>202.037</f>
        <v>202.03700000000001</v>
      </c>
      <c r="O2740">
        <f>1789.27</f>
        <v>1789.27</v>
      </c>
      <c r="P2740">
        <f>97.64</f>
        <v>97.64</v>
      </c>
      <c r="Q2740">
        <f>1155.025</f>
        <v>1155.0250000000001</v>
      </c>
      <c r="R2740">
        <f>2462.71</f>
        <v>2462.71</v>
      </c>
      <c r="S2740">
        <f>1130.87</f>
        <v>1130.8699999999999</v>
      </c>
      <c r="T2740">
        <f>2351.288</f>
        <v>2351.288</v>
      </c>
      <c r="U2740">
        <f>39385.04</f>
        <v>39385.040000000001</v>
      </c>
      <c r="V2740">
        <f>293.84</f>
        <v>293.83999999999997</v>
      </c>
    </row>
    <row r="2741" spans="1:22" x14ac:dyDescent="0.2">
      <c r="A2741" s="1">
        <v>41270</v>
      </c>
      <c r="B2741">
        <f>2371.04</f>
        <v>2371.04</v>
      </c>
      <c r="C2741">
        <f>9431.21</f>
        <v>9431.2099999999991</v>
      </c>
      <c r="D2741">
        <f>4186.11</f>
        <v>4186.1099999999997</v>
      </c>
      <c r="E2741">
        <f>1990.616</f>
        <v>1990.616</v>
      </c>
      <c r="F2741">
        <f>1495.19</f>
        <v>1495.19</v>
      </c>
      <c r="G2741">
        <f>6888.56</f>
        <v>6888.56</v>
      </c>
      <c r="H2741">
        <f>1978.81</f>
        <v>1978.81</v>
      </c>
      <c r="I2741">
        <f>6807.432</f>
        <v>6807.4319999999998</v>
      </c>
      <c r="J2741">
        <f>1880.61</f>
        <v>1880.61</v>
      </c>
      <c r="K2741">
        <f>5189.06</f>
        <v>5189.0600000000004</v>
      </c>
      <c r="L2741">
        <f>1242.74</f>
        <v>1242.74</v>
      </c>
      <c r="M2741">
        <f>4740.49</f>
        <v>4740.49</v>
      </c>
      <c r="N2741">
        <f>202.709</f>
        <v>202.709</v>
      </c>
      <c r="O2741">
        <f>1799.95</f>
        <v>1799.95</v>
      </c>
      <c r="P2741">
        <f>97.77</f>
        <v>97.77</v>
      </c>
      <c r="Q2741">
        <f>1166.778</f>
        <v>1166.778</v>
      </c>
      <c r="R2741">
        <f>2489.97</f>
        <v>2489.9699999999998</v>
      </c>
      <c r="S2741">
        <f>1123.36</f>
        <v>1123.3599999999999</v>
      </c>
      <c r="T2741">
        <f>2347.418</f>
        <v>2347.4180000000001</v>
      </c>
      <c r="U2741">
        <f>39427.13</f>
        <v>39427.129999999997</v>
      </c>
      <c r="V2741">
        <f>294.43</f>
        <v>294.43</v>
      </c>
    </row>
    <row r="2742" spans="1:22" x14ac:dyDescent="0.2">
      <c r="A2742" s="1">
        <v>41269</v>
      </c>
      <c r="B2742">
        <f>2376.71</f>
        <v>2376.71</v>
      </c>
      <c r="C2742">
        <f>9396.66</f>
        <v>9396.66</v>
      </c>
      <c r="D2742">
        <f>4186.03</f>
        <v>4186.03</v>
      </c>
      <c r="E2742">
        <f>1985.046</f>
        <v>1985.046</v>
      </c>
      <c r="F2742">
        <f>1495.97</f>
        <v>1495.97</v>
      </c>
      <c r="G2742">
        <f>6886.642</f>
        <v>6886.6419999999998</v>
      </c>
      <c r="H2742">
        <f>1982.35</f>
        <v>1982.35</v>
      </c>
      <c r="I2742">
        <f>6798.109</f>
        <v>6798.1090000000004</v>
      </c>
      <c r="J2742">
        <f>1882.88</f>
        <v>1882.88</v>
      </c>
      <c r="K2742">
        <f>5194</f>
        <v>5194</v>
      </c>
      <c r="L2742">
        <f>1243.54</f>
        <v>1243.54</v>
      </c>
      <c r="M2742">
        <f>4738.63</f>
        <v>4738.63</v>
      </c>
      <c r="N2742" t="e">
        <f>NA()</f>
        <v>#N/A</v>
      </c>
      <c r="O2742" t="e">
        <f>NA()</f>
        <v>#N/A</v>
      </c>
      <c r="P2742">
        <f>97.28</f>
        <v>97.28</v>
      </c>
      <c r="Q2742">
        <f>1167.909</f>
        <v>1167.9090000000001</v>
      </c>
      <c r="R2742">
        <f>2492.54</f>
        <v>2492.54</v>
      </c>
      <c r="S2742">
        <f>1114.97</f>
        <v>1114.97</v>
      </c>
      <c r="T2742" t="e">
        <f>NA()</f>
        <v>#N/A</v>
      </c>
      <c r="U2742" t="e">
        <f>NA()</f>
        <v>#N/A</v>
      </c>
      <c r="V2742" t="e">
        <f>NA()</f>
        <v>#N/A</v>
      </c>
    </row>
    <row r="2743" spans="1:22" x14ac:dyDescent="0.2">
      <c r="A2743" s="1">
        <v>41268</v>
      </c>
      <c r="B2743">
        <f>2376.71</f>
        <v>2376.71</v>
      </c>
      <c r="C2743">
        <f>9381.99</f>
        <v>9381.99</v>
      </c>
      <c r="D2743">
        <f>4186.03</f>
        <v>4186.03</v>
      </c>
      <c r="E2743">
        <f>1981.509</f>
        <v>1981.509</v>
      </c>
      <c r="F2743">
        <f>1495.79</f>
        <v>1495.79</v>
      </c>
      <c r="G2743">
        <f>6885.788</f>
        <v>6885.7879999999996</v>
      </c>
      <c r="H2743">
        <f>1989.29</f>
        <v>1989.29</v>
      </c>
      <c r="I2743">
        <f>6784.012</f>
        <v>6784.0119999999997</v>
      </c>
      <c r="J2743">
        <f>1889.65</f>
        <v>1889.65</v>
      </c>
      <c r="K2743">
        <f>5219.72</f>
        <v>5219.72</v>
      </c>
      <c r="L2743">
        <f>1244.85</f>
        <v>1244.8499999999999</v>
      </c>
      <c r="M2743">
        <f>4748.87</f>
        <v>4748.87</v>
      </c>
      <c r="N2743" t="e">
        <f>NA()</f>
        <v>#N/A</v>
      </c>
      <c r="O2743" t="e">
        <f>NA()</f>
        <v>#N/A</v>
      </c>
      <c r="P2743">
        <f>96.68</f>
        <v>96.68</v>
      </c>
      <c r="Q2743" t="e">
        <f>NA()</f>
        <v>#N/A</v>
      </c>
      <c r="R2743" t="e">
        <f>NA()</f>
        <v>#N/A</v>
      </c>
      <c r="S2743">
        <f>1100.98</f>
        <v>1100.98</v>
      </c>
      <c r="T2743" t="e">
        <f>NA()</f>
        <v>#N/A</v>
      </c>
      <c r="U2743" t="e">
        <f>NA()</f>
        <v>#N/A</v>
      </c>
      <c r="V2743" t="e">
        <f>NA()</f>
        <v>#N/A</v>
      </c>
    </row>
    <row r="2744" spans="1:22" x14ac:dyDescent="0.2">
      <c r="A2744" s="1">
        <v>41267</v>
      </c>
      <c r="B2744">
        <f>2376.71</f>
        <v>2376.71</v>
      </c>
      <c r="C2744">
        <f>9360.45</f>
        <v>9360.4500000000007</v>
      </c>
      <c r="D2744">
        <f>4186.03</f>
        <v>4186.03</v>
      </c>
      <c r="E2744">
        <f>1978.313</f>
        <v>1978.3130000000001</v>
      </c>
      <c r="F2744">
        <f>1495.79</f>
        <v>1495.79</v>
      </c>
      <c r="G2744">
        <f>6885.788</f>
        <v>6885.7879999999996</v>
      </c>
      <c r="H2744">
        <f>1981.28</f>
        <v>1981.28</v>
      </c>
      <c r="I2744">
        <f>6784.012</f>
        <v>6784.0119999999997</v>
      </c>
      <c r="J2744">
        <f>1889.65</f>
        <v>1889.65</v>
      </c>
      <c r="K2744">
        <f>5219.72</f>
        <v>5219.72</v>
      </c>
      <c r="L2744">
        <f>1244.82</f>
        <v>1244.82</v>
      </c>
      <c r="M2744">
        <f>4746.37</f>
        <v>4746.37</v>
      </c>
      <c r="N2744">
        <f>203.213</f>
        <v>203.21299999999999</v>
      </c>
      <c r="O2744">
        <f>1800.6</f>
        <v>1800.6</v>
      </c>
      <c r="P2744" t="e">
        <f>NA()</f>
        <v>#N/A</v>
      </c>
      <c r="Q2744">
        <f>1173.262</f>
        <v>1173.2619999999999</v>
      </c>
      <c r="R2744">
        <f>2504.51</f>
        <v>2504.5100000000002</v>
      </c>
      <c r="S2744" t="e">
        <f>NA()</f>
        <v>#N/A</v>
      </c>
      <c r="T2744">
        <f>2326.673</f>
        <v>2326.6729999999998</v>
      </c>
      <c r="U2744">
        <f>39187.38</f>
        <v>39187.379999999997</v>
      </c>
      <c r="V2744">
        <f>291.76</f>
        <v>291.76</v>
      </c>
    </row>
    <row r="2745" spans="1:22" x14ac:dyDescent="0.2">
      <c r="A2745" s="1">
        <v>41264</v>
      </c>
      <c r="B2745">
        <f>2372.26</f>
        <v>2372.2600000000002</v>
      </c>
      <c r="C2745">
        <f>9351.56</f>
        <v>9351.56</v>
      </c>
      <c r="D2745">
        <f>4175.39</f>
        <v>4175.3900000000003</v>
      </c>
      <c r="E2745">
        <f>1976.96</f>
        <v>1976.96</v>
      </c>
      <c r="F2745">
        <f>1499.26</f>
        <v>1499.26</v>
      </c>
      <c r="G2745">
        <f>6892.453</f>
        <v>6892.4530000000004</v>
      </c>
      <c r="H2745">
        <f>1997.18</f>
        <v>1997.18</v>
      </c>
      <c r="I2745">
        <f>6780.641</f>
        <v>6780.6409999999996</v>
      </c>
      <c r="J2745">
        <f>1897.04</f>
        <v>1897.04</v>
      </c>
      <c r="K2745">
        <f>5231.32</f>
        <v>5231.32</v>
      </c>
      <c r="L2745">
        <f>1247.16</f>
        <v>1247.1600000000001</v>
      </c>
      <c r="M2745">
        <f>4755.42</f>
        <v>4755.42</v>
      </c>
      <c r="N2745">
        <f>203.672</f>
        <v>203.672</v>
      </c>
      <c r="O2745">
        <f>1802.87</f>
        <v>1802.87</v>
      </c>
      <c r="P2745">
        <f>96.33</f>
        <v>96.33</v>
      </c>
      <c r="Q2745">
        <f>1173.897</f>
        <v>1173.8969999999999</v>
      </c>
      <c r="R2745">
        <f>2510.32</f>
        <v>2510.3200000000002</v>
      </c>
      <c r="S2745">
        <f>1094.03</f>
        <v>1094.03</v>
      </c>
      <c r="T2745">
        <f>2319.337</f>
        <v>2319.337</v>
      </c>
      <c r="U2745">
        <f>39124.58</f>
        <v>39124.58</v>
      </c>
      <c r="V2745">
        <f>291.37</f>
        <v>291.37</v>
      </c>
    </row>
    <row r="2746" spans="1:22" x14ac:dyDescent="0.2">
      <c r="A2746" s="1">
        <v>41263</v>
      </c>
      <c r="B2746">
        <f>2386.95</f>
        <v>2386.9499999999998</v>
      </c>
      <c r="C2746">
        <f>9432.76</f>
        <v>9432.76</v>
      </c>
      <c r="D2746">
        <f>4188.29</f>
        <v>4188.29</v>
      </c>
      <c r="E2746">
        <f>1995.229</f>
        <v>1995.229</v>
      </c>
      <c r="F2746">
        <f>1506.24</f>
        <v>1506.24</v>
      </c>
      <c r="G2746">
        <f>6948.07</f>
        <v>6948.07</v>
      </c>
      <c r="H2746">
        <f>1998.92</f>
        <v>1998.92</v>
      </c>
      <c r="I2746">
        <f>6830.009</f>
        <v>6830.009</v>
      </c>
      <c r="J2746">
        <f>1914.53</f>
        <v>1914.53</v>
      </c>
      <c r="K2746">
        <f>5280.37</f>
        <v>5280.37</v>
      </c>
      <c r="L2746">
        <f>1253.47</f>
        <v>1253.47</v>
      </c>
      <c r="M2746">
        <f>4793.22</f>
        <v>4793.22</v>
      </c>
      <c r="N2746">
        <f>204.083</f>
        <v>204.083</v>
      </c>
      <c r="O2746">
        <f>1808.75</f>
        <v>1808.75</v>
      </c>
      <c r="P2746">
        <f>96.7</f>
        <v>96.7</v>
      </c>
      <c r="Q2746">
        <f>1185.946</f>
        <v>1185.9459999999999</v>
      </c>
      <c r="R2746">
        <f>2533.91</f>
        <v>2533.91</v>
      </c>
      <c r="S2746">
        <f>1101.77</f>
        <v>1101.77</v>
      </c>
      <c r="T2746">
        <f>2317.584</f>
        <v>2317.5839999999998</v>
      </c>
      <c r="U2746">
        <f>39220.96</f>
        <v>39220.959999999999</v>
      </c>
      <c r="V2746">
        <f>292.46</f>
        <v>292.45999999999998</v>
      </c>
    </row>
    <row r="2747" spans="1:22" x14ac:dyDescent="0.2">
      <c r="A2747" s="1">
        <v>41262</v>
      </c>
      <c r="B2747">
        <f>2378.9</f>
        <v>2378.9</v>
      </c>
      <c r="C2747">
        <f>9417.22</f>
        <v>9417.2199999999993</v>
      </c>
      <c r="D2747">
        <f>4190.58</f>
        <v>4190.58</v>
      </c>
      <c r="E2747">
        <f>1996.095</f>
        <v>1996.095</v>
      </c>
      <c r="F2747">
        <f>1508.33</f>
        <v>1508.33</v>
      </c>
      <c r="G2747">
        <f>6955.724</f>
        <v>6955.7240000000002</v>
      </c>
      <c r="H2747">
        <f>1994.18</f>
        <v>1994.18</v>
      </c>
      <c r="I2747">
        <f>6839.696</f>
        <v>6839.6959999999999</v>
      </c>
      <c r="J2747">
        <f>1905.68</f>
        <v>1905.68</v>
      </c>
      <c r="K2747">
        <f>5250.79</f>
        <v>5250.79</v>
      </c>
      <c r="L2747">
        <f>1253.11</f>
        <v>1253.1099999999999</v>
      </c>
      <c r="M2747">
        <f>4782.21</f>
        <v>4782.21</v>
      </c>
      <c r="N2747">
        <f>203.663</f>
        <v>203.66300000000001</v>
      </c>
      <c r="O2747">
        <f>1807.7</f>
        <v>1807.7</v>
      </c>
      <c r="P2747">
        <f>96.78</f>
        <v>96.78</v>
      </c>
      <c r="Q2747">
        <f>1179.424</f>
        <v>1179.424</v>
      </c>
      <c r="R2747">
        <f>2519.54</f>
        <v>2519.54</v>
      </c>
      <c r="S2747">
        <f>1102.73</f>
        <v>1102.73</v>
      </c>
      <c r="T2747">
        <f>2320.167</f>
        <v>2320.1669999999999</v>
      </c>
      <c r="U2747">
        <f>39164.84</f>
        <v>39164.839999999997</v>
      </c>
      <c r="V2747">
        <f>291.45</f>
        <v>291.45</v>
      </c>
    </row>
    <row r="2748" spans="1:22" x14ac:dyDescent="0.2">
      <c r="A2748" s="1">
        <v>41261</v>
      </c>
      <c r="B2748">
        <f>2360.26</f>
        <v>2360.2600000000002</v>
      </c>
      <c r="C2748">
        <f>9347.8</f>
        <v>9347.7999999999993</v>
      </c>
      <c r="D2748">
        <f>4172.21</f>
        <v>4172.21</v>
      </c>
      <c r="E2748">
        <f>1982.943</f>
        <v>1982.943</v>
      </c>
      <c r="F2748">
        <f>1511.18</f>
        <v>1511.18</v>
      </c>
      <c r="G2748">
        <f>6916.574</f>
        <v>6916.5739999999996</v>
      </c>
      <c r="H2748">
        <f>1942.4</f>
        <v>1942.4</v>
      </c>
      <c r="I2748">
        <f>6781.132</f>
        <v>6781.1319999999996</v>
      </c>
      <c r="J2748">
        <f>1920.45</f>
        <v>1920.45</v>
      </c>
      <c r="K2748">
        <f>5288.51</f>
        <v>5288.51</v>
      </c>
      <c r="L2748">
        <f>1251.99</f>
        <v>1251.99</v>
      </c>
      <c r="M2748">
        <f>4778.58</f>
        <v>4778.58</v>
      </c>
      <c r="N2748">
        <f>203.676</f>
        <v>203.67599999999999</v>
      </c>
      <c r="O2748">
        <f>1799.87</f>
        <v>1799.87</v>
      </c>
      <c r="P2748">
        <f>95.14</f>
        <v>95.14</v>
      </c>
      <c r="Q2748">
        <f>1187.94</f>
        <v>1187.94</v>
      </c>
      <c r="R2748">
        <f>2538.72</f>
        <v>2538.7199999999998</v>
      </c>
      <c r="S2748">
        <f>1073.18</f>
        <v>1073.18</v>
      </c>
      <c r="T2748">
        <f>2309.998</f>
        <v>2309.998</v>
      </c>
      <c r="U2748">
        <f>38879.7</f>
        <v>38879.699999999997</v>
      </c>
      <c r="V2748">
        <f>288.14</f>
        <v>288.14</v>
      </c>
    </row>
    <row r="2749" spans="1:22" x14ac:dyDescent="0.2">
      <c r="A2749" s="1">
        <v>41260</v>
      </c>
      <c r="B2749">
        <f>2347.94</f>
        <v>2347.94</v>
      </c>
      <c r="C2749">
        <f>9274.85</f>
        <v>9274.85</v>
      </c>
      <c r="D2749">
        <f>4155.51</f>
        <v>4155.51</v>
      </c>
      <c r="E2749">
        <f>1971.13</f>
        <v>1971.13</v>
      </c>
      <c r="F2749">
        <f>1507.29</f>
        <v>1507.29</v>
      </c>
      <c r="G2749">
        <f>6868.079</f>
        <v>6868.0789999999997</v>
      </c>
      <c r="H2749">
        <f>1921.76</f>
        <v>1921.76</v>
      </c>
      <c r="I2749">
        <f>6720.024</f>
        <v>6720.0240000000003</v>
      </c>
      <c r="J2749">
        <f>1904.66</f>
        <v>1904.66</v>
      </c>
      <c r="K2749">
        <f>5227.86</f>
        <v>5227.8599999999997</v>
      </c>
      <c r="L2749">
        <f>1243.37</f>
        <v>1243.3699999999999</v>
      </c>
      <c r="M2749">
        <f>4733.42</f>
        <v>4733.42</v>
      </c>
      <c r="N2749">
        <f>203.053</f>
        <v>203.053</v>
      </c>
      <c r="O2749">
        <f>1791.75</f>
        <v>1791.75</v>
      </c>
      <c r="P2749">
        <f>94.72</f>
        <v>94.72</v>
      </c>
      <c r="Q2749">
        <f>1177.511</f>
        <v>1177.511</v>
      </c>
      <c r="R2749">
        <f>2509.84</f>
        <v>2509.84</v>
      </c>
      <c r="S2749">
        <f>1061.33</f>
        <v>1061.33</v>
      </c>
      <c r="T2749" t="e">
        <f>NA()</f>
        <v>#N/A</v>
      </c>
      <c r="U2749" t="e">
        <f>NA()</f>
        <v>#N/A</v>
      </c>
      <c r="V2749" t="e">
        <f>NA()</f>
        <v>#N/A</v>
      </c>
    </row>
    <row r="2750" spans="1:22" x14ac:dyDescent="0.2">
      <c r="A2750" s="1">
        <v>41257</v>
      </c>
      <c r="B2750">
        <f>2345.6</f>
        <v>2345.6</v>
      </c>
      <c r="C2750">
        <f>9291.53</f>
        <v>9291.5300000000007</v>
      </c>
      <c r="D2750">
        <f>4162.27</f>
        <v>4162.2700000000004</v>
      </c>
      <c r="E2750">
        <f>1976.347</f>
        <v>1976.347</v>
      </c>
      <c r="F2750">
        <f>1506.86</f>
        <v>1506.86</v>
      </c>
      <c r="G2750">
        <f>6845.542</f>
        <v>6845.5420000000004</v>
      </c>
      <c r="H2750">
        <f>1918.38</f>
        <v>1918.38</v>
      </c>
      <c r="I2750">
        <f>6694.432</f>
        <v>6694.4319999999998</v>
      </c>
      <c r="J2750">
        <f>1891.4</f>
        <v>1891.4</v>
      </c>
      <c r="K2750">
        <f>5167.79</f>
        <v>5167.79</v>
      </c>
      <c r="L2750">
        <f>1239.02</f>
        <v>1239.02</v>
      </c>
      <c r="M2750">
        <f>4698.63</f>
        <v>4698.63</v>
      </c>
      <c r="N2750">
        <f>204.986</f>
        <v>204.98599999999999</v>
      </c>
      <c r="O2750">
        <f>1792.09</f>
        <v>1792.09</v>
      </c>
      <c r="P2750">
        <f>94.58</f>
        <v>94.58</v>
      </c>
      <c r="Q2750">
        <f>1165.687</f>
        <v>1165.6869999999999</v>
      </c>
      <c r="R2750">
        <f>2480.36</f>
        <v>2480.36</v>
      </c>
      <c r="S2750">
        <f>1052.4</f>
        <v>1052.4000000000001</v>
      </c>
      <c r="T2750">
        <f>2295.183</f>
        <v>2295.183</v>
      </c>
      <c r="U2750">
        <f>38674.48</f>
        <v>38674.480000000003</v>
      </c>
      <c r="V2750">
        <f>286.03</f>
        <v>286.02999999999997</v>
      </c>
    </row>
    <row r="2751" spans="1:22" x14ac:dyDescent="0.2">
      <c r="A2751" s="1">
        <v>41256</v>
      </c>
      <c r="B2751">
        <f>2344.34</f>
        <v>2344.34</v>
      </c>
      <c r="C2751">
        <f>9261.06</f>
        <v>9261.06</v>
      </c>
      <c r="D2751">
        <f>4167.79</f>
        <v>4167.79</v>
      </c>
      <c r="E2751">
        <f>1975.858</f>
        <v>1975.8579999999999</v>
      </c>
      <c r="F2751">
        <f>1514.36</f>
        <v>1514.36</v>
      </c>
      <c r="G2751">
        <f>6861.29</f>
        <v>6861.29</v>
      </c>
      <c r="H2751">
        <f>1907.39</f>
        <v>1907.39</v>
      </c>
      <c r="I2751">
        <f>6680.509</f>
        <v>6680.509</v>
      </c>
      <c r="J2751">
        <f>1896.47</f>
        <v>1896.47</v>
      </c>
      <c r="K2751">
        <f>5188.62</f>
        <v>5188.62</v>
      </c>
      <c r="L2751">
        <f>1240.52</f>
        <v>1240.52</v>
      </c>
      <c r="M2751">
        <f>4705.94</f>
        <v>4705.9399999999996</v>
      </c>
      <c r="N2751">
        <f>205.535</f>
        <v>205.535</v>
      </c>
      <c r="O2751">
        <f>1794.77</f>
        <v>1794.77</v>
      </c>
      <c r="P2751">
        <f>94.83</f>
        <v>94.83</v>
      </c>
      <c r="Q2751">
        <f>1167.529</f>
        <v>1167.529</v>
      </c>
      <c r="R2751">
        <f>2490.56</f>
        <v>2490.56</v>
      </c>
      <c r="S2751">
        <f>1050.01</f>
        <v>1050.01</v>
      </c>
      <c r="T2751">
        <f>2289.726</f>
        <v>2289.7260000000001</v>
      </c>
      <c r="U2751">
        <f>38676.7</f>
        <v>38676.699999999997</v>
      </c>
      <c r="V2751">
        <f>285.42</f>
        <v>285.42</v>
      </c>
    </row>
    <row r="2752" spans="1:22" x14ac:dyDescent="0.2">
      <c r="A2752" s="1">
        <v>41255</v>
      </c>
      <c r="B2752">
        <f>2338.66</f>
        <v>2338.66</v>
      </c>
      <c r="C2752">
        <f>9263.14</f>
        <v>9263.14</v>
      </c>
      <c r="D2752">
        <f>4179.2</f>
        <v>4179.2</v>
      </c>
      <c r="E2752">
        <f>1973.566</f>
        <v>1973.566</v>
      </c>
      <c r="F2752">
        <f>1517.36</f>
        <v>1517.36</v>
      </c>
      <c r="G2752">
        <f>6870.613</f>
        <v>6870.6130000000003</v>
      </c>
      <c r="H2752">
        <f>1913.02</f>
        <v>1913.02</v>
      </c>
      <c r="I2752">
        <f>6676.31</f>
        <v>6676.31</v>
      </c>
      <c r="J2752">
        <f>1907.1</f>
        <v>1907.1</v>
      </c>
      <c r="K2752">
        <f>5220.44</f>
        <v>5220.4399999999996</v>
      </c>
      <c r="L2752">
        <f>1242.67</f>
        <v>1242.67</v>
      </c>
      <c r="M2752">
        <f>4721.58</f>
        <v>4721.58</v>
      </c>
      <c r="N2752">
        <f>206.605</f>
        <v>206.60499999999999</v>
      </c>
      <c r="O2752">
        <f>1801.63</f>
        <v>1801.63</v>
      </c>
      <c r="P2752">
        <f>94.84</f>
        <v>94.84</v>
      </c>
      <c r="Q2752">
        <f>1172.391</f>
        <v>1172.3910000000001</v>
      </c>
      <c r="R2752">
        <f>2505.76</f>
        <v>2505.7600000000002</v>
      </c>
      <c r="S2752">
        <f>1039.6</f>
        <v>1039.5999999999999</v>
      </c>
      <c r="T2752">
        <f>2284.98</f>
        <v>2284.98</v>
      </c>
      <c r="U2752">
        <f>38763.64</f>
        <v>38763.64</v>
      </c>
      <c r="V2752">
        <f>283.5</f>
        <v>283.5</v>
      </c>
    </row>
    <row r="2753" spans="1:22" x14ac:dyDescent="0.2">
      <c r="A2753" s="1">
        <v>41254</v>
      </c>
      <c r="B2753">
        <f>2325.89</f>
        <v>2325.89</v>
      </c>
      <c r="C2753">
        <f>9183.13</f>
        <v>9183.1299999999992</v>
      </c>
      <c r="D2753">
        <f>4164.46</f>
        <v>4164.46</v>
      </c>
      <c r="E2753">
        <f>1960.574</f>
        <v>1960.5740000000001</v>
      </c>
      <c r="F2753">
        <f>1508.12</f>
        <v>1508.12</v>
      </c>
      <c r="G2753">
        <f>6840.914</f>
        <v>6840.9139999999998</v>
      </c>
      <c r="H2753">
        <f>1920.6</f>
        <v>1920.6</v>
      </c>
      <c r="I2753">
        <f>6652.508</f>
        <v>6652.5079999999998</v>
      </c>
      <c r="J2753">
        <f>1908.48</f>
        <v>1908.48</v>
      </c>
      <c r="K2753">
        <f>5218.36</f>
        <v>5218.3599999999997</v>
      </c>
      <c r="L2753">
        <f>1239.48</f>
        <v>1239.48</v>
      </c>
      <c r="M2753">
        <f>4712.38</f>
        <v>4712.38</v>
      </c>
      <c r="N2753">
        <f>206.696</f>
        <v>206.696</v>
      </c>
      <c r="O2753">
        <f>1799.79</f>
        <v>1799.79</v>
      </c>
      <c r="P2753">
        <f>94.77</f>
        <v>94.77</v>
      </c>
      <c r="Q2753">
        <f>1176.269</f>
        <v>1176.269</v>
      </c>
      <c r="R2753">
        <f>2504.08</f>
        <v>2504.08</v>
      </c>
      <c r="S2753">
        <f>1032.73</f>
        <v>1032.73</v>
      </c>
      <c r="T2753">
        <f>2276.519</f>
        <v>2276.5189999999998</v>
      </c>
      <c r="U2753">
        <f>38535.97</f>
        <v>38535.97</v>
      </c>
      <c r="V2753">
        <f>282.37</f>
        <v>282.37</v>
      </c>
    </row>
    <row r="2754" spans="1:22" x14ac:dyDescent="0.2">
      <c r="A2754" s="1">
        <v>41253</v>
      </c>
      <c r="B2754">
        <f>2319.3</f>
        <v>2319.3000000000002</v>
      </c>
      <c r="C2754">
        <f>9123.54</f>
        <v>9123.5400000000009</v>
      </c>
      <c r="D2754">
        <f>4162.11</f>
        <v>4162.1099999999997</v>
      </c>
      <c r="E2754">
        <f>1950.141</f>
        <v>1950.1410000000001</v>
      </c>
      <c r="F2754">
        <f>1502.9</f>
        <v>1502.9</v>
      </c>
      <c r="G2754">
        <f>6825.044</f>
        <v>6825.0439999999999</v>
      </c>
      <c r="H2754">
        <f>1928.05</f>
        <v>1928.05</v>
      </c>
      <c r="I2754">
        <f>6570.332</f>
        <v>6570.3320000000003</v>
      </c>
      <c r="J2754">
        <f>1897.9</f>
        <v>1897.9</v>
      </c>
      <c r="K2754">
        <f>5185.28</f>
        <v>5185.28</v>
      </c>
      <c r="L2754">
        <f>1230.76</f>
        <v>1230.76</v>
      </c>
      <c r="M2754">
        <f>4684.05</f>
        <v>4684.05</v>
      </c>
      <c r="N2754">
        <f>206.365</f>
        <v>206.36500000000001</v>
      </c>
      <c r="O2754">
        <f>1793.15</f>
        <v>1793.15</v>
      </c>
      <c r="P2754">
        <f>94.93</f>
        <v>94.93</v>
      </c>
      <c r="Q2754">
        <f>1173.153</f>
        <v>1173.153</v>
      </c>
      <c r="R2754">
        <f>2487.78</f>
        <v>2487.7800000000002</v>
      </c>
      <c r="S2754">
        <f>1035.91</f>
        <v>1035.9100000000001</v>
      </c>
      <c r="T2754">
        <f>2263.72</f>
        <v>2263.7199999999998</v>
      </c>
      <c r="U2754">
        <f>38357.07</f>
        <v>38357.07</v>
      </c>
      <c r="V2754">
        <f>280.99</f>
        <v>280.99</v>
      </c>
    </row>
    <row r="2755" spans="1:22" x14ac:dyDescent="0.2">
      <c r="A2755" s="1">
        <v>41250</v>
      </c>
      <c r="B2755">
        <f>2315.16</f>
        <v>2315.16</v>
      </c>
      <c r="C2755">
        <f>9078.94</f>
        <v>9078.94</v>
      </c>
      <c r="D2755">
        <f>4157.03</f>
        <v>4157.03</v>
      </c>
      <c r="E2755">
        <f>1940.571</f>
        <v>1940.5709999999999</v>
      </c>
      <c r="F2755">
        <f>1493.36</f>
        <v>1493.36</v>
      </c>
      <c r="G2755">
        <f>6793.537</f>
        <v>6793.5370000000003</v>
      </c>
      <c r="H2755">
        <f>1927.89</f>
        <v>1927.89</v>
      </c>
      <c r="I2755">
        <f>6571.672</f>
        <v>6571.6719999999996</v>
      </c>
      <c r="J2755">
        <f>1894.56</f>
        <v>1894.56</v>
      </c>
      <c r="K2755">
        <f>5182.83</f>
        <v>5182.83</v>
      </c>
      <c r="L2755">
        <f>1228.73</f>
        <v>1228.73</v>
      </c>
      <c r="M2755">
        <f>4679.48</f>
        <v>4679.4799999999996</v>
      </c>
      <c r="N2755">
        <f>205.62</f>
        <v>205.62</v>
      </c>
      <c r="O2755">
        <f>1790.07</f>
        <v>1790.07</v>
      </c>
      <c r="P2755">
        <f>94.87</f>
        <v>94.87</v>
      </c>
      <c r="Q2755">
        <f>1173.529</f>
        <v>1173.529</v>
      </c>
      <c r="R2755">
        <f>2486.84</f>
        <v>2486.84</v>
      </c>
      <c r="S2755">
        <f>1038.21</f>
        <v>1038.21</v>
      </c>
      <c r="T2755">
        <f>2259.285</f>
        <v>2259.2849999999999</v>
      </c>
      <c r="U2755">
        <f>38195.89</f>
        <v>38195.89</v>
      </c>
      <c r="V2755">
        <f>280.51</f>
        <v>280.51</v>
      </c>
    </row>
    <row r="2756" spans="1:22" x14ac:dyDescent="0.2">
      <c r="A2756" s="1">
        <v>41249</v>
      </c>
      <c r="B2756">
        <f>2314.1</f>
        <v>2314.1</v>
      </c>
      <c r="C2756">
        <f>9049.3</f>
        <v>9049.2999999999993</v>
      </c>
      <c r="D2756">
        <f>4147.91</f>
        <v>4147.91</v>
      </c>
      <c r="E2756">
        <f>1935.265</f>
        <v>1935.2650000000001</v>
      </c>
      <c r="F2756">
        <f>1494.52</f>
        <v>1494.52</v>
      </c>
      <c r="G2756">
        <f>6804.746</f>
        <v>6804.7460000000001</v>
      </c>
      <c r="H2756">
        <f>1917.18</f>
        <v>1917.18</v>
      </c>
      <c r="I2756">
        <f>6599.034</f>
        <v>6599.0339999999997</v>
      </c>
      <c r="J2756">
        <f>1887.08</f>
        <v>1887.08</v>
      </c>
      <c r="K2756">
        <f>5167.22</f>
        <v>5167.22</v>
      </c>
      <c r="L2756">
        <f>1227.84</f>
        <v>1227.8399999999999</v>
      </c>
      <c r="M2756">
        <f>4673.49</f>
        <v>4673.49</v>
      </c>
      <c r="N2756">
        <f>205.132</f>
        <v>205.13200000000001</v>
      </c>
      <c r="O2756">
        <f>1788.55</f>
        <v>1788.55</v>
      </c>
      <c r="P2756">
        <f>95.09</f>
        <v>95.09</v>
      </c>
      <c r="Q2756">
        <f>1169.59</f>
        <v>1169.5899999999999</v>
      </c>
      <c r="R2756">
        <f>2479.4</f>
        <v>2479.4</v>
      </c>
      <c r="S2756">
        <f>1036.33</f>
        <v>1036.33</v>
      </c>
      <c r="T2756">
        <f>2258.637</f>
        <v>2258.6370000000002</v>
      </c>
      <c r="U2756">
        <f>38287.54</f>
        <v>38287.54</v>
      </c>
      <c r="V2756">
        <f>280.32</f>
        <v>280.32</v>
      </c>
    </row>
    <row r="2757" spans="1:22" x14ac:dyDescent="0.2">
      <c r="A2757" s="1">
        <v>41248</v>
      </c>
      <c r="B2757">
        <f>2309.36</f>
        <v>2309.36</v>
      </c>
      <c r="C2757">
        <f>9024.57</f>
        <v>9024.57</v>
      </c>
      <c r="D2757">
        <f>4141.34</f>
        <v>4141.34</v>
      </c>
      <c r="E2757">
        <f>1927.829</f>
        <v>1927.829</v>
      </c>
      <c r="F2757">
        <f>1493.75</f>
        <v>1493.75</v>
      </c>
      <c r="G2757">
        <f>6797.751</f>
        <v>6797.7510000000002</v>
      </c>
      <c r="H2757">
        <f>1907.27</f>
        <v>1907.27</v>
      </c>
      <c r="I2757">
        <f>6595.466</f>
        <v>6595.4660000000003</v>
      </c>
      <c r="J2757">
        <f>1882.54</f>
        <v>1882.54</v>
      </c>
      <c r="K2757">
        <f>5148.45</f>
        <v>5148.45</v>
      </c>
      <c r="L2757">
        <f>1226.75</f>
        <v>1226.75</v>
      </c>
      <c r="M2757">
        <f>4659.52</f>
        <v>4659.5200000000004</v>
      </c>
      <c r="N2757">
        <f>204.107</f>
        <v>204.107</v>
      </c>
      <c r="O2757">
        <f>1776.45</f>
        <v>1776.45</v>
      </c>
      <c r="P2757">
        <f>94.54</f>
        <v>94.54</v>
      </c>
      <c r="Q2757">
        <f>1166.052</f>
        <v>1166.0519999999999</v>
      </c>
      <c r="R2757">
        <f>2470.59</f>
        <v>2470.59</v>
      </c>
      <c r="S2757">
        <f>1027.29</f>
        <v>1027.29</v>
      </c>
      <c r="T2757">
        <f>2243.617</f>
        <v>2243.6170000000002</v>
      </c>
      <c r="U2757">
        <f>38189.82</f>
        <v>38189.82</v>
      </c>
      <c r="V2757">
        <f>278.4</f>
        <v>278.39999999999998</v>
      </c>
    </row>
    <row r="2758" spans="1:22" x14ac:dyDescent="0.2">
      <c r="A2758" s="1">
        <v>41247</v>
      </c>
      <c r="B2758">
        <f>2299.55</f>
        <v>2299.5500000000002</v>
      </c>
      <c r="C2758">
        <f>8928.61</f>
        <v>8928.61</v>
      </c>
      <c r="D2758">
        <f>4124.02</f>
        <v>4124.0200000000004</v>
      </c>
      <c r="E2758">
        <f>1908.693</f>
        <v>1908.693</v>
      </c>
      <c r="F2758">
        <f>1495.86</f>
        <v>1495.86</v>
      </c>
      <c r="G2758">
        <f>6774.296</f>
        <v>6774.2960000000003</v>
      </c>
      <c r="H2758">
        <f>1920.13</f>
        <v>1920.13</v>
      </c>
      <c r="I2758">
        <f>6596.693</f>
        <v>6596.6930000000002</v>
      </c>
      <c r="J2758">
        <f>1874.59</f>
        <v>1874.59</v>
      </c>
      <c r="K2758">
        <f>5137.89</f>
        <v>5137.8900000000003</v>
      </c>
      <c r="L2758">
        <f>1223.47</f>
        <v>1223.47</v>
      </c>
      <c r="M2758">
        <f>4653.67</f>
        <v>4653.67</v>
      </c>
      <c r="N2758">
        <f>203.756</f>
        <v>203.756</v>
      </c>
      <c r="O2758">
        <f>1771.51</f>
        <v>1771.51</v>
      </c>
      <c r="P2758">
        <f>94.32</f>
        <v>94.32</v>
      </c>
      <c r="Q2758">
        <f>1164.045</f>
        <v>1164.0450000000001</v>
      </c>
      <c r="R2758">
        <f>2465.9</f>
        <v>2465.9</v>
      </c>
      <c r="S2758">
        <f>1027.43</f>
        <v>1027.43</v>
      </c>
      <c r="T2758">
        <f>2230.796</f>
        <v>2230.7959999999998</v>
      </c>
      <c r="U2758">
        <f>37991.31</f>
        <v>37991.31</v>
      </c>
      <c r="V2758">
        <f>277.95</f>
        <v>277.95</v>
      </c>
    </row>
    <row r="2759" spans="1:22" x14ac:dyDescent="0.2">
      <c r="A2759" s="1">
        <v>41246</v>
      </c>
      <c r="B2759">
        <f>2295.14</f>
        <v>2295.14</v>
      </c>
      <c r="C2759">
        <f>8924.3</f>
        <v>8924.2999999999993</v>
      </c>
      <c r="D2759">
        <f>4125.57</f>
        <v>4125.57</v>
      </c>
      <c r="E2759">
        <f>1909.417</f>
        <v>1909.4169999999999</v>
      </c>
      <c r="F2759">
        <f>1492.83</f>
        <v>1492.83</v>
      </c>
      <c r="G2759">
        <f>6772.514</f>
        <v>6772.5140000000001</v>
      </c>
      <c r="H2759">
        <f>1910.81</f>
        <v>1910.81</v>
      </c>
      <c r="I2759">
        <f>6581.925</f>
        <v>6581.9250000000002</v>
      </c>
      <c r="J2759">
        <f>1876.11</f>
        <v>1876.11</v>
      </c>
      <c r="K2759">
        <f>5146.42</f>
        <v>5146.42</v>
      </c>
      <c r="L2759">
        <f>1222.8</f>
        <v>1222.8</v>
      </c>
      <c r="M2759">
        <f>4654.41</f>
        <v>4654.41</v>
      </c>
      <c r="N2759">
        <f>203.837</f>
        <v>203.83699999999999</v>
      </c>
      <c r="O2759">
        <f>1771.65</f>
        <v>1771.65</v>
      </c>
      <c r="P2759">
        <f>94.22</f>
        <v>94.22</v>
      </c>
      <c r="Q2759">
        <f>1166.64</f>
        <v>1166.6400000000001</v>
      </c>
      <c r="R2759">
        <f>2470.07</f>
        <v>2470.0700000000002</v>
      </c>
      <c r="S2759">
        <f>1027.12</f>
        <v>1027.1199999999999</v>
      </c>
      <c r="T2759">
        <f>2220.866</f>
        <v>2220.866</v>
      </c>
      <c r="U2759">
        <f>38049.74</f>
        <v>38049.74</v>
      </c>
      <c r="V2759">
        <f>278.39</f>
        <v>278.39</v>
      </c>
    </row>
    <row r="2760" spans="1:22" x14ac:dyDescent="0.2">
      <c r="A2760" s="1">
        <v>41243</v>
      </c>
      <c r="B2760">
        <f>2291.85</f>
        <v>2291.85</v>
      </c>
      <c r="C2760">
        <f>8932.92</f>
        <v>8932.92</v>
      </c>
      <c r="D2760">
        <f>4122.47</f>
        <v>4122.47</v>
      </c>
      <c r="E2760">
        <f>1908.071</f>
        <v>1908.0709999999999</v>
      </c>
      <c r="F2760">
        <f>1484.72</f>
        <v>1484.72</v>
      </c>
      <c r="G2760">
        <f>6737.711</f>
        <v>6737.7110000000002</v>
      </c>
      <c r="H2760">
        <f>1907.73</f>
        <v>1907.73</v>
      </c>
      <c r="I2760">
        <f>6537.672</f>
        <v>6537.6719999999996</v>
      </c>
      <c r="J2760">
        <f>1885.66</f>
        <v>1885.66</v>
      </c>
      <c r="K2760">
        <f>5171.12</f>
        <v>5171.12</v>
      </c>
      <c r="L2760">
        <f>1220.91</f>
        <v>1220.9100000000001</v>
      </c>
      <c r="M2760">
        <f>4658.58</f>
        <v>4658.58</v>
      </c>
      <c r="N2760">
        <f>203.087</f>
        <v>203.08699999999999</v>
      </c>
      <c r="O2760">
        <f>1768.41</f>
        <v>1768.41</v>
      </c>
      <c r="P2760">
        <f>94.5</f>
        <v>94.5</v>
      </c>
      <c r="Q2760">
        <f>1172.817</f>
        <v>1172.817</v>
      </c>
      <c r="R2760">
        <f>2481.82</f>
        <v>2481.8200000000002</v>
      </c>
      <c r="S2760">
        <f>1026.76</f>
        <v>1026.76</v>
      </c>
      <c r="T2760">
        <f>2211.869</f>
        <v>2211.8690000000001</v>
      </c>
      <c r="U2760">
        <f>38104.61</f>
        <v>38104.61</v>
      </c>
      <c r="V2760">
        <f>276.34</f>
        <v>276.33999999999997</v>
      </c>
    </row>
    <row r="2761" spans="1:22" x14ac:dyDescent="0.2">
      <c r="A2761" s="1">
        <v>41242</v>
      </c>
      <c r="B2761">
        <f>2293.76</f>
        <v>2293.7600000000002</v>
      </c>
      <c r="C2761">
        <f>8901.11</f>
        <v>8901.11</v>
      </c>
      <c r="D2761">
        <f>4124.91</f>
        <v>4124.91</v>
      </c>
      <c r="E2761">
        <f>1901.951</f>
        <v>1901.951</v>
      </c>
      <c r="F2761">
        <f>1485.64</f>
        <v>1485.64</v>
      </c>
      <c r="G2761">
        <f>6746.58</f>
        <v>6746.58</v>
      </c>
      <c r="H2761">
        <f>1907.78</f>
        <v>1907.78</v>
      </c>
      <c r="I2761">
        <f>6531.444</f>
        <v>6531.4440000000004</v>
      </c>
      <c r="J2761">
        <f>1881.46</f>
        <v>1881.46</v>
      </c>
      <c r="K2761">
        <f>5169.02</f>
        <v>5169.0200000000004</v>
      </c>
      <c r="L2761">
        <f>1219.21</f>
        <v>1219.21</v>
      </c>
      <c r="M2761">
        <f>4655.65</f>
        <v>4655.6499999999996</v>
      </c>
      <c r="N2761">
        <f>204.078</f>
        <v>204.078</v>
      </c>
      <c r="O2761">
        <f>1773.37</f>
        <v>1773.37</v>
      </c>
      <c r="P2761">
        <f>94.31</f>
        <v>94.31</v>
      </c>
      <c r="Q2761">
        <f>1168.587</f>
        <v>1168.587</v>
      </c>
      <c r="R2761">
        <f>2481.42</f>
        <v>2481.42</v>
      </c>
      <c r="S2761">
        <f>1024.11</f>
        <v>1024.1099999999999</v>
      </c>
      <c r="T2761">
        <f>2210.21</f>
        <v>2210.21</v>
      </c>
      <c r="U2761">
        <f>37909.31</f>
        <v>37909.31</v>
      </c>
      <c r="V2761">
        <f>276</f>
        <v>276</v>
      </c>
    </row>
    <row r="2762" spans="1:22" x14ac:dyDescent="0.2">
      <c r="A2762" s="1">
        <v>41241</v>
      </c>
      <c r="B2762">
        <f>2260</f>
        <v>2260</v>
      </c>
      <c r="C2762">
        <f>8788.14</f>
        <v>8788.14</v>
      </c>
      <c r="D2762">
        <f>4077.81</f>
        <v>4077.81</v>
      </c>
      <c r="E2762">
        <f>1878.204</f>
        <v>1878.204</v>
      </c>
      <c r="F2762">
        <f>1466.54</f>
        <v>1466.54</v>
      </c>
      <c r="G2762">
        <f>6643.849</f>
        <v>6643.8490000000002</v>
      </c>
      <c r="H2762">
        <f>1902.74</f>
        <v>1902.74</v>
      </c>
      <c r="I2762">
        <f>6418.751</f>
        <v>6418.7510000000002</v>
      </c>
      <c r="J2762">
        <f>1877.67</f>
        <v>1877.67</v>
      </c>
      <c r="K2762">
        <f>5145.43</f>
        <v>5145.43</v>
      </c>
      <c r="L2762">
        <f>1207.15</f>
        <v>1207.1500000000001</v>
      </c>
      <c r="M2762">
        <f>4616.78</f>
        <v>4616.78</v>
      </c>
      <c r="N2762">
        <f>202.293</f>
        <v>202.29300000000001</v>
      </c>
      <c r="O2762">
        <f>1752.23</f>
        <v>1752.23</v>
      </c>
      <c r="P2762">
        <f>93.59</f>
        <v>93.59</v>
      </c>
      <c r="Q2762">
        <f>1164.382</f>
        <v>1164.3820000000001</v>
      </c>
      <c r="R2762">
        <f>2470.47</f>
        <v>2470.4699999999998</v>
      </c>
      <c r="S2762">
        <f>1013.54</f>
        <v>1013.54</v>
      </c>
      <c r="T2762">
        <f>2197.164</f>
        <v>2197.1640000000002</v>
      </c>
      <c r="U2762">
        <f>37438.41</f>
        <v>37438.410000000003</v>
      </c>
      <c r="V2762">
        <f>274.24</f>
        <v>274.24</v>
      </c>
    </row>
    <row r="2763" spans="1:22" x14ac:dyDescent="0.2">
      <c r="A2763" s="1">
        <v>41240</v>
      </c>
      <c r="B2763">
        <f>2257.07</f>
        <v>2257.0700000000002</v>
      </c>
      <c r="C2763">
        <f>8841.15</f>
        <v>8841.15</v>
      </c>
      <c r="D2763">
        <f>4073.56</f>
        <v>4073.56</v>
      </c>
      <c r="E2763">
        <f>1887.881</f>
        <v>1887.8810000000001</v>
      </c>
      <c r="F2763">
        <f>1464.13</f>
        <v>1464.13</v>
      </c>
      <c r="G2763">
        <f>6653.893</f>
        <v>6653.893</v>
      </c>
      <c r="H2763">
        <f>1907.07</f>
        <v>1907.07</v>
      </c>
      <c r="I2763">
        <f>6417.972</f>
        <v>6417.9719999999998</v>
      </c>
      <c r="J2763">
        <f>1861.62</f>
        <v>1861.62</v>
      </c>
      <c r="K2763">
        <f>5103.76</f>
        <v>5103.76</v>
      </c>
      <c r="L2763">
        <f>1201.99</f>
        <v>1201.99</v>
      </c>
      <c r="M2763">
        <f>4599.89</f>
        <v>4599.8900000000003</v>
      </c>
      <c r="N2763">
        <f>201.792</f>
        <v>201.792</v>
      </c>
      <c r="O2763">
        <f>1749.19</f>
        <v>1749.19</v>
      </c>
      <c r="P2763">
        <f>94.04</f>
        <v>94.04</v>
      </c>
      <c r="Q2763">
        <f>1156.659</f>
        <v>1156.6590000000001</v>
      </c>
      <c r="R2763">
        <f>2450.48</f>
        <v>2450.48</v>
      </c>
      <c r="S2763">
        <f>1026.91</f>
        <v>1026.9100000000001</v>
      </c>
      <c r="T2763">
        <f>2215.024</f>
        <v>2215.0239999999999</v>
      </c>
      <c r="U2763">
        <f>37805.8</f>
        <v>37805.800000000003</v>
      </c>
      <c r="V2763">
        <f>276.91</f>
        <v>276.91000000000003</v>
      </c>
    </row>
    <row r="2764" spans="1:22" x14ac:dyDescent="0.2">
      <c r="A2764" s="1">
        <v>41239</v>
      </c>
      <c r="B2764">
        <f>2255.65</f>
        <v>2255.65</v>
      </c>
      <c r="C2764">
        <f>8845.58</f>
        <v>8845.58</v>
      </c>
      <c r="D2764">
        <f>4064.44</f>
        <v>4064.44</v>
      </c>
      <c r="E2764">
        <f>1885.316</f>
        <v>1885.316</v>
      </c>
      <c r="F2764">
        <f>1464.75</f>
        <v>1464.75</v>
      </c>
      <c r="G2764">
        <f>6638.161</f>
        <v>6638.1610000000001</v>
      </c>
      <c r="H2764">
        <f>1893.88</f>
        <v>1893.88</v>
      </c>
      <c r="I2764">
        <f>6422.184</f>
        <v>6422.1840000000002</v>
      </c>
      <c r="J2764">
        <f>1871.42</f>
        <v>1871.42</v>
      </c>
      <c r="K2764">
        <f>5129.12</f>
        <v>5129.12</v>
      </c>
      <c r="L2764">
        <f>1204.02</f>
        <v>1204.02</v>
      </c>
      <c r="M2764">
        <f>4611.24</f>
        <v>4611.24</v>
      </c>
      <c r="N2764">
        <f>200.507</f>
        <v>200.50700000000001</v>
      </c>
      <c r="O2764">
        <f>1744.36</f>
        <v>1744.36</v>
      </c>
      <c r="P2764">
        <f>93.2</f>
        <v>93.2</v>
      </c>
      <c r="Q2764">
        <f>1161.281</f>
        <v>1161.2809999999999</v>
      </c>
      <c r="R2764">
        <f>2463.12</f>
        <v>2463.12</v>
      </c>
      <c r="S2764">
        <f>1024.15</f>
        <v>1024.1500000000001</v>
      </c>
      <c r="T2764">
        <f>2215.905</f>
        <v>2215.9050000000002</v>
      </c>
      <c r="U2764">
        <f>37766.24</f>
        <v>37766.239999999998</v>
      </c>
      <c r="V2764">
        <f>276.35</f>
        <v>276.35000000000002</v>
      </c>
    </row>
    <row r="2765" spans="1:22" x14ac:dyDescent="0.2">
      <c r="A2765" s="1">
        <v>41236</v>
      </c>
      <c r="B2765">
        <f>2267.21</f>
        <v>2267.21</v>
      </c>
      <c r="C2765">
        <f>8848.11</f>
        <v>8848.11</v>
      </c>
      <c r="D2765">
        <f>4087.21</f>
        <v>4087.21</v>
      </c>
      <c r="E2765">
        <f>1886.737</f>
        <v>1886.7370000000001</v>
      </c>
      <c r="F2765">
        <f>1464.87</f>
        <v>1464.87</v>
      </c>
      <c r="G2765">
        <f>6669.378</f>
        <v>6669.3779999999997</v>
      </c>
      <c r="H2765">
        <f>1884.95</f>
        <v>1884.95</v>
      </c>
      <c r="I2765">
        <f>6448.433</f>
        <v>6448.433</v>
      </c>
      <c r="J2765">
        <f>1876.93</f>
        <v>1876.93</v>
      </c>
      <c r="K2765">
        <f>5139.32</f>
        <v>5139.32</v>
      </c>
      <c r="L2765">
        <f>1206.1</f>
        <v>1206.0999999999999</v>
      </c>
      <c r="M2765">
        <f>4618.97</f>
        <v>4618.97</v>
      </c>
      <c r="N2765">
        <f>201.181</f>
        <v>201.18100000000001</v>
      </c>
      <c r="O2765">
        <f>1753.92</f>
        <v>1753.92</v>
      </c>
      <c r="P2765" t="e">
        <f>NA()</f>
        <v>#N/A</v>
      </c>
      <c r="Q2765">
        <f>1166.449</f>
        <v>1166.4490000000001</v>
      </c>
      <c r="R2765">
        <f>2468.06</f>
        <v>2468.06</v>
      </c>
      <c r="S2765" t="e">
        <f>NA()</f>
        <v>#N/A</v>
      </c>
      <c r="T2765">
        <f>2220.5</f>
        <v>2220.5</v>
      </c>
      <c r="U2765">
        <f>37865.59</f>
        <v>37865.589999999997</v>
      </c>
      <c r="V2765">
        <f>277.29</f>
        <v>277.29000000000002</v>
      </c>
    </row>
    <row r="2766" spans="1:22" x14ac:dyDescent="0.2">
      <c r="A2766" s="1">
        <v>41235</v>
      </c>
      <c r="B2766">
        <f>2255.26</f>
        <v>2255.2600000000002</v>
      </c>
      <c r="C2766">
        <f>8721.58</f>
        <v>8721.58</v>
      </c>
      <c r="D2766">
        <f>4067.46</f>
        <v>4067.46</v>
      </c>
      <c r="E2766">
        <f>1867.356</f>
        <v>1867.356</v>
      </c>
      <c r="F2766">
        <f>1452.78</f>
        <v>1452.78</v>
      </c>
      <c r="G2766">
        <f>6610.923</f>
        <v>6610.9229999999998</v>
      </c>
      <c r="H2766">
        <f>1880.95</f>
        <v>1880.95</v>
      </c>
      <c r="I2766">
        <f>6364.222</f>
        <v>6364.2219999999998</v>
      </c>
      <c r="J2766">
        <f>1853.64</f>
        <v>1853.64</v>
      </c>
      <c r="K2766">
        <f>5073.06</f>
        <v>5073.0600000000004</v>
      </c>
      <c r="L2766">
        <f>1194.08</f>
        <v>1194.08</v>
      </c>
      <c r="M2766">
        <f>4567.81</f>
        <v>4567.8100000000004</v>
      </c>
      <c r="N2766">
        <f>200.093</f>
        <v>200.09299999999999</v>
      </c>
      <c r="O2766">
        <f>1742.74</f>
        <v>1742.74</v>
      </c>
      <c r="P2766">
        <f>93.05</f>
        <v>93.05</v>
      </c>
      <c r="Q2766" t="e">
        <f>NA()</f>
        <v>#N/A</v>
      </c>
      <c r="R2766" t="e">
        <f>NA()</f>
        <v>#N/A</v>
      </c>
      <c r="S2766">
        <f>1020.11</f>
        <v>1020.11</v>
      </c>
      <c r="T2766">
        <f>2230.584</f>
        <v>2230.5839999999998</v>
      </c>
      <c r="U2766">
        <f>37844.55</f>
        <v>37844.550000000003</v>
      </c>
      <c r="V2766">
        <f>276.8</f>
        <v>276.8</v>
      </c>
    </row>
    <row r="2767" spans="1:22" x14ac:dyDescent="0.2">
      <c r="A2767" s="1">
        <v>41234</v>
      </c>
      <c r="B2767">
        <f>2235.28</f>
        <v>2235.2800000000002</v>
      </c>
      <c r="C2767">
        <f>8686.04</f>
        <v>8686.0400000000009</v>
      </c>
      <c r="D2767">
        <f>4040.08</f>
        <v>4040.08</v>
      </c>
      <c r="E2767">
        <f>1858.048</f>
        <v>1858.048</v>
      </c>
      <c r="F2767">
        <f>1449.54</f>
        <v>1449.54</v>
      </c>
      <c r="G2767">
        <f>6560.22</f>
        <v>6560.22</v>
      </c>
      <c r="H2767">
        <f>1875.46</f>
        <v>1875.46</v>
      </c>
      <c r="I2767">
        <f>6285.914</f>
        <v>6285.9139999999998</v>
      </c>
      <c r="J2767">
        <f>1853.64</f>
        <v>1853.64</v>
      </c>
      <c r="K2767">
        <f>5073.06</f>
        <v>5073.0600000000004</v>
      </c>
      <c r="L2767">
        <f>1188.01</f>
        <v>1188.01</v>
      </c>
      <c r="M2767">
        <f>4545.9</f>
        <v>4545.8999999999996</v>
      </c>
      <c r="N2767">
        <f>199.079</f>
        <v>199.07900000000001</v>
      </c>
      <c r="O2767">
        <f>1733.07</f>
        <v>1733.07</v>
      </c>
      <c r="P2767">
        <f>92.69</f>
        <v>92.69</v>
      </c>
      <c r="Q2767">
        <f>1152.11</f>
        <v>1152.1099999999999</v>
      </c>
      <c r="R2767">
        <f>2435.97</f>
        <v>2435.9699999999998</v>
      </c>
      <c r="S2767">
        <f>1007.74</f>
        <v>1007.74</v>
      </c>
      <c r="T2767">
        <f>2240.219</f>
        <v>2240.2190000000001</v>
      </c>
      <c r="U2767">
        <f>37498.02</f>
        <v>37498.019999999997</v>
      </c>
      <c r="V2767">
        <f>276.43</f>
        <v>276.43</v>
      </c>
    </row>
    <row r="2768" spans="1:22" x14ac:dyDescent="0.2">
      <c r="A2768" s="1">
        <v>41233</v>
      </c>
      <c r="B2768">
        <f>2236.17</f>
        <v>2236.17</v>
      </c>
      <c r="C2768">
        <f>8682.47</f>
        <v>8682.4699999999993</v>
      </c>
      <c r="D2768">
        <f>4032.4</f>
        <v>4032.4</v>
      </c>
      <c r="E2768">
        <f>1855.47</f>
        <v>1855.47</v>
      </c>
      <c r="F2768">
        <f>1442.54</f>
        <v>1442.54</v>
      </c>
      <c r="G2768">
        <f>6540.086</f>
        <v>6540.0860000000002</v>
      </c>
      <c r="H2768">
        <f>1882.64</f>
        <v>1882.64</v>
      </c>
      <c r="I2768">
        <f>6256.586</f>
        <v>6256.5860000000002</v>
      </c>
      <c r="J2768">
        <f>1848.91</f>
        <v>1848.91</v>
      </c>
      <c r="K2768">
        <f>5061.04</f>
        <v>5061.04</v>
      </c>
      <c r="L2768">
        <f>1184.67</f>
        <v>1184.67</v>
      </c>
      <c r="M2768">
        <f>4534.58</f>
        <v>4534.58</v>
      </c>
      <c r="N2768">
        <f>198.842</f>
        <v>198.84200000000001</v>
      </c>
      <c r="O2768">
        <f>1727.52</f>
        <v>1727.52</v>
      </c>
      <c r="P2768">
        <f>92.45</f>
        <v>92.45</v>
      </c>
      <c r="Q2768">
        <f>1150.678</f>
        <v>1150.6780000000001</v>
      </c>
      <c r="R2768">
        <f>2430.29</f>
        <v>2430.29</v>
      </c>
      <c r="S2768">
        <f>1001.2</f>
        <v>1001.2</v>
      </c>
      <c r="T2768">
        <f>2227.327</f>
        <v>2227.3270000000002</v>
      </c>
      <c r="U2768">
        <f>37306.6</f>
        <v>37306.6</v>
      </c>
      <c r="V2768">
        <f>274.65</f>
        <v>274.64999999999998</v>
      </c>
    </row>
    <row r="2769" spans="1:22" x14ac:dyDescent="0.2">
      <c r="A2769" s="1">
        <v>41232</v>
      </c>
      <c r="B2769">
        <f>2224.67</f>
        <v>2224.67</v>
      </c>
      <c r="C2769">
        <f>8688.47</f>
        <v>8688.4699999999993</v>
      </c>
      <c r="D2769">
        <f>4025.08</f>
        <v>4025.08</v>
      </c>
      <c r="E2769">
        <f>1852.62</f>
        <v>1852.62</v>
      </c>
      <c r="F2769">
        <f>1441.66</f>
        <v>1441.66</v>
      </c>
      <c r="G2769">
        <f>6526.418</f>
        <v>6526.4179999999997</v>
      </c>
      <c r="H2769">
        <f>1896.02</f>
        <v>1896.02</v>
      </c>
      <c r="I2769">
        <f>6241.788</f>
        <v>6241.7879999999996</v>
      </c>
      <c r="J2769">
        <f>1848.27</f>
        <v>1848.27</v>
      </c>
      <c r="K2769">
        <f>5056.9</f>
        <v>5056.8999999999996</v>
      </c>
      <c r="L2769">
        <f>1183.79</f>
        <v>1183.79</v>
      </c>
      <c r="M2769">
        <f>4532.79</f>
        <v>4532.79</v>
      </c>
      <c r="N2769">
        <f>198.251</f>
        <v>198.251</v>
      </c>
      <c r="O2769">
        <f>1722.73</f>
        <v>1722.73</v>
      </c>
      <c r="P2769">
        <f>92.28</f>
        <v>92.28</v>
      </c>
      <c r="Q2769">
        <f>1147.542</f>
        <v>1147.5419999999999</v>
      </c>
      <c r="R2769">
        <f>2428.47</f>
        <v>2428.4699999999998</v>
      </c>
      <c r="S2769">
        <f>1001.36</f>
        <v>1001.36</v>
      </c>
      <c r="T2769">
        <f>2231.221</f>
        <v>2231.221</v>
      </c>
      <c r="U2769">
        <f>37229.64</f>
        <v>37229.64</v>
      </c>
      <c r="V2769">
        <f>275.17</f>
        <v>275.17</v>
      </c>
    </row>
    <row r="2770" spans="1:22" x14ac:dyDescent="0.2">
      <c r="A2770" s="1">
        <v>41229</v>
      </c>
      <c r="B2770">
        <f>2186.7</f>
        <v>2186.6999999999998</v>
      </c>
      <c r="C2770">
        <f>8618.63</f>
        <v>8618.6299999999992</v>
      </c>
      <c r="D2770">
        <f>3932.43</f>
        <v>3932.43</v>
      </c>
      <c r="E2770">
        <f>1837.096</f>
        <v>1837.096</v>
      </c>
      <c r="F2770">
        <f>1408.64</f>
        <v>1408.64</v>
      </c>
      <c r="G2770">
        <f>6349.676</f>
        <v>6349.6760000000004</v>
      </c>
      <c r="H2770">
        <f>1872.03</f>
        <v>1872.03</v>
      </c>
      <c r="I2770">
        <f>6045.101</f>
        <v>6045.1009999999997</v>
      </c>
      <c r="J2770">
        <f>1823.92</f>
        <v>1823.92</v>
      </c>
      <c r="K2770">
        <f>4958.36</f>
        <v>4958.3599999999997</v>
      </c>
      <c r="L2770">
        <f>1161.07</f>
        <v>1161.07</v>
      </c>
      <c r="M2770">
        <f>4434.78</f>
        <v>4434.78</v>
      </c>
      <c r="N2770">
        <f>195.72</f>
        <v>195.72</v>
      </c>
      <c r="O2770">
        <f>1684.84</f>
        <v>1684.84</v>
      </c>
      <c r="P2770">
        <f>91.62</f>
        <v>91.62</v>
      </c>
      <c r="Q2770">
        <f>1128.569</f>
        <v>1128.569</v>
      </c>
      <c r="R2770">
        <f>2381.02</f>
        <v>2381.02</v>
      </c>
      <c r="S2770">
        <f>987.14</f>
        <v>987.14</v>
      </c>
      <c r="T2770">
        <f>2224.027</f>
        <v>2224.027</v>
      </c>
      <c r="U2770">
        <f>36818.76</f>
        <v>36818.76</v>
      </c>
      <c r="V2770">
        <f>272.06</f>
        <v>272.06</v>
      </c>
    </row>
    <row r="2771" spans="1:22" x14ac:dyDescent="0.2">
      <c r="A2771" s="1">
        <v>41228</v>
      </c>
      <c r="B2771">
        <f>2214.04</f>
        <v>2214.04</v>
      </c>
      <c r="C2771">
        <f>8653.19</f>
        <v>8653.19</v>
      </c>
      <c r="D2771">
        <f>3983.05</f>
        <v>3983.05</v>
      </c>
      <c r="E2771">
        <f>1845.639</f>
        <v>1845.6389999999999</v>
      </c>
      <c r="F2771">
        <f>1430.02</f>
        <v>1430.02</v>
      </c>
      <c r="G2771">
        <f>6441.426</f>
        <v>6441.4260000000004</v>
      </c>
      <c r="H2771">
        <f>1851.34</f>
        <v>1851.34</v>
      </c>
      <c r="I2771">
        <f>6159.186</f>
        <v>6159.1859999999997</v>
      </c>
      <c r="J2771">
        <f>1815.95</f>
        <v>1815.95</v>
      </c>
      <c r="K2771">
        <f>4932.44</f>
        <v>4932.4399999999996</v>
      </c>
      <c r="L2771">
        <f>1166.97</f>
        <v>1166.97</v>
      </c>
      <c r="M2771">
        <f>4436.4</f>
        <v>4436.3999999999996</v>
      </c>
      <c r="N2771">
        <f>196.576</f>
        <v>196.57599999999999</v>
      </c>
      <c r="O2771">
        <f>1702.4</f>
        <v>1702.4</v>
      </c>
      <c r="P2771">
        <f>91.01</f>
        <v>91.01</v>
      </c>
      <c r="Q2771">
        <f>1121.689</f>
        <v>1121.6890000000001</v>
      </c>
      <c r="R2771">
        <f>2369.32</f>
        <v>2369.3200000000002</v>
      </c>
      <c r="S2771">
        <f>968.97</f>
        <v>968.97</v>
      </c>
      <c r="T2771">
        <f>2224.224</f>
        <v>2224.2240000000002</v>
      </c>
      <c r="U2771">
        <f>37026.72</f>
        <v>37026.720000000001</v>
      </c>
      <c r="V2771">
        <f>272.4</f>
        <v>272.39999999999998</v>
      </c>
    </row>
    <row r="2772" spans="1:22" x14ac:dyDescent="0.2">
      <c r="A2772" s="1">
        <v>41227</v>
      </c>
      <c r="B2772">
        <f>2230.19</f>
        <v>2230.19</v>
      </c>
      <c r="C2772">
        <f>8707.39</f>
        <v>8707.39</v>
      </c>
      <c r="D2772">
        <f>4014.1</f>
        <v>4014.1</v>
      </c>
      <c r="E2772">
        <f>1857.544</f>
        <v>1857.5440000000001</v>
      </c>
      <c r="F2772">
        <f>1440.47</f>
        <v>1440.47</v>
      </c>
      <c r="G2772">
        <f>6479.145</f>
        <v>6479.1450000000004</v>
      </c>
      <c r="H2772">
        <f>1847.84</f>
        <v>1847.84</v>
      </c>
      <c r="I2772">
        <f>6184.859</f>
        <v>6184.8590000000004</v>
      </c>
      <c r="J2772">
        <f>1821.5</f>
        <v>1821.5</v>
      </c>
      <c r="K2772">
        <f>4941.03</f>
        <v>4941.03</v>
      </c>
      <c r="L2772">
        <f>1173.65</f>
        <v>1173.6500000000001</v>
      </c>
      <c r="M2772">
        <f>4447.7</f>
        <v>4447.7</v>
      </c>
      <c r="N2772">
        <f>199.127</f>
        <v>199.12700000000001</v>
      </c>
      <c r="O2772">
        <f>1718.32</f>
        <v>1718.32</v>
      </c>
      <c r="P2772">
        <f>90.31</f>
        <v>90.31</v>
      </c>
      <c r="Q2772">
        <f>1122.609</f>
        <v>1122.6089999999999</v>
      </c>
      <c r="R2772">
        <f>2372.94</f>
        <v>2372.94</v>
      </c>
      <c r="S2772">
        <f>949.13</f>
        <v>949.13</v>
      </c>
      <c r="T2772">
        <f>2232.951</f>
        <v>2232.951</v>
      </c>
      <c r="U2772">
        <f>37241.79</f>
        <v>37241.79</v>
      </c>
      <c r="V2772">
        <f>273.42</f>
        <v>273.42</v>
      </c>
    </row>
    <row r="2773" spans="1:22" x14ac:dyDescent="0.2">
      <c r="A2773" s="1">
        <v>41226</v>
      </c>
      <c r="B2773">
        <f>2250.48</f>
        <v>2250.48</v>
      </c>
      <c r="C2773">
        <f>8729.14</f>
        <v>8729.14</v>
      </c>
      <c r="D2773">
        <f>4052.1</f>
        <v>4052.1</v>
      </c>
      <c r="E2773">
        <f>1860.451</f>
        <v>1860.451</v>
      </c>
      <c r="F2773">
        <f>1457.71</f>
        <v>1457.71</v>
      </c>
      <c r="G2773">
        <f>6557.623</f>
        <v>6557.6229999999996</v>
      </c>
      <c r="H2773">
        <f>1869.42</f>
        <v>1869.42</v>
      </c>
      <c r="I2773">
        <f>6215.895</f>
        <v>6215.8950000000004</v>
      </c>
      <c r="J2773">
        <f>1841.76</f>
        <v>1841.76</v>
      </c>
      <c r="K2773">
        <f>5009</f>
        <v>5009</v>
      </c>
      <c r="L2773">
        <f>1183.87</f>
        <v>1183.8699999999999</v>
      </c>
      <c r="M2773">
        <f>4498.05</f>
        <v>4498.05</v>
      </c>
      <c r="N2773">
        <f>200.279</f>
        <v>200.279</v>
      </c>
      <c r="O2773">
        <f>1733.68</f>
        <v>1733.68</v>
      </c>
      <c r="P2773">
        <f>89.97</f>
        <v>89.97</v>
      </c>
      <c r="Q2773">
        <f>1134.024</f>
        <v>1134.0239999999999</v>
      </c>
      <c r="R2773">
        <f>2405.38</f>
        <v>2405.38</v>
      </c>
      <c r="S2773">
        <f>949.33</f>
        <v>949.33</v>
      </c>
      <c r="T2773">
        <f>2255.241</f>
        <v>2255.241</v>
      </c>
      <c r="U2773">
        <f>37394.8</f>
        <v>37394.800000000003</v>
      </c>
      <c r="V2773">
        <f>275.49</f>
        <v>275.49</v>
      </c>
    </row>
    <row r="2774" spans="1:22" x14ac:dyDescent="0.2">
      <c r="A2774" s="1">
        <v>41225</v>
      </c>
      <c r="B2774">
        <f>2251.24</f>
        <v>2251.2399999999998</v>
      </c>
      <c r="C2774">
        <f>8802.37</f>
        <v>8802.3700000000008</v>
      </c>
      <c r="D2774">
        <f>4038.8</f>
        <v>4038.8</v>
      </c>
      <c r="E2774">
        <f>1873.35</f>
        <v>1873.35</v>
      </c>
      <c r="F2774">
        <f>1457.6</f>
        <v>1457.6</v>
      </c>
      <c r="G2774">
        <f>6526.535</f>
        <v>6526.5349999999999</v>
      </c>
      <c r="H2774">
        <f>1873.5</f>
        <v>1873.5</v>
      </c>
      <c r="I2774">
        <f>6189.54</f>
        <v>6189.54</v>
      </c>
      <c r="J2774">
        <f>1848.34</f>
        <v>1848.34</v>
      </c>
      <c r="K2774">
        <f>5028.07</f>
        <v>5028.07</v>
      </c>
      <c r="L2774">
        <f>1183.32</f>
        <v>1183.32</v>
      </c>
      <c r="M2774">
        <f>4505.97</f>
        <v>4505.97</v>
      </c>
      <c r="N2774">
        <f>199.913</f>
        <v>199.91300000000001</v>
      </c>
      <c r="O2774">
        <f>1726.31</f>
        <v>1726.31</v>
      </c>
      <c r="P2774">
        <f>90.08</f>
        <v>90.08</v>
      </c>
      <c r="Q2774">
        <f>1134.645</f>
        <v>1134.645</v>
      </c>
      <c r="R2774">
        <f>2414.24</f>
        <v>2414.2399999999998</v>
      </c>
      <c r="S2774">
        <f>949.35</f>
        <v>949.35</v>
      </c>
      <c r="T2774">
        <f>2251.281</f>
        <v>2251.2809999999999</v>
      </c>
      <c r="U2774">
        <f>37463.2</f>
        <v>37463.199999999997</v>
      </c>
      <c r="V2774">
        <f>276.21</f>
        <v>276.20999999999998</v>
      </c>
    </row>
    <row r="2775" spans="1:22" x14ac:dyDescent="0.2">
      <c r="A2775" s="1">
        <v>41222</v>
      </c>
      <c r="B2775">
        <f>2250.9</f>
        <v>2250.9</v>
      </c>
      <c r="C2775">
        <f>8819.6</f>
        <v>8819.6</v>
      </c>
      <c r="D2775">
        <f>4040.49</f>
        <v>4040.49</v>
      </c>
      <c r="E2775">
        <f>1876.496</f>
        <v>1876.4960000000001</v>
      </c>
      <c r="F2775">
        <f>1463.21</f>
        <v>1463.21</v>
      </c>
      <c r="G2775">
        <f>6548.265</f>
        <v>6548.2650000000003</v>
      </c>
      <c r="H2775">
        <f>1890.75</f>
        <v>1890.75</v>
      </c>
      <c r="I2775">
        <f>6201.374</f>
        <v>6201.3739999999998</v>
      </c>
      <c r="J2775">
        <f>1850.73</f>
        <v>1850.73</v>
      </c>
      <c r="K2775">
        <f>5027.49</f>
        <v>5027.49</v>
      </c>
      <c r="L2775">
        <f>1185.39</f>
        <v>1185.3900000000001</v>
      </c>
      <c r="M2775">
        <f>4511.88</f>
        <v>4511.88</v>
      </c>
      <c r="N2775">
        <f>201.139</f>
        <v>201.13900000000001</v>
      </c>
      <c r="O2775">
        <f>1731.04</f>
        <v>1731.04</v>
      </c>
      <c r="P2775">
        <f>91.02</f>
        <v>91.02</v>
      </c>
      <c r="Q2775">
        <f>1131.464</f>
        <v>1131.4639999999999</v>
      </c>
      <c r="R2775">
        <f>2413.92</f>
        <v>2413.92</v>
      </c>
      <c r="S2775">
        <f>960.07</f>
        <v>960.07</v>
      </c>
      <c r="T2775">
        <f>2250.552</f>
        <v>2250.5520000000001</v>
      </c>
      <c r="U2775">
        <f>37344.4</f>
        <v>37344.400000000001</v>
      </c>
      <c r="V2775">
        <f>275.51</f>
        <v>275.51</v>
      </c>
    </row>
    <row r="2776" spans="1:22" x14ac:dyDescent="0.2">
      <c r="A2776" s="1">
        <v>41221</v>
      </c>
      <c r="B2776">
        <f>2265.67</f>
        <v>2265.67</v>
      </c>
      <c r="C2776">
        <f>8852.09</f>
        <v>8852.09</v>
      </c>
      <c r="D2776">
        <f>4044.95</f>
        <v>4044.95</v>
      </c>
      <c r="E2776">
        <f>1884.644</f>
        <v>1884.644</v>
      </c>
      <c r="F2776">
        <f>1470.2</f>
        <v>1470.2</v>
      </c>
      <c r="G2776">
        <f>6581.831</f>
        <v>6581.8310000000001</v>
      </c>
      <c r="H2776">
        <f>1887.26</f>
        <v>1887.26</v>
      </c>
      <c r="I2776">
        <f>6206.874</f>
        <v>6206.8739999999998</v>
      </c>
      <c r="J2776">
        <f>1848.63</f>
        <v>1848.63</v>
      </c>
      <c r="K2776">
        <f>5018.61</f>
        <v>5018.6099999999997</v>
      </c>
      <c r="L2776">
        <f>1186.2</f>
        <v>1186.2</v>
      </c>
      <c r="M2776">
        <f>4513.35</f>
        <v>4513.3500000000004</v>
      </c>
      <c r="N2776">
        <f>200.958</f>
        <v>200.958</v>
      </c>
      <c r="O2776">
        <f>1732.56</f>
        <v>1732.56</v>
      </c>
      <c r="P2776">
        <f>91.27</f>
        <v>91.27</v>
      </c>
      <c r="Q2776">
        <f>1130.406</f>
        <v>1130.4059999999999</v>
      </c>
      <c r="R2776">
        <f>2409.72</f>
        <v>2409.7199999999998</v>
      </c>
      <c r="S2776">
        <f>966.13</f>
        <v>966.13</v>
      </c>
      <c r="T2776">
        <f>2244.719</f>
        <v>2244.7190000000001</v>
      </c>
      <c r="U2776">
        <f>37592.86</f>
        <v>37592.86</v>
      </c>
      <c r="V2776">
        <f>275.78</f>
        <v>275.77999999999997</v>
      </c>
    </row>
    <row r="2777" spans="1:22" x14ac:dyDescent="0.2">
      <c r="A2777" s="1">
        <v>41220</v>
      </c>
      <c r="B2777">
        <f>2286.18</f>
        <v>2286.1799999999998</v>
      </c>
      <c r="C2777">
        <f>8964.29</f>
        <v>8964.2900000000009</v>
      </c>
      <c r="D2777">
        <f>4055.86</f>
        <v>4055.86</v>
      </c>
      <c r="E2777">
        <f>1907.55</f>
        <v>1907.55</v>
      </c>
      <c r="F2777">
        <f>1474.34</f>
        <v>1474.34</v>
      </c>
      <c r="G2777">
        <f>6607.455</f>
        <v>6607.4549999999999</v>
      </c>
      <c r="H2777">
        <f>1907.58</f>
        <v>1907.58</v>
      </c>
      <c r="I2777">
        <f>6230.644</f>
        <v>6230.6440000000002</v>
      </c>
      <c r="J2777">
        <f>1868.32</f>
        <v>1868.32</v>
      </c>
      <c r="K2777">
        <f>5080.71</f>
        <v>5080.71</v>
      </c>
      <c r="L2777">
        <f>1193.3</f>
        <v>1193.3</v>
      </c>
      <c r="M2777">
        <f>4556.66</f>
        <v>4556.66</v>
      </c>
      <c r="N2777">
        <f>201.426</f>
        <v>201.42599999999999</v>
      </c>
      <c r="O2777">
        <f>1734.48</f>
        <v>1734.48</v>
      </c>
      <c r="P2777">
        <f>92.26</f>
        <v>92.26</v>
      </c>
      <c r="Q2777">
        <f>1143.068</f>
        <v>1143.068</v>
      </c>
      <c r="R2777">
        <f>2439.48</f>
        <v>2439.48</v>
      </c>
      <c r="S2777">
        <f>979.74</f>
        <v>979.74</v>
      </c>
      <c r="T2777">
        <f>2233.734</f>
        <v>2233.7339999999999</v>
      </c>
      <c r="U2777">
        <f>37471.69</f>
        <v>37471.69</v>
      </c>
      <c r="V2777">
        <f>274.7</f>
        <v>274.7</v>
      </c>
    </row>
    <row r="2778" spans="1:22" x14ac:dyDescent="0.2">
      <c r="A2778" s="1">
        <v>41219</v>
      </c>
      <c r="B2778">
        <f>2323.28</f>
        <v>2323.2800000000002</v>
      </c>
      <c r="C2778">
        <f>8950.31</f>
        <v>8950.31</v>
      </c>
      <c r="D2778">
        <f>4117.05</f>
        <v>4117.05</v>
      </c>
      <c r="E2778">
        <f>1905.197</f>
        <v>1905.1969999999999</v>
      </c>
      <c r="F2778">
        <f>1489.21</f>
        <v>1489.21</v>
      </c>
      <c r="G2778">
        <f>6704.185</f>
        <v>6704.1850000000004</v>
      </c>
      <c r="H2778">
        <f>1891.09</f>
        <v>1891.09</v>
      </c>
      <c r="I2778">
        <f>6345.239</f>
        <v>6345.2389999999996</v>
      </c>
      <c r="J2778">
        <f>1905.26</f>
        <v>1905.26</v>
      </c>
      <c r="K2778">
        <f>5198.47</f>
        <v>5198.47</v>
      </c>
      <c r="L2778">
        <f>1209.9</f>
        <v>1209.9000000000001</v>
      </c>
      <c r="M2778">
        <f>4632.85</f>
        <v>4632.8500000000004</v>
      </c>
      <c r="N2778">
        <f>203.048</f>
        <v>203.048</v>
      </c>
      <c r="O2778">
        <f>1758.19</f>
        <v>1758.19</v>
      </c>
      <c r="P2778">
        <f>92.25</f>
        <v>92.25</v>
      </c>
      <c r="Q2778">
        <f>1161.459</f>
        <v>1161.4590000000001</v>
      </c>
      <c r="R2778">
        <f>2496.46</f>
        <v>2496.46</v>
      </c>
      <c r="S2778">
        <f>978.64</f>
        <v>978.64</v>
      </c>
      <c r="T2778">
        <f>2222.819</f>
        <v>2222.819</v>
      </c>
      <c r="U2778">
        <f>37597.68</f>
        <v>37597.68</v>
      </c>
      <c r="V2778">
        <f>274.97</f>
        <v>274.97000000000003</v>
      </c>
    </row>
    <row r="2779" spans="1:22" x14ac:dyDescent="0.2">
      <c r="A2779" s="1">
        <v>41218</v>
      </c>
      <c r="B2779">
        <f>2293.24</f>
        <v>2293.2399999999998</v>
      </c>
      <c r="C2779">
        <f>8907.69</f>
        <v>8907.69</v>
      </c>
      <c r="D2779">
        <f>4084.98</f>
        <v>4084.98</v>
      </c>
      <c r="E2779">
        <f>1894.583</f>
        <v>1894.5830000000001</v>
      </c>
      <c r="F2779">
        <f>1480.08</f>
        <v>1480.08</v>
      </c>
      <c r="G2779">
        <f>6648.984</f>
        <v>6648.9840000000004</v>
      </c>
      <c r="H2779">
        <f>1901.54</f>
        <v>1901.54</v>
      </c>
      <c r="I2779">
        <f>6303.84</f>
        <v>6303.84</v>
      </c>
      <c r="J2779">
        <f>1891.75</f>
        <v>1891.75</v>
      </c>
      <c r="K2779">
        <f>5157.87</f>
        <v>5157.87</v>
      </c>
      <c r="L2779">
        <f>1203.95</f>
        <v>1203.95</v>
      </c>
      <c r="M2779">
        <f>4604.38</f>
        <v>4604.38</v>
      </c>
      <c r="N2779">
        <f>202.535</f>
        <v>202.535</v>
      </c>
      <c r="O2779">
        <f>1748.61</f>
        <v>1748.61</v>
      </c>
      <c r="P2779">
        <f>92.49</f>
        <v>92.49</v>
      </c>
      <c r="Q2779">
        <f>1151.536</f>
        <v>1151.5360000000001</v>
      </c>
      <c r="R2779">
        <f>2476.94</f>
        <v>2476.94</v>
      </c>
      <c r="S2779">
        <f>982.68</f>
        <v>982.68</v>
      </c>
      <c r="T2779">
        <f>2212.35</f>
        <v>2212.35</v>
      </c>
      <c r="U2779">
        <f>37579.38</f>
        <v>37579.379999999997</v>
      </c>
      <c r="V2779">
        <f>274.67</f>
        <v>274.67</v>
      </c>
    </row>
    <row r="2780" spans="1:22" x14ac:dyDescent="0.2">
      <c r="A2780" s="1">
        <v>41215</v>
      </c>
      <c r="B2780">
        <f>2310.38</f>
        <v>2310.38</v>
      </c>
      <c r="C2780">
        <f>8933.61</f>
        <v>8933.61</v>
      </c>
      <c r="D2780">
        <f>4105.61</f>
        <v>4105.6099999999997</v>
      </c>
      <c r="E2780">
        <f>1901.919</f>
        <v>1901.9190000000001</v>
      </c>
      <c r="F2780">
        <f>1489.83</f>
        <v>1489.83</v>
      </c>
      <c r="G2780">
        <f>6710.912</f>
        <v>6710.9120000000003</v>
      </c>
      <c r="H2780">
        <f>1902.36</f>
        <v>1902.36</v>
      </c>
      <c r="I2780">
        <f>6376.714</f>
        <v>6376.7139999999999</v>
      </c>
      <c r="J2780">
        <f>1892.79</f>
        <v>1892.79</v>
      </c>
      <c r="K2780">
        <f>5146.87</f>
        <v>5146.87</v>
      </c>
      <c r="L2780">
        <f>1209.68</f>
        <v>1209.68</v>
      </c>
      <c r="M2780">
        <f>4612.56</f>
        <v>4612.5600000000004</v>
      </c>
      <c r="N2780">
        <f>202.763</f>
        <v>202.76300000000001</v>
      </c>
      <c r="O2780">
        <f>1758.94</f>
        <v>1758.94</v>
      </c>
      <c r="P2780">
        <f>93.07</f>
        <v>93.07</v>
      </c>
      <c r="Q2780">
        <f>1150.541</f>
        <v>1150.5409999999999</v>
      </c>
      <c r="R2780">
        <f>2471.3</f>
        <v>2471.3000000000002</v>
      </c>
      <c r="S2780">
        <f>988.12</f>
        <v>988.12</v>
      </c>
      <c r="T2780">
        <f>2203.705</f>
        <v>2203.7049999999999</v>
      </c>
      <c r="U2780">
        <f>37664.81</f>
        <v>37664.81</v>
      </c>
      <c r="V2780">
        <f>273.94</f>
        <v>273.94</v>
      </c>
    </row>
    <row r="2781" spans="1:22" x14ac:dyDescent="0.2">
      <c r="A2781" s="1">
        <v>41214</v>
      </c>
      <c r="B2781">
        <f>2303.83</f>
        <v>2303.83</v>
      </c>
      <c r="C2781">
        <f>8900.89</f>
        <v>8900.89</v>
      </c>
      <c r="D2781">
        <f>4100.97</f>
        <v>4100.97</v>
      </c>
      <c r="E2781">
        <f>1892.351</f>
        <v>1892.3510000000001</v>
      </c>
      <c r="F2781">
        <f>1501.18</f>
        <v>1501.18</v>
      </c>
      <c r="G2781">
        <f>6746.491</f>
        <v>6746.491</v>
      </c>
      <c r="H2781">
        <f>1895.6</f>
        <v>1895.6</v>
      </c>
      <c r="I2781">
        <f>6386.462</f>
        <v>6386.4620000000004</v>
      </c>
      <c r="J2781">
        <f>1910.43</f>
        <v>1910.43</v>
      </c>
      <c r="K2781">
        <f>5195.71</f>
        <v>5195.71</v>
      </c>
      <c r="L2781">
        <f>1215.93</f>
        <v>1215.93</v>
      </c>
      <c r="M2781">
        <f>4638.63</f>
        <v>4638.63</v>
      </c>
      <c r="N2781">
        <f>202.386</f>
        <v>202.386</v>
      </c>
      <c r="O2781">
        <f>1751.74</f>
        <v>1751.74</v>
      </c>
      <c r="P2781">
        <f>92.9</f>
        <v>92.9</v>
      </c>
      <c r="Q2781">
        <f>1163.036</f>
        <v>1163.0360000000001</v>
      </c>
      <c r="R2781">
        <f>2494.67</f>
        <v>2494.67</v>
      </c>
      <c r="S2781">
        <f>976.6</f>
        <v>976.6</v>
      </c>
      <c r="T2781">
        <f>2188.708</f>
        <v>2188.7080000000001</v>
      </c>
      <c r="U2781">
        <f>37377.32</f>
        <v>37377.32</v>
      </c>
      <c r="V2781">
        <f>270.86</f>
        <v>270.86</v>
      </c>
    </row>
    <row r="2782" spans="1:22" x14ac:dyDescent="0.2">
      <c r="A2782" s="1">
        <v>41213</v>
      </c>
      <c r="B2782">
        <f>2274.31</f>
        <v>2274.31</v>
      </c>
      <c r="C2782">
        <f>8835.99</f>
        <v>8835.99</v>
      </c>
      <c r="D2782">
        <f>4045.55</f>
        <v>4045.55</v>
      </c>
      <c r="E2782">
        <f>1884.013</f>
        <v>1884.0129999999999</v>
      </c>
      <c r="F2782">
        <f>1478.09</f>
        <v>1478.09</v>
      </c>
      <c r="G2782">
        <f>6642.806</f>
        <v>6642.8059999999996</v>
      </c>
      <c r="H2782">
        <f>1904.33</f>
        <v>1904.33</v>
      </c>
      <c r="I2782">
        <f>6331.729</f>
        <v>6331.7290000000003</v>
      </c>
      <c r="J2782">
        <f>1897.43</f>
        <v>1897.43</v>
      </c>
      <c r="K2782">
        <f>5137.66</f>
        <v>5137.66</v>
      </c>
      <c r="L2782">
        <f>1209.8</f>
        <v>1209.8</v>
      </c>
      <c r="M2782">
        <f>4597.23</f>
        <v>4597.2299999999996</v>
      </c>
      <c r="N2782">
        <f>200.758</f>
        <v>200.75800000000001</v>
      </c>
      <c r="O2782">
        <f>1729.95</f>
        <v>1729.95</v>
      </c>
      <c r="P2782">
        <f>92.61</f>
        <v>92.61</v>
      </c>
      <c r="Q2782">
        <f>1150.42</f>
        <v>1150.42</v>
      </c>
      <c r="R2782">
        <f>2467.51</f>
        <v>2467.5100000000002</v>
      </c>
      <c r="S2782">
        <f>975.3</f>
        <v>975.3</v>
      </c>
      <c r="T2782">
        <f>2190.572</f>
        <v>2190.5720000000001</v>
      </c>
      <c r="U2782">
        <f>37156.28</f>
        <v>37156.28</v>
      </c>
      <c r="V2782">
        <f>270.47</f>
        <v>270.47000000000003</v>
      </c>
    </row>
    <row r="2783" spans="1:22" x14ac:dyDescent="0.2">
      <c r="A2783" s="1">
        <v>41212</v>
      </c>
      <c r="B2783">
        <f>2283.87</f>
        <v>2283.87</v>
      </c>
      <c r="C2783">
        <f>8833.68</f>
        <v>8833.68</v>
      </c>
      <c r="D2783">
        <f>4092.43</f>
        <v>4092.43</v>
      </c>
      <c r="E2783">
        <f>1879.759</f>
        <v>1879.759</v>
      </c>
      <c r="F2783">
        <f>1488.32</f>
        <v>1488.32</v>
      </c>
      <c r="G2783">
        <f>6708.804</f>
        <v>6708.8040000000001</v>
      </c>
      <c r="H2783">
        <f>1891.35</f>
        <v>1891.35</v>
      </c>
      <c r="I2783">
        <f>6367.925</f>
        <v>6367.9250000000002</v>
      </c>
      <c r="J2783">
        <f>1896.04</f>
        <v>1896.04</v>
      </c>
      <c r="K2783">
        <f>5134.37</f>
        <v>5134.37</v>
      </c>
      <c r="L2783">
        <f>1212.55</f>
        <v>1212.55</v>
      </c>
      <c r="M2783">
        <f>4599.24</f>
        <v>4599.24</v>
      </c>
      <c r="N2783">
        <f>201.987</f>
        <v>201.98699999999999</v>
      </c>
      <c r="O2783">
        <f>1740.31</f>
        <v>1740.31</v>
      </c>
      <c r="P2783">
        <f>92.08</f>
        <v>92.08</v>
      </c>
      <c r="Q2783" t="e">
        <f>NA()</f>
        <v>#N/A</v>
      </c>
      <c r="R2783" t="e">
        <f>NA()</f>
        <v>#N/A</v>
      </c>
      <c r="S2783">
        <f>963.64</f>
        <v>963.64</v>
      </c>
      <c r="T2783">
        <f>2189.978</f>
        <v>2189.9780000000001</v>
      </c>
      <c r="U2783">
        <f>37147.02</f>
        <v>37147.019999999997</v>
      </c>
      <c r="V2783">
        <f>270.38</f>
        <v>270.38</v>
      </c>
    </row>
    <row r="2784" spans="1:22" x14ac:dyDescent="0.2">
      <c r="A2784" s="1">
        <v>41211</v>
      </c>
      <c r="B2784">
        <f>2267.47</f>
        <v>2267.4699999999998</v>
      </c>
      <c r="C2784">
        <f>8821.5</f>
        <v>8821.5</v>
      </c>
      <c r="D2784">
        <f>4054.09</f>
        <v>4054.09</v>
      </c>
      <c r="E2784">
        <f>1874.198</f>
        <v>1874.1980000000001</v>
      </c>
      <c r="F2784">
        <f>1473.35</f>
        <v>1473.35</v>
      </c>
      <c r="G2784">
        <f>6622.301</f>
        <v>6622.3010000000004</v>
      </c>
      <c r="H2784">
        <f>1897.21</f>
        <v>1897.21</v>
      </c>
      <c r="I2784">
        <f>6272.681</f>
        <v>6272.6809999999996</v>
      </c>
      <c r="J2784">
        <f>1896.04</f>
        <v>1896.04</v>
      </c>
      <c r="K2784">
        <f>5134.37</f>
        <v>5134.37</v>
      </c>
      <c r="L2784">
        <f>1204.75</f>
        <v>1204.75</v>
      </c>
      <c r="M2784">
        <f>4580.69</f>
        <v>4580.6899999999996</v>
      </c>
      <c r="N2784">
        <f>201.779</f>
        <v>201.779</v>
      </c>
      <c r="O2784">
        <f>1724.86</f>
        <v>1724.86</v>
      </c>
      <c r="P2784">
        <f>92.46</f>
        <v>92.46</v>
      </c>
      <c r="Q2784" t="e">
        <f>NA()</f>
        <v>#N/A</v>
      </c>
      <c r="R2784" t="e">
        <f>NA()</f>
        <v>#N/A</v>
      </c>
      <c r="S2784">
        <f>972.63</f>
        <v>972.63</v>
      </c>
      <c r="T2784">
        <f>2183.93</f>
        <v>2183.9299999999998</v>
      </c>
      <c r="U2784">
        <f>36993.06</f>
        <v>36993.06</v>
      </c>
      <c r="V2784">
        <f>269.93</f>
        <v>269.93</v>
      </c>
    </row>
    <row r="2785" spans="1:22" x14ac:dyDescent="0.2">
      <c r="A2785" s="1">
        <v>41208</v>
      </c>
      <c r="B2785">
        <f>2279.72</f>
        <v>2279.7199999999998</v>
      </c>
      <c r="C2785">
        <f>8812.23</f>
        <v>8812.23</v>
      </c>
      <c r="D2785">
        <f>4062.21</f>
        <v>4062.21</v>
      </c>
      <c r="E2785">
        <f>1875.052</f>
        <v>1875.0519999999999</v>
      </c>
      <c r="F2785">
        <f>1480.27</f>
        <v>1480.27</v>
      </c>
      <c r="G2785">
        <f>6666.559</f>
        <v>6666.5590000000002</v>
      </c>
      <c r="H2785">
        <f>1907.43</f>
        <v>1907.43</v>
      </c>
      <c r="I2785">
        <f>6306.444</f>
        <v>6306.4440000000004</v>
      </c>
      <c r="J2785">
        <f>1896.04</f>
        <v>1896.04</v>
      </c>
      <c r="K2785">
        <f>5134.37</f>
        <v>5134.37</v>
      </c>
      <c r="L2785">
        <f>1209.75</f>
        <v>1209.75</v>
      </c>
      <c r="M2785">
        <f>4592.18</f>
        <v>4592.18</v>
      </c>
      <c r="N2785">
        <f>202.071</f>
        <v>202.071</v>
      </c>
      <c r="O2785">
        <f>1731.24</f>
        <v>1731.24</v>
      </c>
      <c r="P2785">
        <f>92.14</f>
        <v>92.14</v>
      </c>
      <c r="Q2785">
        <f>1145.281</f>
        <v>1145.2809999999999</v>
      </c>
      <c r="R2785">
        <f>2466.8</f>
        <v>2466.8000000000002</v>
      </c>
      <c r="S2785">
        <f>973.81</f>
        <v>973.81</v>
      </c>
      <c r="T2785">
        <f>2176.984</f>
        <v>2176.9839999999999</v>
      </c>
      <c r="U2785">
        <f>36871.71</f>
        <v>36871.71</v>
      </c>
      <c r="V2785">
        <f>269.95</f>
        <v>269.95</v>
      </c>
    </row>
    <row r="2786" spans="1:22" x14ac:dyDescent="0.2">
      <c r="A2786" s="1">
        <v>41207</v>
      </c>
      <c r="B2786">
        <f>2279.21</f>
        <v>2279.21</v>
      </c>
      <c r="C2786">
        <f>8861.32</f>
        <v>8861.32</v>
      </c>
      <c r="D2786">
        <f>4061.05</f>
        <v>4061.05</v>
      </c>
      <c r="E2786">
        <f>1890.985</f>
        <v>1890.9849999999999</v>
      </c>
      <c r="F2786">
        <f>1483.46</f>
        <v>1483.46</v>
      </c>
      <c r="G2786">
        <f>6682.15</f>
        <v>6682.15</v>
      </c>
      <c r="H2786">
        <f>1915.42</f>
        <v>1915.42</v>
      </c>
      <c r="I2786">
        <f>6306.754</f>
        <v>6306.7539999999999</v>
      </c>
      <c r="J2786">
        <f>1897.3</f>
        <v>1897.3</v>
      </c>
      <c r="K2786">
        <f>5139.12</f>
        <v>5139.12</v>
      </c>
      <c r="L2786">
        <f>1211.51</f>
        <v>1211.51</v>
      </c>
      <c r="M2786">
        <f>4601.14</f>
        <v>4601.1400000000003</v>
      </c>
      <c r="N2786">
        <f>201.875</f>
        <v>201.875</v>
      </c>
      <c r="O2786">
        <f>1728.5</f>
        <v>1728.5</v>
      </c>
      <c r="P2786">
        <f>93.06</f>
        <v>93.06</v>
      </c>
      <c r="Q2786">
        <f>1146.907</f>
        <v>1146.9069999999999</v>
      </c>
      <c r="R2786">
        <f>2468.6</f>
        <v>2468.6</v>
      </c>
      <c r="S2786">
        <f>987.21</f>
        <v>987.21</v>
      </c>
      <c r="T2786">
        <f>2190.018</f>
        <v>2190.018</v>
      </c>
      <c r="U2786">
        <f>36995.65</f>
        <v>36995.65</v>
      </c>
      <c r="V2786">
        <f>271.29</f>
        <v>271.29000000000002</v>
      </c>
    </row>
    <row r="2787" spans="1:22" x14ac:dyDescent="0.2">
      <c r="A2787" s="1">
        <v>41206</v>
      </c>
      <c r="B2787">
        <f>2266.04</f>
        <v>2266.04</v>
      </c>
      <c r="C2787">
        <f>8823.26</f>
        <v>8823.26</v>
      </c>
      <c r="D2787">
        <f>4060.86</f>
        <v>4060.86</v>
      </c>
      <c r="E2787">
        <f>1882.318</f>
        <v>1882.318</v>
      </c>
      <c r="F2787">
        <f>1481.68</f>
        <v>1481.68</v>
      </c>
      <c r="G2787">
        <f>6635.718</f>
        <v>6635.7179999999998</v>
      </c>
      <c r="H2787">
        <f>1903.03</f>
        <v>1903.03</v>
      </c>
      <c r="I2787">
        <f>6315.278</f>
        <v>6315.2780000000002</v>
      </c>
      <c r="J2787">
        <f>1887.83</f>
        <v>1887.83</v>
      </c>
      <c r="K2787">
        <f>5124.25</f>
        <v>5124.25</v>
      </c>
      <c r="L2787">
        <f>1207.67</f>
        <v>1207.67</v>
      </c>
      <c r="M2787">
        <f>4586.89</f>
        <v>4586.8900000000003</v>
      </c>
      <c r="N2787">
        <f>200.774</f>
        <v>200.774</v>
      </c>
      <c r="O2787">
        <f>1726.39</f>
        <v>1726.39</v>
      </c>
      <c r="P2787">
        <f>91.95</f>
        <v>91.95</v>
      </c>
      <c r="Q2787">
        <f>1145.198</f>
        <v>1145.1980000000001</v>
      </c>
      <c r="R2787">
        <f>2461.18</f>
        <v>2461.1799999999998</v>
      </c>
      <c r="S2787">
        <f>976.5</f>
        <v>976.5</v>
      </c>
      <c r="T2787">
        <f>2195.322</f>
        <v>2195.3220000000001</v>
      </c>
      <c r="U2787">
        <f>36951.53</f>
        <v>36951.53</v>
      </c>
      <c r="V2787">
        <f>271.56</f>
        <v>271.56</v>
      </c>
    </row>
    <row r="2788" spans="1:22" x14ac:dyDescent="0.2">
      <c r="A2788" s="1">
        <v>41205</v>
      </c>
      <c r="B2788">
        <f>2269.36</f>
        <v>2269.36</v>
      </c>
      <c r="C2788">
        <f>8844.43</f>
        <v>8844.43</v>
      </c>
      <c r="D2788">
        <f>4052.21</f>
        <v>4052.21</v>
      </c>
      <c r="E2788">
        <f>1886.62</f>
        <v>1886.62</v>
      </c>
      <c r="F2788">
        <f>1476.93</f>
        <v>1476.93</v>
      </c>
      <c r="G2788">
        <f>6584.679</f>
        <v>6584.6790000000001</v>
      </c>
      <c r="H2788">
        <f>1917.71</f>
        <v>1917.71</v>
      </c>
      <c r="I2788">
        <f>6292.131</f>
        <v>6292.1310000000003</v>
      </c>
      <c r="J2788">
        <f>1893.29</f>
        <v>1893.29</v>
      </c>
      <c r="K2788">
        <f>5139.41</f>
        <v>5139.41</v>
      </c>
      <c r="L2788">
        <f>1207.65</f>
        <v>1207.6500000000001</v>
      </c>
      <c r="M2788">
        <f>4590.74</f>
        <v>4590.74</v>
      </c>
      <c r="N2788">
        <f>199.829</f>
        <v>199.82900000000001</v>
      </c>
      <c r="O2788">
        <f>1716.69</f>
        <v>1716.69</v>
      </c>
      <c r="P2788">
        <f>92.29</f>
        <v>92.29</v>
      </c>
      <c r="Q2788">
        <f>1147.863</f>
        <v>1147.8630000000001</v>
      </c>
      <c r="R2788">
        <f>2468.78</f>
        <v>2468.7800000000002</v>
      </c>
      <c r="S2788">
        <f>984.51</f>
        <v>984.51</v>
      </c>
      <c r="T2788">
        <f>2182.784</f>
        <v>2182.7840000000001</v>
      </c>
      <c r="U2788">
        <f>36678.03</f>
        <v>36678.03</v>
      </c>
      <c r="V2788">
        <f>269.91</f>
        <v>269.91000000000003</v>
      </c>
    </row>
    <row r="2789" spans="1:22" x14ac:dyDescent="0.2">
      <c r="A2789" s="1">
        <v>41204</v>
      </c>
      <c r="B2789">
        <f>2305.72</f>
        <v>2305.7199999999998</v>
      </c>
      <c r="C2789">
        <f>8944.41</f>
        <v>8944.41</v>
      </c>
      <c r="D2789">
        <f>4111.62</f>
        <v>4111.62</v>
      </c>
      <c r="E2789">
        <f>1906.455</f>
        <v>1906.4549999999999</v>
      </c>
      <c r="F2789">
        <f>1505.62</f>
        <v>1505.62</v>
      </c>
      <c r="G2789">
        <f>6719.619</f>
        <v>6719.6189999999997</v>
      </c>
      <c r="H2789">
        <f>1929.52</f>
        <v>1929.52</v>
      </c>
      <c r="I2789">
        <f>6467.757</f>
        <v>6467.7569999999996</v>
      </c>
      <c r="J2789">
        <f>1918.91</f>
        <v>1918.91</v>
      </c>
      <c r="K2789">
        <f>5213.56</f>
        <v>5213.5600000000004</v>
      </c>
      <c r="L2789">
        <f>1229.03</f>
        <v>1229.03</v>
      </c>
      <c r="M2789">
        <f>4664.28</f>
        <v>4664.28</v>
      </c>
      <c r="N2789">
        <f>202.914</f>
        <v>202.91399999999999</v>
      </c>
      <c r="O2789">
        <f>1746.67</f>
        <v>1746.67</v>
      </c>
      <c r="P2789">
        <f>92.56</f>
        <v>92.56</v>
      </c>
      <c r="Q2789">
        <f>1160.484</f>
        <v>1160.4839999999999</v>
      </c>
      <c r="R2789">
        <f>2504.96</f>
        <v>2504.96</v>
      </c>
      <c r="S2789">
        <f>990.23</f>
        <v>990.23</v>
      </c>
      <c r="T2789">
        <f>2189.173</f>
        <v>2189.1729999999998</v>
      </c>
      <c r="U2789">
        <f>36968.5</f>
        <v>36968.5</v>
      </c>
      <c r="V2789">
        <f>270.61</f>
        <v>270.61</v>
      </c>
    </row>
    <row r="2790" spans="1:22" x14ac:dyDescent="0.2">
      <c r="A2790" s="1">
        <v>41201</v>
      </c>
      <c r="B2790">
        <f>2308.47</f>
        <v>2308.4699999999998</v>
      </c>
      <c r="C2790">
        <f>8931.57</f>
        <v>8931.57</v>
      </c>
      <c r="D2790">
        <f>4120.88</f>
        <v>4120.88</v>
      </c>
      <c r="E2790">
        <f>1904.084</f>
        <v>1904.0840000000001</v>
      </c>
      <c r="F2790">
        <f>1507.28</f>
        <v>1507.28</v>
      </c>
      <c r="G2790">
        <f>6729.757</f>
        <v>6729.7569999999996</v>
      </c>
      <c r="H2790">
        <f>1942.42</f>
        <v>1942.42</v>
      </c>
      <c r="I2790">
        <f>6472.418</f>
        <v>6472.4179999999997</v>
      </c>
      <c r="J2790">
        <f>1922.61</f>
        <v>1922.61</v>
      </c>
      <c r="K2790">
        <f>5211.62</f>
        <v>5211.62</v>
      </c>
      <c r="L2790">
        <f>1232.33</f>
        <v>1232.33</v>
      </c>
      <c r="M2790">
        <f>4669.17</f>
        <v>4669.17</v>
      </c>
      <c r="N2790">
        <f>204.158</f>
        <v>204.15799999999999</v>
      </c>
      <c r="O2790">
        <f>1753.55</f>
        <v>1753.55</v>
      </c>
      <c r="P2790">
        <f>92.38</f>
        <v>92.38</v>
      </c>
      <c r="Q2790">
        <f>1162.876</f>
        <v>1162.876</v>
      </c>
      <c r="R2790">
        <f>2503.8</f>
        <v>2503.8000000000002</v>
      </c>
      <c r="S2790">
        <f>991.11</f>
        <v>991.11</v>
      </c>
      <c r="T2790">
        <f>2184.666</f>
        <v>2184.6660000000002</v>
      </c>
      <c r="U2790">
        <f>36783.12</f>
        <v>36783.120000000003</v>
      </c>
      <c r="V2790">
        <f>268.59</f>
        <v>268.58999999999997</v>
      </c>
    </row>
    <row r="2791" spans="1:22" x14ac:dyDescent="0.2">
      <c r="A2791" s="1">
        <v>41200</v>
      </c>
      <c r="B2791">
        <f>2324.72</f>
        <v>2324.7199999999998</v>
      </c>
      <c r="C2791">
        <f>8983.89</f>
        <v>8983.89</v>
      </c>
      <c r="D2791">
        <f>4135.49</f>
        <v>4135.49</v>
      </c>
      <c r="E2791">
        <f>1917.798</f>
        <v>1917.798</v>
      </c>
      <c r="F2791">
        <f>1517.99</f>
        <v>1517.99</v>
      </c>
      <c r="G2791">
        <f>6799.747</f>
        <v>6799.7470000000003</v>
      </c>
      <c r="H2791">
        <f>1945.45</f>
        <v>1945.45</v>
      </c>
      <c r="I2791">
        <f>6560.727</f>
        <v>6560.7269999999999</v>
      </c>
      <c r="J2791">
        <f>1949.99</f>
        <v>1949.99</v>
      </c>
      <c r="K2791">
        <f>5298.7</f>
        <v>5298.7</v>
      </c>
      <c r="L2791">
        <f>1245.61</f>
        <v>1245.6099999999999</v>
      </c>
      <c r="M2791">
        <f>4730.07</f>
        <v>4730.07</v>
      </c>
      <c r="N2791">
        <f>205</f>
        <v>205</v>
      </c>
      <c r="O2791">
        <f>1766.94</f>
        <v>1766.94</v>
      </c>
      <c r="P2791">
        <f>92.34</f>
        <v>92.34</v>
      </c>
      <c r="Q2791">
        <f>1179.086</f>
        <v>1179.086</v>
      </c>
      <c r="R2791">
        <f>2545.95</f>
        <v>2545.9499999999998</v>
      </c>
      <c r="S2791">
        <f>988.36</f>
        <v>988.36</v>
      </c>
      <c r="T2791">
        <f>2208.044</f>
        <v>2208.0439999999999</v>
      </c>
      <c r="U2791">
        <f>37051.95</f>
        <v>37051.949999999997</v>
      </c>
      <c r="V2791">
        <f>271.11</f>
        <v>271.11</v>
      </c>
    </row>
    <row r="2792" spans="1:22" x14ac:dyDescent="0.2">
      <c r="A2792" s="1">
        <v>41199</v>
      </c>
      <c r="B2792">
        <f>2326.41</f>
        <v>2326.41</v>
      </c>
      <c r="C2792">
        <f>8964.76</f>
        <v>8964.76</v>
      </c>
      <c r="D2792">
        <f>4131.19</f>
        <v>4131.1899999999996</v>
      </c>
      <c r="E2792">
        <f>1912.954</f>
        <v>1912.954</v>
      </c>
      <c r="F2792">
        <f>1523.77</f>
        <v>1523.77</v>
      </c>
      <c r="G2792">
        <f>6808.753</f>
        <v>6808.7529999999997</v>
      </c>
      <c r="H2792">
        <f>1923.31</f>
        <v>1923.31</v>
      </c>
      <c r="I2792">
        <f>6561.998</f>
        <v>6561.9979999999996</v>
      </c>
      <c r="J2792">
        <f>1948.25</f>
        <v>1948.25</v>
      </c>
      <c r="K2792">
        <f>5310.27</f>
        <v>5310.27</v>
      </c>
      <c r="L2792">
        <f>1244.47</f>
        <v>1244.47</v>
      </c>
      <c r="M2792">
        <f>4730.3</f>
        <v>4730.3</v>
      </c>
      <c r="N2792">
        <f>205.171</f>
        <v>205.17099999999999</v>
      </c>
      <c r="O2792">
        <f>1764.01</f>
        <v>1764.01</v>
      </c>
      <c r="P2792">
        <f>91.37</f>
        <v>91.37</v>
      </c>
      <c r="Q2792">
        <f>1176.59</f>
        <v>1176.5899999999999</v>
      </c>
      <c r="R2792">
        <f>2552.05</f>
        <v>2552.0500000000002</v>
      </c>
      <c r="S2792">
        <f>971.92</f>
        <v>971.92</v>
      </c>
      <c r="T2792">
        <f>2220.205</f>
        <v>2220.2049999999999</v>
      </c>
      <c r="U2792">
        <f>37274.68</f>
        <v>37274.68</v>
      </c>
      <c r="V2792">
        <f>272.68</f>
        <v>272.68</v>
      </c>
    </row>
    <row r="2793" spans="1:22" x14ac:dyDescent="0.2">
      <c r="A2793" s="1">
        <v>41198</v>
      </c>
      <c r="B2793">
        <f>2308.94</f>
        <v>2308.94</v>
      </c>
      <c r="C2793">
        <f>8886.57</f>
        <v>8886.57</v>
      </c>
      <c r="D2793">
        <f>4102.2</f>
        <v>4102.2</v>
      </c>
      <c r="E2793">
        <f>1897.731</f>
        <v>1897.731</v>
      </c>
      <c r="F2793">
        <f>1510.98</f>
        <v>1510.98</v>
      </c>
      <c r="G2793">
        <f>6732.295</f>
        <v>6732.2950000000001</v>
      </c>
      <c r="H2793">
        <f>1906.89</f>
        <v>1906.89</v>
      </c>
      <c r="I2793">
        <f>6476.191</f>
        <v>6476.1909999999998</v>
      </c>
      <c r="J2793">
        <f>1939.08</f>
        <v>1939.08</v>
      </c>
      <c r="K2793">
        <f>5288.23</f>
        <v>5288.23</v>
      </c>
      <c r="L2793">
        <f>1233.01</f>
        <v>1233.01</v>
      </c>
      <c r="M2793">
        <f>4693.5</f>
        <v>4693.5</v>
      </c>
      <c r="N2793">
        <f>205.684</f>
        <v>205.684</v>
      </c>
      <c r="O2793">
        <f>1755.15</f>
        <v>1755.15</v>
      </c>
      <c r="P2793">
        <f>90.69</f>
        <v>90.69</v>
      </c>
      <c r="Q2793">
        <f>1173.607</f>
        <v>1173.607</v>
      </c>
      <c r="R2793">
        <f>2541.28</f>
        <v>2541.2800000000002</v>
      </c>
      <c r="S2793">
        <f>962.21</f>
        <v>962.21</v>
      </c>
      <c r="T2793">
        <f>2200.624</f>
        <v>2200.6239999999998</v>
      </c>
      <c r="U2793">
        <f>36974.24</f>
        <v>36974.239999999998</v>
      </c>
      <c r="V2793">
        <f>270.65</f>
        <v>270.64999999999998</v>
      </c>
    </row>
    <row r="2794" spans="1:22" x14ac:dyDescent="0.2">
      <c r="A2794" s="1">
        <v>41197</v>
      </c>
      <c r="B2794">
        <f>2282.79</f>
        <v>2282.79</v>
      </c>
      <c r="C2794">
        <f>8821.75</f>
        <v>8821.75</v>
      </c>
      <c r="D2794">
        <f>4056.83</f>
        <v>4056.83</v>
      </c>
      <c r="E2794">
        <f>1882.353</f>
        <v>1882.3530000000001</v>
      </c>
      <c r="F2794">
        <f>1496.22</f>
        <v>1496.22</v>
      </c>
      <c r="G2794">
        <f>6636.539</f>
        <v>6636.5389999999998</v>
      </c>
      <c r="H2794">
        <f>1888.7</f>
        <v>1888.7</v>
      </c>
      <c r="I2794">
        <f>6330.183</f>
        <v>6330.183</v>
      </c>
      <c r="J2794">
        <f>1923.11</f>
        <v>1923.11</v>
      </c>
      <c r="K2794">
        <f>5234.36</f>
        <v>5234.3599999999997</v>
      </c>
      <c r="L2794">
        <f>1218.75</f>
        <v>1218.75</v>
      </c>
      <c r="M2794">
        <f>4634.71</f>
        <v>4634.71</v>
      </c>
      <c r="N2794">
        <f>204.682</f>
        <v>204.68199999999999</v>
      </c>
      <c r="O2794">
        <f>1732.23</f>
        <v>1732.23</v>
      </c>
      <c r="P2794">
        <f>89.77</f>
        <v>89.77</v>
      </c>
      <c r="Q2794">
        <f>1161.751</f>
        <v>1161.751</v>
      </c>
      <c r="R2794">
        <f>2515.44</f>
        <v>2515.44</v>
      </c>
      <c r="S2794">
        <f>949.86</f>
        <v>949.86</v>
      </c>
      <c r="T2794">
        <f>2175.673</f>
        <v>2175.6729999999998</v>
      </c>
      <c r="U2794">
        <f>36620.28</f>
        <v>36620.28</v>
      </c>
      <c r="V2794">
        <f>267.17</f>
        <v>267.17</v>
      </c>
    </row>
    <row r="2795" spans="1:22" x14ac:dyDescent="0.2">
      <c r="A2795" s="1">
        <v>41194</v>
      </c>
      <c r="B2795">
        <f>2277.54</f>
        <v>2277.54</v>
      </c>
      <c r="C2795">
        <f>8838.54</f>
        <v>8838.5400000000009</v>
      </c>
      <c r="D2795">
        <f>4048.25</f>
        <v>4048.25</v>
      </c>
      <c r="E2795">
        <f>1885.122</f>
        <v>1885.1220000000001</v>
      </c>
      <c r="F2795">
        <f>1499.18</f>
        <v>1499.18</v>
      </c>
      <c r="G2795">
        <f>6637.693</f>
        <v>6637.6930000000002</v>
      </c>
      <c r="H2795">
        <f>1896.64</f>
        <v>1896.64</v>
      </c>
      <c r="I2795">
        <f>6303.515</f>
        <v>6303.5150000000003</v>
      </c>
      <c r="J2795">
        <f>1907.39</f>
        <v>1907.39</v>
      </c>
      <c r="K2795">
        <f>5193.21</f>
        <v>5193.21</v>
      </c>
      <c r="L2795">
        <f>1213.58</f>
        <v>1213.58</v>
      </c>
      <c r="M2795">
        <f>4610.84</f>
        <v>4610.84</v>
      </c>
      <c r="N2795">
        <f>203.769</f>
        <v>203.76900000000001</v>
      </c>
      <c r="O2795">
        <f>1723.97</f>
        <v>1723.97</v>
      </c>
      <c r="P2795">
        <f>89.53</f>
        <v>89.53</v>
      </c>
      <c r="Q2795">
        <f>1151.548</f>
        <v>1151.548</v>
      </c>
      <c r="R2795">
        <f>2495.28</f>
        <v>2495.2800000000002</v>
      </c>
      <c r="S2795">
        <f>943.72</f>
        <v>943.72</v>
      </c>
      <c r="T2795">
        <f>2170.505</f>
        <v>2170.5050000000001</v>
      </c>
      <c r="U2795">
        <f>36440.05</f>
        <v>36440.050000000003</v>
      </c>
      <c r="V2795">
        <f>267.08</f>
        <v>267.08</v>
      </c>
    </row>
    <row r="2796" spans="1:22" x14ac:dyDescent="0.2">
      <c r="A2796" s="1">
        <v>41193</v>
      </c>
      <c r="B2796">
        <f>2284.15</f>
        <v>2284.15</v>
      </c>
      <c r="C2796">
        <f>8816.89</f>
        <v>8816.89</v>
      </c>
      <c r="D2796">
        <f>4073.7</f>
        <v>4073.7</v>
      </c>
      <c r="E2796">
        <f>1883.72</f>
        <v>1883.72</v>
      </c>
      <c r="F2796">
        <f>1506.15</f>
        <v>1506.15</v>
      </c>
      <c r="G2796">
        <f>6658.44</f>
        <v>6658.44</v>
      </c>
      <c r="H2796">
        <f>1881.11</f>
        <v>1881.11</v>
      </c>
      <c r="I2796">
        <f>6325.832</f>
        <v>6325.8320000000003</v>
      </c>
      <c r="J2796">
        <f>1910.19</f>
        <v>1910.19</v>
      </c>
      <c r="K2796">
        <f>5208.69</f>
        <v>5208.6899999999996</v>
      </c>
      <c r="L2796">
        <f>1216.65</f>
        <v>1216.6500000000001</v>
      </c>
      <c r="M2796">
        <f>4620.69</f>
        <v>4620.6899999999996</v>
      </c>
      <c r="N2796">
        <f>204.403</f>
        <v>204.40299999999999</v>
      </c>
      <c r="O2796">
        <f>1732.89</f>
        <v>1732.89</v>
      </c>
      <c r="P2796">
        <f>88.65</f>
        <v>88.65</v>
      </c>
      <c r="Q2796">
        <f>1153.332</f>
        <v>1153.3320000000001</v>
      </c>
      <c r="R2796">
        <f>2502.66</f>
        <v>2502.66</v>
      </c>
      <c r="S2796">
        <f>937.98</f>
        <v>937.98</v>
      </c>
      <c r="T2796">
        <f>2167.022</f>
        <v>2167.0219999999999</v>
      </c>
      <c r="U2796">
        <f>36498.44</f>
        <v>36498.44</v>
      </c>
      <c r="V2796">
        <f>266.64</f>
        <v>266.64</v>
      </c>
    </row>
    <row r="2797" spans="1:22" x14ac:dyDescent="0.2">
      <c r="A2797" s="1">
        <v>41192</v>
      </c>
      <c r="B2797">
        <f>2274.02</f>
        <v>2274.02</v>
      </c>
      <c r="C2797">
        <f>8764.62</f>
        <v>8764.6200000000008</v>
      </c>
      <c r="D2797">
        <f>4036.64</f>
        <v>4036.64</v>
      </c>
      <c r="E2797">
        <f>1876.361</f>
        <v>1876.3610000000001</v>
      </c>
      <c r="F2797">
        <f>1498.99</f>
        <v>1498.99</v>
      </c>
      <c r="G2797">
        <f>6591.128</f>
        <v>6591.1279999999997</v>
      </c>
      <c r="H2797">
        <f>1888.21</f>
        <v>1888.21</v>
      </c>
      <c r="I2797">
        <f>6254.16</f>
        <v>6254.16</v>
      </c>
      <c r="J2797">
        <f>1912.2</f>
        <v>1912.2</v>
      </c>
      <c r="K2797">
        <f>5205.6</f>
        <v>5205.6000000000004</v>
      </c>
      <c r="L2797">
        <f>1214.09</f>
        <v>1214.0899999999999</v>
      </c>
      <c r="M2797">
        <f>4607.22</f>
        <v>4607.22</v>
      </c>
      <c r="N2797">
        <f>203.561</f>
        <v>203.56100000000001</v>
      </c>
      <c r="O2797">
        <f>1719.34</f>
        <v>1719.34</v>
      </c>
      <c r="P2797">
        <f>88.65</f>
        <v>88.65</v>
      </c>
      <c r="Q2797">
        <f>1152.472</f>
        <v>1152.472</v>
      </c>
      <c r="R2797">
        <f>2501.75</f>
        <v>2501.75</v>
      </c>
      <c r="S2797">
        <f>941.77</f>
        <v>941.77</v>
      </c>
      <c r="T2797">
        <f>2149.209</f>
        <v>2149.2089999999998</v>
      </c>
      <c r="U2797">
        <f>36147.62</f>
        <v>36147.620000000003</v>
      </c>
      <c r="V2797">
        <f>264.61</f>
        <v>264.61</v>
      </c>
    </row>
    <row r="2798" spans="1:22" x14ac:dyDescent="0.2">
      <c r="A2798" s="1">
        <v>41191</v>
      </c>
      <c r="B2798">
        <f>2284.47</f>
        <v>2284.4699999999998</v>
      </c>
      <c r="C2798">
        <f>8754.15</f>
        <v>8754.15</v>
      </c>
      <c r="D2798">
        <f>4058.07</f>
        <v>4058.07</v>
      </c>
      <c r="E2798">
        <f>1884.869</f>
        <v>1884.8689999999999</v>
      </c>
      <c r="F2798">
        <f>1504</f>
        <v>1504</v>
      </c>
      <c r="G2798">
        <f>6616.468</f>
        <v>6616.4679999999998</v>
      </c>
      <c r="H2798">
        <f>1914.14</f>
        <v>1914.14</v>
      </c>
      <c r="I2798">
        <f>6286.783</f>
        <v>6286.7830000000004</v>
      </c>
      <c r="J2798">
        <f>1928.69</f>
        <v>1928.69</v>
      </c>
      <c r="K2798">
        <f>5237.65</f>
        <v>5237.6499999999996</v>
      </c>
      <c r="L2798">
        <f>1222.59</f>
        <v>1222.5899999999999</v>
      </c>
      <c r="M2798">
        <f>4636.15</f>
        <v>4636.1499999999996</v>
      </c>
      <c r="N2798">
        <f>204.402</f>
        <v>204.40199999999999</v>
      </c>
      <c r="O2798">
        <f>1728.39</f>
        <v>1728.39</v>
      </c>
      <c r="P2798">
        <f>90.05</f>
        <v>90.05</v>
      </c>
      <c r="Q2798">
        <f>1159.05</f>
        <v>1159.05</v>
      </c>
      <c r="R2798">
        <f>2517.14</f>
        <v>2517.14</v>
      </c>
      <c r="S2798">
        <f>956.02</f>
        <v>956.02</v>
      </c>
      <c r="T2798">
        <f>2133.8</f>
        <v>2133.8000000000002</v>
      </c>
      <c r="U2798">
        <f>36070.74</f>
        <v>36070.74</v>
      </c>
      <c r="V2798">
        <f>263.36</f>
        <v>263.36</v>
      </c>
    </row>
    <row r="2799" spans="1:22" x14ac:dyDescent="0.2">
      <c r="A2799" s="1">
        <v>41190</v>
      </c>
      <c r="B2799">
        <f>2294.45</f>
        <v>2294.4499999999998</v>
      </c>
      <c r="C2799">
        <f>8752.5</f>
        <v>8752.5</v>
      </c>
      <c r="D2799">
        <f>4080.06</f>
        <v>4080.06</v>
      </c>
      <c r="E2799">
        <f>1887.416</f>
        <v>1887.4159999999999</v>
      </c>
      <c r="F2799">
        <f>1519.15</f>
        <v>1519.15</v>
      </c>
      <c r="G2799">
        <f>6662.376</f>
        <v>6662.3760000000002</v>
      </c>
      <c r="H2799">
        <f>1929.51</f>
        <v>1929.51</v>
      </c>
      <c r="I2799">
        <f>6361.615</f>
        <v>6361.6149999999998</v>
      </c>
      <c r="J2799">
        <f>1944.1</f>
        <v>1944.1</v>
      </c>
      <c r="K2799">
        <f>5289.81</f>
        <v>5289.81</v>
      </c>
      <c r="L2799">
        <f>1232</f>
        <v>1232</v>
      </c>
      <c r="M2799">
        <f>4681.64</f>
        <v>4681.6400000000003</v>
      </c>
      <c r="N2799">
        <f>205.616</f>
        <v>205.61600000000001</v>
      </c>
      <c r="O2799">
        <f>1735.92</f>
        <v>1735.92</v>
      </c>
      <c r="P2799" t="e">
        <f>NA()</f>
        <v>#N/A</v>
      </c>
      <c r="Q2799">
        <f>1170.405</f>
        <v>1170.405</v>
      </c>
      <c r="R2799">
        <f>2542.21</f>
        <v>2542.21</v>
      </c>
      <c r="S2799" t="e">
        <f>NA()</f>
        <v>#N/A</v>
      </c>
      <c r="T2799">
        <f>2152.037</f>
        <v>2152.0369999999998</v>
      </c>
      <c r="U2799">
        <f>36337.39</f>
        <v>36337.39</v>
      </c>
      <c r="V2799">
        <f>263.29</f>
        <v>263.29000000000002</v>
      </c>
    </row>
    <row r="2800" spans="1:22" x14ac:dyDescent="0.2">
      <c r="A2800" s="1">
        <v>41187</v>
      </c>
      <c r="B2800">
        <f>2319.32</f>
        <v>2319.3200000000002</v>
      </c>
      <c r="C2800">
        <f>8846.63</f>
        <v>8846.6299999999992</v>
      </c>
      <c r="D2800">
        <f>4100.52</f>
        <v>4100.5200000000004</v>
      </c>
      <c r="E2800">
        <f>1908.029</f>
        <v>1908.029</v>
      </c>
      <c r="F2800">
        <f>1538.37</f>
        <v>1538.37</v>
      </c>
      <c r="G2800">
        <f>6766.339</f>
        <v>6766.3389999999999</v>
      </c>
      <c r="H2800">
        <f>1916.39</f>
        <v>1916.39</v>
      </c>
      <c r="I2800">
        <f>6472.741</f>
        <v>6472.741</v>
      </c>
      <c r="J2800">
        <f>1946.29</f>
        <v>1946.29</v>
      </c>
      <c r="K2800">
        <f>5308.02</f>
        <v>5308.02</v>
      </c>
      <c r="L2800">
        <f>1240.82</f>
        <v>1240.82</v>
      </c>
      <c r="M2800">
        <f>4710.77</f>
        <v>4710.7700000000004</v>
      </c>
      <c r="N2800">
        <f>207.775</f>
        <v>207.77500000000001</v>
      </c>
      <c r="O2800">
        <f>1753.43</f>
        <v>1753.43</v>
      </c>
      <c r="P2800">
        <f>90.68</f>
        <v>90.68</v>
      </c>
      <c r="Q2800">
        <f>1173.418</f>
        <v>1173.4179999999999</v>
      </c>
      <c r="R2800">
        <f>2551.03</f>
        <v>2551.0300000000002</v>
      </c>
      <c r="S2800">
        <f>968.43</f>
        <v>968.43</v>
      </c>
      <c r="T2800">
        <f>2195.566</f>
        <v>2195.5659999999998</v>
      </c>
      <c r="U2800">
        <f>36588.67</f>
        <v>36588.67</v>
      </c>
      <c r="V2800">
        <f>267.82</f>
        <v>267.82</v>
      </c>
    </row>
    <row r="2801" spans="1:22" x14ac:dyDescent="0.2">
      <c r="A2801" s="1">
        <v>41186</v>
      </c>
      <c r="B2801">
        <f>2292.74</f>
        <v>2292.7399999999998</v>
      </c>
      <c r="C2801">
        <f>8829.06</f>
        <v>8829.06</v>
      </c>
      <c r="D2801">
        <f>4070.32</f>
        <v>4070.32</v>
      </c>
      <c r="E2801">
        <f>1901.126</f>
        <v>1901.126</v>
      </c>
      <c r="F2801">
        <f>1523.95</f>
        <v>1523.95</v>
      </c>
      <c r="G2801">
        <f>6705.477</f>
        <v>6705.4769999999999</v>
      </c>
      <c r="H2801">
        <f>1917.11</f>
        <v>1917.11</v>
      </c>
      <c r="I2801">
        <f>6362.107</f>
        <v>6362.107</v>
      </c>
      <c r="J2801">
        <f>1939.59</f>
        <v>1939.59</v>
      </c>
      <c r="K2801">
        <f>5308.22</f>
        <v>5308.22</v>
      </c>
      <c r="L2801">
        <f>1231.15</f>
        <v>1231.1500000000001</v>
      </c>
      <c r="M2801">
        <f>4690.09</f>
        <v>4690.09</v>
      </c>
      <c r="N2801">
        <f>206.695</f>
        <v>206.69499999999999</v>
      </c>
      <c r="O2801">
        <f>1735.53</f>
        <v>1735.53</v>
      </c>
      <c r="P2801">
        <f>90.15</f>
        <v>90.15</v>
      </c>
      <c r="Q2801">
        <f>1168.72</f>
        <v>1168.72</v>
      </c>
      <c r="R2801">
        <f>2550.98</f>
        <v>2550.98</v>
      </c>
      <c r="S2801">
        <f>966.13</f>
        <v>966.13</v>
      </c>
      <c r="T2801">
        <f>2203.948</f>
        <v>2203.9479999999999</v>
      </c>
      <c r="U2801">
        <f>36268.96</f>
        <v>36268.959999999999</v>
      </c>
      <c r="V2801">
        <f>267.68</f>
        <v>267.68</v>
      </c>
    </row>
    <row r="2802" spans="1:22" x14ac:dyDescent="0.2">
      <c r="A2802" s="1">
        <v>41185</v>
      </c>
      <c r="B2802">
        <f>2285.52</f>
        <v>2285.52</v>
      </c>
      <c r="C2802">
        <f>8828.97</f>
        <v>8828.9699999999993</v>
      </c>
      <c r="D2802">
        <f>4068.94</f>
        <v>4068.94</v>
      </c>
      <c r="E2802">
        <f>1895.41</f>
        <v>1895.41</v>
      </c>
      <c r="F2802">
        <f>1517.27</f>
        <v>1517.27</v>
      </c>
      <c r="G2802">
        <f>6664.968</f>
        <v>6664.9679999999998</v>
      </c>
      <c r="H2802">
        <f>1896.56</f>
        <v>1896.56</v>
      </c>
      <c r="I2802">
        <f>6311.201</f>
        <v>6311.201</v>
      </c>
      <c r="J2802">
        <f>1928.22</f>
        <v>1928.22</v>
      </c>
      <c r="K2802">
        <f>5270.74</f>
        <v>5270.74</v>
      </c>
      <c r="L2802">
        <f>1222.39</f>
        <v>1222.3900000000001</v>
      </c>
      <c r="M2802">
        <f>4654.44</f>
        <v>4654.4399999999996</v>
      </c>
      <c r="N2802">
        <f>206.87</f>
        <v>206.87</v>
      </c>
      <c r="O2802">
        <f>1735.85</f>
        <v>1735.85</v>
      </c>
      <c r="P2802">
        <f>89.29</f>
        <v>89.29</v>
      </c>
      <c r="Q2802">
        <f>1161.11</f>
        <v>1161.1099999999999</v>
      </c>
      <c r="R2802">
        <f>2532.79</f>
        <v>2532.79</v>
      </c>
      <c r="S2802">
        <f>955.64</f>
        <v>955.64</v>
      </c>
      <c r="T2802">
        <f>2202.048</f>
        <v>2202.0479999999998</v>
      </c>
      <c r="U2802">
        <f>36120.45</f>
        <v>36120.449999999997</v>
      </c>
      <c r="V2802">
        <f>266.91</f>
        <v>266.91000000000003</v>
      </c>
    </row>
    <row r="2803" spans="1:22" x14ac:dyDescent="0.2">
      <c r="A2803" s="1">
        <v>41184</v>
      </c>
      <c r="B2803">
        <f>2278.18</f>
        <v>2278.1799999999998</v>
      </c>
      <c r="C2803">
        <f>8880.23</f>
        <v>8880.23</v>
      </c>
      <c r="D2803">
        <f>4057.31</f>
        <v>4057.31</v>
      </c>
      <c r="E2803">
        <f>1902.443</f>
        <v>1902.443</v>
      </c>
      <c r="F2803">
        <f>1515.04</f>
        <v>1515.04</v>
      </c>
      <c r="G2803">
        <f>6673.799</f>
        <v>6673.799</v>
      </c>
      <c r="H2803">
        <f>1925.29</f>
        <v>1925.29</v>
      </c>
      <c r="I2803">
        <f>6339.813</f>
        <v>6339.8130000000001</v>
      </c>
      <c r="J2803">
        <f>1922.67</f>
        <v>1922.67</v>
      </c>
      <c r="K2803">
        <f>5251.14</f>
        <v>5251.14</v>
      </c>
      <c r="L2803">
        <f>1224.6</f>
        <v>1224.5999999999999</v>
      </c>
      <c r="M2803">
        <f>4655.99</f>
        <v>4655.99</v>
      </c>
      <c r="N2803">
        <f>207.343</f>
        <v>207.34299999999999</v>
      </c>
      <c r="O2803">
        <f>1738.8</f>
        <v>1738.8</v>
      </c>
      <c r="P2803">
        <f>90.15</f>
        <v>90.15</v>
      </c>
      <c r="Q2803">
        <f>1156.62</f>
        <v>1156.6199999999999</v>
      </c>
      <c r="R2803">
        <f>2523.08</f>
        <v>2523.08</v>
      </c>
      <c r="S2803">
        <f>960.63</f>
        <v>960.63</v>
      </c>
      <c r="T2803">
        <f>2184.573</f>
        <v>2184.5729999999999</v>
      </c>
      <c r="U2803">
        <f>36247.91</f>
        <v>36247.910000000003</v>
      </c>
      <c r="V2803">
        <f>268.22</f>
        <v>268.22000000000003</v>
      </c>
    </row>
    <row r="2804" spans="1:22" x14ac:dyDescent="0.2">
      <c r="A2804" s="1">
        <v>41183</v>
      </c>
      <c r="B2804">
        <f>2277.2</f>
        <v>2277.1999999999998</v>
      </c>
      <c r="C2804">
        <f>8866.16</f>
        <v>8866.16</v>
      </c>
      <c r="D2804">
        <f>4064.99</f>
        <v>4064.99</v>
      </c>
      <c r="E2804">
        <f>1900.259</f>
        <v>1900.259</v>
      </c>
      <c r="F2804">
        <f>1515.67</f>
        <v>1515.67</v>
      </c>
      <c r="G2804">
        <f>6692.175</f>
        <v>6692.1750000000002</v>
      </c>
      <c r="H2804">
        <f>1929.74</f>
        <v>1929.74</v>
      </c>
      <c r="I2804">
        <f>6334.368</f>
        <v>6334.3680000000004</v>
      </c>
      <c r="J2804">
        <f>1921.21</f>
        <v>1921.21</v>
      </c>
      <c r="K2804">
        <f>5245.35</f>
        <v>5245.35</v>
      </c>
      <c r="L2804">
        <f>1223.4</f>
        <v>1223.4000000000001</v>
      </c>
      <c r="M2804">
        <f>4653.4</f>
        <v>4653.3999999999996</v>
      </c>
      <c r="N2804">
        <f>207.394</f>
        <v>207.39400000000001</v>
      </c>
      <c r="O2804">
        <f>1742.08</f>
        <v>1742.08</v>
      </c>
      <c r="P2804">
        <f>90.59</f>
        <v>90.59</v>
      </c>
      <c r="Q2804">
        <f>1156.69</f>
        <v>1156.69</v>
      </c>
      <c r="R2804">
        <f>2520.71</f>
        <v>2520.71</v>
      </c>
      <c r="S2804">
        <f>962.16</f>
        <v>962.16</v>
      </c>
      <c r="T2804">
        <f>2164.58</f>
        <v>2164.58</v>
      </c>
      <c r="U2804">
        <f>36269.27</f>
        <v>36269.269999999997</v>
      </c>
      <c r="V2804">
        <f>266.72</f>
        <v>266.72000000000003</v>
      </c>
    </row>
    <row r="2805" spans="1:22" x14ac:dyDescent="0.2">
      <c r="A2805" s="1">
        <v>41180</v>
      </c>
      <c r="B2805">
        <f>2252.63</f>
        <v>2252.63</v>
      </c>
      <c r="C2805">
        <f>8861.63</f>
        <v>8861.6299999999992</v>
      </c>
      <c r="D2805">
        <f>4010.25</f>
        <v>4010.25</v>
      </c>
      <c r="E2805">
        <f>1895.316</f>
        <v>1895.316</v>
      </c>
      <c r="F2805">
        <f>1504.68</f>
        <v>1504.68</v>
      </c>
      <c r="G2805">
        <f>6600.807</f>
        <v>6600.8069999999998</v>
      </c>
      <c r="H2805">
        <f>1946.97</f>
        <v>1946.97</v>
      </c>
      <c r="I2805">
        <f>6212.231</f>
        <v>6212.2309999999998</v>
      </c>
      <c r="J2805">
        <f>1915.07</f>
        <v>1915.07</v>
      </c>
      <c r="K2805">
        <f>5232.08</f>
        <v>5232.08</v>
      </c>
      <c r="L2805">
        <f>1213.99</f>
        <v>1213.99</v>
      </c>
      <c r="M2805">
        <f>4627.18</f>
        <v>4627.18</v>
      </c>
      <c r="N2805">
        <f>205.224</f>
        <v>205.22399999999999</v>
      </c>
      <c r="O2805">
        <f>1717.33</f>
        <v>1717.33</v>
      </c>
      <c r="P2805">
        <f>91.37</f>
        <v>91.37</v>
      </c>
      <c r="Q2805">
        <f>1153.83</f>
        <v>1153.83</v>
      </c>
      <c r="R2805">
        <f>2513.93</f>
        <v>2513.9299999999998</v>
      </c>
      <c r="S2805">
        <f>968.82</f>
        <v>968.82</v>
      </c>
      <c r="T2805">
        <f>2164.384</f>
        <v>2164.384</v>
      </c>
      <c r="U2805">
        <f>35757.98</f>
        <v>35757.980000000003</v>
      </c>
      <c r="V2805">
        <f>266.36</f>
        <v>266.36</v>
      </c>
    </row>
    <row r="2806" spans="1:22" x14ac:dyDescent="0.2">
      <c r="A2806" s="1">
        <v>41179</v>
      </c>
      <c r="B2806">
        <f>2268.37</f>
        <v>2268.37</v>
      </c>
      <c r="C2806">
        <f>8846.73</f>
        <v>8846.73</v>
      </c>
      <c r="D2806">
        <f>4036.33</f>
        <v>4036.33</v>
      </c>
      <c r="E2806">
        <f>1887.192</f>
        <v>1887.192</v>
      </c>
      <c r="F2806">
        <f>1521.37</f>
        <v>1521.37</v>
      </c>
      <c r="G2806">
        <f>6663.202</f>
        <v>6663.2020000000002</v>
      </c>
      <c r="H2806">
        <f>1972.18</f>
        <v>1972.18</v>
      </c>
      <c r="I2806">
        <f>6295.223</f>
        <v>6295.223</v>
      </c>
      <c r="J2806">
        <f>1922.23</f>
        <v>1922.23</v>
      </c>
      <c r="K2806">
        <f>5254.29</f>
        <v>5254.29</v>
      </c>
      <c r="L2806">
        <f>1223.24</f>
        <v>1223.24</v>
      </c>
      <c r="M2806">
        <f>4657.62</f>
        <v>4657.62</v>
      </c>
      <c r="N2806">
        <f>207.364</f>
        <v>207.364</v>
      </c>
      <c r="O2806">
        <f>1739.58</f>
        <v>1739.58</v>
      </c>
      <c r="P2806">
        <f>92.11</f>
        <v>92.11</v>
      </c>
      <c r="Q2806">
        <f>1155.51</f>
        <v>1155.51</v>
      </c>
      <c r="R2806">
        <f>2525.23</f>
        <v>2525.23</v>
      </c>
      <c r="S2806">
        <f>979.55</f>
        <v>979.55</v>
      </c>
      <c r="T2806">
        <f>2150.923</f>
        <v>2150.9229999999998</v>
      </c>
      <c r="U2806">
        <f>35616.6</f>
        <v>35616.6</v>
      </c>
      <c r="V2806">
        <f>264.59</f>
        <v>264.58999999999997</v>
      </c>
    </row>
    <row r="2807" spans="1:22" x14ac:dyDescent="0.2">
      <c r="A2807" s="1">
        <v>41178</v>
      </c>
      <c r="B2807">
        <f>2267.09</f>
        <v>2267.09</v>
      </c>
      <c r="C2807">
        <f>8781.06</f>
        <v>8781.06</v>
      </c>
      <c r="D2807">
        <f>4028.42</f>
        <v>4028.42</v>
      </c>
      <c r="E2807">
        <f>1872.053</f>
        <v>1872.0530000000001</v>
      </c>
      <c r="F2807">
        <f>1519.69</f>
        <v>1519.69</v>
      </c>
      <c r="G2807">
        <f>6631.096</f>
        <v>6631.0959999999995</v>
      </c>
      <c r="H2807">
        <f>1959.36</f>
        <v>1959.36</v>
      </c>
      <c r="I2807">
        <f>6264.466</f>
        <v>6264.4660000000003</v>
      </c>
      <c r="J2807">
        <f>1912.99</f>
        <v>1912.99</v>
      </c>
      <c r="K2807">
        <f>5203.17</f>
        <v>5203.17</v>
      </c>
      <c r="L2807">
        <f>1218.63</f>
        <v>1218.6300000000001</v>
      </c>
      <c r="M2807">
        <f>4619.36</f>
        <v>4619.3599999999997</v>
      </c>
      <c r="N2807">
        <f>206.85</f>
        <v>206.85</v>
      </c>
      <c r="O2807">
        <f>1733.62</f>
        <v>1733.62</v>
      </c>
      <c r="P2807">
        <f>91.36</f>
        <v>91.36</v>
      </c>
      <c r="Q2807">
        <f>1148.19</f>
        <v>1148.19</v>
      </c>
      <c r="R2807">
        <f>2500.92</f>
        <v>2500.92</v>
      </c>
      <c r="S2807">
        <f>975.54</f>
        <v>975.54</v>
      </c>
      <c r="T2807">
        <f>2141.549</f>
        <v>2141.549</v>
      </c>
      <c r="U2807">
        <f>35415.07</f>
        <v>35415.07</v>
      </c>
      <c r="V2807">
        <f>262.97</f>
        <v>262.97000000000003</v>
      </c>
    </row>
    <row r="2808" spans="1:22" x14ac:dyDescent="0.2">
      <c r="A2808" s="1">
        <v>41177</v>
      </c>
      <c r="B2808">
        <f>2308.51</f>
        <v>2308.5100000000002</v>
      </c>
      <c r="C2808">
        <f>8872.3</f>
        <v>8872.2999999999993</v>
      </c>
      <c r="D2808">
        <f>4091.21</f>
        <v>4091.21</v>
      </c>
      <c r="E2808">
        <f>1893.729</f>
        <v>1893.729</v>
      </c>
      <c r="F2808">
        <f>1545.92</f>
        <v>1545.92</v>
      </c>
      <c r="G2808">
        <f>6780.304</f>
        <v>6780.3040000000001</v>
      </c>
      <c r="H2808">
        <f>1972.26</f>
        <v>1972.26</v>
      </c>
      <c r="I2808">
        <f>6459.793</f>
        <v>6459.7929999999997</v>
      </c>
      <c r="J2808">
        <f>1918.2</f>
        <v>1918.2</v>
      </c>
      <c r="K2808">
        <f>5231.97</f>
        <v>5231.97</v>
      </c>
      <c r="L2808">
        <f>1234.95</f>
        <v>1234.95</v>
      </c>
      <c r="M2808">
        <f>4677.31</f>
        <v>4677.3100000000004</v>
      </c>
      <c r="N2808">
        <f>209.436</f>
        <v>209.43600000000001</v>
      </c>
      <c r="O2808">
        <f>1766.74</f>
        <v>1766.74</v>
      </c>
      <c r="P2808">
        <f>91.51</f>
        <v>91.51</v>
      </c>
      <c r="Q2808">
        <f>1151.93</f>
        <v>1151.93</v>
      </c>
      <c r="R2808">
        <f>2514.83</f>
        <v>2514.83</v>
      </c>
      <c r="S2808">
        <f>985.6</f>
        <v>985.6</v>
      </c>
      <c r="T2808">
        <f>2157.017</f>
        <v>2157.0169999999998</v>
      </c>
      <c r="U2808">
        <f>36041.48</f>
        <v>36041.480000000003</v>
      </c>
      <c r="V2808">
        <f>267.74</f>
        <v>267.74</v>
      </c>
    </row>
    <row r="2809" spans="1:22" x14ac:dyDescent="0.2">
      <c r="A2809" s="1">
        <v>41176</v>
      </c>
      <c r="B2809">
        <f>2304.46</f>
        <v>2304.46</v>
      </c>
      <c r="C2809">
        <f>8891.08</f>
        <v>8891.08</v>
      </c>
      <c r="D2809">
        <f>4076.63</f>
        <v>4076.63</v>
      </c>
      <c r="E2809">
        <f>1898.365</f>
        <v>1898.365</v>
      </c>
      <c r="F2809">
        <f>1533.37</f>
        <v>1533.37</v>
      </c>
      <c r="G2809">
        <f>6732.215</f>
        <v>6732.2150000000001</v>
      </c>
      <c r="H2809">
        <f>1964.83</f>
        <v>1964.83</v>
      </c>
      <c r="I2809">
        <f>6407.878</f>
        <v>6407.8779999999997</v>
      </c>
      <c r="J2809">
        <f>1929.86</f>
        <v>1929.86</v>
      </c>
      <c r="K2809">
        <f>5287.96</f>
        <v>5287.96</v>
      </c>
      <c r="L2809">
        <f>1232.21</f>
        <v>1232.21</v>
      </c>
      <c r="M2809">
        <f>4692.83</f>
        <v>4692.83</v>
      </c>
      <c r="N2809">
        <f>208.463</f>
        <v>208.46299999999999</v>
      </c>
      <c r="O2809">
        <f>1759.78</f>
        <v>1759.78</v>
      </c>
      <c r="P2809">
        <f>90.96</f>
        <v>90.96</v>
      </c>
      <c r="Q2809">
        <f>1160.73</f>
        <v>1160.73</v>
      </c>
      <c r="R2809">
        <f>2541.23</f>
        <v>2541.23</v>
      </c>
      <c r="S2809">
        <f>980.42</f>
        <v>980.42</v>
      </c>
      <c r="T2809" t="e">
        <f>NA()</f>
        <v>#N/A</v>
      </c>
      <c r="U2809" t="e">
        <f>NA()</f>
        <v>#N/A</v>
      </c>
      <c r="V2809" t="e">
        <f>NA()</f>
        <v>#N/A</v>
      </c>
    </row>
    <row r="2810" spans="1:22" x14ac:dyDescent="0.2">
      <c r="A2810" s="1">
        <v>41173</v>
      </c>
      <c r="B2810">
        <f>2316.44</f>
        <v>2316.44</v>
      </c>
      <c r="C2810">
        <f>8911.02</f>
        <v>8911.02</v>
      </c>
      <c r="D2810">
        <f>4086.25</f>
        <v>4086.25</v>
      </c>
      <c r="E2810">
        <f>1902.388</f>
        <v>1902.3879999999999</v>
      </c>
      <c r="F2810">
        <f>1541.64</f>
        <v>1541.64</v>
      </c>
      <c r="G2810">
        <f>6773.152</f>
        <v>6773.152</v>
      </c>
      <c r="H2810">
        <f>1952.83</f>
        <v>1952.83</v>
      </c>
      <c r="I2810">
        <f>6474.976</f>
        <v>6474.9759999999997</v>
      </c>
      <c r="J2810">
        <f>1928.35</f>
        <v>1928.35</v>
      </c>
      <c r="K2810">
        <f>5300.39</f>
        <v>5300.39</v>
      </c>
      <c r="L2810">
        <f>1235.26</f>
        <v>1235.26</v>
      </c>
      <c r="M2810">
        <f>4714.11</f>
        <v>4714.1099999999997</v>
      </c>
      <c r="N2810">
        <f>208.545</f>
        <v>208.54499999999999</v>
      </c>
      <c r="O2810">
        <f>1764.54</f>
        <v>1764.54</v>
      </c>
      <c r="P2810">
        <f>90.74</f>
        <v>90.74</v>
      </c>
      <c r="Q2810">
        <f>1159.19</f>
        <v>1159.19</v>
      </c>
      <c r="R2810">
        <f>2546.92</f>
        <v>2546.92</v>
      </c>
      <c r="S2810">
        <f>983.94</f>
        <v>983.94</v>
      </c>
      <c r="T2810">
        <f>2163.414</f>
        <v>2163.4140000000002</v>
      </c>
      <c r="U2810">
        <f>36206.33</f>
        <v>36206.33</v>
      </c>
      <c r="V2810">
        <f>268.01</f>
        <v>268.01</v>
      </c>
    </row>
    <row r="2811" spans="1:22" x14ac:dyDescent="0.2">
      <c r="A2811" s="1">
        <v>41172</v>
      </c>
      <c r="B2811">
        <f>2306.05</f>
        <v>2306.0500000000002</v>
      </c>
      <c r="C2811">
        <f>8861.48</f>
        <v>8861.48</v>
      </c>
      <c r="D2811">
        <f>4087.66</f>
        <v>4087.66</v>
      </c>
      <c r="E2811">
        <f>1886.502</f>
        <v>1886.502</v>
      </c>
      <c r="F2811">
        <f>1531.7</f>
        <v>1531.7</v>
      </c>
      <c r="G2811">
        <f>6753.224</f>
        <v>6753.2240000000002</v>
      </c>
      <c r="H2811">
        <f>1948.65</f>
        <v>1948.65</v>
      </c>
      <c r="I2811">
        <f>6410.978</f>
        <v>6410.9780000000001</v>
      </c>
      <c r="J2811">
        <f>1929.4</f>
        <v>1929.4</v>
      </c>
      <c r="K2811">
        <f>5300.18</f>
        <v>5300.18</v>
      </c>
      <c r="L2811">
        <f>1229.04</f>
        <v>1229.04</v>
      </c>
      <c r="M2811">
        <f>4701.51</f>
        <v>4701.51</v>
      </c>
      <c r="N2811">
        <f>207.498</f>
        <v>207.49799999999999</v>
      </c>
      <c r="O2811">
        <f>1757.13</f>
        <v>1757.13</v>
      </c>
      <c r="P2811">
        <f>89.93</f>
        <v>89.93</v>
      </c>
      <c r="Q2811">
        <f>1161.29</f>
        <v>1161.29</v>
      </c>
      <c r="R2811">
        <f>2547.11</f>
        <v>2547.11</v>
      </c>
      <c r="S2811">
        <f>980.59</f>
        <v>980.59</v>
      </c>
      <c r="T2811">
        <f>2157.345</f>
        <v>2157.3449999999998</v>
      </c>
      <c r="U2811">
        <f>36359.98</f>
        <v>36359.980000000003</v>
      </c>
      <c r="V2811">
        <f>269.05</f>
        <v>269.05</v>
      </c>
    </row>
    <row r="2812" spans="1:22" x14ac:dyDescent="0.2">
      <c r="A2812" s="1">
        <v>41171</v>
      </c>
      <c r="B2812">
        <f>2315.48</f>
        <v>2315.48</v>
      </c>
      <c r="C2812">
        <f>8955.99</f>
        <v>8955.99</v>
      </c>
      <c r="D2812">
        <f>4111.29</f>
        <v>4111.29</v>
      </c>
      <c r="E2812">
        <f>1907.43</f>
        <v>1907.43</v>
      </c>
      <c r="F2812">
        <f>1543.4</f>
        <v>1543.4</v>
      </c>
      <c r="G2812">
        <f>6803.492</f>
        <v>6803.4920000000002</v>
      </c>
      <c r="H2812">
        <f>1963.86</f>
        <v>1963.86</v>
      </c>
      <c r="I2812">
        <f>6482.994</f>
        <v>6482.9939999999997</v>
      </c>
      <c r="J2812">
        <f>1921.49</f>
        <v>1921.49</v>
      </c>
      <c r="K2812">
        <f>5304.16</f>
        <v>5304.16</v>
      </c>
      <c r="L2812">
        <f>1233.03</f>
        <v>1233.03</v>
      </c>
      <c r="M2812">
        <f>4725.86</f>
        <v>4725.8599999999997</v>
      </c>
      <c r="N2812">
        <f>206.24</f>
        <v>206.24</v>
      </c>
      <c r="O2812">
        <f>1759.7</f>
        <v>1759.7</v>
      </c>
      <c r="P2812">
        <f>90.34</f>
        <v>90.34</v>
      </c>
      <c r="Q2812">
        <f>1159.11</f>
        <v>1159.1099999999999</v>
      </c>
      <c r="R2812">
        <f>2548.11</f>
        <v>2548.11</v>
      </c>
      <c r="S2812">
        <f>994.89</f>
        <v>994.89</v>
      </c>
      <c r="T2812">
        <f>2142.834</f>
        <v>2142.8339999999998</v>
      </c>
      <c r="U2812">
        <f>36463.14</f>
        <v>36463.14</v>
      </c>
      <c r="V2812">
        <f>271.12</f>
        <v>271.12</v>
      </c>
    </row>
    <row r="2813" spans="1:22" x14ac:dyDescent="0.2">
      <c r="A2813" s="1">
        <v>41170</v>
      </c>
      <c r="B2813">
        <f>2308.68</f>
        <v>2308.6799999999998</v>
      </c>
      <c r="C2813">
        <f>8923.98</f>
        <v>8923.98</v>
      </c>
      <c r="D2813">
        <f>4096.07</f>
        <v>4096.07</v>
      </c>
      <c r="E2813">
        <f>1902.527</f>
        <v>1902.527</v>
      </c>
      <c r="F2813">
        <f>1542.02</f>
        <v>1542.02</v>
      </c>
      <c r="G2813">
        <f>6791.262</f>
        <v>6791.2619999999997</v>
      </c>
      <c r="H2813">
        <f>1949.28</f>
        <v>1949.28</v>
      </c>
      <c r="I2813">
        <f>6445.629</f>
        <v>6445.6289999999999</v>
      </c>
      <c r="J2813">
        <f>1921.48</f>
        <v>1921.48</v>
      </c>
      <c r="K2813">
        <f>5297.4</f>
        <v>5297.4</v>
      </c>
      <c r="L2813">
        <f>1228.64</f>
        <v>1228.6400000000001</v>
      </c>
      <c r="M2813">
        <f>4710.29</f>
        <v>4710.29</v>
      </c>
      <c r="N2813">
        <f>205.872</f>
        <v>205.87200000000001</v>
      </c>
      <c r="O2813">
        <f>1752.85</f>
        <v>1752.85</v>
      </c>
      <c r="P2813">
        <f>90.25</f>
        <v>90.25</v>
      </c>
      <c r="Q2813">
        <f>1157.11</f>
        <v>1157.1099999999999</v>
      </c>
      <c r="R2813">
        <f>2545.05</f>
        <v>2545.0500000000002</v>
      </c>
      <c r="S2813">
        <f>986.51</f>
        <v>986.51</v>
      </c>
      <c r="T2813">
        <f>2141.7</f>
        <v>2141.6999999999998</v>
      </c>
      <c r="U2813">
        <f>36445.75</f>
        <v>36445.75</v>
      </c>
      <c r="V2813">
        <f>271.12</f>
        <v>271.12</v>
      </c>
    </row>
    <row r="2814" spans="1:22" x14ac:dyDescent="0.2">
      <c r="A2814" s="1">
        <v>41169</v>
      </c>
      <c r="B2814">
        <f>2332.58</f>
        <v>2332.58</v>
      </c>
      <c r="C2814">
        <f>8955.73</f>
        <v>8955.73</v>
      </c>
      <c r="D2814">
        <f>4113.78</f>
        <v>4113.78</v>
      </c>
      <c r="E2814">
        <f>1913.446</f>
        <v>1913.4459999999999</v>
      </c>
      <c r="F2814">
        <f>1537.95</f>
        <v>1537.95</v>
      </c>
      <c r="G2814">
        <f>6828.024</f>
        <v>6828.0240000000003</v>
      </c>
      <c r="H2814">
        <f>1938.15</f>
        <v>1938.15</v>
      </c>
      <c r="I2814">
        <f>6531.475</f>
        <v>6531.4750000000004</v>
      </c>
      <c r="J2814">
        <f>1921.25</f>
        <v>1921.25</v>
      </c>
      <c r="K2814">
        <f>5304.69</f>
        <v>5304.69</v>
      </c>
      <c r="L2814">
        <f>1232.03</f>
        <v>1232.03</v>
      </c>
      <c r="M2814">
        <f>4728.33</f>
        <v>4728.33</v>
      </c>
      <c r="N2814">
        <f>205.009</f>
        <v>205.00899999999999</v>
      </c>
      <c r="O2814">
        <f>1760.79</f>
        <v>1760.79</v>
      </c>
      <c r="P2814" t="e">
        <f>NA()</f>
        <v>#N/A</v>
      </c>
      <c r="Q2814">
        <f>1158.12</f>
        <v>1158.1199999999999</v>
      </c>
      <c r="R2814">
        <f>2548.26</f>
        <v>2548.2600000000002</v>
      </c>
      <c r="S2814" t="e">
        <f>NA()</f>
        <v>#N/A</v>
      </c>
      <c r="T2814">
        <f>2128.698</f>
        <v>2128.6979999999999</v>
      </c>
      <c r="U2814">
        <f>36362.58</f>
        <v>36362.58</v>
      </c>
      <c r="V2814">
        <f>269.71</f>
        <v>269.70999999999998</v>
      </c>
    </row>
    <row r="2815" spans="1:22" x14ac:dyDescent="0.2">
      <c r="A2815" s="1">
        <v>41166</v>
      </c>
      <c r="B2815">
        <f>2345.1</f>
        <v>2345.1</v>
      </c>
      <c r="C2815">
        <f>8964.06</f>
        <v>8964.06</v>
      </c>
      <c r="D2815">
        <f>4129.15</f>
        <v>4129.1499999999996</v>
      </c>
      <c r="E2815">
        <f>1915.903</f>
        <v>1915.903</v>
      </c>
      <c r="F2815">
        <f>1543.95</f>
        <v>1543.95</v>
      </c>
      <c r="G2815">
        <f>6843.177</f>
        <v>6843.1769999999997</v>
      </c>
      <c r="H2815">
        <f>1950.27</f>
        <v>1950.27</v>
      </c>
      <c r="I2815">
        <f>6564.681</f>
        <v>6564.6809999999996</v>
      </c>
      <c r="J2815">
        <f>1922.62</f>
        <v>1922.62</v>
      </c>
      <c r="K2815">
        <f>5323.05</f>
        <v>5323.05</v>
      </c>
      <c r="L2815">
        <f>1234.52</f>
        <v>1234.52</v>
      </c>
      <c r="M2815">
        <f>4746.79</f>
        <v>4746.79</v>
      </c>
      <c r="N2815">
        <f>205.156</f>
        <v>205.15600000000001</v>
      </c>
      <c r="O2815">
        <f>1766.59</f>
        <v>1766.59</v>
      </c>
      <c r="P2815">
        <f>90.14</f>
        <v>90.14</v>
      </c>
      <c r="Q2815">
        <f>1161.12</f>
        <v>1161.1199999999999</v>
      </c>
      <c r="R2815">
        <f>2556.13</f>
        <v>2556.13</v>
      </c>
      <c r="S2815">
        <f>984.57</f>
        <v>984.57</v>
      </c>
      <c r="T2815">
        <f>2131.35</f>
        <v>2131.35</v>
      </c>
      <c r="U2815">
        <f>36550.08</f>
        <v>36550.080000000002</v>
      </c>
      <c r="V2815">
        <f>268.91</f>
        <v>268.91000000000003</v>
      </c>
    </row>
    <row r="2816" spans="1:22" x14ac:dyDescent="0.2">
      <c r="A2816" s="1">
        <v>41165</v>
      </c>
      <c r="B2816">
        <f>2307.02</f>
        <v>2307.02</v>
      </c>
      <c r="C2816">
        <f>8713.24</f>
        <v>8713.24</v>
      </c>
      <c r="D2816">
        <f>4062.4</f>
        <v>4062.4</v>
      </c>
      <c r="E2816">
        <f>1855.21</f>
        <v>1855.21</v>
      </c>
      <c r="F2816">
        <f>1531.4</f>
        <v>1531.4</v>
      </c>
      <c r="G2816">
        <f>6676.717</f>
        <v>6676.7169999999996</v>
      </c>
      <c r="H2816">
        <f>1928.61</f>
        <v>1928.61</v>
      </c>
      <c r="I2816">
        <f>6342.892</f>
        <v>6342.8919999999998</v>
      </c>
      <c r="J2816">
        <f>1925.12</f>
        <v>1925.12</v>
      </c>
      <c r="K2816">
        <f>5300.02</f>
        <v>5300.02</v>
      </c>
      <c r="L2816">
        <f>1221.99</f>
        <v>1221.99</v>
      </c>
      <c r="M2816">
        <f>4682.91</f>
        <v>4682.91</v>
      </c>
      <c r="N2816">
        <f>205.276</f>
        <v>205.27600000000001</v>
      </c>
      <c r="O2816">
        <f>1744.58</f>
        <v>1744.58</v>
      </c>
      <c r="P2816">
        <f>89.71</f>
        <v>89.71</v>
      </c>
      <c r="Q2816">
        <f>1158.71</f>
        <v>1158.71</v>
      </c>
      <c r="R2816">
        <f>2546.03</f>
        <v>2546.0300000000002</v>
      </c>
      <c r="S2816">
        <f>968.12</f>
        <v>968.12</v>
      </c>
      <c r="T2816">
        <f>2143.365</f>
        <v>2143.3649999999998</v>
      </c>
      <c r="U2816">
        <f>35885.23</f>
        <v>35885.230000000003</v>
      </c>
      <c r="V2816">
        <f>265.93</f>
        <v>265.93</v>
      </c>
    </row>
    <row r="2817" spans="1:22" x14ac:dyDescent="0.2">
      <c r="A2817" s="1">
        <v>41164</v>
      </c>
      <c r="B2817">
        <f>2304.73</f>
        <v>2304.73</v>
      </c>
      <c r="C2817">
        <f>8678.6</f>
        <v>8678.6</v>
      </c>
      <c r="D2817">
        <f>4035.99</f>
        <v>4035.99</v>
      </c>
      <c r="E2817">
        <f>1848.522</f>
        <v>1848.5219999999999</v>
      </c>
      <c r="F2817">
        <f>1514.64</f>
        <v>1514.64</v>
      </c>
      <c r="G2817">
        <f>6626.835</f>
        <v>6626.835</v>
      </c>
      <c r="H2817">
        <f>1911.67</f>
        <v>1911.67</v>
      </c>
      <c r="I2817">
        <f>6370.085</f>
        <v>6370.085</v>
      </c>
      <c r="J2817">
        <f>1896.8</f>
        <v>1896.8</v>
      </c>
      <c r="K2817">
        <f>5216.08</f>
        <v>5216.08</v>
      </c>
      <c r="L2817">
        <f>1213.94</f>
        <v>1213.94</v>
      </c>
      <c r="M2817">
        <f>4637.57</f>
        <v>4637.57</v>
      </c>
      <c r="N2817">
        <f>205.044</f>
        <v>205.04400000000001</v>
      </c>
      <c r="O2817">
        <f>1747.45</f>
        <v>1747.45</v>
      </c>
      <c r="P2817">
        <f>89.45</f>
        <v>89.45</v>
      </c>
      <c r="Q2817">
        <f>1143.39</f>
        <v>1143.3900000000001</v>
      </c>
      <c r="R2817">
        <f>2504.84</f>
        <v>2504.84</v>
      </c>
      <c r="S2817">
        <f>964.99</f>
        <v>964.99</v>
      </c>
      <c r="T2817">
        <f>2118.128</f>
        <v>2118.1280000000002</v>
      </c>
      <c r="U2817">
        <f>35736.41</f>
        <v>35736.410000000003</v>
      </c>
      <c r="V2817">
        <f>265.13</f>
        <v>265.13</v>
      </c>
    </row>
    <row r="2818" spans="1:22" x14ac:dyDescent="0.2">
      <c r="A2818" s="1">
        <v>41163</v>
      </c>
      <c r="B2818">
        <f>2284.81</f>
        <v>2284.81</v>
      </c>
      <c r="C2818">
        <f>8663.87</f>
        <v>8663.8700000000008</v>
      </c>
      <c r="D2818">
        <f>4042.51</f>
        <v>4042.51</v>
      </c>
      <c r="E2818">
        <f>1838.185</f>
        <v>1838.1849999999999</v>
      </c>
      <c r="F2818">
        <f>1517.5</f>
        <v>1517.5</v>
      </c>
      <c r="G2818">
        <f>6622.895</f>
        <v>6622.8950000000004</v>
      </c>
      <c r="H2818">
        <f>1893.46</f>
        <v>1893.46</v>
      </c>
      <c r="I2818">
        <f>6330.043</f>
        <v>6330.0429999999997</v>
      </c>
      <c r="J2818">
        <f>1899.23</f>
        <v>1899.23</v>
      </c>
      <c r="K2818">
        <f>5203.47</f>
        <v>5203.47</v>
      </c>
      <c r="L2818">
        <f>1211.51</f>
        <v>1211.51</v>
      </c>
      <c r="M2818">
        <f>4619.06</f>
        <v>4619.0600000000004</v>
      </c>
      <c r="N2818">
        <f>204.987</f>
        <v>204.98699999999999</v>
      </c>
      <c r="O2818">
        <f>1745.56</f>
        <v>1745.56</v>
      </c>
      <c r="P2818">
        <f>88.2</f>
        <v>88.2</v>
      </c>
      <c r="Q2818">
        <f>1142.75</f>
        <v>1142.75</v>
      </c>
      <c r="R2818">
        <f>2498.95</f>
        <v>2498.9499999999998</v>
      </c>
      <c r="S2818">
        <f>952.55</f>
        <v>952.55</v>
      </c>
      <c r="T2818">
        <f>2108.724</f>
        <v>2108.7240000000002</v>
      </c>
      <c r="U2818">
        <f>35446.66</f>
        <v>35446.660000000003</v>
      </c>
      <c r="V2818">
        <f>263.06</f>
        <v>263.06</v>
      </c>
    </row>
    <row r="2819" spans="1:22" x14ac:dyDescent="0.2">
      <c r="A2819" s="1">
        <v>41162</v>
      </c>
      <c r="B2819">
        <f>2290.1</f>
        <v>2290.1</v>
      </c>
      <c r="C2819">
        <f>8624.4</f>
        <v>8624.4</v>
      </c>
      <c r="D2819">
        <f>4043.22</f>
        <v>4043.22</v>
      </c>
      <c r="E2819">
        <f>1832.239</f>
        <v>1832.239</v>
      </c>
      <c r="F2819">
        <f>1507.94</f>
        <v>1507.94</v>
      </c>
      <c r="G2819">
        <f>6603.071</f>
        <v>6603.0709999999999</v>
      </c>
      <c r="H2819">
        <f>1891.24</f>
        <v>1891.24</v>
      </c>
      <c r="I2819">
        <f>6262.074</f>
        <v>6262.0739999999996</v>
      </c>
      <c r="J2819">
        <f>1896.52</f>
        <v>1896.52</v>
      </c>
      <c r="K2819">
        <f>5187.78</f>
        <v>5187.78</v>
      </c>
      <c r="L2819">
        <f>1204.78</f>
        <v>1204.78</v>
      </c>
      <c r="M2819">
        <f>4599.93</f>
        <v>4599.93</v>
      </c>
      <c r="N2819">
        <f>204.96</f>
        <v>204.96</v>
      </c>
      <c r="O2819">
        <f>1739.52</f>
        <v>1739.52</v>
      </c>
      <c r="P2819">
        <f>88.5</f>
        <v>88.5</v>
      </c>
      <c r="Q2819">
        <f>1141.18</f>
        <v>1141.18</v>
      </c>
      <c r="R2819">
        <f>2491.11</f>
        <v>2491.11</v>
      </c>
      <c r="S2819">
        <f>959.15</f>
        <v>959.15</v>
      </c>
      <c r="T2819">
        <f>2103.228</f>
        <v>2103.2280000000001</v>
      </c>
      <c r="U2819">
        <f>35524.9</f>
        <v>35524.9</v>
      </c>
      <c r="V2819">
        <f>263.15</f>
        <v>263.14999999999998</v>
      </c>
    </row>
    <row r="2820" spans="1:22" x14ac:dyDescent="0.2">
      <c r="A2820" s="1">
        <v>41159</v>
      </c>
      <c r="B2820">
        <f>2286.86</f>
        <v>2286.86</v>
      </c>
      <c r="C2820">
        <f>8606.96</f>
        <v>8606.9599999999991</v>
      </c>
      <c r="D2820">
        <f>4044.34</f>
        <v>4044.34</v>
      </c>
      <c r="E2820">
        <f>1829.554</f>
        <v>1829.5540000000001</v>
      </c>
      <c r="F2820">
        <f>1516.78</f>
        <v>1516.78</v>
      </c>
      <c r="G2820">
        <f>6612.512</f>
        <v>6612.5119999999997</v>
      </c>
      <c r="H2820">
        <f>1885.3</f>
        <v>1885.3</v>
      </c>
      <c r="I2820">
        <f>6290.89</f>
        <v>6290.89</v>
      </c>
      <c r="J2820">
        <f>1903.2</f>
        <v>1903.2</v>
      </c>
      <c r="K2820">
        <f>5219.99</f>
        <v>5219.99</v>
      </c>
      <c r="L2820">
        <f>1207.24</f>
        <v>1207.24</v>
      </c>
      <c r="M2820">
        <f>4619.89</f>
        <v>4619.8900000000003</v>
      </c>
      <c r="N2820">
        <f>205.484</f>
        <v>205.48400000000001</v>
      </c>
      <c r="O2820">
        <f>1742.77</f>
        <v>1742.77</v>
      </c>
      <c r="P2820">
        <f>88.51</f>
        <v>88.51</v>
      </c>
      <c r="Q2820">
        <f>1142.91</f>
        <v>1142.9100000000001</v>
      </c>
      <c r="R2820">
        <f>2506.37</f>
        <v>2506.37</v>
      </c>
      <c r="S2820">
        <f>956.33</f>
        <v>956.33</v>
      </c>
      <c r="T2820">
        <f>2121.837</f>
        <v>2121.837</v>
      </c>
      <c r="U2820">
        <f>35744.25</f>
        <v>35744.25</v>
      </c>
      <c r="V2820">
        <f>263.85</f>
        <v>263.85000000000002</v>
      </c>
    </row>
    <row r="2821" spans="1:22" x14ac:dyDescent="0.2">
      <c r="A2821" s="1">
        <v>41158</v>
      </c>
      <c r="B2821">
        <f>2273.21</f>
        <v>2273.21</v>
      </c>
      <c r="C2821">
        <f>8460.67</f>
        <v>8460.67</v>
      </c>
      <c r="D2821">
        <f>4032.15</f>
        <v>4032.15</v>
      </c>
      <c r="E2821">
        <f>1794.821</f>
        <v>1794.8209999999999</v>
      </c>
      <c r="F2821">
        <f>1516.31</f>
        <v>1516.31</v>
      </c>
      <c r="G2821">
        <f>6553.172</f>
        <v>6553.1719999999996</v>
      </c>
      <c r="H2821">
        <f>1828.15</f>
        <v>1828.15</v>
      </c>
      <c r="I2821">
        <f>6173.903</f>
        <v>6173.9030000000002</v>
      </c>
      <c r="J2821">
        <f>1904.82</f>
        <v>1904.82</v>
      </c>
      <c r="K2821">
        <f>5197.56</f>
        <v>5197.5600000000004</v>
      </c>
      <c r="L2821">
        <f>1199.59</f>
        <v>1199.5899999999999</v>
      </c>
      <c r="M2821">
        <f>4568.52</f>
        <v>4568.5200000000004</v>
      </c>
      <c r="N2821">
        <f>207.567</f>
        <v>207.56700000000001</v>
      </c>
      <c r="O2821">
        <f>1739.3</f>
        <v>1739.3</v>
      </c>
      <c r="P2821">
        <f>87.66</f>
        <v>87.66</v>
      </c>
      <c r="Q2821">
        <f>1141.78</f>
        <v>1141.78</v>
      </c>
      <c r="R2821">
        <f>2496.12</f>
        <v>2496.12</v>
      </c>
      <c r="S2821">
        <f>935.28</f>
        <v>935.28</v>
      </c>
      <c r="T2821">
        <f>2147.598</f>
        <v>2147.598</v>
      </c>
      <c r="U2821">
        <f>35674.73</f>
        <v>35674.730000000003</v>
      </c>
      <c r="V2821">
        <f>263.85</f>
        <v>263.85000000000002</v>
      </c>
    </row>
    <row r="2822" spans="1:22" x14ac:dyDescent="0.2">
      <c r="A2822" s="1">
        <v>41157</v>
      </c>
      <c r="B2822">
        <f>2233.31</f>
        <v>2233.31</v>
      </c>
      <c r="C2822">
        <f>8355.43</f>
        <v>8355.43</v>
      </c>
      <c r="D2822">
        <f>3948.76</f>
        <v>3948.76</v>
      </c>
      <c r="E2822">
        <f>1773.146</f>
        <v>1773.146</v>
      </c>
      <c r="F2822">
        <f>1492.02</f>
        <v>1492.02</v>
      </c>
      <c r="G2822">
        <f>6408.156</f>
        <v>6408.1559999999999</v>
      </c>
      <c r="H2822">
        <f>1845.75</f>
        <v>1845.75</v>
      </c>
      <c r="I2822">
        <f>6007.144</f>
        <v>6007.1440000000002</v>
      </c>
      <c r="J2822">
        <f>1872.38</f>
        <v>1872.38</v>
      </c>
      <c r="K2822">
        <f>5093.26</f>
        <v>5093.26</v>
      </c>
      <c r="L2822">
        <f>1180.15</f>
        <v>1180.1500000000001</v>
      </c>
      <c r="M2822">
        <f>4482.26</f>
        <v>4482.26</v>
      </c>
      <c r="N2822">
        <f>204.731</f>
        <v>204.73099999999999</v>
      </c>
      <c r="O2822">
        <f>1698.23</f>
        <v>1698.23</v>
      </c>
      <c r="P2822">
        <f>88.09</f>
        <v>88.09</v>
      </c>
      <c r="Q2822">
        <f>1122.16</f>
        <v>1122.1600000000001</v>
      </c>
      <c r="R2822">
        <f>2445.81</f>
        <v>2445.81</v>
      </c>
      <c r="S2822">
        <f>934.1</f>
        <v>934.1</v>
      </c>
      <c r="T2822">
        <f>2134.393</f>
        <v>2134.393</v>
      </c>
      <c r="U2822">
        <f>35045.55</f>
        <v>35045.550000000003</v>
      </c>
      <c r="V2822">
        <f>260.7</f>
        <v>260.7</v>
      </c>
    </row>
    <row r="2823" spans="1:22" x14ac:dyDescent="0.2">
      <c r="A2823" s="1">
        <v>41156</v>
      </c>
      <c r="B2823">
        <f>2229.42</f>
        <v>2229.42</v>
      </c>
      <c r="C2823">
        <f>8411.41</f>
        <v>8411.41</v>
      </c>
      <c r="D2823">
        <f>3953.97</f>
        <v>3953.97</v>
      </c>
      <c r="E2823">
        <f>1787.528</f>
        <v>1787.528</v>
      </c>
      <c r="F2823">
        <f>1496.39</f>
        <v>1496.39</v>
      </c>
      <c r="G2823">
        <f>6404.835</f>
        <v>6404.835</v>
      </c>
      <c r="H2823">
        <f>1864.89</f>
        <v>1864.89</v>
      </c>
      <c r="I2823">
        <f>5973.654</f>
        <v>5973.6540000000005</v>
      </c>
      <c r="J2823">
        <f>1874.09</f>
        <v>1874.09</v>
      </c>
      <c r="K2823">
        <f>5097.19</f>
        <v>5097.1899999999996</v>
      </c>
      <c r="L2823">
        <f>1180.38</f>
        <v>1180.3800000000001</v>
      </c>
      <c r="M2823">
        <f>4486.15</f>
        <v>4486.1499999999996</v>
      </c>
      <c r="N2823">
        <f>204.837</f>
        <v>204.83699999999999</v>
      </c>
      <c r="O2823">
        <f>1697.75</f>
        <v>1697.75</v>
      </c>
      <c r="P2823">
        <f>88.59</f>
        <v>88.59</v>
      </c>
      <c r="Q2823">
        <f>1123.86</f>
        <v>1123.8599999999999</v>
      </c>
      <c r="R2823">
        <f>2447.8</f>
        <v>2447.8000000000002</v>
      </c>
      <c r="S2823">
        <f>945.28</f>
        <v>945.28</v>
      </c>
      <c r="T2823">
        <f>2152.132</f>
        <v>2152.1320000000001</v>
      </c>
      <c r="U2823">
        <f>35161.01</f>
        <v>35161.01</v>
      </c>
      <c r="V2823">
        <f>262.81</f>
        <v>262.81</v>
      </c>
    </row>
    <row r="2824" spans="1:22" x14ac:dyDescent="0.2">
      <c r="A2824" s="1">
        <v>41155</v>
      </c>
      <c r="B2824">
        <f>2249.47</f>
        <v>2249.4699999999998</v>
      </c>
      <c r="C2824">
        <f>8465.13</f>
        <v>8465.1299999999992</v>
      </c>
      <c r="D2824">
        <f>4014.19</f>
        <v>4014.19</v>
      </c>
      <c r="E2824">
        <f>1797.767</f>
        <v>1797.7670000000001</v>
      </c>
      <c r="F2824">
        <f>1521.94</f>
        <v>1521.94</v>
      </c>
      <c r="G2824">
        <f>6506.088</f>
        <v>6506.0879999999997</v>
      </c>
      <c r="H2824">
        <f>1868.85</f>
        <v>1868.85</v>
      </c>
      <c r="I2824">
        <f>6046.449</f>
        <v>6046.4489999999996</v>
      </c>
      <c r="J2824">
        <f>1877.06</f>
        <v>1877.06</v>
      </c>
      <c r="K2824">
        <f>5101.98</f>
        <v>5101.9799999999996</v>
      </c>
      <c r="L2824">
        <f>1187.53</f>
        <v>1187.53</v>
      </c>
      <c r="M2824">
        <f>4507.48</f>
        <v>4507.4799999999996</v>
      </c>
      <c r="N2824">
        <f>206.796</f>
        <v>206.79599999999999</v>
      </c>
      <c r="O2824">
        <f>1717.27</f>
        <v>1717.27</v>
      </c>
      <c r="P2824">
        <f>88.81</f>
        <v>88.81</v>
      </c>
      <c r="Q2824" t="e">
        <f>NA()</f>
        <v>#N/A</v>
      </c>
      <c r="R2824" t="e">
        <f>NA()</f>
        <v>#N/A</v>
      </c>
      <c r="S2824">
        <f>947.82</f>
        <v>947.82</v>
      </c>
      <c r="T2824">
        <f>2145.115</f>
        <v>2145.1149999999998</v>
      </c>
      <c r="U2824">
        <f>35485.1</f>
        <v>35485.1</v>
      </c>
      <c r="V2824">
        <f>263.69</f>
        <v>263.69</v>
      </c>
    </row>
    <row r="2825" spans="1:22" x14ac:dyDescent="0.2">
      <c r="A2825" s="1">
        <v>41152</v>
      </c>
      <c r="B2825">
        <f>2233.05</f>
        <v>2233.0500000000002</v>
      </c>
      <c r="C2825">
        <f>8423.38</f>
        <v>8423.3799999999992</v>
      </c>
      <c r="D2825">
        <f>3981.48</f>
        <v>3981.48</v>
      </c>
      <c r="E2825">
        <f>1787.124</f>
        <v>1787.124</v>
      </c>
      <c r="F2825">
        <f>1507.72</f>
        <v>1507.72</v>
      </c>
      <c r="G2825">
        <f>6448.75</f>
        <v>6448.75</v>
      </c>
      <c r="H2825">
        <f>1874.11</f>
        <v>1874.11</v>
      </c>
      <c r="I2825">
        <f>6012.175</f>
        <v>6012.1750000000002</v>
      </c>
      <c r="J2825">
        <f>1877.06</f>
        <v>1877.06</v>
      </c>
      <c r="K2825">
        <f>5101.98</f>
        <v>5101.9799999999996</v>
      </c>
      <c r="L2825">
        <f>1184.81</f>
        <v>1184.81</v>
      </c>
      <c r="M2825">
        <f>4501.5</f>
        <v>4501.5</v>
      </c>
      <c r="N2825">
        <f>205.271</f>
        <v>205.27099999999999</v>
      </c>
      <c r="O2825">
        <f>1704.11</f>
        <v>1704.11</v>
      </c>
      <c r="P2825">
        <f>89.17</f>
        <v>89.17</v>
      </c>
      <c r="Q2825">
        <f>1123.96</f>
        <v>1123.96</v>
      </c>
      <c r="R2825">
        <f>2450.6</f>
        <v>2450.6</v>
      </c>
      <c r="S2825">
        <f>951.73</f>
        <v>951.73</v>
      </c>
      <c r="T2825">
        <f>2133.268</f>
        <v>2133.268</v>
      </c>
      <c r="U2825">
        <f>35389.45</f>
        <v>35389.449999999997</v>
      </c>
      <c r="V2825">
        <f>260.87</f>
        <v>260.87</v>
      </c>
    </row>
    <row r="2826" spans="1:22" x14ac:dyDescent="0.2">
      <c r="A2826" s="1">
        <v>41151</v>
      </c>
      <c r="B2826">
        <f>2233.49</f>
        <v>2233.4899999999998</v>
      </c>
      <c r="C2826">
        <f>8380.65</f>
        <v>8380.65</v>
      </c>
      <c r="D2826">
        <f>3987.04</f>
        <v>3987.04</v>
      </c>
      <c r="E2826">
        <f>1781.564</f>
        <v>1781.5640000000001</v>
      </c>
      <c r="F2826">
        <f>1510.98</f>
        <v>1510.98</v>
      </c>
      <c r="G2826">
        <f>6430.919</f>
        <v>6430.9189999999999</v>
      </c>
      <c r="H2826">
        <f>1896.27</f>
        <v>1896.27</v>
      </c>
      <c r="I2826">
        <f>5904.497</f>
        <v>5904.4970000000003</v>
      </c>
      <c r="J2826">
        <f>1868.71</f>
        <v>1868.71</v>
      </c>
      <c r="K2826">
        <f>5076.01</f>
        <v>5076.01</v>
      </c>
      <c r="L2826">
        <f>1178.21</f>
        <v>1178.21</v>
      </c>
      <c r="M2826">
        <f>4476.15</f>
        <v>4476.1499999999996</v>
      </c>
      <c r="N2826">
        <f>204.943</f>
        <v>204.94300000000001</v>
      </c>
      <c r="O2826">
        <f>1695.64</f>
        <v>1695.64</v>
      </c>
      <c r="P2826">
        <f>90.19</f>
        <v>90.19</v>
      </c>
      <c r="Q2826">
        <f>1119.42</f>
        <v>1119.42</v>
      </c>
      <c r="R2826">
        <f>2438.2</f>
        <v>2438.1999999999998</v>
      </c>
      <c r="S2826">
        <f>967.53</f>
        <v>967.53</v>
      </c>
      <c r="T2826">
        <f>2130.279</f>
        <v>2130.279</v>
      </c>
      <c r="U2826">
        <f>35307.35</f>
        <v>35307.35</v>
      </c>
      <c r="V2826">
        <f>260.88</f>
        <v>260.88</v>
      </c>
    </row>
    <row r="2827" spans="1:22" x14ac:dyDescent="0.2">
      <c r="A2827" s="1">
        <v>41150</v>
      </c>
      <c r="B2827">
        <f>2236.92</f>
        <v>2236.92</v>
      </c>
      <c r="C2827">
        <f>8463.65</f>
        <v>8463.65</v>
      </c>
      <c r="D2827">
        <f>4003.82</f>
        <v>4003.82</v>
      </c>
      <c r="E2827">
        <f>1797.504</f>
        <v>1797.5039999999999</v>
      </c>
      <c r="F2827">
        <f>1511.57</f>
        <v>1511.57</v>
      </c>
      <c r="G2827">
        <f>6464.2</f>
        <v>6464.2</v>
      </c>
      <c r="H2827">
        <f>1904.69</f>
        <v>1904.69</v>
      </c>
      <c r="I2827">
        <f>5979.929</f>
        <v>5979.9290000000001</v>
      </c>
      <c r="J2827">
        <f>1879.72</f>
        <v>1879.72</v>
      </c>
      <c r="K2827">
        <f>5114.63</f>
        <v>5114.63</v>
      </c>
      <c r="L2827">
        <f>1186.96</f>
        <v>1186.96</v>
      </c>
      <c r="M2827">
        <f>4515.04</f>
        <v>4515.04</v>
      </c>
      <c r="N2827">
        <f>205.632</f>
        <v>205.63200000000001</v>
      </c>
      <c r="O2827">
        <f>1709.51</f>
        <v>1709.51</v>
      </c>
      <c r="P2827">
        <f>90.77</f>
        <v>90.77</v>
      </c>
      <c r="Q2827">
        <f>1124.15</f>
        <v>1124.1500000000001</v>
      </c>
      <c r="R2827">
        <f>2457.05</f>
        <v>2457.0500000000002</v>
      </c>
      <c r="S2827">
        <f>975.65</f>
        <v>975.65</v>
      </c>
      <c r="T2827">
        <f>2154.751</f>
        <v>2154.7510000000002</v>
      </c>
      <c r="U2827">
        <f>35737.18</f>
        <v>35737.18</v>
      </c>
      <c r="V2827">
        <f>263.84</f>
        <v>263.83999999999997</v>
      </c>
    </row>
    <row r="2828" spans="1:22" x14ac:dyDescent="0.2">
      <c r="A2828" s="1">
        <v>41149</v>
      </c>
      <c r="B2828">
        <f>2237.04</f>
        <v>2237.04</v>
      </c>
      <c r="C2828">
        <f>8507.54</f>
        <v>8507.5400000000009</v>
      </c>
      <c r="D2828">
        <f>4025.03</f>
        <v>4025.03</v>
      </c>
      <c r="E2828">
        <f>1804.665</f>
        <v>1804.665</v>
      </c>
      <c r="F2828">
        <f>1518.38</f>
        <v>1518.38</v>
      </c>
      <c r="G2828">
        <f>6497.739</f>
        <v>6497.7389999999996</v>
      </c>
      <c r="H2828">
        <f>1903.59</f>
        <v>1903.59</v>
      </c>
      <c r="I2828">
        <f>6005.032</f>
        <v>6005.0320000000002</v>
      </c>
      <c r="J2828">
        <f>1880.47</f>
        <v>1880.47</v>
      </c>
      <c r="K2828">
        <f>5109.05</f>
        <v>5109.05</v>
      </c>
      <c r="L2828">
        <f>1188.78</f>
        <v>1188.78</v>
      </c>
      <c r="M2828">
        <f>4517.7</f>
        <v>4517.7</v>
      </c>
      <c r="N2828">
        <f>205.204</f>
        <v>205.20400000000001</v>
      </c>
      <c r="O2828">
        <f>1712.23</f>
        <v>1712.23</v>
      </c>
      <c r="P2828">
        <f>90.48</f>
        <v>90.48</v>
      </c>
      <c r="Q2828">
        <f>1122.07</f>
        <v>1122.07</v>
      </c>
      <c r="R2828">
        <f>2454.39</f>
        <v>2454.39</v>
      </c>
      <c r="S2828">
        <f>970.46</f>
        <v>970.46</v>
      </c>
      <c r="T2828">
        <f>2140.234</f>
        <v>2140.2339999999999</v>
      </c>
      <c r="U2828">
        <f>35767.7</f>
        <v>35767.699999999997</v>
      </c>
      <c r="V2828">
        <f>265.64</f>
        <v>265.64</v>
      </c>
    </row>
    <row r="2829" spans="1:22" x14ac:dyDescent="0.2">
      <c r="A2829" s="1">
        <v>41148</v>
      </c>
      <c r="B2829">
        <f>2246.56</f>
        <v>2246.56</v>
      </c>
      <c r="C2829">
        <f>8548.74</f>
        <v>8548.74</v>
      </c>
      <c r="D2829">
        <f>4025.65</f>
        <v>4025.65</v>
      </c>
      <c r="E2829">
        <f>1812.141</f>
        <v>1812.1410000000001</v>
      </c>
      <c r="F2829">
        <f>1514.43</f>
        <v>1514.43</v>
      </c>
      <c r="G2829">
        <f>6489.205</f>
        <v>6489.2049999999999</v>
      </c>
      <c r="H2829">
        <f>1916.96</f>
        <v>1916.96</v>
      </c>
      <c r="I2829">
        <f>6037.174</f>
        <v>6037.174</v>
      </c>
      <c r="J2829">
        <f>1880.82</f>
        <v>1880.82</v>
      </c>
      <c r="K2829">
        <f>5111.89</f>
        <v>5111.8900000000003</v>
      </c>
      <c r="L2829">
        <f>1190.3</f>
        <v>1190.3</v>
      </c>
      <c r="M2829">
        <f>4525.49</f>
        <v>4525.49</v>
      </c>
      <c r="N2829">
        <f>206.166</f>
        <v>206.166</v>
      </c>
      <c r="O2829">
        <f>1724.49</f>
        <v>1724.49</v>
      </c>
      <c r="P2829">
        <f>91.07</f>
        <v>91.07</v>
      </c>
      <c r="Q2829">
        <f>1123.07</f>
        <v>1123.07</v>
      </c>
      <c r="R2829">
        <f>2456.22</f>
        <v>2456.2199999999998</v>
      </c>
      <c r="S2829">
        <f>982.26</f>
        <v>982.26</v>
      </c>
      <c r="T2829">
        <f>2143.878</f>
        <v>2143.8780000000002</v>
      </c>
      <c r="U2829">
        <f>35897.69</f>
        <v>35897.69</v>
      </c>
      <c r="V2829">
        <f>266.44</f>
        <v>266.44</v>
      </c>
    </row>
    <row r="2830" spans="1:22" x14ac:dyDescent="0.2">
      <c r="A2830" s="1">
        <v>41145</v>
      </c>
      <c r="B2830">
        <f>2246.56</f>
        <v>2246.56</v>
      </c>
      <c r="C2830">
        <f>8558.15</f>
        <v>8558.15</v>
      </c>
      <c r="D2830">
        <f>4025.65</f>
        <v>4025.65</v>
      </c>
      <c r="E2830">
        <f>1820.446</f>
        <v>1820.4459999999999</v>
      </c>
      <c r="F2830">
        <f>1515.92</f>
        <v>1515.92</v>
      </c>
      <c r="G2830">
        <f>6495.572</f>
        <v>6495.5720000000001</v>
      </c>
      <c r="H2830">
        <f>1923.18</f>
        <v>1923.18</v>
      </c>
      <c r="I2830">
        <f>5991.381</f>
        <v>5991.3810000000003</v>
      </c>
      <c r="J2830">
        <f>1881.97</f>
        <v>1881.97</v>
      </c>
      <c r="K2830">
        <f>5114.58</f>
        <v>5114.58</v>
      </c>
      <c r="L2830">
        <f>1188.71</f>
        <v>1188.71</v>
      </c>
      <c r="M2830">
        <f>4522.68</f>
        <v>4522.68</v>
      </c>
      <c r="N2830">
        <f>206.027</f>
        <v>206.02699999999999</v>
      </c>
      <c r="O2830">
        <f>1715.73</f>
        <v>1715.73</v>
      </c>
      <c r="P2830">
        <f>91.26</f>
        <v>91.26</v>
      </c>
      <c r="Q2830">
        <f>1125.23</f>
        <v>1125.23</v>
      </c>
      <c r="R2830">
        <f>2457.4</f>
        <v>2457.4</v>
      </c>
      <c r="S2830">
        <f>984.67</f>
        <v>984.67</v>
      </c>
      <c r="T2830">
        <f>2128.652</f>
        <v>2128.652</v>
      </c>
      <c r="U2830">
        <f>35794.12</f>
        <v>35794.120000000003</v>
      </c>
      <c r="V2830">
        <f>265.73</f>
        <v>265.73</v>
      </c>
    </row>
    <row r="2831" spans="1:22" x14ac:dyDescent="0.2">
      <c r="A2831" s="1">
        <v>41144</v>
      </c>
      <c r="B2831">
        <f>2239.38</f>
        <v>2239.38</v>
      </c>
      <c r="C2831">
        <f>8630.59</f>
        <v>8630.59</v>
      </c>
      <c r="D2831">
        <f>4025.65</f>
        <v>4025.65</v>
      </c>
      <c r="E2831">
        <f>1836.69</f>
        <v>1836.69</v>
      </c>
      <c r="F2831">
        <f>1518.44</f>
        <v>1518.44</v>
      </c>
      <c r="G2831">
        <f>6525.82</f>
        <v>6525.82</v>
      </c>
      <c r="H2831">
        <f>1947.61</f>
        <v>1947.61</v>
      </c>
      <c r="I2831">
        <f>6012.546</f>
        <v>6012.5460000000003</v>
      </c>
      <c r="J2831">
        <f>1868.71</f>
        <v>1868.71</v>
      </c>
      <c r="K2831">
        <f>5081.92</f>
        <v>5081.92</v>
      </c>
      <c r="L2831">
        <f>1187.02</f>
        <v>1187.02</v>
      </c>
      <c r="M2831">
        <f>4520.23</f>
        <v>4520.2299999999996</v>
      </c>
      <c r="N2831">
        <f>205.182</f>
        <v>205.18199999999999</v>
      </c>
      <c r="O2831">
        <f>1713.96</f>
        <v>1713.96</v>
      </c>
      <c r="P2831">
        <f>91.73</f>
        <v>91.73</v>
      </c>
      <c r="Q2831">
        <f>1117.86</f>
        <v>1117.8599999999999</v>
      </c>
      <c r="R2831">
        <f>2441.29</f>
        <v>2441.29</v>
      </c>
      <c r="S2831">
        <f>994.24</f>
        <v>994.24</v>
      </c>
      <c r="T2831">
        <f>2132.596</f>
        <v>2132.596</v>
      </c>
      <c r="U2831">
        <f>35843.92</f>
        <v>35843.919999999998</v>
      </c>
      <c r="V2831">
        <f>265.52</f>
        <v>265.52</v>
      </c>
    </row>
    <row r="2832" spans="1:22" x14ac:dyDescent="0.2">
      <c r="A2832" s="1">
        <v>41143</v>
      </c>
      <c r="B2832">
        <f>2254.14</f>
        <v>2254.14</v>
      </c>
      <c r="C2832">
        <f>8607.23</f>
        <v>8607.23</v>
      </c>
      <c r="D2832">
        <f>4023.98</f>
        <v>4023.98</v>
      </c>
      <c r="E2832">
        <f>1827.872</f>
        <v>1827.8720000000001</v>
      </c>
      <c r="F2832">
        <f>1509.1</f>
        <v>1509.1</v>
      </c>
      <c r="G2832">
        <f>6489.425</f>
        <v>6489.4250000000002</v>
      </c>
      <c r="H2832">
        <f>1922.77</f>
        <v>1922.77</v>
      </c>
      <c r="I2832">
        <f>5999.722</f>
        <v>5999.7219999999998</v>
      </c>
      <c r="J2832">
        <f>1881.47</f>
        <v>1881.47</v>
      </c>
      <c r="K2832">
        <f>5122.19</f>
        <v>5122.1899999999996</v>
      </c>
      <c r="L2832">
        <f>1186.56</f>
        <v>1186.56</v>
      </c>
      <c r="M2832">
        <f>4529.12</f>
        <v>4529.12</v>
      </c>
      <c r="N2832">
        <f>205.991</f>
        <v>205.99100000000001</v>
      </c>
      <c r="O2832">
        <f>1724</f>
        <v>1724</v>
      </c>
      <c r="P2832">
        <f>91.48</f>
        <v>91.48</v>
      </c>
      <c r="Q2832">
        <f>1124.22</f>
        <v>1124.22</v>
      </c>
      <c r="R2832">
        <f>2461.12</f>
        <v>2461.12</v>
      </c>
      <c r="S2832">
        <f>991.82</f>
        <v>991.82</v>
      </c>
      <c r="T2832">
        <f>2120.804</f>
        <v>2120.8040000000001</v>
      </c>
      <c r="U2832">
        <f>35616.71</f>
        <v>35616.71</v>
      </c>
      <c r="V2832">
        <f>264.06</f>
        <v>264.06</v>
      </c>
    </row>
    <row r="2833" spans="1:22" x14ac:dyDescent="0.2">
      <c r="A2833" s="1">
        <v>41142</v>
      </c>
      <c r="B2833">
        <f>2281.86</f>
        <v>2281.86</v>
      </c>
      <c r="C2833">
        <f>8663.45</f>
        <v>8663.4500000000007</v>
      </c>
      <c r="D2833">
        <f>4080.63</f>
        <v>4080.63</v>
      </c>
      <c r="E2833">
        <f>1838.994</f>
        <v>1838.9939999999999</v>
      </c>
      <c r="F2833">
        <f>1527.11</f>
        <v>1527.11</v>
      </c>
      <c r="G2833">
        <f>6573.33</f>
        <v>6573.33</v>
      </c>
      <c r="H2833">
        <f>1917.59</f>
        <v>1917.59</v>
      </c>
      <c r="I2833">
        <f>6080.559</f>
        <v>6080.5590000000002</v>
      </c>
      <c r="J2833">
        <f>1883.94</f>
        <v>1883.94</v>
      </c>
      <c r="K2833">
        <f>5120.71</f>
        <v>5120.71</v>
      </c>
      <c r="L2833">
        <f>1196.07</f>
        <v>1196.07</v>
      </c>
      <c r="M2833">
        <f>4548.42</f>
        <v>4548.42</v>
      </c>
      <c r="N2833">
        <f>208.263</f>
        <v>208.26300000000001</v>
      </c>
      <c r="O2833">
        <f>1746.11</f>
        <v>1746.11</v>
      </c>
      <c r="P2833">
        <f>91.57</f>
        <v>91.57</v>
      </c>
      <c r="Q2833">
        <f>1123.23</f>
        <v>1123.23</v>
      </c>
      <c r="R2833">
        <f>2460.41</f>
        <v>2460.41</v>
      </c>
      <c r="S2833">
        <f>995.12</f>
        <v>995.12</v>
      </c>
      <c r="T2833">
        <f>2128.811</f>
        <v>2128.8110000000001</v>
      </c>
      <c r="U2833">
        <f>35832.84</f>
        <v>35832.839999999997</v>
      </c>
      <c r="V2833">
        <f>265.05</f>
        <v>265.05</v>
      </c>
    </row>
    <row r="2834" spans="1:22" x14ac:dyDescent="0.2">
      <c r="A2834" s="1">
        <v>41141</v>
      </c>
      <c r="B2834">
        <f>2273.54</f>
        <v>2273.54</v>
      </c>
      <c r="C2834">
        <f>8608.32</f>
        <v>8608.32</v>
      </c>
      <c r="D2834">
        <f>4057.54</f>
        <v>4057.54</v>
      </c>
      <c r="E2834">
        <f>1827.029</f>
        <v>1827.029</v>
      </c>
      <c r="F2834">
        <f>1518.48</f>
        <v>1518.48</v>
      </c>
      <c r="G2834">
        <f>6503.766</f>
        <v>6503.7659999999996</v>
      </c>
      <c r="H2834">
        <f>1911.74</f>
        <v>1911.74</v>
      </c>
      <c r="I2834">
        <f>5976.999</f>
        <v>5976.9989999999998</v>
      </c>
      <c r="J2834">
        <f>1892.54</f>
        <v>1892.54</v>
      </c>
      <c r="K2834">
        <f>5138.07</f>
        <v>5138.07</v>
      </c>
      <c r="L2834">
        <f>1192.01</f>
        <v>1192.01</v>
      </c>
      <c r="M2834">
        <f>4535.14</f>
        <v>4535.1400000000003</v>
      </c>
      <c r="N2834">
        <f>208.036</f>
        <v>208.036</v>
      </c>
      <c r="O2834">
        <f>1738.92</f>
        <v>1738.92</v>
      </c>
      <c r="P2834">
        <f>91.21</f>
        <v>91.21</v>
      </c>
      <c r="Q2834">
        <f>1126.8</f>
        <v>1126.8</v>
      </c>
      <c r="R2834">
        <f>2468.99</f>
        <v>2468.9899999999998</v>
      </c>
      <c r="S2834">
        <f>994.33</f>
        <v>994.33</v>
      </c>
      <c r="T2834">
        <f>2106.083</f>
        <v>2106.0830000000001</v>
      </c>
      <c r="U2834">
        <f>35471.07</f>
        <v>35471.07</v>
      </c>
      <c r="V2834">
        <f>263.08</f>
        <v>263.08</v>
      </c>
    </row>
    <row r="2835" spans="1:22" x14ac:dyDescent="0.2">
      <c r="A2835" s="1">
        <v>41138</v>
      </c>
      <c r="B2835">
        <f>2287.09</f>
        <v>2287.09</v>
      </c>
      <c r="C2835">
        <f>8619.72</f>
        <v>8619.7199999999993</v>
      </c>
      <c r="D2835">
        <f>4077.08</f>
        <v>4077.08</v>
      </c>
      <c r="E2835">
        <f>1830.013</f>
        <v>1830.0129999999999</v>
      </c>
      <c r="F2835">
        <f>1517.9</f>
        <v>1517.9</v>
      </c>
      <c r="G2835">
        <f>6524.262</f>
        <v>6524.2619999999997</v>
      </c>
      <c r="H2835">
        <f>1913.07</f>
        <v>1913.07</v>
      </c>
      <c r="I2835">
        <f>5978.067</f>
        <v>5978.067</v>
      </c>
      <c r="J2835">
        <f>1894.61</f>
        <v>1894.61</v>
      </c>
      <c r="K2835">
        <f>5138.36</f>
        <v>5138.3599999999997</v>
      </c>
      <c r="L2835">
        <f>1191.6</f>
        <v>1191.5999999999999</v>
      </c>
      <c r="M2835">
        <f>4535.98</f>
        <v>4535.9799999999996</v>
      </c>
      <c r="N2835">
        <f>208.505</f>
        <v>208.505</v>
      </c>
      <c r="O2835">
        <f>1747.13</f>
        <v>1747.13</v>
      </c>
      <c r="P2835">
        <f>90.94</f>
        <v>90.94</v>
      </c>
      <c r="Q2835">
        <f>1130.85</f>
        <v>1130.8499999999999</v>
      </c>
      <c r="R2835">
        <f>2469</f>
        <v>2469</v>
      </c>
      <c r="S2835">
        <f>995.83</f>
        <v>995.83</v>
      </c>
      <c r="T2835">
        <f>2104.11</f>
        <v>2104.11</v>
      </c>
      <c r="U2835">
        <f>35547.33</f>
        <v>35547.33</v>
      </c>
      <c r="V2835">
        <f>263.28</f>
        <v>263.27999999999997</v>
      </c>
    </row>
    <row r="2836" spans="1:22" x14ac:dyDescent="0.2">
      <c r="A2836" s="1">
        <v>41137</v>
      </c>
      <c r="B2836">
        <f>2274.75</f>
        <v>2274.75</v>
      </c>
      <c r="C2836">
        <f>8680.36</f>
        <v>8680.36</v>
      </c>
      <c r="D2836">
        <f>4064.6</f>
        <v>4064.6</v>
      </c>
      <c r="E2836">
        <f>1838.953</f>
        <v>1838.953</v>
      </c>
      <c r="F2836">
        <f>1523.69</f>
        <v>1523.69</v>
      </c>
      <c r="G2836">
        <f>6531.906</f>
        <v>6531.9059999999999</v>
      </c>
      <c r="H2836">
        <f>1903.74</f>
        <v>1903.74</v>
      </c>
      <c r="I2836">
        <f>5971.064</f>
        <v>5971.0640000000003</v>
      </c>
      <c r="J2836">
        <f>1896.99</f>
        <v>1896.99</v>
      </c>
      <c r="K2836">
        <f>5128.65</f>
        <v>5128.6499999999996</v>
      </c>
      <c r="L2836">
        <f>1192.7</f>
        <v>1192.7</v>
      </c>
      <c r="M2836">
        <f>4526.68</f>
        <v>4526.68</v>
      </c>
      <c r="N2836">
        <f>207.78</f>
        <v>207.78</v>
      </c>
      <c r="O2836">
        <f>1737.56</f>
        <v>1737.56</v>
      </c>
      <c r="P2836">
        <f>90.83</f>
        <v>90.83</v>
      </c>
      <c r="Q2836">
        <f>1127.41</f>
        <v>1127.4100000000001</v>
      </c>
      <c r="R2836">
        <f>2464.38</f>
        <v>2464.38</v>
      </c>
      <c r="S2836">
        <f>987.13</f>
        <v>987.13</v>
      </c>
      <c r="T2836">
        <f>2136.646</f>
        <v>2136.6460000000002</v>
      </c>
      <c r="U2836">
        <f>35743.23</f>
        <v>35743.230000000003</v>
      </c>
      <c r="V2836">
        <f>265.12</f>
        <v>265.12</v>
      </c>
    </row>
    <row r="2837" spans="1:22" x14ac:dyDescent="0.2">
      <c r="A2837" s="1">
        <v>41136</v>
      </c>
      <c r="B2837">
        <f>2272.11</f>
        <v>2272.11</v>
      </c>
      <c r="C2837">
        <f>8680.91</f>
        <v>8680.91</v>
      </c>
      <c r="D2837">
        <f>4063.58</f>
        <v>4063.58</v>
      </c>
      <c r="E2837">
        <f>1835.792</f>
        <v>1835.7919999999999</v>
      </c>
      <c r="F2837">
        <f>1527.63</f>
        <v>1527.63</v>
      </c>
      <c r="G2837">
        <f>6511.747</f>
        <v>6511.7470000000003</v>
      </c>
      <c r="H2837">
        <f>1897.2</f>
        <v>1897.2</v>
      </c>
      <c r="I2837">
        <f>5892.143</f>
        <v>5892.143</v>
      </c>
      <c r="J2837">
        <f>1889.02</f>
        <v>1889.02</v>
      </c>
      <c r="K2837">
        <f>5091.67</f>
        <v>5091.67</v>
      </c>
      <c r="L2837">
        <f>1186.45</f>
        <v>1186.45</v>
      </c>
      <c r="M2837">
        <f>4488.47</f>
        <v>4488.47</v>
      </c>
      <c r="N2837">
        <f>207.557</f>
        <v>207.55699999999999</v>
      </c>
      <c r="O2837">
        <f>1731.24</f>
        <v>1731.24</v>
      </c>
      <c r="P2837">
        <f>90.6</f>
        <v>90.6</v>
      </c>
      <c r="Q2837">
        <f>1120.74</f>
        <v>1120.74</v>
      </c>
      <c r="R2837">
        <f>2446.82</f>
        <v>2446.8200000000002</v>
      </c>
      <c r="S2837">
        <f>971.74</f>
        <v>971.74</v>
      </c>
      <c r="T2837">
        <f>2130.039</f>
        <v>2130.0390000000002</v>
      </c>
      <c r="U2837">
        <f>35543.93</f>
        <v>35543.93</v>
      </c>
      <c r="V2837">
        <f>263.74</f>
        <v>263.74</v>
      </c>
    </row>
    <row r="2838" spans="1:22" x14ac:dyDescent="0.2">
      <c r="A2838" s="1">
        <v>41135</v>
      </c>
      <c r="B2838">
        <f>2276.9</f>
        <v>2276.9</v>
      </c>
      <c r="C2838">
        <f>8717.5</f>
        <v>8717.5</v>
      </c>
      <c r="D2838">
        <f>4077.51</f>
        <v>4077.51</v>
      </c>
      <c r="E2838">
        <f>1841.43</f>
        <v>1841.43</v>
      </c>
      <c r="F2838">
        <f>1530.26</f>
        <v>1530.26</v>
      </c>
      <c r="G2838">
        <f>6527.848</f>
        <v>6527.848</v>
      </c>
      <c r="H2838">
        <f>1905.85</f>
        <v>1905.85</v>
      </c>
      <c r="I2838">
        <f>5913.274</f>
        <v>5913.2740000000003</v>
      </c>
      <c r="J2838">
        <f>1889.49</f>
        <v>1889.49</v>
      </c>
      <c r="K2838">
        <f>5082.67</f>
        <v>5082.67</v>
      </c>
      <c r="L2838">
        <f>1188.5</f>
        <v>1188.5</v>
      </c>
      <c r="M2838">
        <f>4488.93</f>
        <v>4488.93</v>
      </c>
      <c r="N2838">
        <f>207.275</f>
        <v>207.27500000000001</v>
      </c>
      <c r="O2838">
        <f>1731.7</f>
        <v>1731.7</v>
      </c>
      <c r="P2838">
        <f>90.85</f>
        <v>90.85</v>
      </c>
      <c r="Q2838">
        <f>1118.12</f>
        <v>1118.1199999999999</v>
      </c>
      <c r="R2838">
        <f>2443.16</f>
        <v>2443.16</v>
      </c>
      <c r="S2838">
        <f>974.62</f>
        <v>974.62</v>
      </c>
      <c r="T2838">
        <f>2131.264</f>
        <v>2131.2640000000001</v>
      </c>
      <c r="U2838">
        <f>35564.34</f>
        <v>35564.339999999997</v>
      </c>
      <c r="V2838">
        <f>264.11</f>
        <v>264.11</v>
      </c>
    </row>
    <row r="2839" spans="1:22" x14ac:dyDescent="0.2">
      <c r="A2839" s="1">
        <v>41134</v>
      </c>
      <c r="B2839">
        <f>2253.37</f>
        <v>2253.37</v>
      </c>
      <c r="C2839">
        <f>8690.69</f>
        <v>8690.69</v>
      </c>
      <c r="D2839">
        <f>4054.64</f>
        <v>4054.64</v>
      </c>
      <c r="E2839">
        <f>1832.452</f>
        <v>1832.452</v>
      </c>
      <c r="F2839">
        <f>1525.15</f>
        <v>1525.15</v>
      </c>
      <c r="G2839">
        <f>6496.73</f>
        <v>6496.73</v>
      </c>
      <c r="H2839">
        <f>1916.93</f>
        <v>1916.93</v>
      </c>
      <c r="I2839">
        <f>5890.328</f>
        <v>5890.3280000000004</v>
      </c>
      <c r="J2839">
        <f>1886.83</f>
        <v>1886.83</v>
      </c>
      <c r="K2839">
        <f>5082.19</f>
        <v>5082.1899999999996</v>
      </c>
      <c r="L2839">
        <f>1185.19</f>
        <v>1185.19</v>
      </c>
      <c r="M2839">
        <f>4484.11</f>
        <v>4484.1099999999997</v>
      </c>
      <c r="N2839">
        <f>205.798</f>
        <v>205.798</v>
      </c>
      <c r="O2839">
        <f>1720.11</f>
        <v>1720.11</v>
      </c>
      <c r="P2839">
        <f>90</f>
        <v>90</v>
      </c>
      <c r="Q2839">
        <f>1118.31</f>
        <v>1118.31</v>
      </c>
      <c r="R2839">
        <f>2443.05</f>
        <v>2443.0500000000002</v>
      </c>
      <c r="S2839">
        <f>971.27</f>
        <v>971.27</v>
      </c>
      <c r="T2839">
        <f>2123.385</f>
        <v>2123.3850000000002</v>
      </c>
      <c r="U2839">
        <f>35417.94</f>
        <v>35417.94</v>
      </c>
      <c r="V2839">
        <f>262.49</f>
        <v>262.49</v>
      </c>
    </row>
    <row r="2840" spans="1:22" x14ac:dyDescent="0.2">
      <c r="A2840" s="1">
        <v>41131</v>
      </c>
      <c r="B2840">
        <f>2256.49</f>
        <v>2256.4899999999998</v>
      </c>
      <c r="C2840">
        <f>8734.84</f>
        <v>8734.84</v>
      </c>
      <c r="D2840">
        <f>4065.23</f>
        <v>4065.23</v>
      </c>
      <c r="E2840">
        <f>1844.836</f>
        <v>1844.836</v>
      </c>
      <c r="F2840">
        <f>1527.61</f>
        <v>1527.61</v>
      </c>
      <c r="G2840">
        <f>6507.834</f>
        <v>6507.8339999999998</v>
      </c>
      <c r="H2840">
        <f>1918.78</f>
        <v>1918.78</v>
      </c>
      <c r="I2840">
        <f>5895.611</f>
        <v>5895.6109999999999</v>
      </c>
      <c r="J2840">
        <f>1891.93</f>
        <v>1891.93</v>
      </c>
      <c r="K2840">
        <f>5088.39</f>
        <v>5088.3900000000003</v>
      </c>
      <c r="L2840">
        <f>1187.01</f>
        <v>1187.01</v>
      </c>
      <c r="M2840">
        <f>4490.81</f>
        <v>4490.8100000000004</v>
      </c>
      <c r="N2840">
        <f>206.711</f>
        <v>206.71100000000001</v>
      </c>
      <c r="O2840">
        <f>1727.74</f>
        <v>1727.74</v>
      </c>
      <c r="P2840">
        <f>89.86</f>
        <v>89.86</v>
      </c>
      <c r="Q2840">
        <f>1118.93</f>
        <v>1118.93</v>
      </c>
      <c r="R2840">
        <f>2445.64</f>
        <v>2445.64</v>
      </c>
      <c r="S2840">
        <f>971.06</f>
        <v>971.06</v>
      </c>
      <c r="T2840">
        <f>2135.428</f>
        <v>2135.4279999999999</v>
      </c>
      <c r="U2840">
        <f>35574.51</f>
        <v>35574.51</v>
      </c>
      <c r="V2840">
        <f>263.8</f>
        <v>263.8</v>
      </c>
    </row>
    <row r="2841" spans="1:22" x14ac:dyDescent="0.2">
      <c r="A2841" s="1">
        <v>41130</v>
      </c>
      <c r="B2841">
        <f>2254.93</f>
        <v>2254.9299999999998</v>
      </c>
      <c r="C2841">
        <f>8734.27</f>
        <v>8734.27</v>
      </c>
      <c r="D2841">
        <f>4068.29</f>
        <v>4068.29</v>
      </c>
      <c r="E2841">
        <f>1844.522</f>
        <v>1844.5219999999999</v>
      </c>
      <c r="F2841">
        <f>1523.99</f>
        <v>1523.99</v>
      </c>
      <c r="G2841">
        <f>6489.499</f>
        <v>6489.4989999999998</v>
      </c>
      <c r="H2841">
        <f>1923.93</f>
        <v>1923.93</v>
      </c>
      <c r="I2841">
        <f>5915.449</f>
        <v>5915.4489999999996</v>
      </c>
      <c r="J2841">
        <f>1885.01</f>
        <v>1885.01</v>
      </c>
      <c r="K2841">
        <f>5076.64</f>
        <v>5076.6400000000003</v>
      </c>
      <c r="L2841">
        <f>1185.99</f>
        <v>1185.99</v>
      </c>
      <c r="M2841">
        <f>4488.75</f>
        <v>4488.75</v>
      </c>
      <c r="N2841">
        <f>207.683</f>
        <v>207.68299999999999</v>
      </c>
      <c r="O2841">
        <f>1731.3</f>
        <v>1731.3</v>
      </c>
      <c r="P2841">
        <f>90.51</f>
        <v>90.51</v>
      </c>
      <c r="Q2841">
        <f>1116.84</f>
        <v>1116.8399999999999</v>
      </c>
      <c r="R2841">
        <f>2440.23</f>
        <v>2440.23</v>
      </c>
      <c r="S2841">
        <f>977.62</f>
        <v>977.62</v>
      </c>
      <c r="T2841" t="e">
        <f>NA()</f>
        <v>#N/A</v>
      </c>
      <c r="U2841" t="e">
        <f>NA()</f>
        <v>#N/A</v>
      </c>
      <c r="V2841" t="e">
        <f>NA()</f>
        <v>#N/A</v>
      </c>
    </row>
    <row r="2842" spans="1:22" x14ac:dyDescent="0.2">
      <c r="A2842" s="1">
        <v>41129</v>
      </c>
      <c r="B2842">
        <f>2250.82</f>
        <v>2250.8200000000002</v>
      </c>
      <c r="C2842">
        <f>8652.92</f>
        <v>8652.92</v>
      </c>
      <c r="D2842">
        <f>4064.4</f>
        <v>4064.4</v>
      </c>
      <c r="E2842">
        <f>1827.761</f>
        <v>1827.761</v>
      </c>
      <c r="F2842">
        <f>1526.99</f>
        <v>1526.99</v>
      </c>
      <c r="G2842">
        <f>6494.201</f>
        <v>6494.201</v>
      </c>
      <c r="H2842">
        <f>1913.79</f>
        <v>1913.79</v>
      </c>
      <c r="I2842">
        <f>5911.368</f>
        <v>5911.3680000000004</v>
      </c>
      <c r="J2842">
        <f>1884.81</f>
        <v>1884.81</v>
      </c>
      <c r="K2842">
        <f>5072.1</f>
        <v>5072.1000000000004</v>
      </c>
      <c r="L2842">
        <f>1185.93</f>
        <v>1185.93</v>
      </c>
      <c r="M2842">
        <f>4481.69</f>
        <v>4481.6899999999996</v>
      </c>
      <c r="N2842">
        <f>206.408</f>
        <v>206.40799999999999</v>
      </c>
      <c r="O2842">
        <f>1723.01</f>
        <v>1723.01</v>
      </c>
      <c r="P2842">
        <f>89.9</f>
        <v>89.9</v>
      </c>
      <c r="Q2842">
        <f>1119.61</f>
        <v>1119.6099999999999</v>
      </c>
      <c r="R2842">
        <f>2438.16</f>
        <v>2438.16</v>
      </c>
      <c r="S2842">
        <f>969.56</f>
        <v>969.56</v>
      </c>
      <c r="T2842">
        <f>2126.222</f>
        <v>2126.2220000000002</v>
      </c>
      <c r="U2842">
        <f>35494.64</f>
        <v>35494.639999999999</v>
      </c>
      <c r="V2842">
        <f>261.37</f>
        <v>261.37</v>
      </c>
    </row>
    <row r="2843" spans="1:22" x14ac:dyDescent="0.2">
      <c r="A2843" s="1">
        <v>41128</v>
      </c>
      <c r="B2843">
        <f>2252.04</f>
        <v>2252.04</v>
      </c>
      <c r="C2843">
        <f>8630.57</f>
        <v>8630.57</v>
      </c>
      <c r="D2843">
        <f>4043.95</f>
        <v>4043.95</v>
      </c>
      <c r="E2843">
        <f>1822.274</f>
        <v>1822.2739999999999</v>
      </c>
      <c r="F2843">
        <f>1524.65</f>
        <v>1524.65</v>
      </c>
      <c r="G2843">
        <f>6454.96</f>
        <v>6454.96</v>
      </c>
      <c r="H2843">
        <f>1908.22</f>
        <v>1908.22</v>
      </c>
      <c r="I2843">
        <f>5948.502</f>
        <v>5948.5020000000004</v>
      </c>
      <c r="J2843">
        <f>1880.93</f>
        <v>1880.93</v>
      </c>
      <c r="K2843">
        <f>5067.6</f>
        <v>5067.6000000000004</v>
      </c>
      <c r="L2843">
        <f>1186.72</f>
        <v>1186.72</v>
      </c>
      <c r="M2843">
        <f>4480</f>
        <v>4480</v>
      </c>
      <c r="N2843">
        <f>205.903</f>
        <v>205.90299999999999</v>
      </c>
      <c r="O2843">
        <f>1718.22</f>
        <v>1718.22</v>
      </c>
      <c r="P2843">
        <f>89.55</f>
        <v>89.55</v>
      </c>
      <c r="Q2843">
        <f>1117.25</f>
        <v>1117.25</v>
      </c>
      <c r="R2843">
        <f>2435.88</f>
        <v>2435.88</v>
      </c>
      <c r="S2843">
        <f>967.03</f>
        <v>967.03</v>
      </c>
      <c r="T2843">
        <f>2129.283</f>
        <v>2129.2829999999999</v>
      </c>
      <c r="U2843">
        <f>35487.26</f>
        <v>35487.26</v>
      </c>
      <c r="V2843">
        <f>262.21</f>
        <v>262.20999999999998</v>
      </c>
    </row>
    <row r="2844" spans="1:22" x14ac:dyDescent="0.2">
      <c r="A2844" s="1">
        <v>41127</v>
      </c>
      <c r="B2844">
        <f>2243.83</f>
        <v>2243.83</v>
      </c>
      <c r="C2844">
        <f>8626.64</f>
        <v>8626.64</v>
      </c>
      <c r="D2844">
        <f>4021.47</f>
        <v>4021.47</v>
      </c>
      <c r="E2844">
        <f>1821.323</f>
        <v>1821.3230000000001</v>
      </c>
      <c r="F2844">
        <f>1510.99</f>
        <v>1510.99</v>
      </c>
      <c r="G2844">
        <f>6410.796</f>
        <v>6410.7960000000003</v>
      </c>
      <c r="H2844">
        <f>1901.69</f>
        <v>1901.69</v>
      </c>
      <c r="I2844">
        <f>5897.991</f>
        <v>5897.991</v>
      </c>
      <c r="J2844">
        <f>1879.9</f>
        <v>1879.9</v>
      </c>
      <c r="K2844">
        <f>5040.63</f>
        <v>5040.63</v>
      </c>
      <c r="L2844">
        <f>1183.22</f>
        <v>1183.22</v>
      </c>
      <c r="M2844">
        <f>4449.93</f>
        <v>4449.93</v>
      </c>
      <c r="N2844">
        <f>204.902</f>
        <v>204.90199999999999</v>
      </c>
      <c r="O2844">
        <f>1703.84</f>
        <v>1703.84</v>
      </c>
      <c r="P2844">
        <f>88.93</f>
        <v>88.93</v>
      </c>
      <c r="Q2844">
        <f>1111.54</f>
        <v>1111.54</v>
      </c>
      <c r="R2844">
        <f>2423.46</f>
        <v>2423.46</v>
      </c>
      <c r="S2844">
        <f>956.67</f>
        <v>956.67</v>
      </c>
      <c r="T2844">
        <f>2137.367</f>
        <v>2137.3670000000002</v>
      </c>
      <c r="U2844">
        <f>35469.18</f>
        <v>35469.18</v>
      </c>
      <c r="V2844">
        <f>263.23</f>
        <v>263.23</v>
      </c>
    </row>
    <row r="2845" spans="1:22" x14ac:dyDescent="0.2">
      <c r="A2845" s="1">
        <v>41124</v>
      </c>
      <c r="B2845">
        <f>2230.91</f>
        <v>2230.91</v>
      </c>
      <c r="C2845">
        <f>8530.35</f>
        <v>8530.35</v>
      </c>
      <c r="D2845">
        <f>4006.59</f>
        <v>4006.59</v>
      </c>
      <c r="E2845">
        <f>1793.599</f>
        <v>1793.5989999999999</v>
      </c>
      <c r="F2845">
        <f>1510.32</f>
        <v>1510.32</v>
      </c>
      <c r="G2845">
        <f>6382.37</f>
        <v>6382.37</v>
      </c>
      <c r="H2845">
        <f>1869</f>
        <v>1869</v>
      </c>
      <c r="I2845">
        <f>5820.131</f>
        <v>5820.1310000000003</v>
      </c>
      <c r="J2845">
        <f>1878.47</f>
        <v>1878.47</v>
      </c>
      <c r="K2845">
        <f>5028.29</f>
        <v>5028.29</v>
      </c>
      <c r="L2845">
        <f>1176.9</f>
        <v>1176.9000000000001</v>
      </c>
      <c r="M2845">
        <f>4420.93</f>
        <v>4420.93</v>
      </c>
      <c r="N2845">
        <f>205.205</f>
        <v>205.20500000000001</v>
      </c>
      <c r="O2845">
        <f>1695.94</f>
        <v>1695.94</v>
      </c>
      <c r="P2845">
        <f>87.88</f>
        <v>87.88</v>
      </c>
      <c r="Q2845">
        <f>1112.62</f>
        <v>1112.6199999999999</v>
      </c>
      <c r="R2845">
        <f>2417.77</f>
        <v>2417.77</v>
      </c>
      <c r="S2845">
        <f>941.35</f>
        <v>941.35</v>
      </c>
      <c r="T2845">
        <f>2132.911</f>
        <v>2132.9110000000001</v>
      </c>
      <c r="U2845">
        <f>35244.22</f>
        <v>35244.22</v>
      </c>
      <c r="V2845">
        <f>263.79</f>
        <v>263.79000000000002</v>
      </c>
    </row>
    <row r="2846" spans="1:22" x14ac:dyDescent="0.2">
      <c r="A2846" s="1">
        <v>41123</v>
      </c>
      <c r="B2846">
        <f>2178.19</f>
        <v>2178.19</v>
      </c>
      <c r="C2846">
        <f>8421.97</f>
        <v>8421.9699999999993</v>
      </c>
      <c r="D2846">
        <f>3920.06</f>
        <v>3920.06</v>
      </c>
      <c r="E2846">
        <f>1778.669</f>
        <v>1778.6690000000001</v>
      </c>
      <c r="F2846">
        <f>1477.83</f>
        <v>1477.83</v>
      </c>
      <c r="G2846">
        <f>6209.497</f>
        <v>6209.4970000000003</v>
      </c>
      <c r="H2846">
        <f>1897.61</f>
        <v>1897.61</v>
      </c>
      <c r="I2846">
        <f>5562.591</f>
        <v>5562.5910000000003</v>
      </c>
      <c r="J2846">
        <f>1849.71</f>
        <v>1849.71</v>
      </c>
      <c r="K2846">
        <f>4934.02</f>
        <v>4934.0200000000004</v>
      </c>
      <c r="L2846">
        <f>1154.31</f>
        <v>1154.31</v>
      </c>
      <c r="M2846">
        <f>4333.99</f>
        <v>4333.99</v>
      </c>
      <c r="N2846">
        <f>203.077</f>
        <v>203.077</v>
      </c>
      <c r="O2846">
        <f>1655.4</f>
        <v>1655.4</v>
      </c>
      <c r="P2846">
        <f>88.94</f>
        <v>88.94</v>
      </c>
      <c r="Q2846">
        <f>1095.12</f>
        <v>1095.1199999999999</v>
      </c>
      <c r="R2846">
        <f>2372.31</f>
        <v>2372.31</v>
      </c>
      <c r="S2846">
        <f>953.1</f>
        <v>953.1</v>
      </c>
      <c r="T2846">
        <f>2107.958</f>
        <v>2107.9580000000001</v>
      </c>
      <c r="U2846">
        <f>35033.09</f>
        <v>35033.089999999997</v>
      </c>
      <c r="V2846">
        <f>260.27</f>
        <v>260.27</v>
      </c>
    </row>
    <row r="2847" spans="1:22" x14ac:dyDescent="0.2">
      <c r="A2847" s="1">
        <v>41122</v>
      </c>
      <c r="B2847">
        <f>2199.22</f>
        <v>2199.2199999999998</v>
      </c>
      <c r="C2847">
        <f>8496.81</f>
        <v>8496.81</v>
      </c>
      <c r="D2847">
        <f>3955.04</f>
        <v>3955.04</v>
      </c>
      <c r="E2847">
        <f>1795.95</f>
        <v>1795.95</v>
      </c>
      <c r="F2847">
        <f>1486.45</f>
        <v>1486.45</v>
      </c>
      <c r="G2847">
        <f>6293.259</f>
        <v>6293.259</v>
      </c>
      <c r="H2847">
        <f>1884.61</f>
        <v>1884.61</v>
      </c>
      <c r="I2847">
        <f>5727.775</f>
        <v>5727.7749999999996</v>
      </c>
      <c r="J2847">
        <f>1865.16</f>
        <v>1865.16</v>
      </c>
      <c r="K2847">
        <f>4970.12</f>
        <v>4970.12</v>
      </c>
      <c r="L2847">
        <f>1169.11</f>
        <v>1169.1099999999999</v>
      </c>
      <c r="M2847">
        <f>4379.9</f>
        <v>4379.8999999999996</v>
      </c>
      <c r="N2847">
        <f>204.162</f>
        <v>204.16200000000001</v>
      </c>
      <c r="O2847">
        <f>1676.47</f>
        <v>1676.47</v>
      </c>
      <c r="P2847">
        <f>88.98</f>
        <v>88.98</v>
      </c>
      <c r="Q2847">
        <f>1102.98</f>
        <v>1102.98</v>
      </c>
      <c r="R2847">
        <f>2389.73</f>
        <v>2389.73</v>
      </c>
      <c r="S2847">
        <f>948.93</f>
        <v>948.93</v>
      </c>
      <c r="T2847">
        <f>2099.624</f>
        <v>2099.6239999999998</v>
      </c>
      <c r="U2847">
        <f>35070.66</f>
        <v>35070.660000000003</v>
      </c>
      <c r="V2847">
        <f>260.61</f>
        <v>260.61</v>
      </c>
    </row>
    <row r="2848" spans="1:22" x14ac:dyDescent="0.2">
      <c r="A2848" s="1">
        <v>41121</v>
      </c>
      <c r="B2848">
        <f>2182.54</f>
        <v>2182.54</v>
      </c>
      <c r="C2848">
        <f>8474.9</f>
        <v>8474.9</v>
      </c>
      <c r="D2848">
        <f>3900.43</f>
        <v>3900.43</v>
      </c>
      <c r="E2848">
        <f>1792.304</f>
        <v>1792.3040000000001</v>
      </c>
      <c r="F2848">
        <f>1470.77</f>
        <v>1470.77</v>
      </c>
      <c r="G2848">
        <f>6237.719</f>
        <v>6237.7190000000001</v>
      </c>
      <c r="H2848">
        <f>1903.09</f>
        <v>1903.09</v>
      </c>
      <c r="I2848">
        <f>5725.526</f>
        <v>5725.5259999999998</v>
      </c>
      <c r="J2848">
        <f>1868.61</f>
        <v>1868.61</v>
      </c>
      <c r="K2848">
        <f>4984.98</f>
        <v>4984.9799999999996</v>
      </c>
      <c r="L2848">
        <f>1168.29</f>
        <v>1168.29</v>
      </c>
      <c r="M2848">
        <f>4388.04</f>
        <v>4388.04</v>
      </c>
      <c r="N2848">
        <f>202.838</f>
        <v>202.83799999999999</v>
      </c>
      <c r="O2848">
        <f>1668.74</f>
        <v>1668.74</v>
      </c>
      <c r="P2848">
        <f>89.14</f>
        <v>89.14</v>
      </c>
      <c r="Q2848">
        <f>1108.59</f>
        <v>1108.5899999999999</v>
      </c>
      <c r="R2848">
        <f>2396.62</f>
        <v>2396.62</v>
      </c>
      <c r="S2848">
        <f>957.42</f>
        <v>957.42</v>
      </c>
      <c r="T2848">
        <f>2082.23</f>
        <v>2082.23</v>
      </c>
      <c r="U2848">
        <f>34596.9</f>
        <v>34596.9</v>
      </c>
      <c r="V2848">
        <f>259.32</f>
        <v>259.32</v>
      </c>
    </row>
    <row r="2849" spans="1:22" x14ac:dyDescent="0.2">
      <c r="A2849" s="1">
        <v>41120</v>
      </c>
      <c r="B2849">
        <f>2207.25</f>
        <v>2207.25</v>
      </c>
      <c r="C2849">
        <f>8444.73</f>
        <v>8444.73</v>
      </c>
      <c r="D2849">
        <f>3940.81</f>
        <v>3940.81</v>
      </c>
      <c r="E2849">
        <f>1785.372</f>
        <v>1785.3720000000001</v>
      </c>
      <c r="F2849">
        <f>1475.6</f>
        <v>1475.6</v>
      </c>
      <c r="G2849">
        <f>6311.694</f>
        <v>6311.6940000000004</v>
      </c>
      <c r="H2849">
        <f>1901.41</f>
        <v>1901.41</v>
      </c>
      <c r="I2849">
        <f>5720.77</f>
        <v>5720.77</v>
      </c>
      <c r="J2849">
        <f>1874.26</f>
        <v>1874.26</v>
      </c>
      <c r="K2849">
        <f>5007.57</f>
        <v>5007.57</v>
      </c>
      <c r="L2849">
        <f>1166.93</f>
        <v>1166.93</v>
      </c>
      <c r="M2849">
        <f>4399.7</f>
        <v>4399.7</v>
      </c>
      <c r="N2849">
        <f>204.717</f>
        <v>204.71700000000001</v>
      </c>
      <c r="O2849">
        <f>1683.57</f>
        <v>1683.57</v>
      </c>
      <c r="P2849">
        <f>89.04</f>
        <v>89.04</v>
      </c>
      <c r="Q2849">
        <f>1115.51</f>
        <v>1115.51</v>
      </c>
      <c r="R2849">
        <f>2406.99</f>
        <v>2406.9899999999998</v>
      </c>
      <c r="S2849">
        <f>951.49</f>
        <v>951.49</v>
      </c>
      <c r="T2849">
        <f>2089.779</f>
        <v>2089.779</v>
      </c>
      <c r="U2849">
        <f>34958.59</f>
        <v>34958.589999999997</v>
      </c>
      <c r="V2849">
        <f>259.91</f>
        <v>259.91000000000003</v>
      </c>
    </row>
    <row r="2850" spans="1:22" x14ac:dyDescent="0.2">
      <c r="A2850" s="1">
        <v>41117</v>
      </c>
      <c r="B2850">
        <f>2186.12</f>
        <v>2186.12</v>
      </c>
      <c r="C2850">
        <f>8394.38</f>
        <v>8394.3799999999992</v>
      </c>
      <c r="D2850">
        <f>3894.84</f>
        <v>3894.84</v>
      </c>
      <c r="E2850">
        <f>1771.792</f>
        <v>1771.7919999999999</v>
      </c>
      <c r="F2850">
        <f>1461.98</f>
        <v>1461.98</v>
      </c>
      <c r="G2850">
        <f>6247.851</f>
        <v>6247.8509999999997</v>
      </c>
      <c r="H2850">
        <f>1866.9</f>
        <v>1866.9</v>
      </c>
      <c r="I2850">
        <f>5703.928</f>
        <v>5703.9279999999999</v>
      </c>
      <c r="J2850">
        <f>1872.15</f>
        <v>1872.15</v>
      </c>
      <c r="K2850">
        <f>5010.22</f>
        <v>5010.22</v>
      </c>
      <c r="L2850">
        <f>1161.43</f>
        <v>1161.43</v>
      </c>
      <c r="M2850">
        <f>4385.9</f>
        <v>4385.8999999999996</v>
      </c>
      <c r="N2850">
        <f>202.125</f>
        <v>202.125</v>
      </c>
      <c r="O2850">
        <f>1657.76</f>
        <v>1657.76</v>
      </c>
      <c r="P2850">
        <f>88.5</f>
        <v>88.5</v>
      </c>
      <c r="Q2850">
        <f>1113.51</f>
        <v>1113.51</v>
      </c>
      <c r="R2850">
        <f>2408.07</f>
        <v>2408.0700000000002</v>
      </c>
      <c r="S2850">
        <f>944.59</f>
        <v>944.59</v>
      </c>
      <c r="T2850">
        <f>2071.532</f>
        <v>2071.5320000000002</v>
      </c>
      <c r="U2850">
        <f>34671</f>
        <v>34671</v>
      </c>
      <c r="V2850">
        <f>257.22</f>
        <v>257.22000000000003</v>
      </c>
    </row>
    <row r="2851" spans="1:22" x14ac:dyDescent="0.2">
      <c r="A2851" s="1">
        <v>41116</v>
      </c>
      <c r="B2851">
        <f>2153.43</f>
        <v>2153.4299999999998</v>
      </c>
      <c r="C2851">
        <f>8170</f>
        <v>8170</v>
      </c>
      <c r="D2851">
        <f>3857.43</f>
        <v>3857.43</v>
      </c>
      <c r="E2851">
        <f>1724.049</f>
        <v>1724.049</v>
      </c>
      <c r="F2851">
        <f>1450.85</f>
        <v>1450.85</v>
      </c>
      <c r="G2851">
        <f>6181.829</f>
        <v>6181.8289999999997</v>
      </c>
      <c r="H2851">
        <f>1853.24</f>
        <v>1853.24</v>
      </c>
      <c r="I2851">
        <f>5576.578</f>
        <v>5576.5780000000004</v>
      </c>
      <c r="J2851">
        <f>1843.09</f>
        <v>1843.09</v>
      </c>
      <c r="K2851">
        <f>4915.52</f>
        <v>4915.5200000000004</v>
      </c>
      <c r="L2851">
        <f>1143.92</f>
        <v>1143.92</v>
      </c>
      <c r="M2851">
        <f>4307.81</f>
        <v>4307.8100000000004</v>
      </c>
      <c r="N2851">
        <f>200.561</f>
        <v>200.56100000000001</v>
      </c>
      <c r="O2851">
        <f>1636.13</f>
        <v>1636.13</v>
      </c>
      <c r="P2851">
        <f>87.92</f>
        <v>87.92</v>
      </c>
      <c r="Q2851">
        <f>1093.47</f>
        <v>1093.47</v>
      </c>
      <c r="R2851">
        <f>2362.85</f>
        <v>2362.85</v>
      </c>
      <c r="S2851">
        <f>929.54</f>
        <v>929.54</v>
      </c>
      <c r="T2851">
        <f>2049.122</f>
        <v>2049.1219999999998</v>
      </c>
      <c r="U2851">
        <f>34288.98</f>
        <v>34288.980000000003</v>
      </c>
      <c r="V2851">
        <f>254.45</f>
        <v>254.45</v>
      </c>
    </row>
    <row r="2852" spans="1:22" x14ac:dyDescent="0.2">
      <c r="A2852" s="1">
        <v>41115</v>
      </c>
      <c r="B2852">
        <f>2117.62</f>
        <v>2117.62</v>
      </c>
      <c r="C2852">
        <f>8077.61</f>
        <v>8077.61</v>
      </c>
      <c r="D2852">
        <f>3805.63</f>
        <v>3805.63</v>
      </c>
      <c r="E2852">
        <f>1703.425</f>
        <v>1703.425</v>
      </c>
      <c r="F2852">
        <f>1430.09</f>
        <v>1430.09</v>
      </c>
      <c r="G2852">
        <f>6010.465</f>
        <v>6010.4650000000001</v>
      </c>
      <c r="H2852">
        <f>1835.82</f>
        <v>1835.82</v>
      </c>
      <c r="I2852">
        <f>5336.639</f>
        <v>5336.6390000000001</v>
      </c>
      <c r="J2852">
        <f>1813.77</f>
        <v>1813.77</v>
      </c>
      <c r="K2852">
        <f>4835.66</f>
        <v>4835.66</v>
      </c>
      <c r="L2852">
        <f>1117.45</f>
        <v>1117.45</v>
      </c>
      <c r="M2852">
        <f>4216.23</f>
        <v>4216.2299999999996</v>
      </c>
      <c r="N2852">
        <f>197.462</f>
        <v>197.46199999999999</v>
      </c>
      <c r="O2852">
        <f>1596.76</f>
        <v>1596.76</v>
      </c>
      <c r="P2852">
        <f>87.89</f>
        <v>87.89</v>
      </c>
      <c r="Q2852">
        <f>1077.54</f>
        <v>1077.54</v>
      </c>
      <c r="R2852">
        <f>2324.33</f>
        <v>2324.33</v>
      </c>
      <c r="S2852">
        <f>918.55</f>
        <v>918.55</v>
      </c>
      <c r="T2852">
        <f>2051.345</f>
        <v>2051.3449999999998</v>
      </c>
      <c r="U2852">
        <f>34069.59</f>
        <v>34069.589999999997</v>
      </c>
      <c r="V2852">
        <f>255.38</f>
        <v>255.38</v>
      </c>
    </row>
    <row r="2853" spans="1:22" x14ac:dyDescent="0.2">
      <c r="A2853" s="1">
        <v>41114</v>
      </c>
      <c r="B2853">
        <f>2118.87</f>
        <v>2118.87</v>
      </c>
      <c r="C2853">
        <f>8081.13</f>
        <v>8081.13</v>
      </c>
      <c r="D2853">
        <f>3804.81</f>
        <v>3804.81</v>
      </c>
      <c r="E2853">
        <f>1710.345</f>
        <v>1710.345</v>
      </c>
      <c r="F2853">
        <f>1432.94</f>
        <v>1432.94</v>
      </c>
      <c r="G2853">
        <f>6029.882</f>
        <v>6029.8819999999996</v>
      </c>
      <c r="H2853">
        <f>1852.54</f>
        <v>1852.54</v>
      </c>
      <c r="I2853">
        <f>5303.981</f>
        <v>5303.9809999999998</v>
      </c>
      <c r="J2853">
        <f>1809.34</f>
        <v>1809.34</v>
      </c>
      <c r="K2853">
        <f>4836.43</f>
        <v>4836.43</v>
      </c>
      <c r="L2853">
        <f>1117.28</f>
        <v>1117.28</v>
      </c>
      <c r="M2853">
        <f>4219.96</f>
        <v>4219.96</v>
      </c>
      <c r="N2853">
        <f>198.377</f>
        <v>198.37700000000001</v>
      </c>
      <c r="O2853">
        <f>1598.88</f>
        <v>1598.88</v>
      </c>
      <c r="P2853">
        <f>88.49</f>
        <v>88.49</v>
      </c>
      <c r="Q2853">
        <f>1078.55</f>
        <v>1078.55</v>
      </c>
      <c r="R2853">
        <f>2325.02</f>
        <v>2325.02</v>
      </c>
      <c r="S2853">
        <f>933.13</f>
        <v>933.13</v>
      </c>
      <c r="T2853">
        <f>2027.506</f>
        <v>2027.5060000000001</v>
      </c>
      <c r="U2853">
        <f>33998.45</f>
        <v>33998.449999999997</v>
      </c>
      <c r="V2853">
        <f>254.7</f>
        <v>254.7</v>
      </c>
    </row>
    <row r="2854" spans="1:22" x14ac:dyDescent="0.2">
      <c r="A2854" s="1">
        <v>41113</v>
      </c>
      <c r="B2854">
        <f>2129.72</f>
        <v>2129.7199999999998</v>
      </c>
      <c r="C2854">
        <f>8118.15</f>
        <v>8118.15</v>
      </c>
      <c r="D2854">
        <f>3828.78</f>
        <v>3828.78</v>
      </c>
      <c r="E2854">
        <f>1715.963</f>
        <v>1715.963</v>
      </c>
      <c r="F2854">
        <f>1441.01</f>
        <v>1441.01</v>
      </c>
      <c r="G2854">
        <f>6060.88</f>
        <v>6060.88</v>
      </c>
      <c r="H2854">
        <f>1855.09</f>
        <v>1855.09</v>
      </c>
      <c r="I2854">
        <f>5351.337</f>
        <v>5351.3370000000004</v>
      </c>
      <c r="J2854">
        <f>1826.68</f>
        <v>1826.68</v>
      </c>
      <c r="K2854">
        <f>4880.94</f>
        <v>4880.9399999999996</v>
      </c>
      <c r="L2854">
        <f>1126.73</f>
        <v>1126.73</v>
      </c>
      <c r="M2854">
        <f>4251.94</f>
        <v>4251.9399999999996</v>
      </c>
      <c r="N2854">
        <f>198.838</f>
        <v>198.83799999999999</v>
      </c>
      <c r="O2854">
        <f>1605.93</f>
        <v>1605.93</v>
      </c>
      <c r="P2854">
        <f>88.64</f>
        <v>88.64</v>
      </c>
      <c r="Q2854">
        <f>1088.01</f>
        <v>1088.01</v>
      </c>
      <c r="R2854">
        <f>2346.22</f>
        <v>2346.2199999999998</v>
      </c>
      <c r="S2854">
        <f>936.98</f>
        <v>936.98</v>
      </c>
      <c r="T2854">
        <f>2022.713</f>
        <v>2022.713</v>
      </c>
      <c r="U2854">
        <f>33814.83</f>
        <v>33814.83</v>
      </c>
      <c r="V2854">
        <f>254.69</f>
        <v>254.69</v>
      </c>
    </row>
    <row r="2855" spans="1:22" x14ac:dyDescent="0.2">
      <c r="A2855" s="1">
        <v>41110</v>
      </c>
      <c r="B2855">
        <f>2175.51</f>
        <v>2175.5100000000002</v>
      </c>
      <c r="C2855">
        <f>8334.29</f>
        <v>8334.2900000000009</v>
      </c>
      <c r="D2855">
        <f>3910.35</f>
        <v>3910.35</v>
      </c>
      <c r="E2855">
        <f>1761.766</f>
        <v>1761.7660000000001</v>
      </c>
      <c r="F2855">
        <f>1470.99</f>
        <v>1470.99</v>
      </c>
      <c r="G2855">
        <f>6238.541</f>
        <v>6238.5410000000002</v>
      </c>
      <c r="H2855">
        <f>1883.29</f>
        <v>1883.29</v>
      </c>
      <c r="I2855">
        <f>5507.642</f>
        <v>5507.6419999999998</v>
      </c>
      <c r="J2855">
        <f>1844.1</f>
        <v>1844.1</v>
      </c>
      <c r="K2855">
        <f>4925.2</f>
        <v>4925.2</v>
      </c>
      <c r="L2855">
        <f>1145.9</f>
        <v>1145.9000000000001</v>
      </c>
      <c r="M2855">
        <f>4319.61</f>
        <v>4319.6099999999997</v>
      </c>
      <c r="N2855">
        <f>203.238</f>
        <v>203.238</v>
      </c>
      <c r="O2855">
        <f>1645.49</f>
        <v>1645.49</v>
      </c>
      <c r="P2855">
        <f>89.63</f>
        <v>89.63</v>
      </c>
      <c r="Q2855">
        <f>1097.51</f>
        <v>1097.51</v>
      </c>
      <c r="R2855">
        <f>2367.26</f>
        <v>2367.2600000000002</v>
      </c>
      <c r="S2855">
        <f>954.14</f>
        <v>954.14</v>
      </c>
      <c r="T2855">
        <f>2040.708</f>
        <v>2040.7080000000001</v>
      </c>
      <c r="U2855">
        <f>34225.42</f>
        <v>34225.42</v>
      </c>
      <c r="V2855">
        <f>258</f>
        <v>258</v>
      </c>
    </row>
    <row r="2856" spans="1:22" x14ac:dyDescent="0.2">
      <c r="A2856" s="1">
        <v>41109</v>
      </c>
      <c r="B2856">
        <f>2198.25</f>
        <v>2198.25</v>
      </c>
      <c r="C2856">
        <f>8372.76</f>
        <v>8372.76</v>
      </c>
      <c r="D2856">
        <f>3953.54</f>
        <v>3953.54</v>
      </c>
      <c r="E2856">
        <f>1769.701</f>
        <v>1769.701</v>
      </c>
      <c r="F2856">
        <f>1491.02</f>
        <v>1491.02</v>
      </c>
      <c r="G2856">
        <f>6338.22</f>
        <v>6338.22</v>
      </c>
      <c r="H2856">
        <f>1919.55</f>
        <v>1919.55</v>
      </c>
      <c r="I2856">
        <f>5647.912</f>
        <v>5647.9120000000003</v>
      </c>
      <c r="J2856">
        <f>1857.52</f>
        <v>1857.52</v>
      </c>
      <c r="K2856">
        <f>4975.34</f>
        <v>4975.34</v>
      </c>
      <c r="L2856">
        <f>1160.09</f>
        <v>1160.0899999999999</v>
      </c>
      <c r="M2856">
        <f>4377.31</f>
        <v>4377.3100000000004</v>
      </c>
      <c r="N2856">
        <f>205.094</f>
        <v>205.09399999999999</v>
      </c>
      <c r="O2856">
        <f>1670.33</f>
        <v>1670.33</v>
      </c>
      <c r="P2856">
        <f>90.86</f>
        <v>90.86</v>
      </c>
      <c r="Q2856">
        <f>1106.47</f>
        <v>1106.47</v>
      </c>
      <c r="R2856">
        <f>2391.27</f>
        <v>2391.27</v>
      </c>
      <c r="S2856">
        <f>971.44</f>
        <v>971.44</v>
      </c>
      <c r="T2856">
        <f>2038.862</f>
        <v>2038.8620000000001</v>
      </c>
      <c r="U2856">
        <f>34291.84</f>
        <v>34291.839999999997</v>
      </c>
      <c r="V2856">
        <f>258.63</f>
        <v>258.63</v>
      </c>
    </row>
    <row r="2857" spans="1:22" x14ac:dyDescent="0.2">
      <c r="A2857" s="1">
        <v>41108</v>
      </c>
      <c r="B2857">
        <f>2183.05</f>
        <v>2183.0500000000002</v>
      </c>
      <c r="C2857">
        <f>8280.52</f>
        <v>8280.52</v>
      </c>
      <c r="D2857">
        <f>3933.87</f>
        <v>3933.87</v>
      </c>
      <c r="E2857">
        <f>1750.265</f>
        <v>1750.2650000000001</v>
      </c>
      <c r="F2857">
        <f>1484.85</f>
        <v>1484.85</v>
      </c>
      <c r="G2857">
        <f>6270.577</f>
        <v>6270.5770000000002</v>
      </c>
      <c r="H2857">
        <f>1897.79</f>
        <v>1897.79</v>
      </c>
      <c r="I2857">
        <f>5590.341</f>
        <v>5590.3410000000003</v>
      </c>
      <c r="J2857">
        <f>1854.68</f>
        <v>1854.68</v>
      </c>
      <c r="K2857">
        <f>4960.8</f>
        <v>4960.8</v>
      </c>
      <c r="L2857">
        <f>1153.62</f>
        <v>1153.6199999999999</v>
      </c>
      <c r="M2857">
        <f>4346.38</f>
        <v>4346.38</v>
      </c>
      <c r="N2857">
        <f>203.016</f>
        <v>203.01599999999999</v>
      </c>
      <c r="O2857">
        <f>1652.68</f>
        <v>1652.68</v>
      </c>
      <c r="P2857">
        <f>90.51</f>
        <v>90.51</v>
      </c>
      <c r="Q2857">
        <f>1098.75</f>
        <v>1098.75</v>
      </c>
      <c r="R2857">
        <f>2384.54</f>
        <v>2384.54</v>
      </c>
      <c r="S2857">
        <f>962.77</f>
        <v>962.77</v>
      </c>
      <c r="T2857">
        <f>2025.774</f>
        <v>2025.7739999999999</v>
      </c>
      <c r="U2857">
        <f>34035.06</f>
        <v>34035.06</v>
      </c>
      <c r="V2857">
        <f>256.63</f>
        <v>256.63</v>
      </c>
    </row>
    <row r="2858" spans="1:22" x14ac:dyDescent="0.2">
      <c r="A2858" s="1">
        <v>41107</v>
      </c>
      <c r="B2858">
        <f>2156.64</f>
        <v>2156.64</v>
      </c>
      <c r="C2858">
        <f>8279.52</f>
        <v>8279.52</v>
      </c>
      <c r="D2858">
        <f>3893.8</f>
        <v>3893.8</v>
      </c>
      <c r="E2858">
        <f>1754.313</f>
        <v>1754.3130000000001</v>
      </c>
      <c r="F2858">
        <f>1465.38</f>
        <v>1465.38</v>
      </c>
      <c r="G2858">
        <f>6186.13</f>
        <v>6186.13</v>
      </c>
      <c r="H2858">
        <f>1898.37</f>
        <v>1898.37</v>
      </c>
      <c r="I2858">
        <f>5498.964</f>
        <v>5498.9639999999999</v>
      </c>
      <c r="J2858">
        <f>1842.14</f>
        <v>1842.14</v>
      </c>
      <c r="K2858">
        <f>4927.16</f>
        <v>4927.16</v>
      </c>
      <c r="L2858">
        <f>1143.29</f>
        <v>1143.29</v>
      </c>
      <c r="M2858">
        <f>4311.04</f>
        <v>4311.04</v>
      </c>
      <c r="N2858">
        <f>201.029</f>
        <v>201.029</v>
      </c>
      <c r="O2858">
        <f>1633.99</f>
        <v>1633.99</v>
      </c>
      <c r="P2858">
        <f>90.76</f>
        <v>90.76</v>
      </c>
      <c r="Q2858">
        <f>1089.31</f>
        <v>1089.31</v>
      </c>
      <c r="R2858">
        <f>2368.36</f>
        <v>2368.36</v>
      </c>
      <c r="S2858">
        <f>966.56</f>
        <v>966.56</v>
      </c>
      <c r="T2858">
        <f>2028.57</f>
        <v>2028.57</v>
      </c>
      <c r="U2858">
        <f>33706.57</f>
        <v>33706.57</v>
      </c>
      <c r="V2858">
        <f>255.07</f>
        <v>255.07</v>
      </c>
    </row>
    <row r="2859" spans="1:22" x14ac:dyDescent="0.2">
      <c r="A2859" s="1">
        <v>41106</v>
      </c>
      <c r="B2859">
        <f>2175.71</f>
        <v>2175.71</v>
      </c>
      <c r="C2859">
        <f>8213.89</f>
        <v>8213.89</v>
      </c>
      <c r="D2859">
        <f>3916.86</f>
        <v>3916.86</v>
      </c>
      <c r="E2859">
        <f>1741.588</f>
        <v>1741.588</v>
      </c>
      <c r="F2859">
        <f>1479.46</f>
        <v>1479.46</v>
      </c>
      <c r="G2859">
        <f>6242.149</f>
        <v>6242.1490000000003</v>
      </c>
      <c r="H2859">
        <f>1896.56</f>
        <v>1896.56</v>
      </c>
      <c r="I2859">
        <f>5511.313</f>
        <v>5511.3130000000001</v>
      </c>
      <c r="J2859">
        <f>1828</f>
        <v>1828</v>
      </c>
      <c r="K2859">
        <f>4890.85</f>
        <v>4890.8500000000004</v>
      </c>
      <c r="L2859">
        <f>1140.83</f>
        <v>1140.83</v>
      </c>
      <c r="M2859">
        <f>4297.82</f>
        <v>4297.82</v>
      </c>
      <c r="N2859">
        <f>201.195</f>
        <v>201.19499999999999</v>
      </c>
      <c r="O2859">
        <f>1637.38</f>
        <v>1637.38</v>
      </c>
      <c r="P2859" t="e">
        <f>NA()</f>
        <v>#N/A</v>
      </c>
      <c r="Q2859">
        <f>1083.06</f>
        <v>1083.06</v>
      </c>
      <c r="R2859">
        <f>2350.94</f>
        <v>2350.94</v>
      </c>
      <c r="S2859" t="e">
        <f>NA()</f>
        <v>#N/A</v>
      </c>
      <c r="T2859">
        <f>2019.626</f>
        <v>2019.626</v>
      </c>
      <c r="U2859">
        <f>33728.14</f>
        <v>33728.14</v>
      </c>
      <c r="V2859">
        <f>255.48</f>
        <v>255.48</v>
      </c>
    </row>
    <row r="2860" spans="1:22" x14ac:dyDescent="0.2">
      <c r="A2860" s="1">
        <v>41103</v>
      </c>
      <c r="B2860">
        <f>2160.35</f>
        <v>2160.35</v>
      </c>
      <c r="C2860">
        <f>8214.86</f>
        <v>8214.86</v>
      </c>
      <c r="D2860">
        <f>3919.42</f>
        <v>3919.42</v>
      </c>
      <c r="E2860">
        <f>1740.157</f>
        <v>1740.1569999999999</v>
      </c>
      <c r="F2860">
        <f>1469.25</f>
        <v>1469.25</v>
      </c>
      <c r="G2860">
        <f>6217.851</f>
        <v>6217.8509999999997</v>
      </c>
      <c r="H2860">
        <f>1885.3</f>
        <v>1885.3</v>
      </c>
      <c r="I2860">
        <f>5511.295</f>
        <v>5511.2950000000001</v>
      </c>
      <c r="J2860">
        <f>1830.88</f>
        <v>1830.88</v>
      </c>
      <c r="K2860">
        <f>4902.5</f>
        <v>4902.5</v>
      </c>
      <c r="L2860">
        <f>1138.49</f>
        <v>1138.49</v>
      </c>
      <c r="M2860">
        <f>4298.49</f>
        <v>4298.49</v>
      </c>
      <c r="N2860">
        <f>200.373</f>
        <v>200.37299999999999</v>
      </c>
      <c r="O2860">
        <f>1636.18</f>
        <v>1636.18</v>
      </c>
      <c r="P2860">
        <f>90.52</f>
        <v>90.52</v>
      </c>
      <c r="Q2860">
        <f>1089.77</f>
        <v>1089.77</v>
      </c>
      <c r="R2860">
        <f>2356.4</f>
        <v>2356.4</v>
      </c>
      <c r="S2860">
        <f>970.41</f>
        <v>970.41</v>
      </c>
      <c r="T2860">
        <f>2015.767</f>
        <v>2015.7670000000001</v>
      </c>
      <c r="U2860">
        <f>33792.75</f>
        <v>33792.75</v>
      </c>
      <c r="V2860">
        <f>255.36</f>
        <v>255.36</v>
      </c>
    </row>
    <row r="2861" spans="1:22" x14ac:dyDescent="0.2">
      <c r="A2861" s="1">
        <v>41102</v>
      </c>
      <c r="B2861">
        <f>2133.14</f>
        <v>2133.14</v>
      </c>
      <c r="C2861">
        <f>8118.22</f>
        <v>8118.22</v>
      </c>
      <c r="D2861">
        <f>3879.38</f>
        <v>3879.38</v>
      </c>
      <c r="E2861">
        <f>1717.437</f>
        <v>1717.4369999999999</v>
      </c>
      <c r="F2861">
        <f>1447.05</f>
        <v>1447.05</v>
      </c>
      <c r="G2861">
        <f>6097.201</f>
        <v>6097.201</v>
      </c>
      <c r="H2861">
        <f>1885.86</f>
        <v>1885.86</v>
      </c>
      <c r="I2861">
        <f>5416.14</f>
        <v>5416.14</v>
      </c>
      <c r="J2861">
        <f>1806.26</f>
        <v>1806.26</v>
      </c>
      <c r="K2861">
        <f>4823.7</f>
        <v>4823.7</v>
      </c>
      <c r="L2861">
        <f>1123.57</f>
        <v>1123.57</v>
      </c>
      <c r="M2861">
        <f>4234.73</f>
        <v>4234.7299999999996</v>
      </c>
      <c r="N2861">
        <f>197.826</f>
        <v>197.82599999999999</v>
      </c>
      <c r="O2861">
        <f>1614.06</f>
        <v>1614.06</v>
      </c>
      <c r="P2861">
        <f>90.63</f>
        <v>90.63</v>
      </c>
      <c r="Q2861">
        <f>1073.85</f>
        <v>1073.8499999999999</v>
      </c>
      <c r="R2861">
        <f>2318.09</f>
        <v>2318.09</v>
      </c>
      <c r="S2861">
        <f>971.9</f>
        <v>971.9</v>
      </c>
      <c r="T2861">
        <f>2007.344</f>
        <v>2007.3440000000001</v>
      </c>
      <c r="U2861">
        <f>33390.52</f>
        <v>33390.519999999997</v>
      </c>
      <c r="V2861">
        <f>253.81</f>
        <v>253.81</v>
      </c>
    </row>
    <row r="2862" spans="1:22" x14ac:dyDescent="0.2">
      <c r="A2862" s="1">
        <v>41101</v>
      </c>
      <c r="B2862">
        <f>2147.97</f>
        <v>2147.9699999999998</v>
      </c>
      <c r="C2862">
        <f>8263.93</f>
        <v>8263.93</v>
      </c>
      <c r="D2862">
        <f>3918.27</f>
        <v>3918.27</v>
      </c>
      <c r="E2862">
        <f>1751.05</f>
        <v>1751.05</v>
      </c>
      <c r="F2862">
        <f>1468.87</f>
        <v>1468.87</v>
      </c>
      <c r="G2862">
        <f>6220.645</f>
        <v>6220.6450000000004</v>
      </c>
      <c r="H2862">
        <f>1899.99</f>
        <v>1899.99</v>
      </c>
      <c r="I2862">
        <f>5489.729</f>
        <v>5489.7290000000003</v>
      </c>
      <c r="J2862">
        <f>1809.32</f>
        <v>1809.32</v>
      </c>
      <c r="K2862">
        <f>4847.36</f>
        <v>4847.3599999999997</v>
      </c>
      <c r="L2862">
        <f>1133.21</f>
        <v>1133.21</v>
      </c>
      <c r="M2862">
        <f>4274.45</f>
        <v>4274.45</v>
      </c>
      <c r="N2862">
        <f>199.633</f>
        <v>199.63300000000001</v>
      </c>
      <c r="O2862">
        <f>1630.07</f>
        <v>1630.07</v>
      </c>
      <c r="P2862">
        <f>90.87</f>
        <v>90.87</v>
      </c>
      <c r="Q2862">
        <f>1076.18</f>
        <v>1076.18</v>
      </c>
      <c r="R2862">
        <f>2329.71</f>
        <v>2329.71</v>
      </c>
      <c r="S2862">
        <f>984.65</f>
        <v>984.65</v>
      </c>
      <c r="T2862">
        <f>2015.083</f>
        <v>2015.0830000000001</v>
      </c>
      <c r="U2862">
        <f>33724.69</f>
        <v>33724.69</v>
      </c>
      <c r="V2862">
        <f>256.49</f>
        <v>256.49</v>
      </c>
    </row>
    <row r="2863" spans="1:22" x14ac:dyDescent="0.2">
      <c r="A2863" s="1">
        <v>41100</v>
      </c>
      <c r="B2863">
        <f>2159.01</f>
        <v>2159.0100000000002</v>
      </c>
      <c r="C2863">
        <f>8291.04</f>
        <v>8291.0400000000009</v>
      </c>
      <c r="D2863">
        <f>3917.99</f>
        <v>3917.99</v>
      </c>
      <c r="E2863">
        <f>1754.278</f>
        <v>1754.278</v>
      </c>
      <c r="F2863">
        <f>1455.36</f>
        <v>1455.36</v>
      </c>
      <c r="G2863">
        <f>6194.679</f>
        <v>6194.6790000000001</v>
      </c>
      <c r="H2863">
        <f>1905.02</f>
        <v>1905.02</v>
      </c>
      <c r="I2863">
        <f>5503.256</f>
        <v>5503.2560000000003</v>
      </c>
      <c r="J2863">
        <f>1810.07</f>
        <v>1810.07</v>
      </c>
      <c r="K2863">
        <f>4848.43</f>
        <v>4848.43</v>
      </c>
      <c r="L2863">
        <f>1131.14</f>
        <v>1131.1400000000001</v>
      </c>
      <c r="M2863">
        <f>4274.06</f>
        <v>4274.0600000000004</v>
      </c>
      <c r="N2863">
        <f>200.294</f>
        <v>200.29400000000001</v>
      </c>
      <c r="O2863">
        <f>1630.24</f>
        <v>1630.24</v>
      </c>
      <c r="P2863">
        <f>90.8</f>
        <v>90.8</v>
      </c>
      <c r="Q2863">
        <f>1078.27</f>
        <v>1078.27</v>
      </c>
      <c r="R2863">
        <f>2329.46</f>
        <v>2329.46</v>
      </c>
      <c r="S2863">
        <f>986.35</f>
        <v>986.35</v>
      </c>
      <c r="T2863">
        <f>2025.226</f>
        <v>2025.2260000000001</v>
      </c>
      <c r="U2863">
        <f>33998.6</f>
        <v>33998.6</v>
      </c>
      <c r="V2863">
        <f>257.94</f>
        <v>257.94</v>
      </c>
    </row>
    <row r="2864" spans="1:22" x14ac:dyDescent="0.2">
      <c r="A2864" s="1">
        <v>41099</v>
      </c>
      <c r="B2864">
        <f>2146.36</f>
        <v>2146.36</v>
      </c>
      <c r="C2864">
        <f>8315.64</f>
        <v>8315.64</v>
      </c>
      <c r="D2864">
        <f>3892.57</f>
        <v>3892.57</v>
      </c>
      <c r="E2864">
        <f>1756.92</f>
        <v>1756.92</v>
      </c>
      <c r="F2864">
        <f>1446.75</f>
        <v>1446.75</v>
      </c>
      <c r="G2864">
        <f>6165.441</f>
        <v>6165.4409999999998</v>
      </c>
      <c r="H2864">
        <f>1907.82</f>
        <v>1907.82</v>
      </c>
      <c r="I2864">
        <f>5475.717</f>
        <v>5475.7169999999996</v>
      </c>
      <c r="J2864">
        <f>1817.83</f>
        <v>1817.83</v>
      </c>
      <c r="K2864">
        <f>4888.72</f>
        <v>4888.72</v>
      </c>
      <c r="L2864">
        <f>1131.07</f>
        <v>1131.07</v>
      </c>
      <c r="M2864">
        <f>4292.65</f>
        <v>4292.6499999999996</v>
      </c>
      <c r="N2864">
        <f>198.217</f>
        <v>198.21700000000001</v>
      </c>
      <c r="O2864">
        <f>1615.75</f>
        <v>1615.75</v>
      </c>
      <c r="P2864">
        <f>90.9</f>
        <v>90.9</v>
      </c>
      <c r="Q2864">
        <f>1082.87</f>
        <v>1082.8699999999999</v>
      </c>
      <c r="R2864">
        <f>2348.52</f>
        <v>2348.52</v>
      </c>
      <c r="S2864">
        <f>993.29</f>
        <v>993.29</v>
      </c>
      <c r="T2864">
        <f>2020.353</f>
        <v>2020.3530000000001</v>
      </c>
      <c r="U2864">
        <f>33931.1</f>
        <v>33931.1</v>
      </c>
      <c r="V2864">
        <f>258.32</f>
        <v>258.32</v>
      </c>
    </row>
    <row r="2865" spans="1:22" x14ac:dyDescent="0.2">
      <c r="A2865" s="1">
        <v>41096</v>
      </c>
      <c r="B2865">
        <f>2153.04</f>
        <v>2153.04</v>
      </c>
      <c r="C2865">
        <f>8386.01</f>
        <v>8386.01</v>
      </c>
      <c r="D2865">
        <f>3916.99</f>
        <v>3916.99</v>
      </c>
      <c r="E2865">
        <f>1775.609</f>
        <v>1775.6089999999999</v>
      </c>
      <c r="F2865">
        <f>1452.71</f>
        <v>1452.71</v>
      </c>
      <c r="G2865">
        <f>6198.866</f>
        <v>6198.866</v>
      </c>
      <c r="H2865">
        <f>1922.6</f>
        <v>1922.6</v>
      </c>
      <c r="I2865">
        <f>5497.44</f>
        <v>5497.44</v>
      </c>
      <c r="J2865">
        <f>1820.24</f>
        <v>1820.24</v>
      </c>
      <c r="K2865">
        <f>4897.57</f>
        <v>4897.57</v>
      </c>
      <c r="L2865">
        <f>1133.23</f>
        <v>1133.23</v>
      </c>
      <c r="M2865">
        <f>4310.95</f>
        <v>4310.95</v>
      </c>
      <c r="N2865">
        <f>198.667</f>
        <v>198.667</v>
      </c>
      <c r="O2865">
        <f>1622.75</f>
        <v>1622.75</v>
      </c>
      <c r="P2865">
        <f>90.78</f>
        <v>90.78</v>
      </c>
      <c r="Q2865">
        <f>1086.1</f>
        <v>1086.0999999999999</v>
      </c>
      <c r="R2865">
        <f>2352.34</f>
        <v>2352.34</v>
      </c>
      <c r="S2865">
        <f>1003.55</f>
        <v>1003.55</v>
      </c>
      <c r="T2865">
        <f>2038.235</f>
        <v>2038.2349999999999</v>
      </c>
      <c r="U2865">
        <f>34226.21</f>
        <v>34226.21</v>
      </c>
      <c r="V2865">
        <f>261.06</f>
        <v>261.06</v>
      </c>
    </row>
    <row r="2866" spans="1:22" x14ac:dyDescent="0.2">
      <c r="A2866" s="1">
        <v>41095</v>
      </c>
      <c r="B2866">
        <f>2161.6</f>
        <v>2161.6</v>
      </c>
      <c r="C2866">
        <f>8467.02</f>
        <v>8467.02</v>
      </c>
      <c r="D2866">
        <f>3937.75</f>
        <v>3937.75</v>
      </c>
      <c r="E2866">
        <f>1792.808</f>
        <v>1792.808</v>
      </c>
      <c r="F2866">
        <f>1457.27</f>
        <v>1457.27</v>
      </c>
      <c r="G2866">
        <f>6235.925</f>
        <v>6235.9250000000002</v>
      </c>
      <c r="H2866">
        <f>1923.76</f>
        <v>1923.76</v>
      </c>
      <c r="I2866">
        <f>5615.225</f>
        <v>5615.2250000000004</v>
      </c>
      <c r="J2866">
        <f>1830.31</f>
        <v>1830.31</v>
      </c>
      <c r="K2866">
        <f>4943.15</f>
        <v>4943.1499999999996</v>
      </c>
      <c r="L2866">
        <f>1141.89</f>
        <v>1141.8900000000001</v>
      </c>
      <c r="M2866">
        <f>4355.82</f>
        <v>4355.82</v>
      </c>
      <c r="N2866">
        <f>198.509</f>
        <v>198.50899999999999</v>
      </c>
      <c r="O2866">
        <f>1638.53</f>
        <v>1638.53</v>
      </c>
      <c r="P2866">
        <f>91.46</f>
        <v>91.46</v>
      </c>
      <c r="Q2866">
        <f>1092.73</f>
        <v>1092.73</v>
      </c>
      <c r="R2866">
        <f>2373.91</f>
        <v>2373.91</v>
      </c>
      <c r="S2866">
        <f>1009.46</f>
        <v>1009.46</v>
      </c>
      <c r="T2866">
        <f>2032.762</f>
        <v>2032.7619999999999</v>
      </c>
      <c r="U2866">
        <f>34222.58</f>
        <v>34222.58</v>
      </c>
      <c r="V2866">
        <f>261.28</f>
        <v>261.27999999999997</v>
      </c>
    </row>
    <row r="2867" spans="1:22" x14ac:dyDescent="0.2">
      <c r="A2867" s="1">
        <v>41094</v>
      </c>
      <c r="B2867">
        <f>2171.37</f>
        <v>2171.37</v>
      </c>
      <c r="C2867">
        <f>8458.42</f>
        <v>8458.42</v>
      </c>
      <c r="D2867">
        <f>3932.1</f>
        <v>3932.1</v>
      </c>
      <c r="E2867">
        <f>1794.215</f>
        <v>1794.2149999999999</v>
      </c>
      <c r="F2867">
        <f>1459.21</f>
        <v>1459.21</v>
      </c>
      <c r="G2867">
        <f>6249.063</f>
        <v>6249.0630000000001</v>
      </c>
      <c r="H2867">
        <f>1930.07</f>
        <v>1930.07</v>
      </c>
      <c r="I2867">
        <f>5711.886</f>
        <v>5711.8860000000004</v>
      </c>
      <c r="J2867">
        <f>1838.39</f>
        <v>1838.39</v>
      </c>
      <c r="K2867">
        <f>4965.08</f>
        <v>4965.08</v>
      </c>
      <c r="L2867">
        <f>1150.03</f>
        <v>1150.03</v>
      </c>
      <c r="M2867">
        <f>4383.04</f>
        <v>4383.04</v>
      </c>
      <c r="N2867">
        <f>198</f>
        <v>198</v>
      </c>
      <c r="O2867">
        <f>1640.32</f>
        <v>1640.32</v>
      </c>
      <c r="P2867">
        <f>92.05</f>
        <v>92.05</v>
      </c>
      <c r="Q2867" t="e">
        <f>NA()</f>
        <v>#N/A</v>
      </c>
      <c r="R2867" t="e">
        <f>NA()</f>
        <v>#N/A</v>
      </c>
      <c r="S2867">
        <f>1012.49</f>
        <v>1012.49</v>
      </c>
      <c r="T2867">
        <f>2019.531</f>
        <v>2019.5309999999999</v>
      </c>
      <c r="U2867">
        <f>34041.12</f>
        <v>34041.120000000003</v>
      </c>
      <c r="V2867">
        <f>258.47</f>
        <v>258.47000000000003</v>
      </c>
    </row>
    <row r="2868" spans="1:22" x14ac:dyDescent="0.2">
      <c r="A2868" s="1">
        <v>41093</v>
      </c>
      <c r="B2868">
        <f>2179.02</f>
        <v>2179.02</v>
      </c>
      <c r="C2868">
        <f>8480.58</f>
        <v>8480.58</v>
      </c>
      <c r="D2868">
        <f>3933.82</f>
        <v>3933.82</v>
      </c>
      <c r="E2868">
        <f>1793.356</f>
        <v>1793.356</v>
      </c>
      <c r="F2868">
        <f>1464.83</f>
        <v>1464.83</v>
      </c>
      <c r="G2868">
        <f>6293.275</f>
        <v>6293.2749999999996</v>
      </c>
      <c r="H2868">
        <f>1918.54</f>
        <v>1918.54</v>
      </c>
      <c r="I2868">
        <f>5756.209</f>
        <v>5756.2089999999998</v>
      </c>
      <c r="J2868">
        <f>1838.39</f>
        <v>1838.39</v>
      </c>
      <c r="K2868">
        <f>4965.08</f>
        <v>4965.08</v>
      </c>
      <c r="L2868">
        <f>1152.29</f>
        <v>1152.29</v>
      </c>
      <c r="M2868">
        <f>4387.06</f>
        <v>4387.0600000000004</v>
      </c>
      <c r="N2868">
        <f>197.555</f>
        <v>197.55500000000001</v>
      </c>
      <c r="O2868">
        <f>1640.84</f>
        <v>1640.84</v>
      </c>
      <c r="P2868">
        <f>92.04</f>
        <v>92.04</v>
      </c>
      <c r="Q2868">
        <f>1094.98</f>
        <v>1094.98</v>
      </c>
      <c r="R2868">
        <f>2385.06</f>
        <v>2385.06</v>
      </c>
      <c r="S2868">
        <f>1010.42</f>
        <v>1010.42</v>
      </c>
      <c r="T2868">
        <f>2011.149</f>
        <v>2011.1489999999999</v>
      </c>
      <c r="U2868">
        <f>33985.71</f>
        <v>33985.71</v>
      </c>
      <c r="V2868">
        <f>258.29</f>
        <v>258.29000000000002</v>
      </c>
    </row>
    <row r="2869" spans="1:22" x14ac:dyDescent="0.2">
      <c r="A2869" s="1">
        <v>41092</v>
      </c>
      <c r="B2869">
        <f>2171.37</f>
        <v>2171.37</v>
      </c>
      <c r="C2869">
        <f>8361.49</f>
        <v>8361.49</v>
      </c>
      <c r="D2869">
        <f>3901.25</f>
        <v>3901.25</v>
      </c>
      <c r="E2869">
        <f>1764.447</f>
        <v>1764.4469999999999</v>
      </c>
      <c r="F2869">
        <f>1454.31</f>
        <v>1454.31</v>
      </c>
      <c r="G2869">
        <f>6244.628</f>
        <v>6244.6279999999997</v>
      </c>
      <c r="H2869">
        <f>1901.83</f>
        <v>1901.83</v>
      </c>
      <c r="I2869">
        <f>5674.035</f>
        <v>5674.0349999999999</v>
      </c>
      <c r="J2869">
        <f>1830.5</f>
        <v>1830.5</v>
      </c>
      <c r="K2869">
        <f>4931.37</f>
        <v>4931.37</v>
      </c>
      <c r="L2869">
        <f>1143.09</f>
        <v>1143.0899999999999</v>
      </c>
      <c r="M2869">
        <f>4348.12</f>
        <v>4348.12</v>
      </c>
      <c r="N2869">
        <f>196.242</f>
        <v>196.24199999999999</v>
      </c>
      <c r="O2869">
        <f>1624.03</f>
        <v>1624.03</v>
      </c>
      <c r="P2869">
        <f>90.98</f>
        <v>90.98</v>
      </c>
      <c r="Q2869">
        <f>1090.88</f>
        <v>1090.8800000000001</v>
      </c>
      <c r="R2869">
        <f>2369.75</f>
        <v>2369.75</v>
      </c>
      <c r="S2869">
        <f>1000.31</f>
        <v>1000.31</v>
      </c>
      <c r="T2869">
        <f>1984.955</f>
        <v>1984.9549999999999</v>
      </c>
      <c r="U2869">
        <f>33652.69</f>
        <v>33652.69</v>
      </c>
      <c r="V2869">
        <f>255.05</f>
        <v>255.05</v>
      </c>
    </row>
    <row r="2870" spans="1:22" x14ac:dyDescent="0.2">
      <c r="A2870" s="1">
        <v>41089</v>
      </c>
      <c r="B2870">
        <f>2151.37</f>
        <v>2151.37</v>
      </c>
      <c r="C2870">
        <f>8305.97</f>
        <v>8305.9699999999993</v>
      </c>
      <c r="D2870">
        <f>3853.18</f>
        <v>3853.18</v>
      </c>
      <c r="E2870">
        <f>1756.77</f>
        <v>1756.77</v>
      </c>
      <c r="F2870">
        <f>1443.35</f>
        <v>1443.35</v>
      </c>
      <c r="G2870">
        <f>6165.557</f>
        <v>6165.5569999999998</v>
      </c>
      <c r="H2870">
        <f>1886.24</f>
        <v>1886.24</v>
      </c>
      <c r="I2870">
        <f>5661.468</f>
        <v>5661.4679999999998</v>
      </c>
      <c r="J2870">
        <f>1826.39</f>
        <v>1826.39</v>
      </c>
      <c r="K2870">
        <f>4918.3</f>
        <v>4918.3</v>
      </c>
      <c r="L2870">
        <f>1137.61</f>
        <v>1137.6099999999999</v>
      </c>
      <c r="M2870">
        <f>4331.16</f>
        <v>4331.16</v>
      </c>
      <c r="N2870">
        <f>193.92</f>
        <v>193.92</v>
      </c>
      <c r="O2870">
        <f>1602.25</f>
        <v>1602.25</v>
      </c>
      <c r="P2870">
        <f>91.13</f>
        <v>91.13</v>
      </c>
      <c r="Q2870">
        <f>1090.84</f>
        <v>1090.8399999999999</v>
      </c>
      <c r="R2870">
        <f>2363.79</f>
        <v>2363.79</v>
      </c>
      <c r="S2870">
        <f>1001.27</f>
        <v>1001.27</v>
      </c>
      <c r="T2870">
        <f>1981.068</f>
        <v>1981.068</v>
      </c>
      <c r="U2870">
        <f>33708.31</f>
        <v>33708.31</v>
      </c>
      <c r="V2870">
        <f>253.53</f>
        <v>253.53</v>
      </c>
    </row>
    <row r="2871" spans="1:22" x14ac:dyDescent="0.2">
      <c r="A2871" s="1">
        <v>41088</v>
      </c>
      <c r="B2871">
        <f>2111.22</f>
        <v>2111.2199999999998</v>
      </c>
      <c r="C2871">
        <f>8044.51</f>
        <v>8044.51</v>
      </c>
      <c r="D2871">
        <f>3799.17</f>
        <v>3799.17</v>
      </c>
      <c r="E2871">
        <f>1699.228</f>
        <v>1699.2280000000001</v>
      </c>
      <c r="F2871">
        <f>1417.42</f>
        <v>1417.42</v>
      </c>
      <c r="G2871">
        <f>6010.628</f>
        <v>6010.6279999999997</v>
      </c>
      <c r="H2871">
        <f>1871.32</f>
        <v>1871.32</v>
      </c>
      <c r="I2871">
        <f>5339.27</f>
        <v>5339.27</v>
      </c>
      <c r="J2871">
        <f>1788.67</f>
        <v>1788.67</v>
      </c>
      <c r="K2871">
        <f>4797.33</f>
        <v>4797.33</v>
      </c>
      <c r="L2871">
        <f>1106.52</f>
        <v>1106.52</v>
      </c>
      <c r="M2871">
        <f>4205.63</f>
        <v>4205.63</v>
      </c>
      <c r="N2871">
        <f>191.043</f>
        <v>191.04300000000001</v>
      </c>
      <c r="O2871">
        <f>1560.34</f>
        <v>1560.34</v>
      </c>
      <c r="P2871">
        <f>89.86</f>
        <v>89.86</v>
      </c>
      <c r="Q2871">
        <f>1066.82</f>
        <v>1066.82</v>
      </c>
      <c r="R2871">
        <f>2306.22</f>
        <v>2306.2199999999998</v>
      </c>
      <c r="S2871">
        <f>986.62</f>
        <v>986.62</v>
      </c>
      <c r="T2871">
        <f>1969.744</f>
        <v>1969.7439999999999</v>
      </c>
      <c r="U2871">
        <f>33252.55</f>
        <v>33252.550000000003</v>
      </c>
      <c r="V2871">
        <f>250.81</f>
        <v>250.81</v>
      </c>
    </row>
    <row r="2872" spans="1:22" x14ac:dyDescent="0.2">
      <c r="A2872" s="1">
        <v>41087</v>
      </c>
      <c r="B2872">
        <f>2114.33</f>
        <v>2114.33</v>
      </c>
      <c r="C2872">
        <f>8113.17</f>
        <v>8113.17</v>
      </c>
      <c r="D2872">
        <f>3820.52</f>
        <v>3820.52</v>
      </c>
      <c r="E2872">
        <f>1710.744</f>
        <v>1710.7439999999999</v>
      </c>
      <c r="F2872">
        <f>1417.42</f>
        <v>1417.42</v>
      </c>
      <c r="G2872">
        <f>6061.903</f>
        <v>6061.9030000000002</v>
      </c>
      <c r="H2872">
        <f>1825.43</f>
        <v>1825.43</v>
      </c>
      <c r="I2872">
        <f>5372.381</f>
        <v>5372.3810000000003</v>
      </c>
      <c r="J2872">
        <f>1787.13</f>
        <v>1787.13</v>
      </c>
      <c r="K2872">
        <f>4808.43</f>
        <v>4808.43</v>
      </c>
      <c r="L2872">
        <f>1106.19</f>
        <v>1106.19</v>
      </c>
      <c r="M2872">
        <f>4211.57</f>
        <v>4211.57</v>
      </c>
      <c r="N2872">
        <f>191.072</f>
        <v>191.072</v>
      </c>
      <c r="O2872">
        <f>1567.6</f>
        <v>1567.6</v>
      </c>
      <c r="P2872">
        <f>88.43</f>
        <v>88.43</v>
      </c>
      <c r="Q2872">
        <f>1065.33</f>
        <v>1065.33</v>
      </c>
      <c r="R2872">
        <f>2310.98</f>
        <v>2310.98</v>
      </c>
      <c r="S2872">
        <f>969.29</f>
        <v>969.29</v>
      </c>
      <c r="T2872">
        <f>1990.833</f>
        <v>1990.8330000000001</v>
      </c>
      <c r="U2872">
        <f>33748.13</f>
        <v>33748.129999999997</v>
      </c>
      <c r="V2872">
        <f>254.73</f>
        <v>254.73</v>
      </c>
    </row>
    <row r="2873" spans="1:22" x14ac:dyDescent="0.2">
      <c r="A2873" s="1">
        <v>41086</v>
      </c>
      <c r="B2873">
        <f>2096.46</f>
        <v>2096.46</v>
      </c>
      <c r="C2873">
        <f>8052.09</f>
        <v>8052.09</v>
      </c>
      <c r="D2873">
        <f>3766.19</f>
        <v>3766.19</v>
      </c>
      <c r="E2873">
        <f>1698.846</f>
        <v>1698.846</v>
      </c>
      <c r="F2873">
        <f>1401.79</f>
        <v>1401.79</v>
      </c>
      <c r="G2873">
        <f>5992.022</f>
        <v>5992.0219999999999</v>
      </c>
      <c r="H2873">
        <f>1814.2</f>
        <v>1814.2</v>
      </c>
      <c r="I2873">
        <f>5300.804</f>
        <v>5300.8040000000001</v>
      </c>
      <c r="J2873">
        <f>1771.3</f>
        <v>1771.3</v>
      </c>
      <c r="K2873">
        <f>4765.83</f>
        <v>4765.83</v>
      </c>
      <c r="L2873">
        <f>1095.97</f>
        <v>1095.97</v>
      </c>
      <c r="M2873">
        <f>4170.7</f>
        <v>4170.7</v>
      </c>
      <c r="N2873">
        <f>189.884</f>
        <v>189.88399999999999</v>
      </c>
      <c r="O2873">
        <f>1547.1</f>
        <v>1547.1</v>
      </c>
      <c r="P2873">
        <f>87.25</f>
        <v>87.25</v>
      </c>
      <c r="Q2873">
        <f>1058.16</f>
        <v>1058.1600000000001</v>
      </c>
      <c r="R2873">
        <f>2289.86</f>
        <v>2289.86</v>
      </c>
      <c r="S2873">
        <f>959.8</f>
        <v>959.8</v>
      </c>
      <c r="T2873">
        <f>1991.267</f>
        <v>1991.2670000000001</v>
      </c>
      <c r="U2873">
        <f>33851.37</f>
        <v>33851.370000000003</v>
      </c>
      <c r="V2873">
        <f>255.32</f>
        <v>255.32</v>
      </c>
    </row>
    <row r="2874" spans="1:22" x14ac:dyDescent="0.2">
      <c r="A2874" s="1">
        <v>41085</v>
      </c>
      <c r="B2874">
        <f>2097.38</f>
        <v>2097.38</v>
      </c>
      <c r="C2874">
        <f>8021.41</f>
        <v>8021.41</v>
      </c>
      <c r="D2874">
        <f>3768.74</f>
        <v>3768.74</v>
      </c>
      <c r="E2874">
        <f>1693.724</f>
        <v>1693.7239999999999</v>
      </c>
      <c r="F2874">
        <f>1399.43</f>
        <v>1399.43</v>
      </c>
      <c r="G2874">
        <f>5981.781</f>
        <v>5981.7809999999999</v>
      </c>
      <c r="H2874">
        <f>1827.66</f>
        <v>1827.66</v>
      </c>
      <c r="I2874">
        <f>5317.872</f>
        <v>5317.8720000000003</v>
      </c>
      <c r="J2874">
        <f>1763.95</f>
        <v>1763.95</v>
      </c>
      <c r="K2874">
        <f>4742.41</f>
        <v>4742.41</v>
      </c>
      <c r="L2874">
        <f>1094.59</f>
        <v>1094.5899999999999</v>
      </c>
      <c r="M2874">
        <f>4162.98</f>
        <v>4162.9799999999996</v>
      </c>
      <c r="N2874">
        <f>189.496</f>
        <v>189.49600000000001</v>
      </c>
      <c r="O2874">
        <f>1546.75</f>
        <v>1546.75</v>
      </c>
      <c r="P2874">
        <f>87.32</f>
        <v>87.32</v>
      </c>
      <c r="Q2874">
        <f>1053.73</f>
        <v>1053.73</v>
      </c>
      <c r="R2874">
        <f>2278.98</f>
        <v>2278.98</v>
      </c>
      <c r="S2874">
        <f>968.03</f>
        <v>968.03</v>
      </c>
      <c r="T2874">
        <f>1988.234</f>
        <v>1988.2339999999999</v>
      </c>
      <c r="U2874">
        <f>33821.98</f>
        <v>33821.980000000003</v>
      </c>
      <c r="V2874">
        <f>256.14</f>
        <v>256.14</v>
      </c>
    </row>
    <row r="2875" spans="1:22" x14ac:dyDescent="0.2">
      <c r="A2875" s="1">
        <v>41082</v>
      </c>
      <c r="B2875">
        <f>2120.66</f>
        <v>2120.66</v>
      </c>
      <c r="C2875">
        <f>8122.54</f>
        <v>8122.54</v>
      </c>
      <c r="D2875">
        <f>3812.33</f>
        <v>3812.33</v>
      </c>
      <c r="E2875">
        <f>1718</f>
        <v>1718</v>
      </c>
      <c r="F2875">
        <f>1405.19</f>
        <v>1405.19</v>
      </c>
      <c r="G2875">
        <f>6051.657</f>
        <v>6051.6570000000002</v>
      </c>
      <c r="H2875">
        <f>1814.71</f>
        <v>1814.71</v>
      </c>
      <c r="I2875">
        <f>5447.509</f>
        <v>5447.509</v>
      </c>
      <c r="J2875">
        <f>1784.55</f>
        <v>1784.55</v>
      </c>
      <c r="K2875">
        <f>4818.72</f>
        <v>4818.72</v>
      </c>
      <c r="L2875">
        <f>1107.12</f>
        <v>1107.1199999999999</v>
      </c>
      <c r="M2875">
        <f>4223.4</f>
        <v>4223.3999999999996</v>
      </c>
      <c r="N2875">
        <f>190.716</f>
        <v>190.71600000000001</v>
      </c>
      <c r="O2875">
        <f>1571.24</f>
        <v>1571.24</v>
      </c>
      <c r="P2875">
        <f>87.69</f>
        <v>87.69</v>
      </c>
      <c r="Q2875">
        <f>1066.47</f>
        <v>1066.47</v>
      </c>
      <c r="R2875">
        <f>2315.65</f>
        <v>2315.65</v>
      </c>
      <c r="S2875">
        <f>975.43</f>
        <v>975.43</v>
      </c>
      <c r="T2875">
        <f>1985.529</f>
        <v>1985.529</v>
      </c>
      <c r="U2875">
        <f>34118.87</f>
        <v>34118.870000000003</v>
      </c>
      <c r="V2875">
        <f>257</f>
        <v>257</v>
      </c>
    </row>
    <row r="2876" spans="1:22" x14ac:dyDescent="0.2">
      <c r="A2876" s="1">
        <v>41081</v>
      </c>
      <c r="B2876">
        <f>2132.93</f>
        <v>2132.9299999999998</v>
      </c>
      <c r="C2876">
        <f>8242.15</f>
        <v>8242.15</v>
      </c>
      <c r="D2876">
        <f>3848.75</f>
        <v>3848.75</v>
      </c>
      <c r="E2876">
        <f>1746.195</f>
        <v>1746.1949999999999</v>
      </c>
      <c r="F2876">
        <f>1425.66</f>
        <v>1425.66</v>
      </c>
      <c r="G2876">
        <f>6147.069</f>
        <v>6147.0690000000004</v>
      </c>
      <c r="H2876">
        <f>1832.9</f>
        <v>1832.9</v>
      </c>
      <c r="I2876">
        <f>5509.656</f>
        <v>5509.6559999999999</v>
      </c>
      <c r="J2876">
        <f>1775.46</f>
        <v>1775.46</v>
      </c>
      <c r="K2876">
        <f>4784.63</f>
        <v>4784.63</v>
      </c>
      <c r="L2876">
        <f>1110.48</f>
        <v>1110.48</v>
      </c>
      <c r="M2876">
        <f>4227.57</f>
        <v>4227.57</v>
      </c>
      <c r="N2876">
        <f>192.278</f>
        <v>192.27799999999999</v>
      </c>
      <c r="O2876">
        <f>1582.09</f>
        <v>1582.09</v>
      </c>
      <c r="P2876">
        <f>88.04</f>
        <v>88.04</v>
      </c>
      <c r="Q2876">
        <f>1061.03</f>
        <v>1061.03</v>
      </c>
      <c r="R2876">
        <f>2299.16</f>
        <v>2299.16</v>
      </c>
      <c r="S2876">
        <f>979.38</f>
        <v>979.38</v>
      </c>
      <c r="T2876">
        <f>1996.085</f>
        <v>1996.085</v>
      </c>
      <c r="U2876">
        <f>34534.05</f>
        <v>34534.050000000003</v>
      </c>
      <c r="V2876">
        <f>259.26</f>
        <v>259.26</v>
      </c>
    </row>
    <row r="2877" spans="1:22" x14ac:dyDescent="0.2">
      <c r="A2877" s="1">
        <v>41080</v>
      </c>
      <c r="B2877">
        <f>2145.17</f>
        <v>2145.17</v>
      </c>
      <c r="C2877">
        <f>8392.97</f>
        <v>8392.9699999999993</v>
      </c>
      <c r="D2877">
        <f>3887.42</f>
        <v>3887.42</v>
      </c>
      <c r="E2877">
        <f>1775.813</f>
        <v>1775.8130000000001</v>
      </c>
      <c r="F2877">
        <f>1440.11</f>
        <v>1440.11</v>
      </c>
      <c r="G2877">
        <f>6241.259</f>
        <v>6241.259</v>
      </c>
      <c r="H2877">
        <f>1840.27</f>
        <v>1840.27</v>
      </c>
      <c r="I2877">
        <f>5574.255</f>
        <v>5574.2550000000001</v>
      </c>
      <c r="J2877">
        <f>1807.74</f>
        <v>1807.74</v>
      </c>
      <c r="K2877">
        <f>4894.08</f>
        <v>4894.08</v>
      </c>
      <c r="L2877">
        <f>1123.77</f>
        <v>1123.77</v>
      </c>
      <c r="M2877">
        <f>4306.38</f>
        <v>4306.38</v>
      </c>
      <c r="N2877">
        <f>192.751</f>
        <v>192.751</v>
      </c>
      <c r="O2877">
        <f>1590.38</f>
        <v>1590.38</v>
      </c>
      <c r="P2877">
        <f>87.51</f>
        <v>87.51</v>
      </c>
      <c r="Q2877">
        <f>1081.25</f>
        <v>1081.25</v>
      </c>
      <c r="R2877">
        <f>2351.14</f>
        <v>2351.14</v>
      </c>
      <c r="S2877">
        <f>970.78</f>
        <v>970.78</v>
      </c>
      <c r="T2877">
        <f>2005.789</f>
        <v>2005.789</v>
      </c>
      <c r="U2877">
        <f>34788.37</f>
        <v>34788.370000000003</v>
      </c>
      <c r="V2877">
        <f>260.82</f>
        <v>260.82</v>
      </c>
    </row>
    <row r="2878" spans="1:22" x14ac:dyDescent="0.2">
      <c r="A2878" s="1">
        <v>41079</v>
      </c>
      <c r="B2878">
        <f>2126</f>
        <v>2126</v>
      </c>
      <c r="C2878">
        <f>8337.73</f>
        <v>8337.73</v>
      </c>
      <c r="D2878">
        <f>3861.34</f>
        <v>3861.34</v>
      </c>
      <c r="E2878">
        <f>1766.717</f>
        <v>1766.7170000000001</v>
      </c>
      <c r="F2878">
        <f>1432.66</f>
        <v>1432.66</v>
      </c>
      <c r="G2878">
        <f>6187.741</f>
        <v>6187.741</v>
      </c>
      <c r="H2878">
        <f>1810.49</f>
        <v>1810.49</v>
      </c>
      <c r="I2878">
        <f>5536.99</f>
        <v>5536.99</v>
      </c>
      <c r="J2878">
        <f>1812.04</f>
        <v>1812.04</v>
      </c>
      <c r="K2878">
        <f>4901.79</f>
        <v>4901.79</v>
      </c>
      <c r="L2878">
        <f>1121.45</f>
        <v>1121.45</v>
      </c>
      <c r="M2878">
        <f>4297.08</f>
        <v>4297.08</v>
      </c>
      <c r="N2878">
        <f>192.188</f>
        <v>192.18799999999999</v>
      </c>
      <c r="O2878">
        <f>1581.55</f>
        <v>1581.55</v>
      </c>
      <c r="P2878">
        <f>85.76</f>
        <v>85.76</v>
      </c>
      <c r="Q2878">
        <f>1087.03</f>
        <v>1087.03</v>
      </c>
      <c r="R2878">
        <f>2355.01</f>
        <v>2355.0100000000002</v>
      </c>
      <c r="S2878">
        <f>954.35</f>
        <v>954.35</v>
      </c>
      <c r="T2878">
        <f>2000.865</f>
        <v>2000.865</v>
      </c>
      <c r="U2878">
        <f>34714.06</f>
        <v>34714.06</v>
      </c>
      <c r="V2878">
        <f>259.39</f>
        <v>259.39</v>
      </c>
    </row>
    <row r="2879" spans="1:22" x14ac:dyDescent="0.2">
      <c r="A2879" s="1">
        <v>41078</v>
      </c>
      <c r="B2879">
        <f>2081.21</f>
        <v>2081.21</v>
      </c>
      <c r="C2879">
        <f>8242.65</f>
        <v>8242.65</v>
      </c>
      <c r="D2879">
        <f>3795.53</f>
        <v>3795.53</v>
      </c>
      <c r="E2879">
        <f>1748.788</f>
        <v>1748.788</v>
      </c>
      <c r="F2879">
        <f>1404.31</f>
        <v>1404.31</v>
      </c>
      <c r="G2879">
        <f>6064.578</f>
        <v>6064.5780000000004</v>
      </c>
      <c r="H2879">
        <f>1814.39</f>
        <v>1814.39</v>
      </c>
      <c r="I2879">
        <f>5395.726</f>
        <v>5395.7259999999997</v>
      </c>
      <c r="J2879">
        <f>1801.13</f>
        <v>1801.13</v>
      </c>
      <c r="K2879">
        <f>4853.77</f>
        <v>4853.7700000000004</v>
      </c>
      <c r="L2879">
        <f>1106.62</f>
        <v>1106.6199999999999</v>
      </c>
      <c r="M2879">
        <f>4243.61</f>
        <v>4243.6099999999997</v>
      </c>
      <c r="N2879">
        <f>190.704</f>
        <v>190.70400000000001</v>
      </c>
      <c r="O2879">
        <f>1556.04</f>
        <v>1556.04</v>
      </c>
      <c r="P2879">
        <f>85.83</f>
        <v>85.83</v>
      </c>
      <c r="Q2879">
        <f>1081.36</f>
        <v>1081.3599999999999</v>
      </c>
      <c r="R2879">
        <f>2332.07</f>
        <v>2332.0700000000002</v>
      </c>
      <c r="S2879">
        <f>959.7</f>
        <v>959.7</v>
      </c>
      <c r="T2879">
        <f>1985.733</f>
        <v>1985.7329999999999</v>
      </c>
      <c r="U2879">
        <f>34438.76</f>
        <v>34438.76</v>
      </c>
      <c r="V2879">
        <f>257.9</f>
        <v>257.89999999999998</v>
      </c>
    </row>
    <row r="2880" spans="1:22" x14ac:dyDescent="0.2">
      <c r="A2880" s="1">
        <v>41075</v>
      </c>
      <c r="B2880">
        <f>2076.28</f>
        <v>2076.2800000000002</v>
      </c>
      <c r="C2880">
        <f>8164.66</f>
        <v>8164.66</v>
      </c>
      <c r="D2880">
        <f>3787.04</f>
        <v>3787.04</v>
      </c>
      <c r="E2880">
        <f>1732.055</f>
        <v>1732.0550000000001</v>
      </c>
      <c r="F2880">
        <f>1394.17</f>
        <v>1394.17</v>
      </c>
      <c r="G2880">
        <f>6039.881</f>
        <v>6039.8810000000003</v>
      </c>
      <c r="H2880">
        <f>1795.8</f>
        <v>1795.8</v>
      </c>
      <c r="I2880">
        <f>5428.36</f>
        <v>5428.36</v>
      </c>
      <c r="J2880">
        <f>1799.95</f>
        <v>1799.95</v>
      </c>
      <c r="K2880">
        <f>4844.73</f>
        <v>4844.7299999999996</v>
      </c>
      <c r="L2880">
        <f>1105.33</f>
        <v>1105.33</v>
      </c>
      <c r="M2880">
        <f>4231.71</f>
        <v>4231.71</v>
      </c>
      <c r="N2880">
        <f>188.961</f>
        <v>188.96100000000001</v>
      </c>
      <c r="O2880">
        <f>1554.08</f>
        <v>1554.08</v>
      </c>
      <c r="P2880">
        <f>84.98</f>
        <v>84.98</v>
      </c>
      <c r="Q2880">
        <f>1079.25</f>
        <v>1079.25</v>
      </c>
      <c r="R2880">
        <f>2328.66</f>
        <v>2328.66</v>
      </c>
      <c r="S2880">
        <f>943.8</f>
        <v>943.8</v>
      </c>
      <c r="T2880">
        <f>1972.883</f>
        <v>1972.883</v>
      </c>
      <c r="U2880">
        <f>33959.87</f>
        <v>33959.870000000003</v>
      </c>
      <c r="V2880">
        <f>254.64</f>
        <v>254.64</v>
      </c>
    </row>
    <row r="2881" spans="1:22" x14ac:dyDescent="0.2">
      <c r="A2881" s="1">
        <v>41074</v>
      </c>
      <c r="B2881">
        <f>2064.83</f>
        <v>2064.83</v>
      </c>
      <c r="C2881">
        <f>8036.21</f>
        <v>8036.21</v>
      </c>
      <c r="D2881">
        <f>3778.91</f>
        <v>3778.91</v>
      </c>
      <c r="E2881">
        <f>1710.082</f>
        <v>1710.0820000000001</v>
      </c>
      <c r="F2881">
        <f>1390.42</f>
        <v>1390.42</v>
      </c>
      <c r="G2881">
        <f>5990.481</f>
        <v>5990.4809999999998</v>
      </c>
      <c r="H2881">
        <f>1775.07</f>
        <v>1775.07</v>
      </c>
      <c r="I2881">
        <f>5356.59</f>
        <v>5356.59</v>
      </c>
      <c r="J2881">
        <f>1785.87</f>
        <v>1785.87</v>
      </c>
      <c r="K2881">
        <f>4794.94</f>
        <v>4794.9399999999996</v>
      </c>
      <c r="L2881">
        <f>1097.22</f>
        <v>1097.22</v>
      </c>
      <c r="M2881">
        <f>4187.84</f>
        <v>4187.84</v>
      </c>
      <c r="N2881">
        <f>189.226</f>
        <v>189.226</v>
      </c>
      <c r="O2881">
        <f>1539.07</f>
        <v>1539.07</v>
      </c>
      <c r="P2881">
        <f>84.69</f>
        <v>84.69</v>
      </c>
      <c r="Q2881">
        <f>1070.01</f>
        <v>1070.01</v>
      </c>
      <c r="R2881">
        <f>2304.83</f>
        <v>2304.83</v>
      </c>
      <c r="S2881">
        <f>942.62</f>
        <v>942.62</v>
      </c>
      <c r="T2881">
        <f>1967.417</f>
        <v>1967.4169999999999</v>
      </c>
      <c r="U2881">
        <f>33826.01</f>
        <v>33826.01</v>
      </c>
      <c r="V2881">
        <f>253.9</f>
        <v>253.9</v>
      </c>
    </row>
    <row r="2882" spans="1:22" x14ac:dyDescent="0.2">
      <c r="A2882" s="1">
        <v>41073</v>
      </c>
      <c r="B2882">
        <f>2057.9</f>
        <v>2057.9</v>
      </c>
      <c r="C2882">
        <f>8094.59</f>
        <v>8094.59</v>
      </c>
      <c r="D2882">
        <f>3790.5</f>
        <v>3790.5</v>
      </c>
      <c r="E2882">
        <f>1719.681</f>
        <v>1719.681</v>
      </c>
      <c r="F2882">
        <f>1395.23</f>
        <v>1395.23</v>
      </c>
      <c r="G2882">
        <f>6023.85</f>
        <v>6023.85</v>
      </c>
      <c r="H2882">
        <f>1768.2</f>
        <v>1768.2</v>
      </c>
      <c r="I2882">
        <f>5351.312</f>
        <v>5351.3119999999999</v>
      </c>
      <c r="J2882">
        <f>1764.42</f>
        <v>1764.42</v>
      </c>
      <c r="K2882">
        <f>4744.91</f>
        <v>4744.91</v>
      </c>
      <c r="L2882">
        <f>1091.84</f>
        <v>1091.8399999999999</v>
      </c>
      <c r="M2882">
        <f>4167.38</f>
        <v>4167.38</v>
      </c>
      <c r="N2882">
        <f>189.948</f>
        <v>189.94800000000001</v>
      </c>
      <c r="O2882">
        <f>1542.89</f>
        <v>1542.89</v>
      </c>
      <c r="P2882">
        <f>84.71</f>
        <v>84.71</v>
      </c>
      <c r="Q2882">
        <f>1058.55</f>
        <v>1058.55</v>
      </c>
      <c r="R2882">
        <f>2280.13</f>
        <v>2280.13</v>
      </c>
      <c r="S2882">
        <f>943.63</f>
        <v>943.63</v>
      </c>
      <c r="T2882">
        <f>1978.982</f>
        <v>1978.982</v>
      </c>
      <c r="U2882">
        <f>34037.83</f>
        <v>34037.83</v>
      </c>
      <c r="V2882">
        <f>256.3</f>
        <v>256.3</v>
      </c>
    </row>
    <row r="2883" spans="1:22" x14ac:dyDescent="0.2">
      <c r="A2883" s="1">
        <v>41072</v>
      </c>
      <c r="B2883">
        <f>2064.48</f>
        <v>2064.48</v>
      </c>
      <c r="C2883">
        <f>8032.35</f>
        <v>8032.35</v>
      </c>
      <c r="D2883">
        <f>3783.54</f>
        <v>3783.54</v>
      </c>
      <c r="E2883">
        <f>1707.387</f>
        <v>1707.3869999999999</v>
      </c>
      <c r="F2883">
        <f>1382.09</f>
        <v>1382.09</v>
      </c>
      <c r="G2883">
        <f>5999.118</f>
        <v>5999.1180000000004</v>
      </c>
      <c r="H2883">
        <f>1760.12</f>
        <v>1760.12</v>
      </c>
      <c r="I2883">
        <f>5311.18</f>
        <v>5311.18</v>
      </c>
      <c r="J2883">
        <f>1770.37</f>
        <v>1770.37</v>
      </c>
      <c r="K2883">
        <f>4778.16</f>
        <v>4778.16</v>
      </c>
      <c r="L2883">
        <f>1086.58</f>
        <v>1086.58</v>
      </c>
      <c r="M2883">
        <f>4172.42</f>
        <v>4172.42</v>
      </c>
      <c r="N2883">
        <f>190.895</f>
        <v>190.89500000000001</v>
      </c>
      <c r="O2883">
        <f>1549.18</f>
        <v>1549.18</v>
      </c>
      <c r="P2883">
        <f>84.48</f>
        <v>84.48</v>
      </c>
      <c r="Q2883">
        <f>1065.51</f>
        <v>1065.51</v>
      </c>
      <c r="R2883">
        <f>2295.4</f>
        <v>2295.4</v>
      </c>
      <c r="S2883">
        <f>940.93</f>
        <v>940.93</v>
      </c>
      <c r="T2883">
        <f>1971.211</f>
        <v>1971.211</v>
      </c>
      <c r="U2883">
        <f>33855.46</f>
        <v>33855.46</v>
      </c>
      <c r="V2883">
        <f>255.74</f>
        <v>255.74</v>
      </c>
    </row>
    <row r="2884" spans="1:22" x14ac:dyDescent="0.2">
      <c r="A2884" s="1">
        <v>41071</v>
      </c>
      <c r="B2884">
        <f>2064.6</f>
        <v>2064.6</v>
      </c>
      <c r="C2884">
        <f>8036.31</f>
        <v>8036.31</v>
      </c>
      <c r="D2884">
        <f>3754.94</f>
        <v>3754.94</v>
      </c>
      <c r="E2884">
        <f>1710.487</f>
        <v>1710.4870000000001</v>
      </c>
      <c r="F2884">
        <f>1363.8</f>
        <v>1363.8</v>
      </c>
      <c r="G2884">
        <f>5939.245</f>
        <v>5939.2449999999999</v>
      </c>
      <c r="H2884">
        <f>1776.38</f>
        <v>1776.38</v>
      </c>
      <c r="I2884">
        <f>5318.313</f>
        <v>5318.3130000000001</v>
      </c>
      <c r="J2884">
        <f>1753.2</f>
        <v>1753.2</v>
      </c>
      <c r="K2884">
        <f>4723.15</f>
        <v>4723.1499999999996</v>
      </c>
      <c r="L2884">
        <f>1080.52</f>
        <v>1080.52</v>
      </c>
      <c r="M2884">
        <f>4144.98</f>
        <v>4144.9799999999996</v>
      </c>
      <c r="N2884">
        <f>189.053</f>
        <v>189.053</v>
      </c>
      <c r="O2884">
        <f>1538.75</f>
        <v>1538.75</v>
      </c>
      <c r="P2884">
        <f>85.18</f>
        <v>85.18</v>
      </c>
      <c r="Q2884">
        <f>1056.02</f>
        <v>1056.02</v>
      </c>
      <c r="R2884">
        <f>2268.94</f>
        <v>2268.94</v>
      </c>
      <c r="S2884">
        <f>948.35</f>
        <v>948.35</v>
      </c>
      <c r="T2884">
        <f>1960.841</f>
        <v>1960.8409999999999</v>
      </c>
      <c r="U2884">
        <f>33616.57</f>
        <v>33616.57</v>
      </c>
      <c r="V2884">
        <f>254.28</f>
        <v>254.28</v>
      </c>
    </row>
    <row r="2885" spans="1:22" x14ac:dyDescent="0.2">
      <c r="A2885" s="1">
        <v>41068</v>
      </c>
      <c r="B2885">
        <f>2074.35</f>
        <v>2074.35</v>
      </c>
      <c r="C2885">
        <f>7971.13</f>
        <v>7971.13</v>
      </c>
      <c r="D2885">
        <f>3756.81</f>
        <v>3756.81</v>
      </c>
      <c r="E2885">
        <f>1692.108</f>
        <v>1692.1079999999999</v>
      </c>
      <c r="F2885">
        <f>1357.01</f>
        <v>1357.01</v>
      </c>
      <c r="G2885">
        <f>5906.471</f>
        <v>5906.4709999999995</v>
      </c>
      <c r="H2885">
        <f>1752.5</f>
        <v>1752.5</v>
      </c>
      <c r="I2885">
        <f>5301.265</f>
        <v>5301.2650000000003</v>
      </c>
      <c r="J2885">
        <f>1767.3</f>
        <v>1767.3</v>
      </c>
      <c r="K2885">
        <f>4784.88</f>
        <v>4784.88</v>
      </c>
      <c r="L2885">
        <f>1079.11</f>
        <v>1079.1099999999999</v>
      </c>
      <c r="M2885">
        <f>4161.37</f>
        <v>4161.37</v>
      </c>
      <c r="N2885">
        <f>188.303</f>
        <v>188.303</v>
      </c>
      <c r="O2885">
        <f>1537.31</f>
        <v>1537.31</v>
      </c>
      <c r="P2885">
        <f>84.46</f>
        <v>84.46</v>
      </c>
      <c r="Q2885">
        <f>1067.83</f>
        <v>1067.83</v>
      </c>
      <c r="R2885">
        <f>2297.82</f>
        <v>2297.8200000000002</v>
      </c>
      <c r="S2885">
        <f>932.33</f>
        <v>932.33</v>
      </c>
      <c r="T2885">
        <f>1962.053</f>
        <v>1962.0530000000001</v>
      </c>
      <c r="U2885">
        <f>33665.71</f>
        <v>33665.71</v>
      </c>
      <c r="V2885">
        <f>255.15</f>
        <v>255.15</v>
      </c>
    </row>
    <row r="2886" spans="1:22" x14ac:dyDescent="0.2">
      <c r="A2886" s="1">
        <v>41067</v>
      </c>
      <c r="B2886">
        <f>2072.14</f>
        <v>2072.14</v>
      </c>
      <c r="C2886">
        <f>8063.75</f>
        <v>8063.75</v>
      </c>
      <c r="D2886">
        <f>3765.6</f>
        <v>3765.6</v>
      </c>
      <c r="E2886">
        <f>1706.833</f>
        <v>1706.8330000000001</v>
      </c>
      <c r="F2886">
        <f>1362.08</f>
        <v>1362.08</v>
      </c>
      <c r="G2886">
        <f>5981.471</f>
        <v>5981.4709999999995</v>
      </c>
      <c r="H2886">
        <f>1781.83</f>
        <v>1781.83</v>
      </c>
      <c r="I2886">
        <f>5347.099</f>
        <v>5347.0990000000002</v>
      </c>
      <c r="J2886">
        <f>1754.39</f>
        <v>1754.39</v>
      </c>
      <c r="K2886">
        <f>4746.45</f>
        <v>4746.45</v>
      </c>
      <c r="L2886">
        <f>1082.3</f>
        <v>1082.3</v>
      </c>
      <c r="M2886">
        <f>4167.52</f>
        <v>4167.5200000000004</v>
      </c>
      <c r="N2886">
        <f>187.768</f>
        <v>187.768</v>
      </c>
      <c r="O2886">
        <f>1540.5</f>
        <v>1540.5</v>
      </c>
      <c r="P2886">
        <f>85.53</f>
        <v>85.53</v>
      </c>
      <c r="Q2886">
        <f>1057.78</f>
        <v>1057.78</v>
      </c>
      <c r="R2886">
        <f>2279.28</f>
        <v>2279.2800000000002</v>
      </c>
      <c r="S2886">
        <f>949.23</f>
        <v>949.23</v>
      </c>
      <c r="T2886">
        <f>1963.945</f>
        <v>1963.9449999999999</v>
      </c>
      <c r="U2886">
        <f>33904.86</f>
        <v>33904.86</v>
      </c>
      <c r="V2886">
        <f>256.04</f>
        <v>256.04000000000002</v>
      </c>
    </row>
    <row r="2887" spans="1:22" x14ac:dyDescent="0.2">
      <c r="A2887" s="1">
        <v>41066</v>
      </c>
      <c r="B2887">
        <f>2054.97</f>
        <v>2054.9699999999998</v>
      </c>
      <c r="C2887">
        <f>8008.51</f>
        <v>8008.51</v>
      </c>
      <c r="D2887">
        <f>3721.58</f>
        <v>3721.58</v>
      </c>
      <c r="E2887">
        <f>1686.781</f>
        <v>1686.7809999999999</v>
      </c>
      <c r="F2887">
        <f>1343.93</f>
        <v>1343.93</v>
      </c>
      <c r="G2887">
        <f>5865.382</f>
        <v>5865.3819999999996</v>
      </c>
      <c r="H2887">
        <f>1764.74</f>
        <v>1764.74</v>
      </c>
      <c r="I2887">
        <f>5272.044</f>
        <v>5272.0439999999999</v>
      </c>
      <c r="J2887">
        <f>1749.97</f>
        <v>1749.97</v>
      </c>
      <c r="K2887">
        <f>4748.88</f>
        <v>4748.88</v>
      </c>
      <c r="L2887">
        <f>1073.34</f>
        <v>1073.3399999999999</v>
      </c>
      <c r="M2887">
        <f>4142.37</f>
        <v>4142.37</v>
      </c>
      <c r="N2887">
        <f>185.941</f>
        <v>185.941</v>
      </c>
      <c r="O2887">
        <f>1523.93</f>
        <v>1523.93</v>
      </c>
      <c r="P2887">
        <f>84.54</f>
        <v>84.54</v>
      </c>
      <c r="Q2887">
        <f>1054.32</f>
        <v>1054.32</v>
      </c>
      <c r="R2887">
        <f>2279.42</f>
        <v>2279.42</v>
      </c>
      <c r="S2887">
        <f>933.06</f>
        <v>933.06</v>
      </c>
      <c r="T2887">
        <f>1944.484</f>
        <v>1944.4839999999999</v>
      </c>
      <c r="U2887">
        <f>33603.35</f>
        <v>33603.35</v>
      </c>
      <c r="V2887">
        <f>252.7</f>
        <v>252.7</v>
      </c>
    </row>
    <row r="2888" spans="1:22" x14ac:dyDescent="0.2">
      <c r="A2888" s="1">
        <v>41065</v>
      </c>
      <c r="B2888">
        <f>2016.25</f>
        <v>2016.25</v>
      </c>
      <c r="C2888">
        <f>7851.48</f>
        <v>7851.48</v>
      </c>
      <c r="D2888">
        <f>3626.42</f>
        <v>3626.42</v>
      </c>
      <c r="E2888">
        <f>1654.325</f>
        <v>1654.325</v>
      </c>
      <c r="F2888">
        <f>1317.01</f>
        <v>1317.01</v>
      </c>
      <c r="G2888">
        <f>5684.474</f>
        <v>5684.4740000000002</v>
      </c>
      <c r="H2888">
        <f>1759.31</f>
        <v>1759.31</v>
      </c>
      <c r="I2888">
        <f>5149.911</f>
        <v>5149.9110000000001</v>
      </c>
      <c r="J2888">
        <f>1715.77</f>
        <v>1715.77</v>
      </c>
      <c r="K2888">
        <f>4640.83</f>
        <v>4640.83</v>
      </c>
      <c r="L2888">
        <f>1055.21</f>
        <v>1055.21</v>
      </c>
      <c r="M2888">
        <f>4052.17</f>
        <v>4052.17</v>
      </c>
      <c r="N2888">
        <f>182.728</f>
        <v>182.72800000000001</v>
      </c>
      <c r="O2888">
        <f>1490.15</f>
        <v>1490.15</v>
      </c>
      <c r="P2888">
        <f>84.59</f>
        <v>84.59</v>
      </c>
      <c r="Q2888">
        <f>1033.83</f>
        <v>1033.83</v>
      </c>
      <c r="R2888">
        <f>2227.45</f>
        <v>2227.4499999999998</v>
      </c>
      <c r="S2888">
        <f>919.64</f>
        <v>919.64</v>
      </c>
      <c r="T2888">
        <f>1935.833</f>
        <v>1935.8330000000001</v>
      </c>
      <c r="U2888">
        <f>33117.85</f>
        <v>33117.85</v>
      </c>
      <c r="V2888">
        <f>251.46</f>
        <v>251.46</v>
      </c>
    </row>
    <row r="2889" spans="1:22" x14ac:dyDescent="0.2">
      <c r="A2889" s="1">
        <v>41064</v>
      </c>
      <c r="B2889">
        <f>2016.25</f>
        <v>2016.25</v>
      </c>
      <c r="C2889">
        <f>7813.21</f>
        <v>7813.21</v>
      </c>
      <c r="D2889">
        <f>3626.42</f>
        <v>3626.42</v>
      </c>
      <c r="E2889">
        <f>1646.712</f>
        <v>1646.712</v>
      </c>
      <c r="F2889">
        <f>1317.95</f>
        <v>1317.95</v>
      </c>
      <c r="G2889">
        <f>5688.542</f>
        <v>5688.5420000000004</v>
      </c>
      <c r="H2889">
        <f>1744.45</f>
        <v>1744.45</v>
      </c>
      <c r="I2889">
        <f>5143.53</f>
        <v>5143.53</v>
      </c>
      <c r="J2889">
        <f>1712.74</f>
        <v>1712.74</v>
      </c>
      <c r="K2889">
        <f>4612.05</f>
        <v>4612.05</v>
      </c>
      <c r="L2889">
        <f>1052.83</f>
        <v>1052.83</v>
      </c>
      <c r="M2889">
        <f>4027.22</f>
        <v>4027.22</v>
      </c>
      <c r="N2889">
        <f>182.456</f>
        <v>182.45599999999999</v>
      </c>
      <c r="O2889">
        <f>1484.87</f>
        <v>1484.87</v>
      </c>
      <c r="P2889">
        <f>83.9</f>
        <v>83.9</v>
      </c>
      <c r="Q2889">
        <f>1031.25</f>
        <v>1031.25</v>
      </c>
      <c r="R2889">
        <f>2214.7</f>
        <v>2214.6999999999998</v>
      </c>
      <c r="S2889">
        <f>903.12</f>
        <v>903.12</v>
      </c>
      <c r="T2889">
        <f>1933.938</f>
        <v>1933.9380000000001</v>
      </c>
      <c r="U2889">
        <f>33076.3</f>
        <v>33076.300000000003</v>
      </c>
      <c r="V2889">
        <f>251.26</f>
        <v>251.26</v>
      </c>
    </row>
    <row r="2890" spans="1:22" x14ac:dyDescent="0.2">
      <c r="A2890" s="1">
        <v>41061</v>
      </c>
      <c r="B2890">
        <f>2016.25</f>
        <v>2016.25</v>
      </c>
      <c r="C2890">
        <f>7888.44</f>
        <v>7888.44</v>
      </c>
      <c r="D2890">
        <f>3626.42</f>
        <v>3626.42</v>
      </c>
      <c r="E2890">
        <f>1667.792</f>
        <v>1667.7919999999999</v>
      </c>
      <c r="F2890">
        <f>1314.01</f>
        <v>1314.01</v>
      </c>
      <c r="G2890">
        <f>5671.53</f>
        <v>5671.53</v>
      </c>
      <c r="H2890">
        <f>1776.24</f>
        <v>1776.24</v>
      </c>
      <c r="I2890">
        <f>5108.105</f>
        <v>5108.1049999999996</v>
      </c>
      <c r="J2890">
        <f>1710.88</f>
        <v>1710.88</v>
      </c>
      <c r="K2890">
        <f>4612.49</f>
        <v>4612.49</v>
      </c>
      <c r="L2890">
        <f>1050.77</f>
        <v>1050.77</v>
      </c>
      <c r="M2890">
        <f>4033.21</f>
        <v>4033.21</v>
      </c>
      <c r="N2890">
        <f>183.459</f>
        <v>183.459</v>
      </c>
      <c r="O2890">
        <f>1491.16</f>
        <v>1491.16</v>
      </c>
      <c r="P2890">
        <f>84.48</f>
        <v>84.48</v>
      </c>
      <c r="Q2890">
        <f>1030.81</f>
        <v>1030.81</v>
      </c>
      <c r="R2890">
        <f>2214.41</f>
        <v>2214.41</v>
      </c>
      <c r="S2890">
        <f>920.55</f>
        <v>920.55</v>
      </c>
      <c r="T2890">
        <f>1931.67</f>
        <v>1931.67</v>
      </c>
      <c r="U2890">
        <f>33107.46</f>
        <v>33107.46</v>
      </c>
      <c r="V2890">
        <f>251.15</f>
        <v>251.15</v>
      </c>
    </row>
    <row r="2891" spans="1:22" x14ac:dyDescent="0.2">
      <c r="A2891" s="1">
        <v>41060</v>
      </c>
      <c r="B2891">
        <f>2041.02</f>
        <v>2041.02</v>
      </c>
      <c r="C2891">
        <f>8011.47</f>
        <v>8011.47</v>
      </c>
      <c r="D2891">
        <f>3668.25</f>
        <v>3668.25</v>
      </c>
      <c r="E2891">
        <f>1690.722</f>
        <v>1690.722</v>
      </c>
      <c r="F2891">
        <f>1326.45</f>
        <v>1326.45</v>
      </c>
      <c r="G2891">
        <f>5756.929</f>
        <v>5756.9290000000001</v>
      </c>
      <c r="H2891">
        <f>1778.78</f>
        <v>1778.78</v>
      </c>
      <c r="I2891">
        <f>5218.391</f>
        <v>5218.3909999999996</v>
      </c>
      <c r="J2891">
        <f>1738.63</f>
        <v>1738.63</v>
      </c>
      <c r="K2891">
        <f>4731.22</f>
        <v>4731.22</v>
      </c>
      <c r="L2891">
        <f>1065.61</f>
        <v>1065.6099999999999</v>
      </c>
      <c r="M2891">
        <f>4119.21</f>
        <v>4119.21</v>
      </c>
      <c r="N2891">
        <f>186.893</f>
        <v>186.893</v>
      </c>
      <c r="O2891">
        <f>1520.9</f>
        <v>1520.9</v>
      </c>
      <c r="P2891">
        <f>84.8</f>
        <v>84.8</v>
      </c>
      <c r="Q2891">
        <f>1052.96</f>
        <v>1052.96</v>
      </c>
      <c r="R2891">
        <f>2270.25</f>
        <v>2270.25</v>
      </c>
      <c r="S2891">
        <f>934.25</f>
        <v>934.25</v>
      </c>
      <c r="T2891">
        <f>1925.199</f>
        <v>1925.1990000000001</v>
      </c>
      <c r="U2891">
        <f>33142.61</f>
        <v>33142.61</v>
      </c>
      <c r="V2891">
        <f>250.85</f>
        <v>250.85</v>
      </c>
    </row>
    <row r="2892" spans="1:22" x14ac:dyDescent="0.2">
      <c r="A2892" s="1">
        <v>41059</v>
      </c>
      <c r="B2892">
        <f>2018.86</f>
        <v>2018.86</v>
      </c>
      <c r="C2892">
        <f>7986.25</f>
        <v>7986.25</v>
      </c>
      <c r="D2892">
        <f>3652</f>
        <v>3652</v>
      </c>
      <c r="E2892">
        <f>1693.062</f>
        <v>1693.0619999999999</v>
      </c>
      <c r="F2892">
        <f>1327.29</f>
        <v>1327.29</v>
      </c>
      <c r="G2892">
        <f>5783.281</f>
        <v>5783.2809999999999</v>
      </c>
      <c r="H2892">
        <f>1771.93</f>
        <v>1771.93</v>
      </c>
      <c r="I2892">
        <f>5253.457</f>
        <v>5253.4570000000003</v>
      </c>
      <c r="J2892">
        <f>1741.56</f>
        <v>1741.56</v>
      </c>
      <c r="K2892">
        <f>4742.96</f>
        <v>4742.96</v>
      </c>
      <c r="L2892">
        <f>1065.63</f>
        <v>1065.6300000000001</v>
      </c>
      <c r="M2892">
        <f>4131.48</f>
        <v>4131.4799999999996</v>
      </c>
      <c r="N2892">
        <f>186.881</f>
        <v>186.881</v>
      </c>
      <c r="O2892">
        <f>1524.32</f>
        <v>1524.32</v>
      </c>
      <c r="P2892">
        <f>84.81</f>
        <v>84.81</v>
      </c>
      <c r="Q2892">
        <f>1053.47</f>
        <v>1053.47</v>
      </c>
      <c r="R2892">
        <f>2275.19</f>
        <v>2275.19</v>
      </c>
      <c r="S2892">
        <f>939.63</f>
        <v>939.63</v>
      </c>
      <c r="T2892">
        <f>1907.38</f>
        <v>1907.38</v>
      </c>
      <c r="U2892">
        <f>32968.81</f>
        <v>32968.81</v>
      </c>
      <c r="V2892">
        <f>249.26</f>
        <v>249.26</v>
      </c>
    </row>
    <row r="2893" spans="1:22" x14ac:dyDescent="0.2">
      <c r="A2893" s="1">
        <v>41058</v>
      </c>
      <c r="B2893">
        <f>2053.17</f>
        <v>2053.17</v>
      </c>
      <c r="C2893">
        <f>8132.3</f>
        <v>8132.3</v>
      </c>
      <c r="D2893">
        <f>3713.49</f>
        <v>3713.49</v>
      </c>
      <c r="E2893">
        <f>1718.051</f>
        <v>1718.0509999999999</v>
      </c>
      <c r="F2893">
        <f>1352.53</f>
        <v>1352.53</v>
      </c>
      <c r="G2893">
        <f>5933.845</f>
        <v>5933.8450000000003</v>
      </c>
      <c r="H2893">
        <f>1771.52</f>
        <v>1771.52</v>
      </c>
      <c r="I2893">
        <f>5394.445</f>
        <v>5394.4449999999997</v>
      </c>
      <c r="J2893">
        <f>1760.97</f>
        <v>1760.97</v>
      </c>
      <c r="K2893">
        <f>4811.42</f>
        <v>4811.42</v>
      </c>
      <c r="L2893">
        <f>1081.84</f>
        <v>1081.8399999999999</v>
      </c>
      <c r="M2893">
        <f>4200.31</f>
        <v>4200.3100000000004</v>
      </c>
      <c r="N2893">
        <f>188.972</f>
        <v>188.97200000000001</v>
      </c>
      <c r="O2893">
        <f>1548.14</f>
        <v>1548.14</v>
      </c>
      <c r="P2893">
        <f>85.18</f>
        <v>85.18</v>
      </c>
      <c r="Q2893">
        <f>1067.6</f>
        <v>1067.5999999999999</v>
      </c>
      <c r="R2893">
        <f>2307.57</f>
        <v>2307.5700000000002</v>
      </c>
      <c r="S2893">
        <f>944.05</f>
        <v>944.05</v>
      </c>
      <c r="T2893">
        <f>1918.878</f>
        <v>1918.8779999999999</v>
      </c>
      <c r="U2893">
        <f>33440.2</f>
        <v>33440.199999999997</v>
      </c>
      <c r="V2893">
        <f>252.05</f>
        <v>252.05</v>
      </c>
    </row>
    <row r="2894" spans="1:22" x14ac:dyDescent="0.2">
      <c r="A2894" s="1">
        <v>41057</v>
      </c>
      <c r="B2894">
        <f>2043.9</f>
        <v>2043.9</v>
      </c>
      <c r="C2894">
        <f>8007.03</f>
        <v>8007.03</v>
      </c>
      <c r="D2894">
        <f>3689.52</f>
        <v>3689.52</v>
      </c>
      <c r="E2894">
        <f>1694.84</f>
        <v>1694.84</v>
      </c>
      <c r="F2894">
        <f>1354.49</f>
        <v>1354.49</v>
      </c>
      <c r="G2894">
        <f>5905.995</f>
        <v>5905.9949999999999</v>
      </c>
      <c r="H2894">
        <f>1763</f>
        <v>1763</v>
      </c>
      <c r="I2894">
        <f>5349.584</f>
        <v>5349.5839999999998</v>
      </c>
      <c r="J2894">
        <f>1749.27</f>
        <v>1749.27</v>
      </c>
      <c r="K2894">
        <f>4758.27</f>
        <v>4758.2700000000004</v>
      </c>
      <c r="L2894">
        <f>1077.39</f>
        <v>1077.3900000000001</v>
      </c>
      <c r="M2894">
        <f>4160</f>
        <v>4160</v>
      </c>
      <c r="N2894">
        <f>187.933</f>
        <v>187.93299999999999</v>
      </c>
      <c r="O2894">
        <f>1535.68</f>
        <v>1535.68</v>
      </c>
      <c r="P2894">
        <f>85.16</f>
        <v>85.16</v>
      </c>
      <c r="Q2894" t="e">
        <f>NA()</f>
        <v>#N/A</v>
      </c>
      <c r="R2894" t="e">
        <f>NA()</f>
        <v>#N/A</v>
      </c>
      <c r="S2894">
        <f>936.31</f>
        <v>936.31</v>
      </c>
      <c r="T2894">
        <f>1912.029</f>
        <v>1912.029</v>
      </c>
      <c r="U2894">
        <f>33104.06</f>
        <v>33104.06</v>
      </c>
      <c r="V2894">
        <f>249.78</f>
        <v>249.78</v>
      </c>
    </row>
    <row r="2895" spans="1:22" x14ac:dyDescent="0.2">
      <c r="A2895" s="1">
        <v>41054</v>
      </c>
      <c r="B2895">
        <f>2041.17</f>
        <v>2041.17</v>
      </c>
      <c r="C2895">
        <f>7936.76</f>
        <v>7936.76</v>
      </c>
      <c r="D2895">
        <f>3686.21</f>
        <v>3686.21</v>
      </c>
      <c r="E2895">
        <f>1681.05</f>
        <v>1681.05</v>
      </c>
      <c r="F2895">
        <f>1351.67</f>
        <v>1351.67</v>
      </c>
      <c r="G2895">
        <f>5875.282</f>
        <v>5875.2820000000002</v>
      </c>
      <c r="H2895">
        <f>1757.93</f>
        <v>1757.93</v>
      </c>
      <c r="I2895">
        <f>5351.084</f>
        <v>5351.0839999999998</v>
      </c>
      <c r="J2895">
        <f>1749.27</f>
        <v>1749.27</v>
      </c>
      <c r="K2895">
        <f>4758.27</f>
        <v>4758.2700000000004</v>
      </c>
      <c r="L2895">
        <f>1076.21</f>
        <v>1076.21</v>
      </c>
      <c r="M2895">
        <f>4154.4</f>
        <v>4154.3999999999996</v>
      </c>
      <c r="N2895">
        <f>187.587</f>
        <v>187.58699999999999</v>
      </c>
      <c r="O2895">
        <f>1537.66</f>
        <v>1537.66</v>
      </c>
      <c r="P2895">
        <f>85.39</f>
        <v>85.39</v>
      </c>
      <c r="Q2895">
        <f>1058.47</f>
        <v>1058.47</v>
      </c>
      <c r="R2895">
        <f>2281.92</f>
        <v>2281.92</v>
      </c>
      <c r="S2895">
        <f>937.61</f>
        <v>937.61</v>
      </c>
      <c r="T2895">
        <f>1913.051</f>
        <v>1913.0509999999999</v>
      </c>
      <c r="U2895">
        <f>32992.25</f>
        <v>32992.25</v>
      </c>
      <c r="V2895">
        <f>248.94</f>
        <v>248.94</v>
      </c>
    </row>
    <row r="2896" spans="1:22" x14ac:dyDescent="0.2">
      <c r="A2896" s="1">
        <v>41053</v>
      </c>
      <c r="B2896">
        <f>2039.45</f>
        <v>2039.45</v>
      </c>
      <c r="C2896">
        <f>7942.26</f>
        <v>7942.26</v>
      </c>
      <c r="D2896">
        <f>3685.19</f>
        <v>3685.19</v>
      </c>
      <c r="E2896">
        <f>1680.635</f>
        <v>1680.635</v>
      </c>
      <c r="F2896">
        <f>1349.46</f>
        <v>1349.46</v>
      </c>
      <c r="G2896">
        <f>5889.816</f>
        <v>5889.8159999999998</v>
      </c>
      <c r="H2896">
        <f>1758.33</f>
        <v>1758.33</v>
      </c>
      <c r="I2896">
        <f>5365.365</f>
        <v>5365.3649999999998</v>
      </c>
      <c r="J2896">
        <f>1753.24</f>
        <v>1753.24</v>
      </c>
      <c r="K2896">
        <f>4767.83</f>
        <v>4767.83</v>
      </c>
      <c r="L2896">
        <f>1078.55</f>
        <v>1078.55</v>
      </c>
      <c r="M2896">
        <f>4163.98</f>
        <v>4163.9799999999996</v>
      </c>
      <c r="N2896">
        <f>186.141</f>
        <v>186.14099999999999</v>
      </c>
      <c r="O2896">
        <f>1532.98</f>
        <v>1532.98</v>
      </c>
      <c r="P2896">
        <f>84.87</f>
        <v>84.87</v>
      </c>
      <c r="Q2896">
        <f>1060.5</f>
        <v>1060.5</v>
      </c>
      <c r="R2896">
        <f>2286.87</f>
        <v>2286.87</v>
      </c>
      <c r="S2896">
        <f>937.79</f>
        <v>937.79</v>
      </c>
      <c r="T2896">
        <f>1910.298</f>
        <v>1910.298</v>
      </c>
      <c r="U2896">
        <f>33046.13</f>
        <v>33046.129999999997</v>
      </c>
      <c r="V2896">
        <f>248.79</f>
        <v>248.79</v>
      </c>
    </row>
    <row r="2897" spans="1:22" x14ac:dyDescent="0.2">
      <c r="A2897" s="1">
        <v>41052</v>
      </c>
      <c r="B2897">
        <f>2019.31</f>
        <v>2019.31</v>
      </c>
      <c r="C2897">
        <f>7902.61</f>
        <v>7902.61</v>
      </c>
      <c r="D2897">
        <f>3627.58</f>
        <v>3627.58</v>
      </c>
      <c r="E2897">
        <f>1670.725</f>
        <v>1670.7249999999999</v>
      </c>
      <c r="F2897">
        <f>1332.24</f>
        <v>1332.24</v>
      </c>
      <c r="G2897">
        <f>5808.988</f>
        <v>5808.9880000000003</v>
      </c>
      <c r="H2897">
        <f>1763.45</f>
        <v>1763.45</v>
      </c>
      <c r="I2897">
        <f>5319.455</f>
        <v>5319.4549999999999</v>
      </c>
      <c r="J2897">
        <f>1742.9</f>
        <v>1742.9</v>
      </c>
      <c r="K2897">
        <f>4760.73</f>
        <v>4760.7299999999996</v>
      </c>
      <c r="L2897">
        <f>1071.67</f>
        <v>1071.67</v>
      </c>
      <c r="M2897">
        <f>4148.9</f>
        <v>4148.8999999999996</v>
      </c>
      <c r="N2897">
        <f>184.359</f>
        <v>184.35900000000001</v>
      </c>
      <c r="O2897">
        <f>1516.29</f>
        <v>1516.29</v>
      </c>
      <c r="P2897">
        <f>85.07</f>
        <v>85.07</v>
      </c>
      <c r="Q2897">
        <f>1052.97</f>
        <v>1052.97</v>
      </c>
      <c r="R2897">
        <f>2283.36</f>
        <v>2283.36</v>
      </c>
      <c r="S2897">
        <f>936.9</f>
        <v>936.9</v>
      </c>
      <c r="T2897">
        <f>1898.309</f>
        <v>1898.309</v>
      </c>
      <c r="U2897">
        <f>32887.45</f>
        <v>32887.449999999997</v>
      </c>
      <c r="V2897">
        <f>248.23</f>
        <v>248.23</v>
      </c>
    </row>
    <row r="2898" spans="1:22" x14ac:dyDescent="0.2">
      <c r="A2898" s="1">
        <v>41051</v>
      </c>
      <c r="B2898">
        <f>2058.67</f>
        <v>2058.67</v>
      </c>
      <c r="C2898">
        <f>8100.15</f>
        <v>8100.15</v>
      </c>
      <c r="D2898">
        <f>3721.55</f>
        <v>3721.55</v>
      </c>
      <c r="E2898">
        <f>1711.862</f>
        <v>1711.8620000000001</v>
      </c>
      <c r="F2898">
        <f>1364.34</f>
        <v>1364.34</v>
      </c>
      <c r="G2898">
        <f>5990.593</f>
        <v>5990.5929999999998</v>
      </c>
      <c r="H2898">
        <f>1763.79</f>
        <v>1763.79</v>
      </c>
      <c r="I2898">
        <f>5526.635</f>
        <v>5526.6350000000002</v>
      </c>
      <c r="J2898">
        <f>1748.42</f>
        <v>1748.42</v>
      </c>
      <c r="K2898">
        <f>4752.02</f>
        <v>4752.0200000000004</v>
      </c>
      <c r="L2898">
        <f>1090.69</f>
        <v>1090.69</v>
      </c>
      <c r="M2898">
        <f>4192.43</f>
        <v>4192.43</v>
      </c>
      <c r="N2898">
        <f>186.844</f>
        <v>186.84399999999999</v>
      </c>
      <c r="O2898">
        <f>1549.53</f>
        <v>1549.53</v>
      </c>
      <c r="P2898">
        <f>85.88</f>
        <v>85.88</v>
      </c>
      <c r="Q2898">
        <f>1048.64</f>
        <v>1048.6400000000001</v>
      </c>
      <c r="R2898">
        <f>2279.4</f>
        <v>2279.4</v>
      </c>
      <c r="S2898">
        <f>952.18</f>
        <v>952.18</v>
      </c>
      <c r="T2898">
        <f>1922.134</f>
        <v>1922.134</v>
      </c>
      <c r="U2898">
        <f>33488.14</f>
        <v>33488.14</v>
      </c>
      <c r="V2898">
        <f>251.46</f>
        <v>251.46</v>
      </c>
    </row>
    <row r="2899" spans="1:22" x14ac:dyDescent="0.2">
      <c r="A2899" s="1">
        <v>41050</v>
      </c>
      <c r="B2899">
        <f>2042.1</f>
        <v>2042.1</v>
      </c>
      <c r="C2899">
        <f>8060.35</f>
        <v>8060.35</v>
      </c>
      <c r="D2899">
        <f>3653.5</f>
        <v>3653.5</v>
      </c>
      <c r="E2899">
        <f>1700.479</f>
        <v>1700.479</v>
      </c>
      <c r="F2899">
        <f>1339.46</f>
        <v>1339.46</v>
      </c>
      <c r="G2899">
        <f>5882.533</f>
        <v>5882.5330000000004</v>
      </c>
      <c r="H2899">
        <f>1764.03</f>
        <v>1764.03</v>
      </c>
      <c r="I2899">
        <f>5425.87</f>
        <v>5425.87</v>
      </c>
      <c r="J2899">
        <f>1747.81</f>
        <v>1747.81</v>
      </c>
      <c r="K2899">
        <f>4750.14</f>
        <v>4750.1400000000003</v>
      </c>
      <c r="L2899">
        <f>1081.06</f>
        <v>1081.06</v>
      </c>
      <c r="M2899">
        <f>4162.69</f>
        <v>4162.6899999999996</v>
      </c>
      <c r="N2899">
        <f>184.302</f>
        <v>184.30199999999999</v>
      </c>
      <c r="O2899">
        <f>1519.27</f>
        <v>1519.27</v>
      </c>
      <c r="P2899">
        <f>85.75</f>
        <v>85.75</v>
      </c>
      <c r="Q2899">
        <f>1046.57</f>
        <v>1046.57</v>
      </c>
      <c r="R2899">
        <f>2278.24</f>
        <v>2278.2399999999998</v>
      </c>
      <c r="S2899">
        <f>941.55</f>
        <v>941.55</v>
      </c>
      <c r="T2899">
        <f>1910.273</f>
        <v>1910.2729999999999</v>
      </c>
      <c r="U2899">
        <f>33086</f>
        <v>33086</v>
      </c>
      <c r="V2899">
        <f>247.72</f>
        <v>247.72</v>
      </c>
    </row>
    <row r="2900" spans="1:22" x14ac:dyDescent="0.2">
      <c r="A2900" s="1">
        <v>41047</v>
      </c>
      <c r="B2900">
        <f>2034.04</f>
        <v>2034.04</v>
      </c>
      <c r="C2900">
        <f>7995.57</f>
        <v>7995.57</v>
      </c>
      <c r="D2900">
        <f>3628.12</f>
        <v>3628.12</v>
      </c>
      <c r="E2900">
        <f>1686.69</f>
        <v>1686.69</v>
      </c>
      <c r="F2900">
        <f>1336.53</f>
        <v>1336.53</v>
      </c>
      <c r="G2900">
        <f>5844.495</f>
        <v>5844.4949999999999</v>
      </c>
      <c r="H2900">
        <f>1771.27</f>
        <v>1771.27</v>
      </c>
      <c r="I2900">
        <f>5364.364</f>
        <v>5364.3639999999996</v>
      </c>
      <c r="J2900">
        <f>1734.6</f>
        <v>1734.6</v>
      </c>
      <c r="K2900">
        <f>4672.71</f>
        <v>4672.71</v>
      </c>
      <c r="L2900">
        <f>1077.44</f>
        <v>1077.44</v>
      </c>
      <c r="M2900">
        <f>4116.11</f>
        <v>4116.1099999999997</v>
      </c>
      <c r="N2900">
        <f>183.795</f>
        <v>183.79499999999999</v>
      </c>
      <c r="O2900">
        <f>1510.42</f>
        <v>1510.42</v>
      </c>
      <c r="P2900">
        <f>85.59</f>
        <v>85.59</v>
      </c>
      <c r="Q2900">
        <f>1034.94</f>
        <v>1034.94</v>
      </c>
      <c r="R2900">
        <f>2242.25</f>
        <v>2242.25</v>
      </c>
      <c r="S2900">
        <f>942.06</f>
        <v>942.06</v>
      </c>
      <c r="T2900">
        <f>1914.231</f>
        <v>1914.231</v>
      </c>
      <c r="U2900">
        <f>33148.39</f>
        <v>33148.39</v>
      </c>
      <c r="V2900">
        <f>247.39</f>
        <v>247.39</v>
      </c>
    </row>
    <row r="2901" spans="1:22" x14ac:dyDescent="0.2">
      <c r="A2901" s="1">
        <v>41046</v>
      </c>
      <c r="B2901">
        <f>2057.41</f>
        <v>2057.41</v>
      </c>
      <c r="C2901">
        <f>8092.56</f>
        <v>8092.56</v>
      </c>
      <c r="D2901">
        <f>3676.85</f>
        <v>3676.85</v>
      </c>
      <c r="E2901">
        <f>1712.796</f>
        <v>1712.796</v>
      </c>
      <c r="F2901">
        <f>1348.67</f>
        <v>1348.67</v>
      </c>
      <c r="G2901">
        <f>5925.662</f>
        <v>5925.6620000000003</v>
      </c>
      <c r="H2901">
        <f>1806.95</f>
        <v>1806.95</v>
      </c>
      <c r="I2901">
        <f>5399.416</f>
        <v>5399.4160000000002</v>
      </c>
      <c r="J2901">
        <f>1743.67</f>
        <v>1743.67</v>
      </c>
      <c r="K2901">
        <f>4708.48</f>
        <v>4708.4799999999996</v>
      </c>
      <c r="L2901">
        <f>1084.37</f>
        <v>1084.3699999999999</v>
      </c>
      <c r="M2901">
        <f>4160.63</f>
        <v>4160.63</v>
      </c>
      <c r="N2901">
        <f>185.727</f>
        <v>185.727</v>
      </c>
      <c r="O2901">
        <f>1526.7</f>
        <v>1526.7</v>
      </c>
      <c r="P2901">
        <f>86.99</f>
        <v>86.99</v>
      </c>
      <c r="Q2901">
        <f>1041.41</f>
        <v>1041.4100000000001</v>
      </c>
      <c r="R2901">
        <f>2258.93</f>
        <v>2258.9299999999998</v>
      </c>
      <c r="S2901">
        <f>970.13</f>
        <v>970.13</v>
      </c>
      <c r="T2901">
        <f>1935.891</f>
        <v>1935.8910000000001</v>
      </c>
      <c r="U2901">
        <f>33538.92</f>
        <v>33538.92</v>
      </c>
      <c r="V2901">
        <f>252.24</f>
        <v>252.24</v>
      </c>
    </row>
    <row r="2902" spans="1:22" x14ac:dyDescent="0.2">
      <c r="A2902" s="1">
        <v>41045</v>
      </c>
      <c r="B2902">
        <f>2077.72</f>
        <v>2077.7199999999998</v>
      </c>
      <c r="C2902">
        <f>8138.55</f>
        <v>8138.55</v>
      </c>
      <c r="D2902">
        <f>3722.91</f>
        <v>3722.91</v>
      </c>
      <c r="E2902">
        <f>1718.99</f>
        <v>1718.99</v>
      </c>
      <c r="F2902">
        <f>1363.02</f>
        <v>1363.02</v>
      </c>
      <c r="G2902">
        <f>6038.035</f>
        <v>6038.0349999999999</v>
      </c>
      <c r="H2902">
        <f>1777.39</f>
        <v>1777.39</v>
      </c>
      <c r="I2902">
        <f>5458.561</f>
        <v>5458.5609999999997</v>
      </c>
      <c r="J2902">
        <f>1759.22</f>
        <v>1759.22</v>
      </c>
      <c r="K2902">
        <f>4782.65</f>
        <v>4782.6499999999996</v>
      </c>
      <c r="L2902">
        <f>1093.11</f>
        <v>1093.1099999999999</v>
      </c>
      <c r="M2902">
        <f>4205.85</f>
        <v>4205.8500000000004</v>
      </c>
      <c r="N2902">
        <f>187.574</f>
        <v>187.57400000000001</v>
      </c>
      <c r="O2902">
        <f>1544.71</f>
        <v>1544.71</v>
      </c>
      <c r="P2902">
        <f>87.13</f>
        <v>87.13</v>
      </c>
      <c r="Q2902">
        <f>1058.99</f>
        <v>1058.99</v>
      </c>
      <c r="R2902">
        <f>2293.21</f>
        <v>2293.21</v>
      </c>
      <c r="S2902">
        <f>959.38</f>
        <v>959.38</v>
      </c>
      <c r="T2902">
        <f>1934.113</f>
        <v>1934.1130000000001</v>
      </c>
      <c r="U2902">
        <f>33794.72</f>
        <v>33794.720000000001</v>
      </c>
      <c r="V2902">
        <f>254.5</f>
        <v>254.5</v>
      </c>
    </row>
    <row r="2903" spans="1:22" x14ac:dyDescent="0.2">
      <c r="A2903" s="1">
        <v>41044</v>
      </c>
      <c r="B2903">
        <f>2084.41</f>
        <v>2084.41</v>
      </c>
      <c r="C2903">
        <f>8284.52</f>
        <v>8284.52</v>
      </c>
      <c r="D2903">
        <f>3740.82</f>
        <v>3740.82</v>
      </c>
      <c r="E2903">
        <f>1759.461</f>
        <v>1759.461</v>
      </c>
      <c r="F2903">
        <f>1381.92</f>
        <v>1381.92</v>
      </c>
      <c r="G2903">
        <f>6115.114</f>
        <v>6115.1139999999996</v>
      </c>
      <c r="H2903">
        <f>1799.55</f>
        <v>1799.55</v>
      </c>
      <c r="I2903">
        <f>5486.47</f>
        <v>5486.47</v>
      </c>
      <c r="J2903">
        <f>1759.43</f>
        <v>1759.43</v>
      </c>
      <c r="K2903">
        <f>4802.7</f>
        <v>4802.7</v>
      </c>
      <c r="L2903">
        <f>1099.76</f>
        <v>1099.76</v>
      </c>
      <c r="M2903">
        <f>4236.99</f>
        <v>4236.99</v>
      </c>
      <c r="N2903">
        <f>188.566</f>
        <v>188.566</v>
      </c>
      <c r="O2903">
        <f>1550.96</f>
        <v>1550.96</v>
      </c>
      <c r="P2903">
        <f>87.69</f>
        <v>87.69</v>
      </c>
      <c r="Q2903">
        <f>1060.04</f>
        <v>1060.04</v>
      </c>
      <c r="R2903">
        <f>2302.56</f>
        <v>2302.56</v>
      </c>
      <c r="S2903">
        <f>970.44</f>
        <v>970.44</v>
      </c>
      <c r="T2903">
        <f>1914.707</f>
        <v>1914.7070000000001</v>
      </c>
      <c r="U2903">
        <f>33486.08</f>
        <v>33486.080000000002</v>
      </c>
      <c r="V2903">
        <f>253.3</f>
        <v>253.3</v>
      </c>
    </row>
    <row r="2904" spans="1:22" x14ac:dyDescent="0.2">
      <c r="A2904" s="1">
        <v>41043</v>
      </c>
      <c r="B2904">
        <f>2103.49</f>
        <v>2103.4899999999998</v>
      </c>
      <c r="C2904">
        <f>8306.66</f>
        <v>8306.66</v>
      </c>
      <c r="D2904">
        <f>3760.01</f>
        <v>3760.01</v>
      </c>
      <c r="E2904">
        <f>1768.441</f>
        <v>1768.441</v>
      </c>
      <c r="F2904">
        <f>1391.81</f>
        <v>1391.81</v>
      </c>
      <c r="G2904">
        <f>6170.249</f>
        <v>6170.2489999999998</v>
      </c>
      <c r="H2904">
        <f>1816.01</f>
        <v>1816.01</v>
      </c>
      <c r="I2904">
        <f>5556.249</f>
        <v>5556.2489999999998</v>
      </c>
      <c r="J2904">
        <f>1767.66</f>
        <v>1767.66</v>
      </c>
      <c r="K2904">
        <f>4830.02</f>
        <v>4830.0200000000004</v>
      </c>
      <c r="L2904">
        <f>1107.44</f>
        <v>1107.44</v>
      </c>
      <c r="M2904">
        <f>4272.52</f>
        <v>4272.5200000000004</v>
      </c>
      <c r="N2904">
        <f>189.236</f>
        <v>189.23599999999999</v>
      </c>
      <c r="O2904">
        <f>1561.72</f>
        <v>1561.72</v>
      </c>
      <c r="P2904">
        <f>87.97</f>
        <v>87.97</v>
      </c>
      <c r="Q2904">
        <f>1064.18</f>
        <v>1064.18</v>
      </c>
      <c r="R2904">
        <f>2315.45</f>
        <v>2315.4499999999998</v>
      </c>
      <c r="S2904">
        <f>982.49</f>
        <v>982.49</v>
      </c>
      <c r="T2904">
        <f>1919.804</f>
        <v>1919.8040000000001</v>
      </c>
      <c r="U2904">
        <f>33533.56</f>
        <v>33533.56</v>
      </c>
      <c r="V2904">
        <f>255.39</f>
        <v>255.39</v>
      </c>
    </row>
    <row r="2905" spans="1:22" x14ac:dyDescent="0.2">
      <c r="A2905" s="1">
        <v>41040</v>
      </c>
      <c r="B2905">
        <f>2145.57</f>
        <v>2145.5700000000002</v>
      </c>
      <c r="C2905">
        <f>8480.93</f>
        <v>8480.93</v>
      </c>
      <c r="D2905">
        <f>3835.69</f>
        <v>3835.69</v>
      </c>
      <c r="E2905">
        <f>1802.481</f>
        <v>1802.481</v>
      </c>
      <c r="F2905">
        <f>1414.44</f>
        <v>1414.44</v>
      </c>
      <c r="G2905">
        <f>6290.142</f>
        <v>6290.1419999999998</v>
      </c>
      <c r="H2905">
        <f>1816.21</f>
        <v>1816.21</v>
      </c>
      <c r="I2905">
        <f>5726.623</f>
        <v>5726.6229999999996</v>
      </c>
      <c r="J2905">
        <f>1780.46</f>
        <v>1780.46</v>
      </c>
      <c r="K2905">
        <f>4884.39</f>
        <v>4884.3900000000003</v>
      </c>
      <c r="L2905">
        <f>1122.39</f>
        <v>1122.3900000000001</v>
      </c>
      <c r="M2905">
        <f>4334.76</f>
        <v>4334.76</v>
      </c>
      <c r="N2905">
        <f>190.921</f>
        <v>190.92099999999999</v>
      </c>
      <c r="O2905">
        <f>1589.59</f>
        <v>1589.59</v>
      </c>
      <c r="P2905">
        <f>88.21</f>
        <v>88.21</v>
      </c>
      <c r="Q2905">
        <f>1072.27</f>
        <v>1072.27</v>
      </c>
      <c r="R2905">
        <f>2341.23</f>
        <v>2341.23</v>
      </c>
      <c r="S2905">
        <f>984.7</f>
        <v>984.7</v>
      </c>
      <c r="T2905">
        <f>1939.35</f>
        <v>1939.35</v>
      </c>
      <c r="U2905">
        <f>34038.46</f>
        <v>34038.46</v>
      </c>
      <c r="V2905">
        <f>258.58</f>
        <v>258.58</v>
      </c>
    </row>
    <row r="2906" spans="1:22" x14ac:dyDescent="0.2">
      <c r="A2906" s="1">
        <v>41039</v>
      </c>
      <c r="B2906">
        <f>2126.44</f>
        <v>2126.44</v>
      </c>
      <c r="C2906">
        <f>8553.14</f>
        <v>8553.14</v>
      </c>
      <c r="D2906">
        <f>3813.97</f>
        <v>3813.97</v>
      </c>
      <c r="E2906">
        <f>1820.389</f>
        <v>1820.3889999999999</v>
      </c>
      <c r="F2906">
        <f>1406.81</f>
        <v>1406.81</v>
      </c>
      <c r="G2906">
        <f>6279.199</f>
        <v>6279.1989999999996</v>
      </c>
      <c r="H2906">
        <f>1830.29</f>
        <v>1830.29</v>
      </c>
      <c r="I2906">
        <f>5708.493</f>
        <v>5708.4930000000004</v>
      </c>
      <c r="J2906">
        <f>1780.87</f>
        <v>1780.87</v>
      </c>
      <c r="K2906">
        <f>4899.79</f>
        <v>4899.79</v>
      </c>
      <c r="L2906">
        <f>1121.35</f>
        <v>1121.3499999999999</v>
      </c>
      <c r="M2906">
        <f>4343.04</f>
        <v>4343.04</v>
      </c>
      <c r="N2906">
        <f>189.465</f>
        <v>189.465</v>
      </c>
      <c r="O2906">
        <f>1583.25</f>
        <v>1583.25</v>
      </c>
      <c r="P2906">
        <f>89.02</f>
        <v>89.02</v>
      </c>
      <c r="Q2906">
        <f>1075.48</f>
        <v>1075.48</v>
      </c>
      <c r="R2906">
        <f>2348.93</f>
        <v>2348.9299999999998</v>
      </c>
      <c r="S2906">
        <f>993.84</f>
        <v>993.84</v>
      </c>
      <c r="T2906">
        <f>1933.813</f>
        <v>1933.8130000000001</v>
      </c>
      <c r="U2906">
        <f>33869.71</f>
        <v>33869.71</v>
      </c>
      <c r="V2906">
        <f>258.56</f>
        <v>258.56</v>
      </c>
    </row>
    <row r="2907" spans="1:22" x14ac:dyDescent="0.2">
      <c r="A2907" s="1">
        <v>41038</v>
      </c>
      <c r="B2907">
        <f>2105.65</f>
        <v>2105.65</v>
      </c>
      <c r="C2907">
        <f>8528.18</f>
        <v>8528.18</v>
      </c>
      <c r="D2907">
        <f>3804.4</f>
        <v>3804.4</v>
      </c>
      <c r="E2907">
        <f>1815.109</f>
        <v>1815.1089999999999</v>
      </c>
      <c r="F2907">
        <f>1403.45</f>
        <v>1403.45</v>
      </c>
      <c r="G2907">
        <f>6240.304</f>
        <v>6240.3040000000001</v>
      </c>
      <c r="H2907">
        <f>1846.77</f>
        <v>1846.77</v>
      </c>
      <c r="I2907">
        <f>5654.248</f>
        <v>5654.2479999999996</v>
      </c>
      <c r="J2907">
        <f>1769.9</f>
        <v>1769.9</v>
      </c>
      <c r="K2907">
        <f>4885.83</f>
        <v>4885.83</v>
      </c>
      <c r="L2907">
        <f>1114.11</f>
        <v>1114.1099999999999</v>
      </c>
      <c r="M2907">
        <f>4325.83</f>
        <v>4325.83</v>
      </c>
      <c r="N2907">
        <f>189.904</f>
        <v>189.904</v>
      </c>
      <c r="O2907">
        <f>1573.44</f>
        <v>1573.44</v>
      </c>
      <c r="P2907">
        <f>88.92</f>
        <v>88.92</v>
      </c>
      <c r="Q2907">
        <f>1070.73</f>
        <v>1070.73</v>
      </c>
      <c r="R2907">
        <f>2342.31</f>
        <v>2342.31</v>
      </c>
      <c r="S2907">
        <f>994.37</f>
        <v>994.37</v>
      </c>
      <c r="T2907">
        <f>1926.244</f>
        <v>1926.2439999999999</v>
      </c>
      <c r="U2907">
        <f>33434.04</f>
        <v>33434.04</v>
      </c>
      <c r="V2907">
        <f>256.15</f>
        <v>256.14999999999998</v>
      </c>
    </row>
    <row r="2908" spans="1:22" x14ac:dyDescent="0.2">
      <c r="A2908" s="1">
        <v>41037</v>
      </c>
      <c r="B2908">
        <f>2115.82</f>
        <v>2115.8200000000002</v>
      </c>
      <c r="C2908">
        <f>8651.41</f>
        <v>8651.41</v>
      </c>
      <c r="D2908">
        <f>3810.87</f>
        <v>3810.87</v>
      </c>
      <c r="E2908">
        <f>1842.065</f>
        <v>1842.0650000000001</v>
      </c>
      <c r="F2908">
        <f>1409.25</f>
        <v>1409.25</v>
      </c>
      <c r="G2908">
        <f>6265.103</f>
        <v>6265.1030000000001</v>
      </c>
      <c r="H2908">
        <f>1866.12</f>
        <v>1866.12</v>
      </c>
      <c r="I2908">
        <f>5701.728</f>
        <v>5701.7280000000001</v>
      </c>
      <c r="J2908">
        <f>1780.96</f>
        <v>1780.96</v>
      </c>
      <c r="K2908">
        <f>4917.16</f>
        <v>4917.16</v>
      </c>
      <c r="L2908">
        <f>1122.87</f>
        <v>1122.8699999999999</v>
      </c>
      <c r="M2908">
        <f>4357.42</f>
        <v>4357.42</v>
      </c>
      <c r="N2908">
        <f>190.206</f>
        <v>190.20599999999999</v>
      </c>
      <c r="O2908">
        <f>1576.24</f>
        <v>1576.24</v>
      </c>
      <c r="P2908">
        <f>90.17</f>
        <v>90.17</v>
      </c>
      <c r="Q2908">
        <f>1077.74</f>
        <v>1077.74</v>
      </c>
      <c r="R2908">
        <f>2357.45</f>
        <v>2357.4499999999998</v>
      </c>
      <c r="S2908">
        <f>1008.31</f>
        <v>1008.31</v>
      </c>
      <c r="T2908">
        <f>1940.584</f>
        <v>1940.5840000000001</v>
      </c>
      <c r="U2908">
        <f>33547.77</f>
        <v>33547.769999999997</v>
      </c>
      <c r="V2908">
        <f>258.65</f>
        <v>258.64999999999998</v>
      </c>
    </row>
    <row r="2909" spans="1:22" x14ac:dyDescent="0.2">
      <c r="A2909" s="1">
        <v>41036</v>
      </c>
      <c r="B2909">
        <f>2143.43</f>
        <v>2143.4299999999998</v>
      </c>
      <c r="C2909">
        <f>8741.2</f>
        <v>8741.2000000000007</v>
      </c>
      <c r="D2909">
        <f>3879.83</f>
        <v>3879.83</v>
      </c>
      <c r="E2909">
        <f>1859.288</f>
        <v>1859.288</v>
      </c>
      <c r="F2909">
        <f>1432.98</f>
        <v>1432.98</v>
      </c>
      <c r="G2909">
        <f>6392.276</f>
        <v>6392.2759999999998</v>
      </c>
      <c r="H2909">
        <f>1854.52</f>
        <v>1854.52</v>
      </c>
      <c r="I2909">
        <f>5820.416</f>
        <v>5820.4160000000002</v>
      </c>
      <c r="J2909">
        <f>1786.02</f>
        <v>1786.02</v>
      </c>
      <c r="K2909">
        <f>4937.38</f>
        <v>4937.38</v>
      </c>
      <c r="L2909">
        <f>1131.41</f>
        <v>1131.4100000000001</v>
      </c>
      <c r="M2909">
        <f>4392.73</f>
        <v>4392.7299999999996</v>
      </c>
      <c r="N2909">
        <f>191.371</f>
        <v>191.37100000000001</v>
      </c>
      <c r="O2909">
        <f>1602.26</f>
        <v>1602.26</v>
      </c>
      <c r="P2909">
        <f>90.11</f>
        <v>90.11</v>
      </c>
      <c r="Q2909">
        <f>1080.33</f>
        <v>1080.33</v>
      </c>
      <c r="R2909">
        <f>2367.26</f>
        <v>2367.2600000000002</v>
      </c>
      <c r="S2909">
        <f>1002.46</f>
        <v>1002.46</v>
      </c>
      <c r="T2909">
        <f>1962.447</f>
        <v>1962.4469999999999</v>
      </c>
      <c r="U2909">
        <f>33956.08</f>
        <v>33956.080000000002</v>
      </c>
      <c r="V2909">
        <f>261.24</f>
        <v>261.24</v>
      </c>
    </row>
    <row r="2910" spans="1:22" x14ac:dyDescent="0.2">
      <c r="A2910" s="1">
        <v>41033</v>
      </c>
      <c r="B2910">
        <f>2143.43</f>
        <v>2143.4299999999998</v>
      </c>
      <c r="C2910">
        <f>8847.88</f>
        <v>8847.8799999999992</v>
      </c>
      <c r="D2910">
        <f>3879.83</f>
        <v>3879.83</v>
      </c>
      <c r="E2910">
        <f>1879.754</f>
        <v>1879.7539999999999</v>
      </c>
      <c r="F2910">
        <f>1430.95</f>
        <v>1430.95</v>
      </c>
      <c r="G2910">
        <f>6383.19</f>
        <v>6383.19</v>
      </c>
      <c r="H2910">
        <f>1891.4</f>
        <v>1891.4</v>
      </c>
      <c r="I2910">
        <f>5803.009</f>
        <v>5803.009</v>
      </c>
      <c r="J2910">
        <f>1787.13</f>
        <v>1787.13</v>
      </c>
      <c r="K2910">
        <f>4935</f>
        <v>4935</v>
      </c>
      <c r="L2910">
        <f>1133.13</f>
        <v>1133.1300000000001</v>
      </c>
      <c r="M2910">
        <f>4406.12</f>
        <v>4406.12</v>
      </c>
      <c r="N2910">
        <f>190.53</f>
        <v>190.53</v>
      </c>
      <c r="O2910">
        <f>1590.44</f>
        <v>1590.44</v>
      </c>
      <c r="P2910" t="e">
        <f>NA()</f>
        <v>#N/A</v>
      </c>
      <c r="Q2910">
        <f>1077.98</f>
        <v>1077.98</v>
      </c>
      <c r="R2910">
        <f>2366.39</f>
        <v>2366.39</v>
      </c>
      <c r="S2910" t="e">
        <f>NA()</f>
        <v>#N/A</v>
      </c>
      <c r="T2910">
        <f>1968.746</f>
        <v>1968.7460000000001</v>
      </c>
      <c r="U2910">
        <f>34127.28</f>
        <v>34127.279999999999</v>
      </c>
      <c r="V2910">
        <f>262.75</f>
        <v>262.75</v>
      </c>
    </row>
    <row r="2911" spans="1:22" x14ac:dyDescent="0.2">
      <c r="A2911" s="1">
        <v>41032</v>
      </c>
      <c r="B2911">
        <f>2189.91</f>
        <v>2189.91</v>
      </c>
      <c r="C2911">
        <f>8943.55</f>
        <v>8943.5499999999993</v>
      </c>
      <c r="D2911">
        <f>3956.32</f>
        <v>3956.32</v>
      </c>
      <c r="E2911">
        <f>1900.642</f>
        <v>1900.6420000000001</v>
      </c>
      <c r="F2911">
        <f>1453.13</f>
        <v>1453.13</v>
      </c>
      <c r="G2911">
        <f>6526.039</f>
        <v>6526.0389999999998</v>
      </c>
      <c r="H2911">
        <f>1879.64</f>
        <v>1879.64</v>
      </c>
      <c r="I2911">
        <f>5902.302</f>
        <v>5902.3019999999997</v>
      </c>
      <c r="J2911">
        <f>1806.83</f>
        <v>1806.83</v>
      </c>
      <c r="K2911">
        <f>5016.12</f>
        <v>5016.12</v>
      </c>
      <c r="L2911">
        <f>1144.81</f>
        <v>1144.81</v>
      </c>
      <c r="M2911">
        <f>4472.05</f>
        <v>4472.05</v>
      </c>
      <c r="N2911">
        <f>192.547</f>
        <v>192.547</v>
      </c>
      <c r="O2911">
        <f>1614.39</f>
        <v>1614.39</v>
      </c>
      <c r="P2911" t="e">
        <f>NA()</f>
        <v>#N/A</v>
      </c>
      <c r="Q2911">
        <f>1089.88</f>
        <v>1089.8800000000001</v>
      </c>
      <c r="R2911">
        <f>2405.17</f>
        <v>2405.17</v>
      </c>
      <c r="S2911" t="e">
        <f>NA()</f>
        <v>#N/A</v>
      </c>
      <c r="T2911">
        <f>1966.953</f>
        <v>1966.953</v>
      </c>
      <c r="U2911">
        <f>34375.51</f>
        <v>34375.51</v>
      </c>
      <c r="V2911">
        <f>263.4</f>
        <v>263.39999999999998</v>
      </c>
    </row>
    <row r="2912" spans="1:22" x14ac:dyDescent="0.2">
      <c r="A2912" s="1">
        <v>41031</v>
      </c>
      <c r="B2912">
        <f>2188.05</f>
        <v>2188.0500000000002</v>
      </c>
      <c r="C2912">
        <f>8988.89</f>
        <v>8988.89</v>
      </c>
      <c r="D2912">
        <f>3950.53</f>
        <v>3950.53</v>
      </c>
      <c r="E2912">
        <f>1910.739</f>
        <v>1910.739</v>
      </c>
      <c r="F2912">
        <f>1445.39</f>
        <v>1445.39</v>
      </c>
      <c r="G2912">
        <f>6514.827</f>
        <v>6514.8270000000002</v>
      </c>
      <c r="H2912">
        <f>1884.33</f>
        <v>1884.33</v>
      </c>
      <c r="I2912">
        <f>5900.049</f>
        <v>5900.049</v>
      </c>
      <c r="J2912">
        <f>1813.68</f>
        <v>1813.68</v>
      </c>
      <c r="K2912">
        <f>5057.11</f>
        <v>5057.1099999999997</v>
      </c>
      <c r="L2912">
        <f>1145.93</f>
        <v>1145.93</v>
      </c>
      <c r="M2912">
        <f>4496</f>
        <v>4496</v>
      </c>
      <c r="N2912">
        <f>191.546</f>
        <v>191.54599999999999</v>
      </c>
      <c r="O2912">
        <f>1613.73</f>
        <v>1613.73</v>
      </c>
      <c r="P2912">
        <f>91.2</f>
        <v>91.2</v>
      </c>
      <c r="Q2912">
        <f>1094.68</f>
        <v>1094.68</v>
      </c>
      <c r="R2912">
        <f>2423.29</f>
        <v>2423.29</v>
      </c>
      <c r="S2912">
        <f>1029.46</f>
        <v>1029.46</v>
      </c>
      <c r="T2912">
        <f>1970.375</f>
        <v>1970.375</v>
      </c>
      <c r="U2912">
        <f>34482.43</f>
        <v>34482.43</v>
      </c>
      <c r="V2912">
        <f>262.54</f>
        <v>262.54000000000002</v>
      </c>
    </row>
    <row r="2913" spans="1:22" x14ac:dyDescent="0.2">
      <c r="A2913" s="1">
        <v>41030</v>
      </c>
      <c r="B2913">
        <f>2211.38</f>
        <v>2211.38</v>
      </c>
      <c r="C2913">
        <f>8911.54</f>
        <v>8911.5400000000009</v>
      </c>
      <c r="D2913">
        <f>3985.42</f>
        <v>3985.42</v>
      </c>
      <c r="E2913">
        <f>1902.311</f>
        <v>1902.3109999999999</v>
      </c>
      <c r="F2913">
        <f>1459.9</f>
        <v>1459.9</v>
      </c>
      <c r="G2913">
        <f>6579.096</f>
        <v>6579.0959999999995</v>
      </c>
      <c r="H2913">
        <f>1879.35</f>
        <v>1879.35</v>
      </c>
      <c r="I2913">
        <f>5953.333</f>
        <v>5953.3329999999996</v>
      </c>
      <c r="J2913">
        <f>1818.23</f>
        <v>1818.23</v>
      </c>
      <c r="K2913">
        <f>5068.6</f>
        <v>5068.6000000000004</v>
      </c>
      <c r="L2913">
        <f>1152.53</f>
        <v>1152.53</v>
      </c>
      <c r="M2913">
        <f>4514.21</f>
        <v>4514.21</v>
      </c>
      <c r="N2913">
        <f>191.71</f>
        <v>191.71</v>
      </c>
      <c r="O2913">
        <f>1620.21</f>
        <v>1620.21</v>
      </c>
      <c r="P2913">
        <f>90.89</f>
        <v>90.89</v>
      </c>
      <c r="Q2913">
        <f>1095.9</f>
        <v>1095.9000000000001</v>
      </c>
      <c r="R2913">
        <f>2429.1</f>
        <v>2429.1</v>
      </c>
      <c r="S2913">
        <f>1025.07</f>
        <v>1025.07</v>
      </c>
      <c r="T2913" t="e">
        <f>NA()</f>
        <v>#N/A</v>
      </c>
      <c r="U2913" t="e">
        <f>NA()</f>
        <v>#N/A</v>
      </c>
      <c r="V2913" t="e">
        <f>NA()</f>
        <v>#N/A</v>
      </c>
    </row>
    <row r="2914" spans="1:22" x14ac:dyDescent="0.2">
      <c r="A2914" s="1">
        <v>41029</v>
      </c>
      <c r="B2914">
        <f>2192.88</f>
        <v>2192.88</v>
      </c>
      <c r="C2914">
        <f>8921.15</f>
        <v>8921.15</v>
      </c>
      <c r="D2914">
        <f>3934.37</f>
        <v>3934.37</v>
      </c>
      <c r="E2914">
        <f>1903.164</f>
        <v>1903.164</v>
      </c>
      <c r="F2914">
        <f>1445.29</f>
        <v>1445.29</v>
      </c>
      <c r="G2914">
        <f>6502.209</f>
        <v>6502.2089999999998</v>
      </c>
      <c r="H2914">
        <f>1911.28</f>
        <v>1911.28</v>
      </c>
      <c r="I2914">
        <f>5957.374</f>
        <v>5957.3739999999998</v>
      </c>
      <c r="J2914">
        <f>1810.75</f>
        <v>1810.75</v>
      </c>
      <c r="K2914">
        <f>5040.93</f>
        <v>5040.93</v>
      </c>
      <c r="L2914">
        <f>1150.01</f>
        <v>1150.01</v>
      </c>
      <c r="M2914">
        <f>4503.68</f>
        <v>4503.68</v>
      </c>
      <c r="N2914">
        <f>190.14</f>
        <v>190.14</v>
      </c>
      <c r="O2914">
        <f>1612.62</f>
        <v>1612.62</v>
      </c>
      <c r="P2914" t="e">
        <f>NA()</f>
        <v>#N/A</v>
      </c>
      <c r="Q2914">
        <f>1091.55</f>
        <v>1091.55</v>
      </c>
      <c r="R2914">
        <f>2415.42</f>
        <v>2415.42</v>
      </c>
      <c r="S2914" t="e">
        <f>NA()</f>
        <v>#N/A</v>
      </c>
      <c r="T2914">
        <f>1969.575</f>
        <v>1969.575</v>
      </c>
      <c r="U2914">
        <f>34399.04</f>
        <v>34399.040000000001</v>
      </c>
      <c r="V2914">
        <f>262.28</f>
        <v>262.27999999999997</v>
      </c>
    </row>
    <row r="2915" spans="1:22" x14ac:dyDescent="0.2">
      <c r="A2915" s="1">
        <v>41026</v>
      </c>
      <c r="B2915">
        <f>2210.42</f>
        <v>2210.42</v>
      </c>
      <c r="C2915">
        <f>8847.14</f>
        <v>8847.14</v>
      </c>
      <c r="D2915">
        <f>3961.34</f>
        <v>3961.34</v>
      </c>
      <c r="E2915">
        <f>1890.431</f>
        <v>1890.431</v>
      </c>
      <c r="F2915">
        <f>1450.94</f>
        <v>1450.94</v>
      </c>
      <c r="G2915">
        <f>6545.853</f>
        <v>6545.8530000000001</v>
      </c>
      <c r="H2915">
        <f>1896.9</f>
        <v>1896.9</v>
      </c>
      <c r="I2915">
        <f>6007.966</f>
        <v>6007.9660000000003</v>
      </c>
      <c r="J2915">
        <f>1812.01</f>
        <v>1812.01</v>
      </c>
      <c r="K2915">
        <f>5060.82</f>
        <v>5060.82</v>
      </c>
      <c r="L2915">
        <f>1152.42</f>
        <v>1152.42</v>
      </c>
      <c r="M2915">
        <f>4518.52</f>
        <v>4518.5200000000004</v>
      </c>
      <c r="N2915">
        <f>190.811</f>
        <v>190.81100000000001</v>
      </c>
      <c r="O2915">
        <f>1623.19</f>
        <v>1623.19</v>
      </c>
      <c r="P2915">
        <f>91.4</f>
        <v>91.4</v>
      </c>
      <c r="Q2915">
        <f>1095.68</f>
        <v>1095.68</v>
      </c>
      <c r="R2915">
        <f>2424.78</f>
        <v>2424.7800000000002</v>
      </c>
      <c r="S2915">
        <f>1044.27</f>
        <v>1044.27</v>
      </c>
      <c r="T2915" t="e">
        <f>NA()</f>
        <v>#N/A</v>
      </c>
      <c r="U2915" t="e">
        <f>NA()</f>
        <v>#N/A</v>
      </c>
      <c r="V2915" t="e">
        <f>NA()</f>
        <v>#N/A</v>
      </c>
    </row>
    <row r="2916" spans="1:22" x14ac:dyDescent="0.2">
      <c r="A2916" s="1">
        <v>41025</v>
      </c>
      <c r="B2916">
        <f>2178.36</f>
        <v>2178.36</v>
      </c>
      <c r="C2916">
        <f>8830.1</f>
        <v>8830.1</v>
      </c>
      <c r="D2916">
        <f>3941.87</f>
        <v>3941.87</v>
      </c>
      <c r="E2916">
        <f>1883.332</f>
        <v>1883.3320000000001</v>
      </c>
      <c r="F2916">
        <f>1445.62</f>
        <v>1445.62</v>
      </c>
      <c r="G2916">
        <f>6494.573</f>
        <v>6494.5730000000003</v>
      </c>
      <c r="H2916">
        <f>1906.57</f>
        <v>1906.57</v>
      </c>
      <c r="I2916">
        <f>5943.703</f>
        <v>5943.7030000000004</v>
      </c>
      <c r="J2916">
        <f>1810.8</f>
        <v>1810.8</v>
      </c>
      <c r="K2916">
        <f>5049.03</f>
        <v>5049.03</v>
      </c>
      <c r="L2916">
        <f>1146.12</f>
        <v>1146.1199999999999</v>
      </c>
      <c r="M2916">
        <f>4499.13</f>
        <v>4499.13</v>
      </c>
      <c r="N2916">
        <f>190.209</f>
        <v>190.209</v>
      </c>
      <c r="O2916">
        <f>1610.42</f>
        <v>1610.42</v>
      </c>
      <c r="P2916">
        <f>92.38</f>
        <v>92.38</v>
      </c>
      <c r="Q2916">
        <f>1093.07</f>
        <v>1093.07</v>
      </c>
      <c r="R2916">
        <f>2418.89</f>
        <v>2418.89</v>
      </c>
      <c r="S2916">
        <f>1051.83</f>
        <v>1051.83</v>
      </c>
      <c r="T2916">
        <f>1955.332</f>
        <v>1955.3320000000001</v>
      </c>
      <c r="U2916">
        <f>34251.43</f>
        <v>34251.43</v>
      </c>
      <c r="V2916">
        <f>260.83</f>
        <v>260.83</v>
      </c>
    </row>
    <row r="2917" spans="1:22" x14ac:dyDescent="0.2">
      <c r="A2917" s="1">
        <v>41024</v>
      </c>
      <c r="B2917">
        <f>2185.06</f>
        <v>2185.06</v>
      </c>
      <c r="C2917">
        <f>8800.56</f>
        <v>8800.56</v>
      </c>
      <c r="D2917">
        <f>3921.41</f>
        <v>3921.41</v>
      </c>
      <c r="E2917">
        <f>1875.109</f>
        <v>1875.1089999999999</v>
      </c>
      <c r="F2917">
        <f>1429.06</f>
        <v>1429.06</v>
      </c>
      <c r="G2917">
        <f>6429.326</f>
        <v>6429.326</v>
      </c>
      <c r="H2917">
        <f>1893.13</f>
        <v>1893.13</v>
      </c>
      <c r="I2917">
        <f>5927.293</f>
        <v>5927.2929999999997</v>
      </c>
      <c r="J2917">
        <f>1800.65</f>
        <v>1800.65</v>
      </c>
      <c r="K2917">
        <f>5014.95</f>
        <v>5014.95</v>
      </c>
      <c r="L2917">
        <f>1139.02</f>
        <v>1139.02</v>
      </c>
      <c r="M2917">
        <f>4470.96</f>
        <v>4470.96</v>
      </c>
      <c r="N2917">
        <f>190.436</f>
        <v>190.43600000000001</v>
      </c>
      <c r="O2917">
        <f>1607.38</f>
        <v>1607.38</v>
      </c>
      <c r="P2917">
        <f>91.78</f>
        <v>91.78</v>
      </c>
      <c r="Q2917">
        <f>1085.14</f>
        <v>1085.1400000000001</v>
      </c>
      <c r="R2917">
        <f>2402.71</f>
        <v>2402.71</v>
      </c>
      <c r="S2917">
        <f>1051.04</f>
        <v>1051.04</v>
      </c>
      <c r="T2917">
        <f>1951.374</f>
        <v>1951.374</v>
      </c>
      <c r="U2917">
        <f>34028.81</f>
        <v>34028.81</v>
      </c>
      <c r="V2917">
        <f>259.01</f>
        <v>259.01</v>
      </c>
    </row>
    <row r="2918" spans="1:22" x14ac:dyDescent="0.2">
      <c r="A2918" s="1">
        <v>41023</v>
      </c>
      <c r="B2918">
        <f>2177.93</f>
        <v>2177.9299999999998</v>
      </c>
      <c r="C2918">
        <f>8791.56</f>
        <v>8791.56</v>
      </c>
      <c r="D2918">
        <f>3910.29</f>
        <v>3910.29</v>
      </c>
      <c r="E2918">
        <f>1873.957</f>
        <v>1873.9570000000001</v>
      </c>
      <c r="F2918">
        <f>1433</f>
        <v>1433</v>
      </c>
      <c r="G2918">
        <f>6426.487</f>
        <v>6426.4870000000001</v>
      </c>
      <c r="H2918">
        <f>1887.64</f>
        <v>1887.64</v>
      </c>
      <c r="I2918">
        <f>5845.361</f>
        <v>5845.3609999999999</v>
      </c>
      <c r="J2918">
        <f>1785.68</f>
        <v>1785.68</v>
      </c>
      <c r="K2918">
        <f>4945.08</f>
        <v>4945.08</v>
      </c>
      <c r="L2918">
        <f>1133.56</f>
        <v>1133.56</v>
      </c>
      <c r="M2918">
        <f>4421.85</f>
        <v>4421.8500000000004</v>
      </c>
      <c r="N2918">
        <f>189.255</f>
        <v>189.255</v>
      </c>
      <c r="O2918">
        <f>1589.72</f>
        <v>1589.72</v>
      </c>
      <c r="P2918">
        <f>91.13</f>
        <v>91.13</v>
      </c>
      <c r="Q2918">
        <f>1074.53</f>
        <v>1074.53</v>
      </c>
      <c r="R2918">
        <f>2370.04</f>
        <v>2370.04</v>
      </c>
      <c r="S2918">
        <f>1043.83</f>
        <v>1043.83</v>
      </c>
      <c r="T2918">
        <f>1953.684</f>
        <v>1953.684</v>
      </c>
      <c r="U2918">
        <f>33820.87</f>
        <v>33820.870000000003</v>
      </c>
      <c r="V2918">
        <f>257.98</f>
        <v>257.98</v>
      </c>
    </row>
    <row r="2919" spans="1:22" x14ac:dyDescent="0.2">
      <c r="A2919" s="1">
        <v>41022</v>
      </c>
      <c r="B2919">
        <f>2156.12</f>
        <v>2156.12</v>
      </c>
      <c r="C2919">
        <f>8750.12</f>
        <v>8750.1200000000008</v>
      </c>
      <c r="D2919">
        <f>3880.21</f>
        <v>3880.21</v>
      </c>
      <c r="E2919">
        <f>1868.077</f>
        <v>1868.077</v>
      </c>
      <c r="F2919">
        <f>1421.88</f>
        <v>1421.88</v>
      </c>
      <c r="G2919">
        <f>6356.272</f>
        <v>6356.2719999999999</v>
      </c>
      <c r="H2919">
        <f>1909.17</f>
        <v>1909.17</v>
      </c>
      <c r="I2919">
        <f>5733.758</f>
        <v>5733.7579999999998</v>
      </c>
      <c r="J2919">
        <f>1776.93</f>
        <v>1776.93</v>
      </c>
      <c r="K2919">
        <f>4928.14</f>
        <v>4928.1400000000003</v>
      </c>
      <c r="L2919">
        <f>1123.15</f>
        <v>1123.1500000000001</v>
      </c>
      <c r="M2919">
        <f>4395.31</f>
        <v>4395.3100000000004</v>
      </c>
      <c r="N2919">
        <f>188.634</f>
        <v>188.63399999999999</v>
      </c>
      <c r="O2919">
        <f>1574.2</f>
        <v>1574.2</v>
      </c>
      <c r="P2919">
        <f>91.68</f>
        <v>91.68</v>
      </c>
      <c r="Q2919">
        <f>1071.06</f>
        <v>1071.06</v>
      </c>
      <c r="R2919">
        <f>2361.35</f>
        <v>2361.35</v>
      </c>
      <c r="S2919">
        <f>1051.09</f>
        <v>1051.0899999999999</v>
      </c>
      <c r="T2919">
        <f>1943.765</f>
        <v>1943.7650000000001</v>
      </c>
      <c r="U2919">
        <f>33703.21</f>
        <v>33703.21</v>
      </c>
      <c r="V2919">
        <f>257.64</f>
        <v>257.64</v>
      </c>
    </row>
    <row r="2920" spans="1:22" x14ac:dyDescent="0.2">
      <c r="A2920" s="1">
        <v>41019</v>
      </c>
      <c r="B2920">
        <f>2200.4</f>
        <v>2200.4</v>
      </c>
      <c r="C2920">
        <f>8863.39</f>
        <v>8863.39</v>
      </c>
      <c r="D2920">
        <f>3953.21</f>
        <v>3953.21</v>
      </c>
      <c r="E2920">
        <f>1893.076</f>
        <v>1893.076</v>
      </c>
      <c r="F2920">
        <f>1438.05</f>
        <v>1438.05</v>
      </c>
      <c r="G2920">
        <f>6482.864</f>
        <v>6482.8639999999996</v>
      </c>
      <c r="H2920">
        <f>1900.07</f>
        <v>1900.07</v>
      </c>
      <c r="I2920">
        <f>5928.553</f>
        <v>5928.5529999999999</v>
      </c>
      <c r="J2920">
        <f>1790.7</f>
        <v>1790.7</v>
      </c>
      <c r="K2920">
        <f>4970.18</f>
        <v>4970.18</v>
      </c>
      <c r="L2920">
        <f>1138.14</f>
        <v>1138.1400000000001</v>
      </c>
      <c r="M2920">
        <f>4454.4</f>
        <v>4454.3999999999996</v>
      </c>
      <c r="N2920">
        <f>191.346</f>
        <v>191.346</v>
      </c>
      <c r="O2920">
        <f>1609.03</f>
        <v>1609.03</v>
      </c>
      <c r="P2920">
        <f>91.67</f>
        <v>91.67</v>
      </c>
      <c r="Q2920">
        <f>1082.21</f>
        <v>1082.21</v>
      </c>
      <c r="R2920">
        <f>2381.32</f>
        <v>2381.3200000000002</v>
      </c>
      <c r="S2920">
        <f>1054.21</f>
        <v>1054.21</v>
      </c>
      <c r="T2920">
        <f>1971.678</f>
        <v>1971.6780000000001</v>
      </c>
      <c r="U2920">
        <f>34216.55</f>
        <v>34216.550000000003</v>
      </c>
      <c r="V2920">
        <f>260.96</f>
        <v>260.95999999999998</v>
      </c>
    </row>
    <row r="2921" spans="1:22" x14ac:dyDescent="0.2">
      <c r="A2921" s="1">
        <v>41018</v>
      </c>
      <c r="B2921">
        <f>2178.44</f>
        <v>2178.44</v>
      </c>
      <c r="C2921">
        <f>8858.39</f>
        <v>8858.39</v>
      </c>
      <c r="D2921">
        <f>3934.3</f>
        <v>3934.3</v>
      </c>
      <c r="E2921">
        <f>1896.309</f>
        <v>1896.309</v>
      </c>
      <c r="F2921">
        <f>1424.2</f>
        <v>1424.2</v>
      </c>
      <c r="G2921">
        <f>6430.962</f>
        <v>6430.9620000000004</v>
      </c>
      <c r="H2921">
        <f>1906.63</f>
        <v>1906.63</v>
      </c>
      <c r="I2921">
        <f>5855.574</f>
        <v>5855.5739999999996</v>
      </c>
      <c r="J2921">
        <f>1777.46</f>
        <v>1777.46</v>
      </c>
      <c r="K2921">
        <f>4964.23</f>
        <v>4964.2299999999996</v>
      </c>
      <c r="L2921">
        <f>1129.01</f>
        <v>1129.01</v>
      </c>
      <c r="M2921">
        <f>4439.71</f>
        <v>4439.71</v>
      </c>
      <c r="N2921">
        <f>190.829</f>
        <v>190.82900000000001</v>
      </c>
      <c r="O2921">
        <f>1599.69</f>
        <v>1599.69</v>
      </c>
      <c r="P2921">
        <f>91.71</f>
        <v>91.71</v>
      </c>
      <c r="Q2921">
        <f>1076.18</f>
        <v>1076.18</v>
      </c>
      <c r="R2921">
        <f>2378.48</f>
        <v>2378.48</v>
      </c>
      <c r="S2921">
        <f>1057.05</f>
        <v>1057.05</v>
      </c>
      <c r="T2921">
        <f>1950.698</f>
        <v>1950.6980000000001</v>
      </c>
      <c r="U2921">
        <f>34106.92</f>
        <v>34106.92</v>
      </c>
      <c r="V2921">
        <f>259.67</f>
        <v>259.67</v>
      </c>
    </row>
    <row r="2922" spans="1:22" x14ac:dyDescent="0.2">
      <c r="A2922" s="1">
        <v>41017</v>
      </c>
      <c r="B2922">
        <f>2186.7</f>
        <v>2186.6999999999998</v>
      </c>
      <c r="C2922">
        <f>8846.82</f>
        <v>8846.82</v>
      </c>
      <c r="D2922">
        <f>3934.82</f>
        <v>3934.82</v>
      </c>
      <c r="E2922">
        <f>1896.246</f>
        <v>1896.2460000000001</v>
      </c>
      <c r="F2922">
        <f>1422.29</f>
        <v>1422.29</v>
      </c>
      <c r="G2922">
        <f>6419.564</f>
        <v>6419.5640000000003</v>
      </c>
      <c r="H2922">
        <f>1923.05</f>
        <v>1923.05</v>
      </c>
      <c r="I2922">
        <f>5890.61</f>
        <v>5890.61</v>
      </c>
      <c r="J2922">
        <f>1786.22</f>
        <v>1786.22</v>
      </c>
      <c r="K2922">
        <f>4992.75</f>
        <v>4992.75</v>
      </c>
      <c r="L2922">
        <f>1132.76</f>
        <v>1132.76</v>
      </c>
      <c r="M2922">
        <f>4460.73</f>
        <v>4460.7299999999996</v>
      </c>
      <c r="N2922">
        <f>190.034</f>
        <v>190.03399999999999</v>
      </c>
      <c r="O2922">
        <f>1607.28</f>
        <v>1607.28</v>
      </c>
      <c r="P2922">
        <f>92.59</f>
        <v>92.59</v>
      </c>
      <c r="Q2922">
        <f>1081.87</f>
        <v>1081.8699999999999</v>
      </c>
      <c r="R2922">
        <f>2392.57</f>
        <v>2392.5700000000002</v>
      </c>
      <c r="S2922">
        <f>1063.73</f>
        <v>1063.73</v>
      </c>
      <c r="T2922">
        <f>1949.388</f>
        <v>1949.3879999999999</v>
      </c>
      <c r="U2922">
        <f>34050.24</f>
        <v>34050.239999999998</v>
      </c>
      <c r="V2922">
        <f>259.7</f>
        <v>259.7</v>
      </c>
    </row>
    <row r="2923" spans="1:22" x14ac:dyDescent="0.2">
      <c r="A2923" s="1">
        <v>41016</v>
      </c>
      <c r="B2923">
        <f>2206.91</f>
        <v>2206.91</v>
      </c>
      <c r="C2923">
        <f>8812.08</f>
        <v>8812.08</v>
      </c>
      <c r="D2923">
        <f>3946.04</f>
        <v>3946.04</v>
      </c>
      <c r="E2923">
        <f>1889.422</f>
        <v>1889.422</v>
      </c>
      <c r="F2923">
        <f>1418.67</f>
        <v>1418.67</v>
      </c>
      <c r="G2923">
        <f>6396.304</f>
        <v>6396.3040000000001</v>
      </c>
      <c r="H2923">
        <f>1907.61</f>
        <v>1907.61</v>
      </c>
      <c r="I2923">
        <f>5973.871</f>
        <v>5973.8710000000001</v>
      </c>
      <c r="J2923">
        <f>1791.59</f>
        <v>1791.59</v>
      </c>
      <c r="K2923">
        <f>5012.18</f>
        <v>5012.18</v>
      </c>
      <c r="L2923">
        <f>1136.3</f>
        <v>1136.3</v>
      </c>
      <c r="M2923">
        <f>4471.43</f>
        <v>4471.43</v>
      </c>
      <c r="N2923">
        <f>189.958</f>
        <v>189.958</v>
      </c>
      <c r="O2923">
        <f>1619.23</f>
        <v>1619.23</v>
      </c>
      <c r="P2923">
        <f>91.53</f>
        <v>91.53</v>
      </c>
      <c r="Q2923">
        <f>1084.95</f>
        <v>1084.95</v>
      </c>
      <c r="R2923">
        <f>2402.29</f>
        <v>2402.29</v>
      </c>
      <c r="S2923">
        <f>1042.72</f>
        <v>1042.72</v>
      </c>
      <c r="T2923">
        <f>1937.25</f>
        <v>1937.25</v>
      </c>
      <c r="U2923">
        <f>33777.97</f>
        <v>33777.97</v>
      </c>
      <c r="V2923">
        <f>258.48</f>
        <v>258.48</v>
      </c>
    </row>
    <row r="2924" spans="1:22" x14ac:dyDescent="0.2">
      <c r="A2924" s="1">
        <v>41015</v>
      </c>
      <c r="B2924">
        <f>2172.62</f>
        <v>2172.62</v>
      </c>
      <c r="C2924">
        <f>8804.43</f>
        <v>8804.43</v>
      </c>
      <c r="D2924">
        <f>3877.15</f>
        <v>3877.15</v>
      </c>
      <c r="E2924">
        <f>1889.016</f>
        <v>1889.0160000000001</v>
      </c>
      <c r="F2924">
        <f>1392.05</f>
        <v>1392.05</v>
      </c>
      <c r="G2924">
        <f>6251.586</f>
        <v>6251.5860000000002</v>
      </c>
      <c r="H2924">
        <f>1915.88</f>
        <v>1915.88</v>
      </c>
      <c r="I2924">
        <f>5808.826</f>
        <v>5808.826</v>
      </c>
      <c r="J2924">
        <f>1771.51</f>
        <v>1771.51</v>
      </c>
      <c r="K2924">
        <f>4936.2</f>
        <v>4936.2</v>
      </c>
      <c r="L2924">
        <f>1119.1</f>
        <v>1119.0999999999999</v>
      </c>
      <c r="M2924">
        <f>4401.14</f>
        <v>4401.1400000000003</v>
      </c>
      <c r="N2924">
        <f>187.514</f>
        <v>187.51400000000001</v>
      </c>
      <c r="O2924">
        <f>1586.51</f>
        <v>1586.51</v>
      </c>
      <c r="P2924">
        <f>91.27</f>
        <v>91.27</v>
      </c>
      <c r="Q2924">
        <f>1071.07</f>
        <v>1071.07</v>
      </c>
      <c r="R2924">
        <f>2365.65</f>
        <v>2365.65</v>
      </c>
      <c r="S2924">
        <f>1043.67</f>
        <v>1043.67</v>
      </c>
      <c r="T2924">
        <f>1920.134</f>
        <v>1920.134</v>
      </c>
      <c r="U2924">
        <f>33661.21</f>
        <v>33661.21</v>
      </c>
      <c r="V2924">
        <f>258.4</f>
        <v>258.39999999999998</v>
      </c>
    </row>
    <row r="2925" spans="1:22" x14ac:dyDescent="0.2">
      <c r="A2925" s="1">
        <v>41012</v>
      </c>
      <c r="B2925">
        <f>2179.66</f>
        <v>2179.66</v>
      </c>
      <c r="C2925">
        <f>8862.84</f>
        <v>8862.84</v>
      </c>
      <c r="D2925">
        <f>3867.24</f>
        <v>3867.24</v>
      </c>
      <c r="E2925">
        <f>1901.323</f>
        <v>1901.3230000000001</v>
      </c>
      <c r="F2925">
        <f>1391.01</f>
        <v>1391.01</v>
      </c>
      <c r="G2925">
        <f>6253.667</f>
        <v>6253.6670000000004</v>
      </c>
      <c r="H2925">
        <f>1930.19</f>
        <v>1930.19</v>
      </c>
      <c r="I2925">
        <f>5787.715</f>
        <v>5787.7150000000001</v>
      </c>
      <c r="J2925">
        <f>1761.69</f>
        <v>1761.69</v>
      </c>
      <c r="K2925">
        <f>4940.23</f>
        <v>4940.2299999999996</v>
      </c>
      <c r="L2925">
        <f>1115.53</f>
        <v>1115.53</v>
      </c>
      <c r="M2925">
        <f>4405.58</f>
        <v>4405.58</v>
      </c>
      <c r="N2925">
        <f>186.043</f>
        <v>186.04300000000001</v>
      </c>
      <c r="O2925">
        <f>1578.24</f>
        <v>1578.24</v>
      </c>
      <c r="P2925">
        <f>91.74</f>
        <v>91.74</v>
      </c>
      <c r="Q2925">
        <f>1065.38</f>
        <v>1065.3800000000001</v>
      </c>
      <c r="R2925">
        <f>2366.84</f>
        <v>2366.84</v>
      </c>
      <c r="S2925">
        <f>1058.8</f>
        <v>1058.8</v>
      </c>
      <c r="T2925">
        <f>1927.44</f>
        <v>1927.44</v>
      </c>
      <c r="U2925">
        <f>33705.03</f>
        <v>33705.03</v>
      </c>
      <c r="V2925">
        <f>257.97</f>
        <v>257.97000000000003</v>
      </c>
    </row>
    <row r="2926" spans="1:22" x14ac:dyDescent="0.2">
      <c r="A2926" s="1">
        <v>41011</v>
      </c>
      <c r="B2926">
        <f>2205.79</f>
        <v>2205.79</v>
      </c>
      <c r="C2926">
        <f>8826.76</f>
        <v>8826.76</v>
      </c>
      <c r="D2926">
        <f>3907.39</f>
        <v>3907.39</v>
      </c>
      <c r="E2926">
        <f>1896.358</f>
        <v>1896.3579999999999</v>
      </c>
      <c r="F2926">
        <f>1404.77</f>
        <v>1404.77</v>
      </c>
      <c r="G2926">
        <f>6346.178</f>
        <v>6346.1779999999999</v>
      </c>
      <c r="H2926">
        <f>1910.29</f>
        <v>1910.29</v>
      </c>
      <c r="I2926">
        <f>5937.697</f>
        <v>5937.6970000000001</v>
      </c>
      <c r="J2926">
        <f>1773.78</f>
        <v>1773.78</v>
      </c>
      <c r="K2926">
        <f>5001.26</f>
        <v>5001.26</v>
      </c>
      <c r="L2926">
        <f>1127.69</f>
        <v>1127.69</v>
      </c>
      <c r="M2926">
        <f>4460.06</f>
        <v>4460.0600000000004</v>
      </c>
      <c r="N2926">
        <f>188.014</f>
        <v>188.01400000000001</v>
      </c>
      <c r="O2926">
        <f>1603.1</f>
        <v>1603.1</v>
      </c>
      <c r="P2926">
        <f>90.9</f>
        <v>90.9</v>
      </c>
      <c r="Q2926">
        <f>1073.63</f>
        <v>1073.6300000000001</v>
      </c>
      <c r="R2926">
        <f>2396.69</f>
        <v>2396.69</v>
      </c>
      <c r="S2926">
        <f>1051.53</f>
        <v>1051.53</v>
      </c>
      <c r="T2926">
        <f>1924.745</f>
        <v>1924.7449999999999</v>
      </c>
      <c r="U2926">
        <f>33816.96</f>
        <v>33816.959999999999</v>
      </c>
      <c r="V2926">
        <f>258.68</f>
        <v>258.68</v>
      </c>
    </row>
    <row r="2927" spans="1:22" x14ac:dyDescent="0.2">
      <c r="A2927" s="1">
        <v>41010</v>
      </c>
      <c r="B2927">
        <f>2180.7</f>
        <v>2180.6999999999998</v>
      </c>
      <c r="C2927">
        <f>8716.99</f>
        <v>8716.99</v>
      </c>
      <c r="D2927">
        <f>3855.57</f>
        <v>3855.57</v>
      </c>
      <c r="E2927">
        <f>1880.015</f>
        <v>1880.0150000000001</v>
      </c>
      <c r="F2927">
        <f>1398.52</f>
        <v>1398.52</v>
      </c>
      <c r="G2927">
        <f>6245.011</f>
        <v>6245.0110000000004</v>
      </c>
      <c r="H2927">
        <f>1898.18</f>
        <v>1898.18</v>
      </c>
      <c r="I2927">
        <f>5852.409</f>
        <v>5852.4089999999997</v>
      </c>
      <c r="J2927">
        <f>1757.72</f>
        <v>1757.72</v>
      </c>
      <c r="K2927">
        <f>4932.9</f>
        <v>4932.8999999999996</v>
      </c>
      <c r="L2927">
        <f>1118.32</f>
        <v>1118.32</v>
      </c>
      <c r="M2927">
        <f>4398.56</f>
        <v>4398.5600000000004</v>
      </c>
      <c r="N2927">
        <f>186.036</f>
        <v>186.036</v>
      </c>
      <c r="O2927">
        <f>1586.91</f>
        <v>1586.91</v>
      </c>
      <c r="P2927">
        <f>91.07</f>
        <v>91.07</v>
      </c>
      <c r="Q2927">
        <f>1061.54</f>
        <v>1061.54</v>
      </c>
      <c r="R2927">
        <f>2364.09</f>
        <v>2364.09</v>
      </c>
      <c r="S2927">
        <f>1046.29</f>
        <v>1046.29</v>
      </c>
      <c r="T2927">
        <f>1921.648</f>
        <v>1921.6479999999999</v>
      </c>
      <c r="U2927">
        <f>33632.76</f>
        <v>33632.76</v>
      </c>
      <c r="V2927">
        <f>257.83</f>
        <v>257.83</v>
      </c>
    </row>
    <row r="2928" spans="1:22" x14ac:dyDescent="0.2">
      <c r="A2928" s="1">
        <v>41009</v>
      </c>
      <c r="B2928">
        <f>2165.29</f>
        <v>2165.29</v>
      </c>
      <c r="C2928">
        <f>8711.83</f>
        <v>8711.83</v>
      </c>
      <c r="D2928">
        <f>3827.87</f>
        <v>3827.87</v>
      </c>
      <c r="E2928">
        <f>1879.862</f>
        <v>1879.8620000000001</v>
      </c>
      <c r="F2928">
        <f>1382.35</f>
        <v>1382.35</v>
      </c>
      <c r="G2928">
        <f>6174.591</f>
        <v>6174.5910000000003</v>
      </c>
      <c r="H2928">
        <f>1919.85</f>
        <v>1919.85</v>
      </c>
      <c r="I2928">
        <f>5794.847</f>
        <v>5794.8469999999998</v>
      </c>
      <c r="J2928">
        <f>1750.07</f>
        <v>1750.07</v>
      </c>
      <c r="K2928">
        <f>4895.25</f>
        <v>4895.25</v>
      </c>
      <c r="L2928">
        <f>1113.12</f>
        <v>1113.1199999999999</v>
      </c>
      <c r="M2928">
        <f>4372.87</f>
        <v>4372.87</v>
      </c>
      <c r="N2928">
        <f>185.258</f>
        <v>185.25800000000001</v>
      </c>
      <c r="O2928">
        <f>1575.37</f>
        <v>1575.37</v>
      </c>
      <c r="P2928">
        <f>91.86</f>
        <v>91.86</v>
      </c>
      <c r="Q2928">
        <f>1051.01</f>
        <v>1051.01</v>
      </c>
      <c r="R2928">
        <f>2346.27</f>
        <v>2346.27</v>
      </c>
      <c r="S2928">
        <f>1056.14</f>
        <v>1056.1400000000001</v>
      </c>
      <c r="T2928">
        <f>1928.443</f>
        <v>1928.443</v>
      </c>
      <c r="U2928">
        <f>33617.74</f>
        <v>33617.74</v>
      </c>
      <c r="V2928">
        <f>258.39</f>
        <v>258.39</v>
      </c>
    </row>
    <row r="2929" spans="1:22" x14ac:dyDescent="0.2">
      <c r="A2929" s="1">
        <v>41008</v>
      </c>
      <c r="B2929">
        <f>2205.42</f>
        <v>2205.42</v>
      </c>
      <c r="C2929">
        <f>8784.76</f>
        <v>8784.76</v>
      </c>
      <c r="D2929">
        <f>3915.52</f>
        <v>3915.52</v>
      </c>
      <c r="E2929">
        <f>1898.446</f>
        <v>1898.4459999999999</v>
      </c>
      <c r="F2929">
        <f>1404.33</f>
        <v>1404.33</v>
      </c>
      <c r="G2929">
        <f>6324.965</f>
        <v>6324.9650000000001</v>
      </c>
      <c r="H2929">
        <f>1904.75</f>
        <v>1904.75</v>
      </c>
      <c r="I2929">
        <f>5938.263</f>
        <v>5938.2629999999999</v>
      </c>
      <c r="J2929">
        <f>1775.89</f>
        <v>1775.89</v>
      </c>
      <c r="K2929">
        <f>4981.53</f>
        <v>4981.53</v>
      </c>
      <c r="L2929">
        <f>1128.64</f>
        <v>1128.6400000000001</v>
      </c>
      <c r="M2929">
        <f>4444.9</f>
        <v>4444.8999999999996</v>
      </c>
      <c r="N2929" t="e">
        <f>NA()</f>
        <v>#N/A</v>
      </c>
      <c r="O2929" t="e">
        <f>NA()</f>
        <v>#N/A</v>
      </c>
      <c r="P2929">
        <f>91.81</f>
        <v>91.81</v>
      </c>
      <c r="Q2929">
        <f>1068.53</f>
        <v>1068.53</v>
      </c>
      <c r="R2929">
        <f>2387.03</f>
        <v>2387.0300000000002</v>
      </c>
      <c r="S2929">
        <f>1056.48</f>
        <v>1056.48</v>
      </c>
      <c r="T2929" t="e">
        <f>NA()</f>
        <v>#N/A</v>
      </c>
      <c r="U2929" t="e">
        <f>NA()</f>
        <v>#N/A</v>
      </c>
      <c r="V2929" t="e">
        <f>NA()</f>
        <v>#N/A</v>
      </c>
    </row>
    <row r="2930" spans="1:22" x14ac:dyDescent="0.2">
      <c r="A2930" s="1">
        <v>41005</v>
      </c>
      <c r="B2930">
        <f>2205.42</f>
        <v>2205.42</v>
      </c>
      <c r="C2930">
        <f>8842.02</f>
        <v>8842.02</v>
      </c>
      <c r="D2930">
        <f>3915.52</f>
        <v>3915.52</v>
      </c>
      <c r="E2930">
        <f>1917.66</f>
        <v>1917.66</v>
      </c>
      <c r="F2930">
        <f>1401.76</f>
        <v>1401.76</v>
      </c>
      <c r="G2930">
        <f>6313.399</f>
        <v>6313.3990000000003</v>
      </c>
      <c r="H2930">
        <f>1906.18</f>
        <v>1906.18</v>
      </c>
      <c r="I2930">
        <f>5938.077</f>
        <v>5938.0770000000002</v>
      </c>
      <c r="J2930">
        <f>1793.92</f>
        <v>1793.92</v>
      </c>
      <c r="K2930">
        <f>5037.97</f>
        <v>5037.97</v>
      </c>
      <c r="L2930">
        <f>1133.05</f>
        <v>1133.05</v>
      </c>
      <c r="M2930">
        <f>4475.7</f>
        <v>4475.7</v>
      </c>
      <c r="N2930" t="e">
        <f>NA()</f>
        <v>#N/A</v>
      </c>
      <c r="O2930" t="e">
        <f>NA()</f>
        <v>#N/A</v>
      </c>
      <c r="P2930">
        <f>92.54</f>
        <v>92.54</v>
      </c>
      <c r="Q2930" t="e">
        <f>NA()</f>
        <v>#N/A</v>
      </c>
      <c r="R2930" t="e">
        <f>NA()</f>
        <v>#N/A</v>
      </c>
      <c r="S2930">
        <f>1072.08</f>
        <v>1072.08</v>
      </c>
      <c r="T2930" t="e">
        <f>NA()</f>
        <v>#N/A</v>
      </c>
      <c r="U2930" t="e">
        <f>NA()</f>
        <v>#N/A</v>
      </c>
      <c r="V2930" t="e">
        <f>NA()</f>
        <v>#N/A</v>
      </c>
    </row>
    <row r="2931" spans="1:22" x14ac:dyDescent="0.2">
      <c r="A2931" s="1">
        <v>41004</v>
      </c>
      <c r="B2931">
        <f>2205.42</f>
        <v>2205.42</v>
      </c>
      <c r="C2931">
        <f>8841.45</f>
        <v>8841.4500000000007</v>
      </c>
      <c r="D2931">
        <f>3915.52</f>
        <v>3915.52</v>
      </c>
      <c r="E2931">
        <f>1918.547</f>
        <v>1918.547</v>
      </c>
      <c r="F2931">
        <f>1401.76</f>
        <v>1401.76</v>
      </c>
      <c r="G2931">
        <f>6313.399</f>
        <v>6313.3990000000003</v>
      </c>
      <c r="H2931">
        <f>1915.16</f>
        <v>1915.16</v>
      </c>
      <c r="I2931">
        <f>5938.077</f>
        <v>5938.0770000000002</v>
      </c>
      <c r="J2931">
        <f>1793.92</f>
        <v>1793.92</v>
      </c>
      <c r="K2931">
        <f>5037.97</f>
        <v>5037.97</v>
      </c>
      <c r="L2931">
        <f>1133.23</f>
        <v>1133.23</v>
      </c>
      <c r="M2931">
        <f>4479.38</f>
        <v>4479.38</v>
      </c>
      <c r="N2931">
        <f>188.129</f>
        <v>188.12899999999999</v>
      </c>
      <c r="O2931">
        <f>1614.45</f>
        <v>1614.45</v>
      </c>
      <c r="P2931">
        <f>92.63</f>
        <v>92.63</v>
      </c>
      <c r="Q2931">
        <f>1080.38</f>
        <v>1080.3800000000001</v>
      </c>
      <c r="R2931">
        <f>2414.4</f>
        <v>2414.4</v>
      </c>
      <c r="S2931">
        <f>1081</f>
        <v>1081</v>
      </c>
      <c r="T2931">
        <f>1923.712</f>
        <v>1923.712</v>
      </c>
      <c r="U2931">
        <f>33732.2</f>
        <v>33732.199999999997</v>
      </c>
      <c r="V2931">
        <f>258.24</f>
        <v>258.24</v>
      </c>
    </row>
    <row r="2932" spans="1:22" x14ac:dyDescent="0.2">
      <c r="A2932" s="1">
        <v>41003</v>
      </c>
      <c r="B2932">
        <f>2209.84</f>
        <v>2209.84</v>
      </c>
      <c r="C2932">
        <f>8876.45</f>
        <v>8876.4500000000007</v>
      </c>
      <c r="D2932">
        <f>3901.9</f>
        <v>3901.9</v>
      </c>
      <c r="E2932">
        <f>1918.37</f>
        <v>1918.37</v>
      </c>
      <c r="F2932">
        <f>1404.58</f>
        <v>1404.58</v>
      </c>
      <c r="G2932">
        <f>6309.404</f>
        <v>6309.4040000000005</v>
      </c>
      <c r="H2932">
        <f>1918.69</f>
        <v>1918.69</v>
      </c>
      <c r="I2932">
        <f>5962.094</f>
        <v>5962.0940000000001</v>
      </c>
      <c r="J2932">
        <f>1795.89</f>
        <v>1795.89</v>
      </c>
      <c r="K2932">
        <f>5039.14</f>
        <v>5039.1400000000003</v>
      </c>
      <c r="L2932">
        <f>1136.86</f>
        <v>1136.8599999999999</v>
      </c>
      <c r="M2932">
        <f>4483.87</f>
        <v>4483.87</v>
      </c>
      <c r="N2932">
        <f>187.757</f>
        <v>187.75700000000001</v>
      </c>
      <c r="O2932">
        <f>1612.01</f>
        <v>1612.01</v>
      </c>
      <c r="P2932">
        <f>93.06</f>
        <v>93.06</v>
      </c>
      <c r="Q2932">
        <f>1080.6</f>
        <v>1080.5999999999999</v>
      </c>
      <c r="R2932">
        <f>2415.05</f>
        <v>2415.0500000000002</v>
      </c>
      <c r="S2932">
        <f>1084.62</f>
        <v>1084.6199999999999</v>
      </c>
      <c r="T2932">
        <f>1914.094</f>
        <v>1914.0940000000001</v>
      </c>
      <c r="U2932">
        <f>33404.32</f>
        <v>33404.32</v>
      </c>
      <c r="V2932">
        <f>255.97</f>
        <v>255.97</v>
      </c>
    </row>
    <row r="2933" spans="1:22" x14ac:dyDescent="0.2">
      <c r="A2933" s="1">
        <v>41002</v>
      </c>
      <c r="B2933">
        <f>2276.37</f>
        <v>2276.37</v>
      </c>
      <c r="C2933">
        <f>9012.73</f>
        <v>9012.73</v>
      </c>
      <c r="D2933">
        <f>3993.21</f>
        <v>3993.21</v>
      </c>
      <c r="E2933">
        <f>1952.17</f>
        <v>1952.17</v>
      </c>
      <c r="F2933">
        <f>1442.26</f>
        <v>1442.26</v>
      </c>
      <c r="G2933">
        <f>6494.894</f>
        <v>6494.8940000000002</v>
      </c>
      <c r="H2933">
        <f>1952.33</f>
        <v>1952.33</v>
      </c>
      <c r="I2933">
        <f>6216.969</f>
        <v>6216.9690000000001</v>
      </c>
      <c r="J2933">
        <f>1807.52</f>
        <v>1807.52</v>
      </c>
      <c r="K2933">
        <f>5091.81</f>
        <v>5091.8100000000004</v>
      </c>
      <c r="L2933">
        <f>1157.13</f>
        <v>1157.1300000000001</v>
      </c>
      <c r="M2933">
        <f>4570.58</f>
        <v>4570.58</v>
      </c>
      <c r="N2933">
        <f>190.765</f>
        <v>190.76499999999999</v>
      </c>
      <c r="O2933">
        <f>1645.44</f>
        <v>1645.44</v>
      </c>
      <c r="P2933">
        <f>94.36</f>
        <v>94.36</v>
      </c>
      <c r="Q2933">
        <f>1088.54</f>
        <v>1088.54</v>
      </c>
      <c r="R2933">
        <f>2439.89</f>
        <v>2439.89</v>
      </c>
      <c r="S2933">
        <f>1104.95</f>
        <v>1104.95</v>
      </c>
      <c r="T2933">
        <f>1938.442</f>
        <v>1938.442</v>
      </c>
      <c r="U2933">
        <f>34192.19</f>
        <v>34192.19</v>
      </c>
      <c r="V2933">
        <f>260.65</f>
        <v>260.64999999999998</v>
      </c>
    </row>
    <row r="2934" spans="1:22" x14ac:dyDescent="0.2">
      <c r="A2934" s="1">
        <v>41001</v>
      </c>
      <c r="B2934">
        <f>2284.02</f>
        <v>2284.02</v>
      </c>
      <c r="C2934">
        <f>8991.07</f>
        <v>8991.07</v>
      </c>
      <c r="D2934">
        <f>4018.21</f>
        <v>4018.21</v>
      </c>
      <c r="E2934">
        <f>1937.468</f>
        <v>1937.4680000000001</v>
      </c>
      <c r="F2934">
        <f>1450.1</f>
        <v>1450.1</v>
      </c>
      <c r="G2934">
        <f>6553.011</f>
        <v>6553.0110000000004</v>
      </c>
      <c r="H2934">
        <f>1970.46</f>
        <v>1970.46</v>
      </c>
      <c r="I2934">
        <f>6267.824</f>
        <v>6267.8239999999996</v>
      </c>
      <c r="J2934">
        <f>1817.32</f>
        <v>1817.32</v>
      </c>
      <c r="K2934">
        <f>5110.26</f>
        <v>5110.26</v>
      </c>
      <c r="L2934">
        <f>1163.9</f>
        <v>1163.9000000000001</v>
      </c>
      <c r="M2934">
        <f>4595.59</f>
        <v>4595.59</v>
      </c>
      <c r="N2934">
        <f>192.358</f>
        <v>192.358</v>
      </c>
      <c r="O2934">
        <f>1663.86</f>
        <v>1663.86</v>
      </c>
      <c r="P2934">
        <f>94.75</f>
        <v>94.75</v>
      </c>
      <c r="Q2934">
        <f>1092.78</f>
        <v>1092.78</v>
      </c>
      <c r="R2934">
        <f>2449.08</f>
        <v>2449.08</v>
      </c>
      <c r="S2934">
        <f>1111.48</f>
        <v>1111.48</v>
      </c>
      <c r="T2934">
        <f>1928.716</f>
        <v>1928.7159999999999</v>
      </c>
      <c r="U2934">
        <f>33974.63</f>
        <v>33974.629999999997</v>
      </c>
      <c r="V2934">
        <f>259.63</f>
        <v>259.63</v>
      </c>
    </row>
    <row r="2935" spans="1:22" x14ac:dyDescent="0.2">
      <c r="A2935" s="1">
        <v>40998</v>
      </c>
      <c r="B2935">
        <f>2261.5</f>
        <v>2261.5</v>
      </c>
      <c r="C2935">
        <f>8962.07</f>
        <v>8962.07</v>
      </c>
      <c r="D2935">
        <f>3945.41</f>
        <v>3945.41</v>
      </c>
      <c r="E2935">
        <f>1925.642</f>
        <v>1925.6420000000001</v>
      </c>
      <c r="F2935">
        <f>1420.2</f>
        <v>1420.2</v>
      </c>
      <c r="G2935">
        <f>6419.802</f>
        <v>6419.8019999999997</v>
      </c>
      <c r="H2935">
        <f>1956.32</f>
        <v>1956.32</v>
      </c>
      <c r="I2935">
        <f>6200.755</f>
        <v>6200.7550000000001</v>
      </c>
      <c r="J2935">
        <f>1807.82</f>
        <v>1807.82</v>
      </c>
      <c r="K2935">
        <f>5071.5</f>
        <v>5071.5</v>
      </c>
      <c r="L2935">
        <f>1152.88</f>
        <v>1152.8800000000001</v>
      </c>
      <c r="M2935">
        <f>4552.2</f>
        <v>4552.2</v>
      </c>
      <c r="N2935">
        <f>188.703</f>
        <v>188.703</v>
      </c>
      <c r="O2935">
        <f>1639.01</f>
        <v>1639.01</v>
      </c>
      <c r="P2935">
        <f>95.1</f>
        <v>95.1</v>
      </c>
      <c r="Q2935">
        <f>1083.62</f>
        <v>1083.6199999999999</v>
      </c>
      <c r="R2935">
        <f>2430.67</f>
        <v>2430.67</v>
      </c>
      <c r="S2935">
        <f>1109.28</f>
        <v>1109.28</v>
      </c>
      <c r="T2935">
        <f>1905.17</f>
        <v>1905.17</v>
      </c>
      <c r="U2935">
        <f>33554.21</f>
        <v>33554.21</v>
      </c>
      <c r="V2935">
        <f>258.5</f>
        <v>258.5</v>
      </c>
    </row>
    <row r="2936" spans="1:22" x14ac:dyDescent="0.2">
      <c r="A2936" s="1">
        <v>40997</v>
      </c>
      <c r="B2936">
        <f>2244.04</f>
        <v>2244.04</v>
      </c>
      <c r="C2936">
        <f>8881.44</f>
        <v>8881.44</v>
      </c>
      <c r="D2936">
        <f>3927.34</f>
        <v>3927.34</v>
      </c>
      <c r="E2936">
        <f>1909.174</f>
        <v>1909.174</v>
      </c>
      <c r="F2936">
        <f>1417.22</f>
        <v>1417.22</v>
      </c>
      <c r="G2936">
        <f>6363.588</f>
        <v>6363.5879999999997</v>
      </c>
      <c r="H2936">
        <f>1965.91</f>
        <v>1965.91</v>
      </c>
      <c r="I2936">
        <f>6107.668</f>
        <v>6107.6679999999997</v>
      </c>
      <c r="J2936">
        <f>1798.19</f>
        <v>1798.19</v>
      </c>
      <c r="K2936">
        <f>5052.34</f>
        <v>5052.34</v>
      </c>
      <c r="L2936">
        <f>1145.76</f>
        <v>1145.76</v>
      </c>
      <c r="M2936">
        <f>4529.02</f>
        <v>4529.0200000000004</v>
      </c>
      <c r="N2936">
        <f>187.624</f>
        <v>187.624</v>
      </c>
      <c r="O2936">
        <f>1624.17</f>
        <v>1624.17</v>
      </c>
      <c r="P2936">
        <f>95.17</f>
        <v>95.17</v>
      </c>
      <c r="Q2936">
        <f>1079.96</f>
        <v>1079.96</v>
      </c>
      <c r="R2936">
        <f>2421.7</f>
        <v>2421.6999999999998</v>
      </c>
      <c r="S2936">
        <f>1113.68</f>
        <v>1113.68</v>
      </c>
      <c r="T2936">
        <f>1898.581</f>
        <v>1898.5809999999999</v>
      </c>
      <c r="U2936">
        <f>33483.26</f>
        <v>33483.26</v>
      </c>
      <c r="V2936">
        <f>257.14</f>
        <v>257.14</v>
      </c>
    </row>
    <row r="2937" spans="1:22" x14ac:dyDescent="0.2">
      <c r="A2937" s="1">
        <v>40996</v>
      </c>
      <c r="B2937">
        <f>2284.99</f>
        <v>2284.9899999999998</v>
      </c>
      <c r="C2937">
        <f>8991.93</f>
        <v>8991.93</v>
      </c>
      <c r="D2937">
        <f>3973.13</f>
        <v>3973.13</v>
      </c>
      <c r="E2937">
        <f>1930.017</f>
        <v>1930.0170000000001</v>
      </c>
      <c r="F2937">
        <f>1421.5</f>
        <v>1421.5</v>
      </c>
      <c r="G2937">
        <f>6413.587</f>
        <v>6413.5870000000004</v>
      </c>
      <c r="H2937">
        <f>1973.7</f>
        <v>1973.7</v>
      </c>
      <c r="I2937">
        <f>6208.494</f>
        <v>6208.4939999999997</v>
      </c>
      <c r="J2937">
        <f>1796.36</f>
        <v>1796.36</v>
      </c>
      <c r="K2937">
        <f>5059.42</f>
        <v>5059.42</v>
      </c>
      <c r="L2937">
        <f>1152.9</f>
        <v>1152.9000000000001</v>
      </c>
      <c r="M2937">
        <f>4553.14</f>
        <v>4553.1400000000003</v>
      </c>
      <c r="N2937">
        <f>188.363</f>
        <v>188.363</v>
      </c>
      <c r="O2937">
        <f>1644.32</f>
        <v>1644.32</v>
      </c>
      <c r="P2937">
        <f>94.93</f>
        <v>94.93</v>
      </c>
      <c r="Q2937">
        <f>1080.13</f>
        <v>1080.1300000000001</v>
      </c>
      <c r="R2937">
        <f>2425.55</f>
        <v>2425.5500000000002</v>
      </c>
      <c r="S2937">
        <f>1122.36</f>
        <v>1122.3599999999999</v>
      </c>
      <c r="T2937">
        <f>1899.588</f>
        <v>1899.588</v>
      </c>
      <c r="U2937">
        <f>33621.93</f>
        <v>33621.93</v>
      </c>
      <c r="V2937">
        <f>257.09</f>
        <v>257.08999999999997</v>
      </c>
    </row>
    <row r="2938" spans="1:22" x14ac:dyDescent="0.2">
      <c r="A2938" s="1">
        <v>40995</v>
      </c>
      <c r="B2938">
        <f>2314.7</f>
        <v>2314.6999999999998</v>
      </c>
      <c r="C2938">
        <f>9105.35</f>
        <v>9105.35</v>
      </c>
      <c r="D2938">
        <f>4011.16</f>
        <v>4011.16</v>
      </c>
      <c r="E2938">
        <f>1951.245</f>
        <v>1951.2449999999999</v>
      </c>
      <c r="F2938">
        <f>1439.89</f>
        <v>1439.89</v>
      </c>
      <c r="G2938">
        <f>6521.107</f>
        <v>6521.107</v>
      </c>
      <c r="H2938">
        <f>1977.62</f>
        <v>1977.62</v>
      </c>
      <c r="I2938">
        <f>6275.127</f>
        <v>6275.1270000000004</v>
      </c>
      <c r="J2938">
        <f>1805.67</f>
        <v>1805.67</v>
      </c>
      <c r="K2938">
        <f>5084.45</f>
        <v>5084.45</v>
      </c>
      <c r="L2938">
        <f>1161.08</f>
        <v>1161.08</v>
      </c>
      <c r="M2938">
        <f>4581.67</f>
        <v>4581.67</v>
      </c>
      <c r="N2938">
        <f>189.387</f>
        <v>189.387</v>
      </c>
      <c r="O2938">
        <f>1661</f>
        <v>1661</v>
      </c>
      <c r="P2938">
        <f>95.25</f>
        <v>95.25</v>
      </c>
      <c r="Q2938">
        <f>1084.16</f>
        <v>1084.1600000000001</v>
      </c>
      <c r="R2938">
        <f>2437.01</f>
        <v>2437.0100000000002</v>
      </c>
      <c r="S2938">
        <f>1120.97</f>
        <v>1120.97</v>
      </c>
      <c r="T2938">
        <f>1899.141</f>
        <v>1899.1410000000001</v>
      </c>
      <c r="U2938">
        <f>33858.22</f>
        <v>33858.22</v>
      </c>
      <c r="V2938">
        <f>258.09</f>
        <v>258.08999999999997</v>
      </c>
    </row>
    <row r="2939" spans="1:22" x14ac:dyDescent="0.2">
      <c r="A2939" s="1">
        <v>40994</v>
      </c>
      <c r="B2939">
        <f>2331.96</f>
        <v>2331.96</v>
      </c>
      <c r="C2939">
        <f>9014.22</f>
        <v>9014.2199999999993</v>
      </c>
      <c r="D2939">
        <f>4033.82</f>
        <v>4033.82</v>
      </c>
      <c r="E2939">
        <f>1930.685</f>
        <v>1930.6849999999999</v>
      </c>
      <c r="F2939">
        <f>1449.41</f>
        <v>1449.41</v>
      </c>
      <c r="G2939">
        <f>6544.646</f>
        <v>6544.6459999999997</v>
      </c>
      <c r="H2939">
        <f>1943.52</f>
        <v>1943.52</v>
      </c>
      <c r="I2939">
        <f>6309.814</f>
        <v>6309.8140000000003</v>
      </c>
      <c r="J2939">
        <f>1807.13</f>
        <v>1807.13</v>
      </c>
      <c r="K2939">
        <f>5099.24</f>
        <v>5099.24</v>
      </c>
      <c r="L2939">
        <f>1162.91</f>
        <v>1162.9100000000001</v>
      </c>
      <c r="M2939">
        <f>4585.05</f>
        <v>4585.05</v>
      </c>
      <c r="N2939">
        <f>189.919</f>
        <v>189.91900000000001</v>
      </c>
      <c r="O2939">
        <f>1669.22</f>
        <v>1669.22</v>
      </c>
      <c r="P2939">
        <f>93.45</f>
        <v>93.45</v>
      </c>
      <c r="Q2939">
        <f>1084.12</f>
        <v>1084.1199999999999</v>
      </c>
      <c r="R2939">
        <f>2443.64</f>
        <v>2443.64</v>
      </c>
      <c r="S2939">
        <f>1094.5</f>
        <v>1094.5</v>
      </c>
      <c r="T2939">
        <f>1877.507</f>
        <v>1877.5070000000001</v>
      </c>
      <c r="U2939">
        <f>33664.46</f>
        <v>33664.46</v>
      </c>
      <c r="V2939">
        <f>255.22</f>
        <v>255.22</v>
      </c>
    </row>
    <row r="2940" spans="1:22" x14ac:dyDescent="0.2">
      <c r="A2940" s="1">
        <v>40991</v>
      </c>
      <c r="B2940">
        <f>2313.9</f>
        <v>2313.9</v>
      </c>
      <c r="C2940">
        <f>8969.37</f>
        <v>8969.3700000000008</v>
      </c>
      <c r="D2940">
        <f>4001.14</f>
        <v>4001.14</v>
      </c>
      <c r="E2940">
        <f>1925.329</f>
        <v>1925.329</v>
      </c>
      <c r="F2940">
        <f>1429.11</f>
        <v>1429.11</v>
      </c>
      <c r="G2940">
        <f>6462.357</f>
        <v>6462.357</v>
      </c>
      <c r="H2940">
        <f>1957.07</f>
        <v>1957.07</v>
      </c>
      <c r="I2940">
        <f>6220.376</f>
        <v>6220.3760000000002</v>
      </c>
      <c r="J2940">
        <f>1785.95</f>
        <v>1785.95</v>
      </c>
      <c r="K2940">
        <f>5030.1</f>
        <v>5030.1000000000004</v>
      </c>
      <c r="L2940">
        <f>1150.96</f>
        <v>1150.96</v>
      </c>
      <c r="M2940">
        <f>4532.5</f>
        <v>4532.5</v>
      </c>
      <c r="N2940">
        <f>187.976</f>
        <v>187.976</v>
      </c>
      <c r="O2940">
        <f>1654.6</f>
        <v>1654.6</v>
      </c>
      <c r="P2940">
        <f>93.64</f>
        <v>93.64</v>
      </c>
      <c r="Q2940">
        <f>1069.63</f>
        <v>1069.6300000000001</v>
      </c>
      <c r="R2940">
        <f>2410.16</f>
        <v>2410.16</v>
      </c>
      <c r="S2940">
        <f>1095.41</f>
        <v>1095.4100000000001</v>
      </c>
      <c r="T2940">
        <f>1866.48</f>
        <v>1866.48</v>
      </c>
      <c r="U2940">
        <f>33572.07</f>
        <v>33572.07</v>
      </c>
      <c r="V2940">
        <f>252.67</f>
        <v>252.67</v>
      </c>
    </row>
    <row r="2941" spans="1:22" x14ac:dyDescent="0.2">
      <c r="A2941" s="1">
        <v>40990</v>
      </c>
      <c r="B2941">
        <f>2309.71</f>
        <v>2309.71</v>
      </c>
      <c r="C2941">
        <f>8965.15</f>
        <v>8965.15</v>
      </c>
      <c r="D2941">
        <f>3994.83</f>
        <v>3994.83</v>
      </c>
      <c r="E2941">
        <f>1922.722</f>
        <v>1922.722</v>
      </c>
      <c r="F2941">
        <f>1426.2</f>
        <v>1426.2</v>
      </c>
      <c r="G2941">
        <f>6429.063</f>
        <v>6429.0630000000001</v>
      </c>
      <c r="H2941">
        <f>1969.81</f>
        <v>1969.81</v>
      </c>
      <c r="I2941">
        <f>6182.168</f>
        <v>6182.1679999999997</v>
      </c>
      <c r="J2941">
        <f>1783.37</f>
        <v>1783.37</v>
      </c>
      <c r="K2941">
        <f>5013.99</f>
        <v>5013.99</v>
      </c>
      <c r="L2941">
        <f>1148.08</f>
        <v>1148.08</v>
      </c>
      <c r="M2941">
        <f>4518.72</f>
        <v>4518.72</v>
      </c>
      <c r="N2941">
        <f>188.569</f>
        <v>188.56899999999999</v>
      </c>
      <c r="O2941">
        <f>1654.37</f>
        <v>1654.37</v>
      </c>
      <c r="P2941">
        <f>94.18</f>
        <v>94.18</v>
      </c>
      <c r="Q2941">
        <f>1069.03</f>
        <v>1069.03</v>
      </c>
      <c r="R2941">
        <f>2402.71</f>
        <v>2402.71</v>
      </c>
      <c r="S2941">
        <f>1107.68</f>
        <v>1107.68</v>
      </c>
      <c r="T2941">
        <f>1867.334</f>
        <v>1867.3340000000001</v>
      </c>
      <c r="U2941">
        <f>33550.89</f>
        <v>33550.89</v>
      </c>
      <c r="V2941">
        <f>252.69</f>
        <v>252.69</v>
      </c>
    </row>
    <row r="2942" spans="1:22" x14ac:dyDescent="0.2">
      <c r="A2942" s="1">
        <v>40989</v>
      </c>
      <c r="B2942">
        <f>2324.44</f>
        <v>2324.44</v>
      </c>
      <c r="C2942">
        <f>9009.23</f>
        <v>9009.23</v>
      </c>
      <c r="D2942">
        <f>4026.47</f>
        <v>4026.47</v>
      </c>
      <c r="E2942">
        <f>1935.711</f>
        <v>1935.711</v>
      </c>
      <c r="F2942">
        <f>1431.2</f>
        <v>1431.2</v>
      </c>
      <c r="G2942">
        <f>6496.072</f>
        <v>6496.0720000000001</v>
      </c>
      <c r="H2942">
        <f>1936.22</f>
        <v>1936.22</v>
      </c>
      <c r="I2942">
        <f>6256.017</f>
        <v>6256.0169999999998</v>
      </c>
      <c r="J2942">
        <f>1790.18</f>
        <v>1790.18</v>
      </c>
      <c r="K2942">
        <f>5050.48</f>
        <v>5050.4799999999996</v>
      </c>
      <c r="L2942">
        <f>1153.64</f>
        <v>1153.6400000000001</v>
      </c>
      <c r="M2942">
        <f>4546.36</f>
        <v>4546.3599999999997</v>
      </c>
      <c r="N2942">
        <f>189.506</f>
        <v>189.506</v>
      </c>
      <c r="O2942">
        <f>1672.98</f>
        <v>1672.98</v>
      </c>
      <c r="P2942">
        <f>93.71</f>
        <v>93.71</v>
      </c>
      <c r="Q2942">
        <f>1074.15</f>
        <v>1074.1500000000001</v>
      </c>
      <c r="R2942">
        <f>2420.02</f>
        <v>2420.02</v>
      </c>
      <c r="S2942">
        <f>1103.44</f>
        <v>1103.44</v>
      </c>
      <c r="T2942" t="e">
        <f>NA()</f>
        <v>#N/A</v>
      </c>
      <c r="U2942" t="e">
        <f>NA()</f>
        <v>#N/A</v>
      </c>
      <c r="V2942" t="e">
        <f>NA()</f>
        <v>#N/A</v>
      </c>
    </row>
    <row r="2943" spans="1:22" x14ac:dyDescent="0.2">
      <c r="A2943" s="1">
        <v>40988</v>
      </c>
      <c r="B2943">
        <f>2327.41</f>
        <v>2327.41</v>
      </c>
      <c r="C2943">
        <f>9020.33</f>
        <v>9020.33</v>
      </c>
      <c r="D2943">
        <f>4023.99</f>
        <v>4023.99</v>
      </c>
      <c r="E2943">
        <f>1939.718</f>
        <v>1939.7180000000001</v>
      </c>
      <c r="F2943">
        <f>1429.1</f>
        <v>1429.1</v>
      </c>
      <c r="G2943">
        <f>6495.239</f>
        <v>6495.2389999999996</v>
      </c>
      <c r="H2943">
        <f>1959.22</f>
        <v>1959.22</v>
      </c>
      <c r="I2943">
        <f>6286.403</f>
        <v>6286.4030000000002</v>
      </c>
      <c r="J2943">
        <f>1793.77</f>
        <v>1793.77</v>
      </c>
      <c r="K2943">
        <f>5058.59</f>
        <v>5058.59</v>
      </c>
      <c r="L2943">
        <f>1156.96</f>
        <v>1156.96</v>
      </c>
      <c r="M2943">
        <f>4560.84</f>
        <v>4560.84</v>
      </c>
      <c r="N2943">
        <f>189.034</f>
        <v>189.03399999999999</v>
      </c>
      <c r="O2943">
        <f>1674.99</f>
        <v>1674.99</v>
      </c>
      <c r="P2943" t="e">
        <f>NA()</f>
        <v>#N/A</v>
      </c>
      <c r="Q2943">
        <f>1075.44</f>
        <v>1075.44</v>
      </c>
      <c r="R2943">
        <f>2424.46</f>
        <v>2424.46</v>
      </c>
      <c r="S2943" t="e">
        <f>NA()</f>
        <v>#N/A</v>
      </c>
      <c r="T2943">
        <f>1880.217</f>
        <v>1880.2170000000001</v>
      </c>
      <c r="U2943">
        <f>33878.56</f>
        <v>33878.559999999998</v>
      </c>
      <c r="V2943">
        <f>255.51</f>
        <v>255.51</v>
      </c>
    </row>
    <row r="2944" spans="1:22" x14ac:dyDescent="0.2">
      <c r="A2944" s="1">
        <v>40987</v>
      </c>
      <c r="B2944">
        <f>2346.05</f>
        <v>2346.0500000000002</v>
      </c>
      <c r="C2944">
        <f>9122.32</f>
        <v>9122.32</v>
      </c>
      <c r="D2944">
        <f>4071.6</f>
        <v>4071.6</v>
      </c>
      <c r="E2944">
        <f>1960.669</f>
        <v>1960.6690000000001</v>
      </c>
      <c r="F2944">
        <f>1433.92</f>
        <v>1433.92</v>
      </c>
      <c r="G2944">
        <f>6586.423</f>
        <v>6586.4229999999998</v>
      </c>
      <c r="H2944">
        <f>1966.86</f>
        <v>1966.86</v>
      </c>
      <c r="I2944">
        <f>6365.449</f>
        <v>6365.4489999999996</v>
      </c>
      <c r="J2944">
        <f>1798.69</f>
        <v>1798.69</v>
      </c>
      <c r="K2944">
        <f>5075.11</f>
        <v>5075.1099999999997</v>
      </c>
      <c r="L2944">
        <f>1163.47</f>
        <v>1163.47</v>
      </c>
      <c r="M2944">
        <f>4591.77</f>
        <v>4591.7700000000004</v>
      </c>
      <c r="N2944">
        <f>190.04</f>
        <v>190.04</v>
      </c>
      <c r="O2944">
        <f>1694.47</f>
        <v>1694.47</v>
      </c>
      <c r="P2944">
        <f>93.86</f>
        <v>93.86</v>
      </c>
      <c r="Q2944">
        <f>1077.84</f>
        <v>1077.8399999999999</v>
      </c>
      <c r="R2944">
        <f>2431.73</f>
        <v>2431.73</v>
      </c>
      <c r="S2944">
        <f>1115.74</f>
        <v>1115.74</v>
      </c>
      <c r="T2944">
        <f>1877.54</f>
        <v>1877.54</v>
      </c>
      <c r="U2944">
        <f>34214.07</f>
        <v>34214.07</v>
      </c>
      <c r="V2944">
        <f>256.17</f>
        <v>256.17</v>
      </c>
    </row>
    <row r="2945" spans="1:22" x14ac:dyDescent="0.2">
      <c r="A2945" s="1">
        <v>40984</v>
      </c>
      <c r="B2945">
        <f>2351.9</f>
        <v>2351.9</v>
      </c>
      <c r="C2945">
        <f>9135.18</f>
        <v>9135.18</v>
      </c>
      <c r="D2945">
        <f>4074.65</f>
        <v>4074.65</v>
      </c>
      <c r="E2945">
        <f>1964.344</f>
        <v>1964.3440000000001</v>
      </c>
      <c r="F2945">
        <f>1429.56</f>
        <v>1429.56</v>
      </c>
      <c r="G2945">
        <f>6569.373</f>
        <v>6569.3729999999996</v>
      </c>
      <c r="H2945">
        <f>1957.4</f>
        <v>1957.4</v>
      </c>
      <c r="I2945">
        <f>6331.066</f>
        <v>6331.0659999999998</v>
      </c>
      <c r="J2945">
        <f>1796.36</f>
        <v>1796.36</v>
      </c>
      <c r="K2945">
        <f>5055.41</f>
        <v>5055.41</v>
      </c>
      <c r="L2945">
        <f>1159.21</f>
        <v>1159.21</v>
      </c>
      <c r="M2945">
        <f>4575.03</f>
        <v>4575.03</v>
      </c>
      <c r="N2945">
        <f>190.216</f>
        <v>190.21600000000001</v>
      </c>
      <c r="O2945">
        <f>1695.05</f>
        <v>1695.05</v>
      </c>
      <c r="P2945">
        <f>93.92</f>
        <v>93.92</v>
      </c>
      <c r="Q2945">
        <f>1076.65</f>
        <v>1076.6500000000001</v>
      </c>
      <c r="R2945">
        <f>2422.09</f>
        <v>2422.09</v>
      </c>
      <c r="S2945">
        <f>1113.66</f>
        <v>1113.6600000000001</v>
      </c>
      <c r="T2945">
        <f>1875.615</f>
        <v>1875.615</v>
      </c>
      <c r="U2945">
        <f>34221.62</f>
        <v>34221.620000000003</v>
      </c>
      <c r="V2945">
        <f>256.66</f>
        <v>256.66000000000003</v>
      </c>
    </row>
    <row r="2946" spans="1:22" x14ac:dyDescent="0.2">
      <c r="A2946" s="1">
        <v>40983</v>
      </c>
      <c r="B2946">
        <f>2350.18</f>
        <v>2350.1799999999998</v>
      </c>
      <c r="C2946">
        <f>9158.52</f>
        <v>9158.52</v>
      </c>
      <c r="D2946">
        <f>4057.68</f>
        <v>4057.68</v>
      </c>
      <c r="E2946">
        <f>1967.989</f>
        <v>1967.989</v>
      </c>
      <c r="F2946">
        <f>1418.07</f>
        <v>1418.07</v>
      </c>
      <c r="G2946">
        <f>6469.431</f>
        <v>6469.4309999999996</v>
      </c>
      <c r="H2946">
        <f>1951.05</f>
        <v>1951.05</v>
      </c>
      <c r="I2946">
        <f>6258.414</f>
        <v>6258.4139999999998</v>
      </c>
      <c r="J2946">
        <f>1797.95</f>
        <v>1797.95</v>
      </c>
      <c r="K2946">
        <f>5049.53</f>
        <v>5049.53</v>
      </c>
      <c r="L2946">
        <f>1152.4</f>
        <v>1152.4000000000001</v>
      </c>
      <c r="M2946">
        <f>4552.45</f>
        <v>4552.45</v>
      </c>
      <c r="N2946">
        <f>189.678</f>
        <v>189.678</v>
      </c>
      <c r="O2946">
        <f>1688.46</f>
        <v>1688.46</v>
      </c>
      <c r="P2946">
        <f>93.92</f>
        <v>93.92</v>
      </c>
      <c r="Q2946">
        <f>1078.26</f>
        <v>1078.26</v>
      </c>
      <c r="R2946">
        <f>2419.37</f>
        <v>2419.37</v>
      </c>
      <c r="S2946">
        <f>1109.65</f>
        <v>1109.6500000000001</v>
      </c>
      <c r="T2946">
        <f>1887.292</f>
        <v>1887.2919999999999</v>
      </c>
      <c r="U2946">
        <f>34215.3</f>
        <v>34215.300000000003</v>
      </c>
      <c r="V2946">
        <f>258.37</f>
        <v>258.37</v>
      </c>
    </row>
    <row r="2947" spans="1:22" x14ac:dyDescent="0.2">
      <c r="A2947" s="1">
        <v>40982</v>
      </c>
      <c r="B2947">
        <f>2358.55</f>
        <v>2358.5500000000002</v>
      </c>
      <c r="C2947">
        <f>9166.4</f>
        <v>9166.4</v>
      </c>
      <c r="D2947">
        <f>4060.89</f>
        <v>4060.89</v>
      </c>
      <c r="E2947">
        <f>1970.418</f>
        <v>1970.4179999999999</v>
      </c>
      <c r="F2947">
        <f>1423.56</f>
        <v>1423.56</v>
      </c>
      <c r="G2947">
        <f>6482.247</f>
        <v>6482.2470000000003</v>
      </c>
      <c r="H2947">
        <f>1933.15</f>
        <v>1933.15</v>
      </c>
      <c r="I2947">
        <f>6193.352</f>
        <v>6193.3519999999999</v>
      </c>
      <c r="J2947">
        <f>1793.23</f>
        <v>1793.23</v>
      </c>
      <c r="K2947">
        <f>5019.38</f>
        <v>5019.38</v>
      </c>
      <c r="L2947">
        <f>1148.14</f>
        <v>1148.1400000000001</v>
      </c>
      <c r="M2947">
        <f>4522.05</f>
        <v>4522.05</v>
      </c>
      <c r="N2947">
        <f>190.195</f>
        <v>190.19499999999999</v>
      </c>
      <c r="O2947">
        <f>1683.37</f>
        <v>1683.37</v>
      </c>
      <c r="P2947">
        <f>93.16</f>
        <v>93.16</v>
      </c>
      <c r="Q2947">
        <f>1073</f>
        <v>1073</v>
      </c>
      <c r="R2947">
        <f>2404.98</f>
        <v>2404.98</v>
      </c>
      <c r="S2947">
        <f>1101.29</f>
        <v>1101.29</v>
      </c>
      <c r="T2947">
        <f>1900.745</f>
        <v>1900.7449999999999</v>
      </c>
      <c r="U2947">
        <f>34426.74</f>
        <v>34426.74</v>
      </c>
      <c r="V2947">
        <f>260.53</f>
        <v>260.52999999999997</v>
      </c>
    </row>
    <row r="2948" spans="1:22" x14ac:dyDescent="0.2">
      <c r="A2948" s="1">
        <v>40981</v>
      </c>
      <c r="B2948">
        <f>2340.55</f>
        <v>2340.5500000000002</v>
      </c>
      <c r="C2948">
        <f>9190.83</f>
        <v>9190.83</v>
      </c>
      <c r="D2948">
        <f>4063.37</f>
        <v>4063.37</v>
      </c>
      <c r="E2948">
        <f>1969.832</f>
        <v>1969.8320000000001</v>
      </c>
      <c r="F2948">
        <f>1434.58</f>
        <v>1434.58</v>
      </c>
      <c r="G2948">
        <f>6506.894</f>
        <v>6506.8940000000002</v>
      </c>
      <c r="H2948">
        <f>1938.27</f>
        <v>1938.27</v>
      </c>
      <c r="I2948">
        <f>6210.035</f>
        <v>6210.0349999999999</v>
      </c>
      <c r="J2948">
        <f>1799.34</f>
        <v>1799.34</v>
      </c>
      <c r="K2948">
        <f>5026.54</f>
        <v>5026.54</v>
      </c>
      <c r="L2948">
        <f>1152.71</f>
        <v>1152.71</v>
      </c>
      <c r="M2948">
        <f>4531.33</f>
        <v>4531.33</v>
      </c>
      <c r="N2948">
        <f>190.469</f>
        <v>190.46899999999999</v>
      </c>
      <c r="O2948">
        <f>1676.51</f>
        <v>1676.51</v>
      </c>
      <c r="P2948">
        <f>92.91</f>
        <v>92.91</v>
      </c>
      <c r="Q2948">
        <f>1076.19</f>
        <v>1076.19</v>
      </c>
      <c r="R2948">
        <f>2407.79</f>
        <v>2407.79</v>
      </c>
      <c r="S2948">
        <f>1086.15</f>
        <v>1086.1500000000001</v>
      </c>
      <c r="T2948">
        <f>1881.243</f>
        <v>1881.2429999999999</v>
      </c>
      <c r="U2948">
        <f>34175.39</f>
        <v>34175.39</v>
      </c>
      <c r="V2948">
        <f>257.79</f>
        <v>257.79000000000002</v>
      </c>
    </row>
    <row r="2949" spans="1:22" x14ac:dyDescent="0.2">
      <c r="A2949" s="1">
        <v>40980</v>
      </c>
      <c r="B2949">
        <f>2317.67</f>
        <v>2317.67</v>
      </c>
      <c r="C2949">
        <f>9035.12</f>
        <v>9035.1200000000008</v>
      </c>
      <c r="D2949">
        <f>4020.28</f>
        <v>4020.28</v>
      </c>
      <c r="E2949">
        <f>1940.105</f>
        <v>1940.105</v>
      </c>
      <c r="F2949">
        <f>1416.94</f>
        <v>1416.94</v>
      </c>
      <c r="G2949">
        <f>6388.45</f>
        <v>6388.45</v>
      </c>
      <c r="H2949">
        <f>1946.15</f>
        <v>1946.15</v>
      </c>
      <c r="I2949">
        <f>6127.827</f>
        <v>6127.8270000000002</v>
      </c>
      <c r="J2949">
        <f>1779.16</f>
        <v>1779.16</v>
      </c>
      <c r="K2949">
        <f>4935.79</f>
        <v>4935.79</v>
      </c>
      <c r="L2949">
        <f>1140.26</f>
        <v>1140.26</v>
      </c>
      <c r="M2949">
        <f>4464.69</f>
        <v>4464.6899999999996</v>
      </c>
      <c r="N2949">
        <f>188.249</f>
        <v>188.249</v>
      </c>
      <c r="O2949">
        <f>1647.93</f>
        <v>1647.93</v>
      </c>
      <c r="P2949">
        <f>93.03</f>
        <v>93.03</v>
      </c>
      <c r="Q2949">
        <f>1061.29</f>
        <v>1061.29</v>
      </c>
      <c r="R2949">
        <f>2364.1</f>
        <v>2364.1</v>
      </c>
      <c r="S2949">
        <f>1086.08</f>
        <v>1086.08</v>
      </c>
      <c r="T2949">
        <f>1866.67</f>
        <v>1866.67</v>
      </c>
      <c r="U2949">
        <f>33901.72</f>
        <v>33901.72</v>
      </c>
      <c r="V2949">
        <f>255.91</f>
        <v>255.91</v>
      </c>
    </row>
    <row r="2950" spans="1:22" x14ac:dyDescent="0.2">
      <c r="A2950" s="1">
        <v>40977</v>
      </c>
      <c r="B2950">
        <f>2311.91</f>
        <v>2311.91</v>
      </c>
      <c r="C2950">
        <f>9106.88</f>
        <v>9106.8799999999992</v>
      </c>
      <c r="D2950">
        <f>4016.69</f>
        <v>4016.69</v>
      </c>
      <c r="E2950">
        <f>1957.395</f>
        <v>1957.395</v>
      </c>
      <c r="F2950">
        <f>1420.53</f>
        <v>1420.53</v>
      </c>
      <c r="G2950">
        <f>6415.227</f>
        <v>6415.2269999999999</v>
      </c>
      <c r="H2950">
        <f>1949.75</f>
        <v>1949.75</v>
      </c>
      <c r="I2950">
        <f>6122.464</f>
        <v>6122.4639999999999</v>
      </c>
      <c r="J2950">
        <f>1769.95</f>
        <v>1769.95</v>
      </c>
      <c r="K2950">
        <f>4936.13</f>
        <v>4936.13</v>
      </c>
      <c r="L2950">
        <f>1139.96</f>
        <v>1139.96</v>
      </c>
      <c r="M2950">
        <f>4472.26</f>
        <v>4472.26</v>
      </c>
      <c r="N2950">
        <f>188.065</f>
        <v>188.065</v>
      </c>
      <c r="O2950">
        <f>1651.48</f>
        <v>1651.48</v>
      </c>
      <c r="P2950">
        <f>93.27</f>
        <v>93.27</v>
      </c>
      <c r="Q2950">
        <f>1056.92</f>
        <v>1056.92</v>
      </c>
      <c r="R2950">
        <f>2363.56</f>
        <v>2363.56</v>
      </c>
      <c r="S2950">
        <f>1090.49</f>
        <v>1090.49</v>
      </c>
      <c r="T2950">
        <f>1864.183</f>
        <v>1864.183</v>
      </c>
      <c r="U2950">
        <f>33926.2</f>
        <v>33926.199999999997</v>
      </c>
      <c r="V2950">
        <f>255.61</f>
        <v>255.61</v>
      </c>
    </row>
    <row r="2951" spans="1:22" x14ac:dyDescent="0.2">
      <c r="A2951" s="1">
        <v>40976</v>
      </c>
      <c r="B2951">
        <f>2298.32</f>
        <v>2298.3200000000002</v>
      </c>
      <c r="C2951">
        <f>9062.13</f>
        <v>9062.1299999999992</v>
      </c>
      <c r="D2951">
        <f>3997.75</f>
        <v>3997.75</v>
      </c>
      <c r="E2951">
        <f>1943.755</f>
        <v>1943.7550000000001</v>
      </c>
      <c r="F2951">
        <f>1427.75</f>
        <v>1427.75</v>
      </c>
      <c r="G2951">
        <f>6434.362</f>
        <v>6434.3620000000001</v>
      </c>
      <c r="H2951">
        <f>1950.89</f>
        <v>1950.89</v>
      </c>
      <c r="I2951">
        <f>6175.582</f>
        <v>6175.5820000000003</v>
      </c>
      <c r="J2951">
        <f>1767.5</f>
        <v>1767.5</v>
      </c>
      <c r="K2951">
        <f>4918.76</f>
        <v>4918.76</v>
      </c>
      <c r="L2951">
        <f>1142.12</f>
        <v>1142.1199999999999</v>
      </c>
      <c r="M2951">
        <f>4466.97</f>
        <v>4466.97</v>
      </c>
      <c r="N2951">
        <f>187.216</f>
        <v>187.21600000000001</v>
      </c>
      <c r="O2951">
        <f>1644.65</f>
        <v>1644.65</v>
      </c>
      <c r="P2951">
        <f>92.58</f>
        <v>92.58</v>
      </c>
      <c r="Q2951">
        <f>1052.03</f>
        <v>1052.03</v>
      </c>
      <c r="R2951">
        <f>2355.01</f>
        <v>2355.0100000000002</v>
      </c>
      <c r="S2951">
        <f>1074.36</f>
        <v>1074.3599999999999</v>
      </c>
      <c r="T2951">
        <f>1847.695</f>
        <v>1847.6949999999999</v>
      </c>
      <c r="U2951">
        <f>33758.62</f>
        <v>33758.620000000003</v>
      </c>
      <c r="V2951">
        <f>253.93</f>
        <v>253.93</v>
      </c>
    </row>
    <row r="2952" spans="1:22" x14ac:dyDescent="0.2">
      <c r="A2952" s="1">
        <v>40975</v>
      </c>
      <c r="B2952">
        <f>2270.82</f>
        <v>2270.8200000000002</v>
      </c>
      <c r="C2952">
        <f>8954.78</f>
        <v>8954.7800000000007</v>
      </c>
      <c r="D2952">
        <f>3951.14</f>
        <v>3951.14</v>
      </c>
      <c r="E2952">
        <f>1916.075</f>
        <v>1916.075</v>
      </c>
      <c r="F2952">
        <f>1407.28</f>
        <v>1407.28</v>
      </c>
      <c r="G2952">
        <f>6315.823</f>
        <v>6315.8230000000003</v>
      </c>
      <c r="H2952">
        <f>1935.33</f>
        <v>1935.33</v>
      </c>
      <c r="I2952">
        <f>5978.807</f>
        <v>5978.8069999999998</v>
      </c>
      <c r="J2952">
        <f>1759.39</f>
        <v>1759.39</v>
      </c>
      <c r="K2952">
        <f>4869.58</f>
        <v>4869.58</v>
      </c>
      <c r="L2952">
        <f>1125.08</f>
        <v>1125.08</v>
      </c>
      <c r="M2952">
        <f>4397.84</f>
        <v>4397.84</v>
      </c>
      <c r="N2952">
        <f>185.425</f>
        <v>185.42500000000001</v>
      </c>
      <c r="O2952">
        <f>1618.2</f>
        <v>1618.2</v>
      </c>
      <c r="P2952">
        <f>91.72</f>
        <v>91.72</v>
      </c>
      <c r="Q2952">
        <f>1044.15</f>
        <v>1044.1500000000001</v>
      </c>
      <c r="R2952">
        <f>2331.89</f>
        <v>2331.89</v>
      </c>
      <c r="S2952">
        <f>1057.08</f>
        <v>1057.08</v>
      </c>
      <c r="T2952">
        <f>1826.685</f>
        <v>1826.6849999999999</v>
      </c>
      <c r="U2952">
        <f>33592.32</f>
        <v>33592.32</v>
      </c>
      <c r="V2952">
        <f>252.99</f>
        <v>252.99</v>
      </c>
    </row>
    <row r="2953" spans="1:22" x14ac:dyDescent="0.2">
      <c r="A2953" s="1">
        <v>40974</v>
      </c>
      <c r="B2953">
        <f>2247.79</f>
        <v>2247.79</v>
      </c>
      <c r="C2953">
        <f>8982.08</f>
        <v>8982.08</v>
      </c>
      <c r="D2953">
        <f>3926.13</f>
        <v>3926.13</v>
      </c>
      <c r="E2953">
        <f>1922.403</f>
        <v>1922.403</v>
      </c>
      <c r="F2953">
        <f>1406.89</f>
        <v>1406.89</v>
      </c>
      <c r="G2953">
        <f>6288.063</f>
        <v>6288.0630000000001</v>
      </c>
      <c r="H2953">
        <f>1954.43</f>
        <v>1954.43</v>
      </c>
      <c r="I2953">
        <f>5929.475</f>
        <v>5929.4750000000004</v>
      </c>
      <c r="J2953">
        <f>1752.86</f>
        <v>1752.86</v>
      </c>
      <c r="K2953">
        <f>4833.75</f>
        <v>4833.75</v>
      </c>
      <c r="L2953">
        <f>1123.87</f>
        <v>1123.8699999999999</v>
      </c>
      <c r="M2953">
        <f>4377.97</f>
        <v>4377.97</v>
      </c>
      <c r="N2953">
        <f>183.714</f>
        <v>183.714</v>
      </c>
      <c r="O2953">
        <f>1607.04</f>
        <v>1607.04</v>
      </c>
      <c r="P2953">
        <f>91.76</f>
        <v>91.76</v>
      </c>
      <c r="Q2953">
        <f>1038.03</f>
        <v>1038.03</v>
      </c>
      <c r="R2953">
        <f>2315.21</f>
        <v>2315.21</v>
      </c>
      <c r="S2953">
        <f>1063.02</f>
        <v>1063.02</v>
      </c>
      <c r="T2953">
        <f>1825.293</f>
        <v>1825.2929999999999</v>
      </c>
      <c r="U2953">
        <f>33387.04</f>
        <v>33387.040000000001</v>
      </c>
      <c r="V2953">
        <f>252.2</f>
        <v>252.2</v>
      </c>
    </row>
    <row r="2954" spans="1:22" x14ac:dyDescent="0.2">
      <c r="A2954" s="1">
        <v>40973</v>
      </c>
      <c r="B2954">
        <f>2299.21</f>
        <v>2299.21</v>
      </c>
      <c r="C2954">
        <f>9185.93</f>
        <v>9185.93</v>
      </c>
      <c r="D2954">
        <f>4000.36</f>
        <v>4000.36</v>
      </c>
      <c r="E2954">
        <f>1966.869</f>
        <v>1966.8689999999999</v>
      </c>
      <c r="F2954">
        <f>1432.6</f>
        <v>1432.6</v>
      </c>
      <c r="G2954">
        <f>6459.925</f>
        <v>6459.9250000000002</v>
      </c>
      <c r="H2954">
        <f>1947.44</f>
        <v>1947.44</v>
      </c>
      <c r="I2954">
        <f>6171.375</f>
        <v>6171.375</v>
      </c>
      <c r="J2954">
        <f>1770.51</f>
        <v>1770.51</v>
      </c>
      <c r="K2954">
        <f>4910.36</f>
        <v>4910.3599999999997</v>
      </c>
      <c r="L2954">
        <f>1145.5</f>
        <v>1145.5</v>
      </c>
      <c r="M2954">
        <f>4469.73</f>
        <v>4469.7299999999996</v>
      </c>
      <c r="N2954">
        <f>187.311</f>
        <v>187.31100000000001</v>
      </c>
      <c r="O2954">
        <f>1651.28</f>
        <v>1651.28</v>
      </c>
      <c r="P2954">
        <f>91.57</f>
        <v>91.57</v>
      </c>
      <c r="Q2954">
        <f>1051.91</f>
        <v>1051.9100000000001</v>
      </c>
      <c r="R2954">
        <f>2351.28</f>
        <v>2351.2800000000002</v>
      </c>
      <c r="S2954">
        <f>1070.1</f>
        <v>1070.0999999999999</v>
      </c>
      <c r="T2954">
        <f>1845.875</f>
        <v>1845.875</v>
      </c>
      <c r="U2954">
        <f>34031.77</f>
        <v>34031.769999999997</v>
      </c>
      <c r="V2954">
        <f>256.7</f>
        <v>256.7</v>
      </c>
    </row>
    <row r="2955" spans="1:22" x14ac:dyDescent="0.2">
      <c r="A2955" s="1">
        <v>40970</v>
      </c>
      <c r="B2955">
        <f>2314.28</f>
        <v>2314.2800000000002</v>
      </c>
      <c r="C2955">
        <f>9328.53</f>
        <v>9328.5300000000007</v>
      </c>
      <c r="D2955">
        <f>4025.09</f>
        <v>4025.09</v>
      </c>
      <c r="E2955">
        <f>1993.566</f>
        <v>1993.566</v>
      </c>
      <c r="F2955">
        <f>1433.06</f>
        <v>1433.06</v>
      </c>
      <c r="G2955">
        <f>6493.002</f>
        <v>6493.0020000000004</v>
      </c>
      <c r="H2955">
        <f>1945.57</f>
        <v>1945.57</v>
      </c>
      <c r="I2955">
        <f>6191.675</f>
        <v>6191.6750000000002</v>
      </c>
      <c r="J2955">
        <f>1769.77</f>
        <v>1769.77</v>
      </c>
      <c r="K2955">
        <f>4930.38</f>
        <v>4930.38</v>
      </c>
      <c r="L2955">
        <f>1145.63</f>
        <v>1145.6300000000001</v>
      </c>
      <c r="M2955">
        <f>4491.67</f>
        <v>4491.67</v>
      </c>
      <c r="N2955">
        <f>187.797</f>
        <v>187.797</v>
      </c>
      <c r="O2955">
        <f>1661.09</f>
        <v>1661.09</v>
      </c>
      <c r="P2955">
        <f>91.59</f>
        <v>91.59</v>
      </c>
      <c r="Q2955">
        <f>1050.98</f>
        <v>1050.98</v>
      </c>
      <c r="R2955">
        <f>2360.28</f>
        <v>2360.2800000000002</v>
      </c>
      <c r="S2955">
        <f>1076.47</f>
        <v>1076.47</v>
      </c>
      <c r="T2955">
        <f>1841.954</f>
        <v>1841.954</v>
      </c>
      <c r="U2955">
        <f>34186.81</f>
        <v>34186.81</v>
      </c>
      <c r="V2955">
        <f>256.95</f>
        <v>256.95</v>
      </c>
    </row>
    <row r="2956" spans="1:22" x14ac:dyDescent="0.2">
      <c r="A2956" s="1">
        <v>40969</v>
      </c>
      <c r="B2956">
        <f>2314.8</f>
        <v>2314.8000000000002</v>
      </c>
      <c r="C2956">
        <f>9307.61</f>
        <v>9307.61</v>
      </c>
      <c r="D2956">
        <f>4038.79</f>
        <v>4038.79</v>
      </c>
      <c r="E2956">
        <f>1986.944</f>
        <v>1986.944</v>
      </c>
      <c r="F2956">
        <f>1447.59</f>
        <v>1447.59</v>
      </c>
      <c r="G2956">
        <f>6557.712</f>
        <v>6557.7120000000004</v>
      </c>
      <c r="H2956">
        <f>1947.16</f>
        <v>1947.16</v>
      </c>
      <c r="I2956">
        <f>6245.517</f>
        <v>6245.5169999999998</v>
      </c>
      <c r="J2956">
        <f>1773.15</f>
        <v>1773.15</v>
      </c>
      <c r="K2956">
        <f>4945.97</f>
        <v>4945.97</v>
      </c>
      <c r="L2956">
        <f>1151.02</f>
        <v>1151.02</v>
      </c>
      <c r="M2956">
        <f>4512.22</f>
        <v>4512.22</v>
      </c>
      <c r="N2956">
        <f>187.998</f>
        <v>187.99799999999999</v>
      </c>
      <c r="O2956">
        <f>1660.53</f>
        <v>1660.53</v>
      </c>
      <c r="P2956">
        <f>90.68</f>
        <v>90.68</v>
      </c>
      <c r="Q2956">
        <f>1054.47</f>
        <v>1054.47</v>
      </c>
      <c r="R2956">
        <f>2367.87</f>
        <v>2367.87</v>
      </c>
      <c r="S2956">
        <f>1068.4</f>
        <v>1068.4000000000001</v>
      </c>
      <c r="T2956">
        <f>1841.939</f>
        <v>1841.9390000000001</v>
      </c>
      <c r="U2956">
        <f>34298.48</f>
        <v>34298.480000000003</v>
      </c>
      <c r="V2956">
        <f>257.32</f>
        <v>257.32</v>
      </c>
    </row>
    <row r="2957" spans="1:22" x14ac:dyDescent="0.2">
      <c r="A2957" s="1">
        <v>40968</v>
      </c>
      <c r="B2957">
        <f>2283.15</f>
        <v>2283.15</v>
      </c>
      <c r="C2957">
        <f>9322.71</f>
        <v>9322.7099999999991</v>
      </c>
      <c r="D2957">
        <f>3998.11</f>
        <v>3998.11</v>
      </c>
      <c r="E2957">
        <f>1991.911</f>
        <v>1991.9110000000001</v>
      </c>
      <c r="F2957">
        <f>1435.9</f>
        <v>1435.9</v>
      </c>
      <c r="G2957">
        <f>6497.274</f>
        <v>6497.2740000000003</v>
      </c>
      <c r="H2957">
        <f>1955.21</f>
        <v>1955.21</v>
      </c>
      <c r="I2957">
        <f>6210.785</f>
        <v>6210.7849999999999</v>
      </c>
      <c r="J2957">
        <f>1767.14</f>
        <v>1767.14</v>
      </c>
      <c r="K2957">
        <f>4914.14</f>
        <v>4914.1400000000003</v>
      </c>
      <c r="L2957">
        <f>1146.64</f>
        <v>1146.6400000000001</v>
      </c>
      <c r="M2957">
        <f>4491.98</f>
        <v>4491.9799999999996</v>
      </c>
      <c r="N2957">
        <f>185.9</f>
        <v>185.9</v>
      </c>
      <c r="O2957">
        <f>1642.09</f>
        <v>1642.09</v>
      </c>
      <c r="P2957">
        <f>90.46</f>
        <v>90.46</v>
      </c>
      <c r="Q2957">
        <f>1052.7</f>
        <v>1052.7</v>
      </c>
      <c r="R2957">
        <f>2353.23</f>
        <v>2353.23</v>
      </c>
      <c r="S2957">
        <f>1074.09</f>
        <v>1074.0899999999999</v>
      </c>
      <c r="T2957">
        <f>1834.007</f>
        <v>1834.0070000000001</v>
      </c>
      <c r="U2957">
        <f>34296</f>
        <v>34296</v>
      </c>
      <c r="V2957">
        <f>255.29</f>
        <v>255.29</v>
      </c>
    </row>
    <row r="2958" spans="1:22" x14ac:dyDescent="0.2">
      <c r="A2958" s="1">
        <v>40967</v>
      </c>
      <c r="B2958">
        <f>2295.49</f>
        <v>2295.4899999999998</v>
      </c>
      <c r="C2958">
        <f>9239.02</f>
        <v>9239.02</v>
      </c>
      <c r="D2958">
        <f>4031.31</f>
        <v>4031.31</v>
      </c>
      <c r="E2958">
        <f>1972.241</f>
        <v>1972.241</v>
      </c>
      <c r="F2958">
        <f>1433.86</f>
        <v>1433.86</v>
      </c>
      <c r="G2958">
        <f>6495.965</f>
        <v>6495.9650000000001</v>
      </c>
      <c r="H2958">
        <f>1965.07</f>
        <v>1965.07</v>
      </c>
      <c r="I2958">
        <f>6241.102</f>
        <v>6241.1019999999999</v>
      </c>
      <c r="J2958">
        <f>1772.47</f>
        <v>1772.47</v>
      </c>
      <c r="K2958">
        <f>4936.51</f>
        <v>4936.51</v>
      </c>
      <c r="L2958">
        <f>1147.53</f>
        <v>1147.53</v>
      </c>
      <c r="M2958">
        <f>4505.7</f>
        <v>4505.7</v>
      </c>
      <c r="N2958">
        <f>184.924</f>
        <v>184.92400000000001</v>
      </c>
      <c r="O2958">
        <f>1642.17</f>
        <v>1642.17</v>
      </c>
      <c r="P2958">
        <f>90.5</f>
        <v>90.5</v>
      </c>
      <c r="Q2958">
        <f>1055.2</f>
        <v>1055.2</v>
      </c>
      <c r="R2958">
        <f>2364.03</f>
        <v>2364.0300000000002</v>
      </c>
      <c r="S2958">
        <f>1077.32</f>
        <v>1077.32</v>
      </c>
      <c r="T2958">
        <f>1823.515</f>
        <v>1823.5150000000001</v>
      </c>
      <c r="U2958">
        <f>34214.53</f>
        <v>34214.53</v>
      </c>
      <c r="V2958">
        <f>254.81</f>
        <v>254.81</v>
      </c>
    </row>
    <row r="2959" spans="1:22" x14ac:dyDescent="0.2">
      <c r="A2959" s="1">
        <v>40966</v>
      </c>
      <c r="B2959">
        <f>2296.71</f>
        <v>2296.71</v>
      </c>
      <c r="C2959">
        <f>9143.06</f>
        <v>9143.06</v>
      </c>
      <c r="D2959">
        <f>4022.9</f>
        <v>4022.9</v>
      </c>
      <c r="E2959">
        <f>1949.358</f>
        <v>1949.3579999999999</v>
      </c>
      <c r="F2959">
        <f>1433.5</f>
        <v>1433.5</v>
      </c>
      <c r="G2959">
        <f>6483.039</f>
        <v>6483.0389999999998</v>
      </c>
      <c r="H2959">
        <f>1958.88</f>
        <v>1958.88</v>
      </c>
      <c r="I2959">
        <f>6211.903</f>
        <v>6211.9030000000002</v>
      </c>
      <c r="J2959">
        <f>1766.9</f>
        <v>1766.9</v>
      </c>
      <c r="K2959">
        <f>4919.49</f>
        <v>4919.49</v>
      </c>
      <c r="L2959">
        <f>1144.4</f>
        <v>1144.4000000000001</v>
      </c>
      <c r="M2959">
        <f>4488.22</f>
        <v>4488.22</v>
      </c>
      <c r="N2959">
        <f>184.889</f>
        <v>184.88900000000001</v>
      </c>
      <c r="O2959">
        <f>1638.62</f>
        <v>1638.62</v>
      </c>
      <c r="P2959">
        <f>89.71</f>
        <v>89.71</v>
      </c>
      <c r="Q2959">
        <f>1054.65</f>
        <v>1054.6500000000001</v>
      </c>
      <c r="R2959">
        <f>2355.74</f>
        <v>2355.7399999999998</v>
      </c>
      <c r="S2959">
        <f>1073.18</f>
        <v>1073.18</v>
      </c>
      <c r="T2959">
        <f>1810.288</f>
        <v>1810.288</v>
      </c>
      <c r="U2959">
        <f>33871.32</f>
        <v>33871.32</v>
      </c>
      <c r="V2959">
        <f>252.24</f>
        <v>252.24</v>
      </c>
    </row>
    <row r="2960" spans="1:22" x14ac:dyDescent="0.2">
      <c r="A2960" s="1">
        <v>40963</v>
      </c>
      <c r="B2960">
        <f>2302.1</f>
        <v>2302.1</v>
      </c>
      <c r="C2960">
        <f>9202.06</f>
        <v>9202.06</v>
      </c>
      <c r="D2960">
        <f>4036.22</f>
        <v>4036.22</v>
      </c>
      <c r="E2960">
        <f>1969.672</f>
        <v>1969.672</v>
      </c>
      <c r="F2960">
        <f>1434.81</f>
        <v>1434.81</v>
      </c>
      <c r="G2960">
        <f>6511.139</f>
        <v>6511.1390000000001</v>
      </c>
      <c r="H2960">
        <f>1949.37</f>
        <v>1949.37</v>
      </c>
      <c r="I2960">
        <f>6267.393</f>
        <v>6267.393</v>
      </c>
      <c r="J2960">
        <f>1765.82</f>
        <v>1765.82</v>
      </c>
      <c r="K2960">
        <f>4913.41</f>
        <v>4913.41</v>
      </c>
      <c r="L2960">
        <f>1145.88</f>
        <v>1145.8800000000001</v>
      </c>
      <c r="M2960">
        <f>4494.65</f>
        <v>4494.6499999999996</v>
      </c>
      <c r="N2960">
        <f>184.756</f>
        <v>184.756</v>
      </c>
      <c r="O2960">
        <f>1643.47</f>
        <v>1643.47</v>
      </c>
      <c r="P2960">
        <f>89.4</f>
        <v>89.4</v>
      </c>
      <c r="Q2960">
        <f>1052.97</f>
        <v>1052.97</v>
      </c>
      <c r="R2960">
        <f>2352.34</f>
        <v>2352.34</v>
      </c>
      <c r="S2960">
        <f>1071.53</f>
        <v>1071.53</v>
      </c>
      <c r="T2960">
        <f>1820.12</f>
        <v>1820.12</v>
      </c>
      <c r="U2960">
        <f>34260.76</f>
        <v>34260.76</v>
      </c>
      <c r="V2960">
        <f>253.53</f>
        <v>253.53</v>
      </c>
    </row>
    <row r="2961" spans="1:22" x14ac:dyDescent="0.2">
      <c r="A2961" s="1">
        <v>40962</v>
      </c>
      <c r="B2961">
        <f>2301.28</f>
        <v>2301.2800000000002</v>
      </c>
      <c r="C2961">
        <f>9118.16</f>
        <v>9118.16</v>
      </c>
      <c r="D2961">
        <f>4038.1</f>
        <v>4038.1</v>
      </c>
      <c r="E2961">
        <f>1954.336</f>
        <v>1954.336</v>
      </c>
      <c r="F2961">
        <f>1426.26</f>
        <v>1426.26</v>
      </c>
      <c r="G2961">
        <f>6450.508</f>
        <v>6450.5079999999998</v>
      </c>
      <c r="H2961">
        <f>1952.64</f>
        <v>1952.64</v>
      </c>
      <c r="I2961">
        <f>6170.579</f>
        <v>6170.5789999999997</v>
      </c>
      <c r="J2961">
        <f>1760.71</f>
        <v>1760.71</v>
      </c>
      <c r="K2961">
        <f>4904.57</f>
        <v>4904.57</v>
      </c>
      <c r="L2961">
        <f>1138.8</f>
        <v>1138.8</v>
      </c>
      <c r="M2961">
        <f>4472.81</f>
        <v>4472.8100000000004</v>
      </c>
      <c r="N2961">
        <f>184.456</f>
        <v>184.45599999999999</v>
      </c>
      <c r="O2961">
        <f>1639.79</f>
        <v>1639.79</v>
      </c>
      <c r="P2961">
        <f>89.42</f>
        <v>89.42</v>
      </c>
      <c r="Q2961">
        <f>1051.31</f>
        <v>1051.31</v>
      </c>
      <c r="R2961">
        <f>2348.11</f>
        <v>2348.11</v>
      </c>
      <c r="S2961">
        <f>1065.18</f>
        <v>1065.18</v>
      </c>
      <c r="T2961">
        <f>1814.841</f>
        <v>1814.8409999999999</v>
      </c>
      <c r="U2961">
        <f>34108.2</f>
        <v>34108.199999999997</v>
      </c>
      <c r="V2961">
        <f>251.41</f>
        <v>251.41</v>
      </c>
    </row>
    <row r="2962" spans="1:22" x14ac:dyDescent="0.2">
      <c r="A2962" s="1">
        <v>40961</v>
      </c>
      <c r="B2962">
        <f>2301.72</f>
        <v>2301.7199999999998</v>
      </c>
      <c r="C2962">
        <f>9152.18</f>
        <v>9152.18</v>
      </c>
      <c r="D2962">
        <f>4023.59</f>
        <v>4023.59</v>
      </c>
      <c r="E2962">
        <f>1963.989</f>
        <v>1963.989</v>
      </c>
      <c r="F2962">
        <f>1419.39</f>
        <v>1419.39</v>
      </c>
      <c r="G2962">
        <f>6412.971</f>
        <v>6412.9709999999995</v>
      </c>
      <c r="H2962">
        <f>1948.82</f>
        <v>1948.82</v>
      </c>
      <c r="I2962">
        <f>6153.119</f>
        <v>6153.1189999999997</v>
      </c>
      <c r="J2962">
        <f>1756.16</f>
        <v>1756.16</v>
      </c>
      <c r="K2962">
        <f>4881.94</f>
        <v>4881.9399999999996</v>
      </c>
      <c r="L2962">
        <f>1135.93</f>
        <v>1135.93</v>
      </c>
      <c r="M2962">
        <f>4453.85</f>
        <v>4453.8500000000004</v>
      </c>
      <c r="N2962">
        <f>184.198</f>
        <v>184.19800000000001</v>
      </c>
      <c r="O2962">
        <f>1642.88</f>
        <v>1642.88</v>
      </c>
      <c r="P2962">
        <f>89.09</f>
        <v>89.09</v>
      </c>
      <c r="Q2962">
        <f>1047.47</f>
        <v>1047.47</v>
      </c>
      <c r="R2962">
        <f>2337.67</f>
        <v>2337.67</v>
      </c>
      <c r="S2962">
        <f>1060.11</f>
        <v>1060.1099999999999</v>
      </c>
      <c r="T2962">
        <f>1819.593</f>
        <v>1819.5930000000001</v>
      </c>
      <c r="U2962">
        <f>34006.52</f>
        <v>34006.519999999997</v>
      </c>
      <c r="V2962">
        <f>250.98</f>
        <v>250.98</v>
      </c>
    </row>
    <row r="2963" spans="1:22" x14ac:dyDescent="0.2">
      <c r="A2963" s="1">
        <v>40960</v>
      </c>
      <c r="B2963">
        <f>2307.87</f>
        <v>2307.87</v>
      </c>
      <c r="C2963">
        <f>9128.08</f>
        <v>9128.08</v>
      </c>
      <c r="D2963">
        <f>4029.13</f>
        <v>4029.13</v>
      </c>
      <c r="E2963">
        <f>1963.693</f>
        <v>1963.693</v>
      </c>
      <c r="F2963">
        <f>1433.54</f>
        <v>1433.54</v>
      </c>
      <c r="G2963">
        <f>6483.263</f>
        <v>6483.2629999999999</v>
      </c>
      <c r="H2963">
        <f>1947.03</f>
        <v>1947.03</v>
      </c>
      <c r="I2963">
        <f>6211.933</f>
        <v>6211.933</v>
      </c>
      <c r="J2963">
        <f>1759.85</f>
        <v>1759.85</v>
      </c>
      <c r="K2963">
        <f>4897.13</f>
        <v>4897.13</v>
      </c>
      <c r="L2963">
        <f>1141.59</f>
        <v>1141.5899999999999</v>
      </c>
      <c r="M2963">
        <f>4472.87</f>
        <v>4472.87</v>
      </c>
      <c r="N2963">
        <f>184.564</f>
        <v>184.56399999999999</v>
      </c>
      <c r="O2963">
        <f>1655.95</f>
        <v>1655.95</v>
      </c>
      <c r="P2963">
        <f>88.06</f>
        <v>88.06</v>
      </c>
      <c r="Q2963">
        <f>1052.49</f>
        <v>1052.49</v>
      </c>
      <c r="R2963">
        <f>2345.41</f>
        <v>2345.41</v>
      </c>
      <c r="S2963">
        <f>1048.4</f>
        <v>1048.4000000000001</v>
      </c>
      <c r="T2963">
        <f>1817.328</f>
        <v>1817.328</v>
      </c>
      <c r="U2963">
        <f>34142.37</f>
        <v>34142.370000000003</v>
      </c>
      <c r="V2963">
        <f>250.18</f>
        <v>250.18</v>
      </c>
    </row>
    <row r="2964" spans="1:22" x14ac:dyDescent="0.2">
      <c r="A2964" s="1">
        <v>40959</v>
      </c>
      <c r="B2964">
        <f>2323.19</f>
        <v>2323.19</v>
      </c>
      <c r="C2964">
        <f>9143.59</f>
        <v>9143.59</v>
      </c>
      <c r="D2964">
        <f>4040.72</f>
        <v>4040.72</v>
      </c>
      <c r="E2964">
        <f>1967.477</f>
        <v>1967.4770000000001</v>
      </c>
      <c r="F2964">
        <f>1435.26</f>
        <v>1435.26</v>
      </c>
      <c r="G2964">
        <f>6522.17</f>
        <v>6522.17</v>
      </c>
      <c r="H2964">
        <f>1958.38</f>
        <v>1958.38</v>
      </c>
      <c r="I2964">
        <f>6240.431</f>
        <v>6240.4309999999996</v>
      </c>
      <c r="J2964">
        <f>1759.17</f>
        <v>1759.17</v>
      </c>
      <c r="K2964">
        <f>4894.97</f>
        <v>4894.97</v>
      </c>
      <c r="L2964">
        <f>1141.63</f>
        <v>1141.6300000000001</v>
      </c>
      <c r="M2964">
        <f>4478.9</f>
        <v>4478.8999999999996</v>
      </c>
      <c r="N2964">
        <f>185.887</f>
        <v>185.887</v>
      </c>
      <c r="O2964">
        <f>1664.83</f>
        <v>1664.83</v>
      </c>
      <c r="P2964">
        <f>87.88</f>
        <v>87.88</v>
      </c>
      <c r="Q2964" t="e">
        <f>NA()</f>
        <v>#N/A</v>
      </c>
      <c r="R2964" t="e">
        <f>NA()</f>
        <v>#N/A</v>
      </c>
      <c r="S2964">
        <f>1051.92</f>
        <v>1051.92</v>
      </c>
      <c r="T2964">
        <f>1816.9</f>
        <v>1816.9</v>
      </c>
      <c r="U2964">
        <f>34106</f>
        <v>34106</v>
      </c>
      <c r="V2964">
        <f>251.06</f>
        <v>251.06</v>
      </c>
    </row>
    <row r="2965" spans="1:22" x14ac:dyDescent="0.2">
      <c r="A2965" s="1">
        <v>40956</v>
      </c>
      <c r="B2965">
        <f>2305.65</f>
        <v>2305.65</v>
      </c>
      <c r="C2965">
        <f>9108.9</f>
        <v>9108.9</v>
      </c>
      <c r="D2965">
        <f>4013.41</f>
        <v>4013.41</v>
      </c>
      <c r="E2965">
        <f>1959.956</f>
        <v>1959.9559999999999</v>
      </c>
      <c r="F2965">
        <f>1429.72</f>
        <v>1429.72</v>
      </c>
      <c r="G2965">
        <f>6456.573</f>
        <v>6456.5730000000003</v>
      </c>
      <c r="H2965">
        <f>1939.86</f>
        <v>1939.86</v>
      </c>
      <c r="I2965">
        <f>6124.208</f>
        <v>6124.2079999999996</v>
      </c>
      <c r="J2965">
        <f>1759.17</f>
        <v>1759.17</v>
      </c>
      <c r="K2965">
        <f>4894.97</f>
        <v>4894.97</v>
      </c>
      <c r="L2965">
        <f>1133.32</f>
        <v>1133.32</v>
      </c>
      <c r="M2965">
        <f>4449.4</f>
        <v>4449.3999999999996</v>
      </c>
      <c r="N2965">
        <f>185.752</f>
        <v>185.75200000000001</v>
      </c>
      <c r="O2965">
        <f>1652.33</f>
        <v>1652.33</v>
      </c>
      <c r="P2965">
        <f>87.88</f>
        <v>87.88</v>
      </c>
      <c r="Q2965">
        <f>1056.67</f>
        <v>1056.67</v>
      </c>
      <c r="R2965">
        <f>2343.67</f>
        <v>2343.67</v>
      </c>
      <c r="S2965">
        <f>1040.9</f>
        <v>1040.9000000000001</v>
      </c>
      <c r="T2965">
        <f>1812.048</f>
        <v>1812.048</v>
      </c>
      <c r="U2965">
        <f>34082.78</f>
        <v>34082.78</v>
      </c>
      <c r="V2965">
        <f>250.67</f>
        <v>250.67</v>
      </c>
    </row>
    <row r="2966" spans="1:22" x14ac:dyDescent="0.2">
      <c r="A2966" s="1">
        <v>40955</v>
      </c>
      <c r="B2966">
        <f>2283.8</f>
        <v>2283.8000000000002</v>
      </c>
      <c r="C2966">
        <f>8996.45</f>
        <v>8996.4500000000007</v>
      </c>
      <c r="D2966">
        <f>4000.03</f>
        <v>4000.03</v>
      </c>
      <c r="E2966">
        <f>1935.418</f>
        <v>1935.4179999999999</v>
      </c>
      <c r="F2966">
        <f>1423.71</f>
        <v>1423.71</v>
      </c>
      <c r="G2966">
        <f>6409.835</f>
        <v>6409.835</v>
      </c>
      <c r="H2966">
        <f>1934.2</f>
        <v>1934.2</v>
      </c>
      <c r="I2966">
        <f>6008.57</f>
        <v>6008.57</v>
      </c>
      <c r="J2966">
        <f>1754.14</f>
        <v>1754.14</v>
      </c>
      <c r="K2966">
        <f>4885.01</f>
        <v>4885.01</v>
      </c>
      <c r="L2966">
        <f>1124.86</f>
        <v>1124.8599999999999</v>
      </c>
      <c r="M2966">
        <f>4421.95</f>
        <v>4421.95</v>
      </c>
      <c r="N2966">
        <f>185.692</f>
        <v>185.69200000000001</v>
      </c>
      <c r="O2966">
        <f>1640.92</f>
        <v>1640.92</v>
      </c>
      <c r="P2966">
        <f>87.38</f>
        <v>87.38</v>
      </c>
      <c r="Q2966">
        <f>1054.02</f>
        <v>1054.02</v>
      </c>
      <c r="R2966">
        <f>2338.12</f>
        <v>2338.12</v>
      </c>
      <c r="S2966">
        <f>1027.81</f>
        <v>1027.81</v>
      </c>
      <c r="T2966">
        <f>1805.967</f>
        <v>1805.9670000000001</v>
      </c>
      <c r="U2966">
        <f>33801.64</f>
        <v>33801.64</v>
      </c>
      <c r="V2966">
        <f>248.46</f>
        <v>248.46</v>
      </c>
    </row>
    <row r="2967" spans="1:22" x14ac:dyDescent="0.2">
      <c r="A2967" s="1">
        <v>40954</v>
      </c>
      <c r="B2967">
        <f>2289.86</f>
        <v>2289.86</v>
      </c>
      <c r="C2967">
        <f>9059.9</f>
        <v>9059.9</v>
      </c>
      <c r="D2967">
        <f>4004.64</f>
        <v>4004.64</v>
      </c>
      <c r="E2967">
        <f>1952.428</f>
        <v>1952.4280000000001</v>
      </c>
      <c r="F2967">
        <f>1421.03</f>
        <v>1421.03</v>
      </c>
      <c r="G2967">
        <f>6395.024</f>
        <v>6395.0240000000003</v>
      </c>
      <c r="H2967">
        <f>1955.34</f>
        <v>1955.34</v>
      </c>
      <c r="I2967">
        <f>6025.208</f>
        <v>6025.2079999999996</v>
      </c>
      <c r="J2967">
        <f>1737.12</f>
        <v>1737.12</v>
      </c>
      <c r="K2967">
        <f>4829.81</f>
        <v>4829.8100000000004</v>
      </c>
      <c r="L2967">
        <f>1123.34</f>
        <v>1123.3399999999999</v>
      </c>
      <c r="M2967">
        <f>4402.36</f>
        <v>4402.3599999999997</v>
      </c>
      <c r="N2967">
        <f>185.767</f>
        <v>185.767</v>
      </c>
      <c r="O2967">
        <f>1640.06</f>
        <v>1640.06</v>
      </c>
      <c r="P2967">
        <f>87.75</f>
        <v>87.75</v>
      </c>
      <c r="Q2967">
        <f>1045.52</f>
        <v>1045.52</v>
      </c>
      <c r="R2967">
        <f>2312.28</f>
        <v>2312.2800000000002</v>
      </c>
      <c r="S2967">
        <f>1031.24</f>
        <v>1031.24</v>
      </c>
      <c r="T2967">
        <f>1810.088</f>
        <v>1810.088</v>
      </c>
      <c r="U2967">
        <f>34089.87</f>
        <v>34089.870000000003</v>
      </c>
      <c r="V2967">
        <f>250.27</f>
        <v>250.27</v>
      </c>
    </row>
    <row r="2968" spans="1:22" x14ac:dyDescent="0.2">
      <c r="A2968" s="1">
        <v>40953</v>
      </c>
      <c r="B2968">
        <f>2291.89</f>
        <v>2291.89</v>
      </c>
      <c r="C2968">
        <f>8981.39</f>
        <v>8981.39</v>
      </c>
      <c r="D2968">
        <f>3995.62</f>
        <v>3995.62</v>
      </c>
      <c r="E2968">
        <f>1931.073</f>
        <v>1931.0730000000001</v>
      </c>
      <c r="F2968">
        <f>1419.61</f>
        <v>1419.61</v>
      </c>
      <c r="G2968">
        <f>6369.662</f>
        <v>6369.6620000000003</v>
      </c>
      <c r="H2968">
        <f>1917.39</f>
        <v>1917.39</v>
      </c>
      <c r="I2968">
        <f>6017.243</f>
        <v>6017.2430000000004</v>
      </c>
      <c r="J2968">
        <f>1745.62</f>
        <v>1745.62</v>
      </c>
      <c r="K2968">
        <f>4853.12</f>
        <v>4853.12</v>
      </c>
      <c r="L2968">
        <f>1123.05</f>
        <v>1123.05</v>
      </c>
      <c r="M2968">
        <f>4397.56</f>
        <v>4397.5600000000004</v>
      </c>
      <c r="N2968">
        <f>183.928</f>
        <v>183.928</v>
      </c>
      <c r="O2968">
        <f>1628.79</f>
        <v>1628.79</v>
      </c>
      <c r="P2968">
        <f>87.07</f>
        <v>87.07</v>
      </c>
      <c r="Q2968">
        <f>1049.75</f>
        <v>1049.75</v>
      </c>
      <c r="R2968">
        <f>2324</f>
        <v>2324</v>
      </c>
      <c r="S2968">
        <f>1010.49</f>
        <v>1010.49</v>
      </c>
      <c r="T2968">
        <f>1797.804</f>
        <v>1797.8040000000001</v>
      </c>
      <c r="U2968">
        <f>34112.44</f>
        <v>34112.44</v>
      </c>
      <c r="V2968">
        <f>249.37</f>
        <v>249.37</v>
      </c>
    </row>
    <row r="2969" spans="1:22" x14ac:dyDescent="0.2">
      <c r="A2969" s="1">
        <v>40952</v>
      </c>
      <c r="B2969">
        <f>2297.22</f>
        <v>2297.2199999999998</v>
      </c>
      <c r="C2969">
        <f>9032.01</f>
        <v>9032.01</v>
      </c>
      <c r="D2969">
        <f>3999.56</f>
        <v>3999.56</v>
      </c>
      <c r="E2969">
        <f>1942.085</f>
        <v>1942.085</v>
      </c>
      <c r="F2969">
        <f>1421.08</f>
        <v>1421.08</v>
      </c>
      <c r="G2969">
        <f>6426.819</f>
        <v>6426.8190000000004</v>
      </c>
      <c r="H2969">
        <f>1930.58</f>
        <v>1930.58</v>
      </c>
      <c r="I2969">
        <f>6068.353</f>
        <v>6068.3530000000001</v>
      </c>
      <c r="J2969">
        <f>1744.79</f>
        <v>1744.79</v>
      </c>
      <c r="K2969">
        <f>4856.26</f>
        <v>4856.26</v>
      </c>
      <c r="L2969">
        <f>1126.93</f>
        <v>1126.93</v>
      </c>
      <c r="M2969">
        <f>4415.44</f>
        <v>4415.4399999999996</v>
      </c>
      <c r="N2969">
        <f>182.913</f>
        <v>182.91300000000001</v>
      </c>
      <c r="O2969">
        <f>1631.95</f>
        <v>1631.95</v>
      </c>
      <c r="P2969">
        <f>86.47</f>
        <v>86.47</v>
      </c>
      <c r="Q2969">
        <f>1051.71</f>
        <v>1051.71</v>
      </c>
      <c r="R2969">
        <f>2325.81</f>
        <v>2325.81</v>
      </c>
      <c r="S2969">
        <f>1003.92</f>
        <v>1003.92</v>
      </c>
      <c r="T2969">
        <f>1799.66</f>
        <v>1799.66</v>
      </c>
      <c r="U2969">
        <f>34207.43</f>
        <v>34207.43</v>
      </c>
      <c r="V2969">
        <f>250.11</f>
        <v>250.11</v>
      </c>
    </row>
    <row r="2970" spans="1:22" x14ac:dyDescent="0.2">
      <c r="A2970" s="1">
        <v>40949</v>
      </c>
      <c r="B2970">
        <f>2263.63</f>
        <v>2263.63</v>
      </c>
      <c r="C2970">
        <f>8928.42</f>
        <v>8928.42</v>
      </c>
      <c r="D2970">
        <f>3963.46</f>
        <v>3963.46</v>
      </c>
      <c r="E2970">
        <f>1921.581</f>
        <v>1921.5809999999999</v>
      </c>
      <c r="F2970">
        <f>1406.03</f>
        <v>1406.03</v>
      </c>
      <c r="G2970">
        <f>6350.522</f>
        <v>6350.5219999999999</v>
      </c>
      <c r="H2970">
        <f>1919.59</f>
        <v>1919.59</v>
      </c>
      <c r="I2970">
        <f>6018.853</f>
        <v>6018.8530000000001</v>
      </c>
      <c r="J2970">
        <f>1736.81</f>
        <v>1736.81</v>
      </c>
      <c r="K2970">
        <f>4822.61</f>
        <v>4822.6099999999997</v>
      </c>
      <c r="L2970">
        <f>1118.72</f>
        <v>1118.72</v>
      </c>
      <c r="M2970">
        <f>4381.9</f>
        <v>4381.8999999999996</v>
      </c>
      <c r="N2970">
        <f>181.364</f>
        <v>181.364</v>
      </c>
      <c r="O2970">
        <f>1619.6</f>
        <v>1619.6</v>
      </c>
      <c r="P2970">
        <f>86.13</f>
        <v>86.13</v>
      </c>
      <c r="Q2970">
        <f>1045.18</f>
        <v>1045.18</v>
      </c>
      <c r="R2970">
        <f>2309.6</f>
        <v>2309.6</v>
      </c>
      <c r="S2970">
        <f>1000.56</f>
        <v>1000.56</v>
      </c>
      <c r="T2970">
        <f>1791.27</f>
        <v>1791.27</v>
      </c>
      <c r="U2970">
        <f>33892.58</f>
        <v>33892.58</v>
      </c>
      <c r="V2970">
        <f>248.62</f>
        <v>248.62</v>
      </c>
    </row>
    <row r="2971" spans="1:22" x14ac:dyDescent="0.2">
      <c r="A2971" s="1">
        <v>40948</v>
      </c>
      <c r="B2971">
        <f>2280.8</f>
        <v>2280.8000000000002</v>
      </c>
      <c r="C2971">
        <f>9106.85</f>
        <v>9106.85</v>
      </c>
      <c r="D2971">
        <f>3992.63</f>
        <v>3992.63</v>
      </c>
      <c r="E2971">
        <f>1957.546</f>
        <v>1957.546</v>
      </c>
      <c r="F2971">
        <f>1422.6</f>
        <v>1422.6</v>
      </c>
      <c r="G2971">
        <f>6433.582</f>
        <v>6433.5820000000003</v>
      </c>
      <c r="H2971">
        <f>1940.41</f>
        <v>1940.41</v>
      </c>
      <c r="I2971">
        <f>6141.525</f>
        <v>6141.5249999999996</v>
      </c>
      <c r="J2971">
        <f>1746.39</f>
        <v>1746.39</v>
      </c>
      <c r="K2971">
        <f>4856.97</f>
        <v>4856.97</v>
      </c>
      <c r="L2971">
        <f>1130.77</f>
        <v>1130.77</v>
      </c>
      <c r="M2971">
        <f>4432.17</f>
        <v>4432.17</v>
      </c>
      <c r="N2971">
        <f>181.355</f>
        <v>181.35499999999999</v>
      </c>
      <c r="O2971">
        <f>1634.96</f>
        <v>1634.96</v>
      </c>
      <c r="P2971">
        <f>86.12</f>
        <v>86.12</v>
      </c>
      <c r="Q2971">
        <f>1052.72</f>
        <v>1052.72</v>
      </c>
      <c r="R2971">
        <f>2325.56</f>
        <v>2325.56</v>
      </c>
      <c r="S2971">
        <f>1007.52</f>
        <v>1007.52</v>
      </c>
      <c r="T2971">
        <f>1793.318</f>
        <v>1793.318</v>
      </c>
      <c r="U2971">
        <f>34268.14</f>
        <v>34268.14</v>
      </c>
      <c r="V2971">
        <f>250.24</f>
        <v>250.24</v>
      </c>
    </row>
    <row r="2972" spans="1:22" x14ac:dyDescent="0.2">
      <c r="A2972" s="1">
        <v>40947</v>
      </c>
      <c r="B2972">
        <f>2268.72</f>
        <v>2268.7199999999998</v>
      </c>
      <c r="C2972">
        <f>9103.62</f>
        <v>9103.6200000000008</v>
      </c>
      <c r="D2972">
        <f>3979.4</f>
        <v>3979.4</v>
      </c>
      <c r="E2972">
        <f>1955.69</f>
        <v>1955.69</v>
      </c>
      <c r="F2972">
        <f>1418.88</f>
        <v>1418.88</v>
      </c>
      <c r="G2972">
        <f>6402.11</f>
        <v>6402.11</v>
      </c>
      <c r="H2972">
        <f>1940.32</f>
        <v>1940.32</v>
      </c>
      <c r="I2972">
        <f>6099.243</f>
        <v>6099.2430000000004</v>
      </c>
      <c r="J2972">
        <f>1746.67</f>
        <v>1746.67</v>
      </c>
      <c r="K2972">
        <f>4848.4</f>
        <v>4848.3999999999996</v>
      </c>
      <c r="L2972">
        <f>1127.5</f>
        <v>1127.5</v>
      </c>
      <c r="M2972">
        <f>4421.6</f>
        <v>4421.6000000000004</v>
      </c>
      <c r="N2972">
        <f>181.176</f>
        <v>181.17599999999999</v>
      </c>
      <c r="O2972">
        <f>1630.89</f>
        <v>1630.89</v>
      </c>
      <c r="P2972">
        <f>85.94</f>
        <v>85.94</v>
      </c>
      <c r="Q2972">
        <f>1050.49</f>
        <v>1050.49</v>
      </c>
      <c r="R2972">
        <f>2322.11</f>
        <v>2322.11</v>
      </c>
      <c r="S2972">
        <f>1004.75</f>
        <v>1004.75</v>
      </c>
      <c r="T2972">
        <f>1790.962</f>
        <v>1790.962</v>
      </c>
      <c r="U2972">
        <f>34226.73</f>
        <v>34226.730000000003</v>
      </c>
      <c r="V2972">
        <f>249.44</f>
        <v>249.44</v>
      </c>
    </row>
    <row r="2973" spans="1:22" x14ac:dyDescent="0.2">
      <c r="A2973" s="1">
        <v>40946</v>
      </c>
      <c r="B2973">
        <f>2278.91</f>
        <v>2278.91</v>
      </c>
      <c r="C2973">
        <f>9000.6</f>
        <v>9000.6</v>
      </c>
      <c r="D2973">
        <f>3988.86</f>
        <v>3988.86</v>
      </c>
      <c r="E2973">
        <f>1933.278</f>
        <v>1933.278</v>
      </c>
      <c r="F2973">
        <f>1426.45</f>
        <v>1426.45</v>
      </c>
      <c r="G2973">
        <f>6438.38</f>
        <v>6438.38</v>
      </c>
      <c r="H2973">
        <f>1926.29</f>
        <v>1926.29</v>
      </c>
      <c r="I2973">
        <f>6090.066</f>
        <v>6090.0659999999998</v>
      </c>
      <c r="J2973">
        <f>1746.18</f>
        <v>1746.18</v>
      </c>
      <c r="K2973">
        <f>4836.59</f>
        <v>4836.59</v>
      </c>
      <c r="L2973">
        <f>1127.84</f>
        <v>1127.8399999999999</v>
      </c>
      <c r="M2973">
        <f>4410.55</f>
        <v>4410.55</v>
      </c>
      <c r="N2973">
        <f>182.658</f>
        <v>182.65799999999999</v>
      </c>
      <c r="O2973">
        <f>1635.11</f>
        <v>1635.11</v>
      </c>
      <c r="P2973">
        <f>85.66</f>
        <v>85.66</v>
      </c>
      <c r="Q2973">
        <f>1050.01</f>
        <v>1050.01</v>
      </c>
      <c r="R2973">
        <f>2316.27</f>
        <v>2316.27</v>
      </c>
      <c r="S2973">
        <f>992.46</f>
        <v>992.46</v>
      </c>
      <c r="T2973">
        <f>1784.671</f>
        <v>1784.671</v>
      </c>
      <c r="U2973">
        <f>33974.45</f>
        <v>33974.449999999997</v>
      </c>
      <c r="V2973">
        <f>248.23</f>
        <v>248.23</v>
      </c>
    </row>
    <row r="2974" spans="1:22" x14ac:dyDescent="0.2">
      <c r="A2974" s="1">
        <v>40945</v>
      </c>
      <c r="B2974">
        <f>2277.76</f>
        <v>2277.7600000000002</v>
      </c>
      <c r="C2974">
        <f>8982.24</f>
        <v>8982.24</v>
      </c>
      <c r="D2974">
        <f>3990.18</f>
        <v>3990.18</v>
      </c>
      <c r="E2974">
        <f>1930.806</f>
        <v>1930.806</v>
      </c>
      <c r="F2974">
        <f>1415.58</f>
        <v>1415.58</v>
      </c>
      <c r="G2974">
        <f>6408.862</f>
        <v>6408.8620000000001</v>
      </c>
      <c r="H2974">
        <f>1920.25</f>
        <v>1920.25</v>
      </c>
      <c r="I2974">
        <f>6011.716</f>
        <v>6011.7160000000003</v>
      </c>
      <c r="J2974">
        <f>1740.66</f>
        <v>1740.66</v>
      </c>
      <c r="K2974">
        <f>4827.39</f>
        <v>4827.3900000000003</v>
      </c>
      <c r="L2974">
        <f>1119.59</f>
        <v>1119.5899999999999</v>
      </c>
      <c r="M2974">
        <f>4393.88</f>
        <v>4393.88</v>
      </c>
      <c r="N2974">
        <f>182.983</f>
        <v>182.983</v>
      </c>
      <c r="O2974">
        <f>1637.07</f>
        <v>1637.07</v>
      </c>
      <c r="P2974">
        <f>85.37</f>
        <v>85.37</v>
      </c>
      <c r="Q2974">
        <f>1050.53</f>
        <v>1050.53</v>
      </c>
      <c r="R2974">
        <f>2311.55</f>
        <v>2311.5500000000002</v>
      </c>
      <c r="S2974">
        <f>988.71</f>
        <v>988.71</v>
      </c>
      <c r="T2974">
        <f>1791.029</f>
        <v>1791.029</v>
      </c>
      <c r="U2974">
        <f>34176.3</f>
        <v>34176.300000000003</v>
      </c>
      <c r="V2974">
        <f>250.32</f>
        <v>250.32</v>
      </c>
    </row>
    <row r="2975" spans="1:22" x14ac:dyDescent="0.2">
      <c r="A2975" s="1">
        <v>40942</v>
      </c>
      <c r="B2975">
        <f>2286.28</f>
        <v>2286.2800000000002</v>
      </c>
      <c r="C2975">
        <f>8998.3</f>
        <v>8998.2999999999993</v>
      </c>
      <c r="D2975">
        <f>3996.18</f>
        <v>3996.18</v>
      </c>
      <c r="E2975">
        <f>1932.632</f>
        <v>1932.6320000000001</v>
      </c>
      <c r="F2975">
        <f>1412.11</f>
        <v>1412.11</v>
      </c>
      <c r="G2975">
        <f>6418.446</f>
        <v>6418.4459999999999</v>
      </c>
      <c r="H2975">
        <f>1904.39</f>
        <v>1904.39</v>
      </c>
      <c r="I2975">
        <f>6049.089</f>
        <v>6049.0889999999999</v>
      </c>
      <c r="J2975">
        <f>1739.96</f>
        <v>1739.96</v>
      </c>
      <c r="K2975">
        <f>4828.48</f>
        <v>4828.4799999999996</v>
      </c>
      <c r="L2975">
        <f>1119.97</f>
        <v>1119.97</v>
      </c>
      <c r="M2975">
        <f>4394.81</f>
        <v>4394.8100000000004</v>
      </c>
      <c r="N2975">
        <f>182.885</f>
        <v>182.88499999999999</v>
      </c>
      <c r="O2975">
        <f>1639.76</f>
        <v>1639.76</v>
      </c>
      <c r="P2975">
        <f>85.16</f>
        <v>85.16</v>
      </c>
      <c r="Q2975">
        <f>1052.46</f>
        <v>1052.46</v>
      </c>
      <c r="R2975">
        <f>2312.49</f>
        <v>2312.4899999999998</v>
      </c>
      <c r="S2975">
        <f>976.95</f>
        <v>976.95</v>
      </c>
      <c r="T2975">
        <f>1801.857</f>
        <v>1801.857</v>
      </c>
      <c r="U2975">
        <f>34386.97</f>
        <v>34386.97</v>
      </c>
      <c r="V2975">
        <f>251.47</f>
        <v>251.47</v>
      </c>
    </row>
    <row r="2976" spans="1:22" x14ac:dyDescent="0.2">
      <c r="A2976" s="1">
        <v>40941</v>
      </c>
      <c r="B2976">
        <f>2242.51</f>
        <v>2242.5100000000002</v>
      </c>
      <c r="C2976">
        <f>8971.62</f>
        <v>8971.6200000000008</v>
      </c>
      <c r="D2976">
        <f>3925.08</f>
        <v>3925.08</v>
      </c>
      <c r="E2976">
        <f>1924.496</f>
        <v>1924.4960000000001</v>
      </c>
      <c r="F2976">
        <f>1395.36</f>
        <v>1395.36</v>
      </c>
      <c r="G2976">
        <f>6312.533</f>
        <v>6312.5330000000004</v>
      </c>
      <c r="H2976">
        <f>1916.15</f>
        <v>1916.15</v>
      </c>
      <c r="I2976">
        <f>5982.778</f>
        <v>5982.7780000000002</v>
      </c>
      <c r="J2976">
        <f>1724</f>
        <v>1724</v>
      </c>
      <c r="K2976">
        <f>4758.23</f>
        <v>4758.2299999999996</v>
      </c>
      <c r="L2976">
        <f>1111.53</f>
        <v>1111.53</v>
      </c>
      <c r="M2976">
        <f>4346.8</f>
        <v>4346.8</v>
      </c>
      <c r="N2976">
        <f>179.489</f>
        <v>179.489</v>
      </c>
      <c r="O2976">
        <f>1612.43</f>
        <v>1612.43</v>
      </c>
      <c r="P2976">
        <f>85.63</f>
        <v>85.63</v>
      </c>
      <c r="Q2976">
        <f>1039.46</f>
        <v>1039.46</v>
      </c>
      <c r="R2976">
        <f>2278.92</f>
        <v>2278.92</v>
      </c>
      <c r="S2976">
        <f>979.21</f>
        <v>979.21</v>
      </c>
      <c r="T2976">
        <f>1798.872</f>
        <v>1798.8720000000001</v>
      </c>
      <c r="U2976">
        <f>34371.5</f>
        <v>34371.5</v>
      </c>
      <c r="V2976">
        <f>249.8</f>
        <v>249.8</v>
      </c>
    </row>
    <row r="2977" spans="1:22" x14ac:dyDescent="0.2">
      <c r="A2977" s="1">
        <v>40940</v>
      </c>
      <c r="B2977">
        <f>2233.28</f>
        <v>2233.2800000000002</v>
      </c>
      <c r="C2977">
        <f>8853.32</f>
        <v>8853.32</v>
      </c>
      <c r="D2977">
        <f>3921.45</f>
        <v>3921.45</v>
      </c>
      <c r="E2977">
        <f>1898.362</f>
        <v>1898.3620000000001</v>
      </c>
      <c r="F2977">
        <f>1408.33</f>
        <v>1408.33</v>
      </c>
      <c r="G2977">
        <f>6323.643</f>
        <v>6323.643</v>
      </c>
      <c r="H2977">
        <f>1902.65</f>
        <v>1902.65</v>
      </c>
      <c r="I2977">
        <f>5978.653</f>
        <v>5978.6530000000002</v>
      </c>
      <c r="J2977">
        <f>1724.64</f>
        <v>1724.64</v>
      </c>
      <c r="K2977">
        <f>4751.65</f>
        <v>4751.6499999999996</v>
      </c>
      <c r="L2977">
        <f>1113.53</f>
        <v>1113.53</v>
      </c>
      <c r="M2977">
        <f>4338.59</f>
        <v>4338.59</v>
      </c>
      <c r="N2977">
        <f>179.889</f>
        <v>179.88900000000001</v>
      </c>
      <c r="O2977">
        <f>1609.57</f>
        <v>1609.57</v>
      </c>
      <c r="P2977">
        <f>85.53</f>
        <v>85.53</v>
      </c>
      <c r="Q2977">
        <f>1039.86</f>
        <v>1039.8599999999999</v>
      </c>
      <c r="R2977">
        <f>2276.24</f>
        <v>2276.2399999999998</v>
      </c>
      <c r="S2977">
        <f>973.44</f>
        <v>973.44</v>
      </c>
      <c r="T2977">
        <f>1786.522</f>
        <v>1786.5219999999999</v>
      </c>
      <c r="U2977">
        <f>34139.52</f>
        <v>34139.519999999997</v>
      </c>
      <c r="V2977">
        <f>247.28</f>
        <v>247.28</v>
      </c>
    </row>
    <row r="2978" spans="1:22" x14ac:dyDescent="0.2">
      <c r="A2978" s="1">
        <v>40939</v>
      </c>
      <c r="B2978">
        <f>2193.34</f>
        <v>2193.34</v>
      </c>
      <c r="C2978">
        <f>8758.1</f>
        <v>8758.1</v>
      </c>
      <c r="D2978">
        <f>3847.57</f>
        <v>3847.57</v>
      </c>
      <c r="E2978">
        <f>1879.011</f>
        <v>1879.011</v>
      </c>
      <c r="F2978">
        <f>1386.13</f>
        <v>1386.13</v>
      </c>
      <c r="G2978">
        <f>6174.878</f>
        <v>6174.8779999999997</v>
      </c>
      <c r="H2978">
        <f>1892.04</f>
        <v>1892.04</v>
      </c>
      <c r="I2978">
        <f>5804.034</f>
        <v>5804.0339999999997</v>
      </c>
      <c r="J2978">
        <f>1712.51</f>
        <v>1712.51</v>
      </c>
      <c r="K2978">
        <f>4706.76</f>
        <v>4706.76</v>
      </c>
      <c r="L2978">
        <f>1099.69</f>
        <v>1099.69</v>
      </c>
      <c r="M2978">
        <f>4280.52</f>
        <v>4280.5200000000004</v>
      </c>
      <c r="N2978">
        <f>177.797</f>
        <v>177.797</v>
      </c>
      <c r="O2978">
        <f>1579.48</f>
        <v>1579.48</v>
      </c>
      <c r="P2978">
        <f>85.28</f>
        <v>85.28</v>
      </c>
      <c r="Q2978">
        <f>1029.35</f>
        <v>1029.3499999999999</v>
      </c>
      <c r="R2978">
        <f>2255.69</f>
        <v>2255.69</v>
      </c>
      <c r="S2978">
        <f>969.99</f>
        <v>969.99</v>
      </c>
      <c r="T2978">
        <f>1764.983</f>
        <v>1764.9829999999999</v>
      </c>
      <c r="U2978">
        <f>33792.48</f>
        <v>33792.480000000003</v>
      </c>
      <c r="V2978">
        <f>244.3</f>
        <v>244.3</v>
      </c>
    </row>
    <row r="2979" spans="1:22" x14ac:dyDescent="0.2">
      <c r="A2979" s="1">
        <v>40938</v>
      </c>
      <c r="B2979">
        <f>2181.13</f>
        <v>2181.13</v>
      </c>
      <c r="C2979">
        <f>8638.66</f>
        <v>8638.66</v>
      </c>
      <c r="D2979">
        <f>3840.44</f>
        <v>3840.44</v>
      </c>
      <c r="E2979">
        <f>1854.207</f>
        <v>1854.2070000000001</v>
      </c>
      <c r="F2979">
        <f>1376.86</f>
        <v>1376.86</v>
      </c>
      <c r="G2979">
        <f>6123.848</f>
        <v>6123.848</v>
      </c>
      <c r="H2979">
        <f>1901.01</f>
        <v>1901.01</v>
      </c>
      <c r="I2979">
        <f>5784.031</f>
        <v>5784.0309999999999</v>
      </c>
      <c r="J2979">
        <f>1717.57</f>
        <v>1717.57</v>
      </c>
      <c r="K2979">
        <f>4708.33</f>
        <v>4708.33</v>
      </c>
      <c r="L2979">
        <f>1097.91</f>
        <v>1097.9100000000001</v>
      </c>
      <c r="M2979">
        <f>4273.57</f>
        <v>4273.57</v>
      </c>
      <c r="N2979">
        <f>176.062</f>
        <v>176.06200000000001</v>
      </c>
      <c r="O2979">
        <f>1567.69</f>
        <v>1567.69</v>
      </c>
      <c r="P2979">
        <f>85.46</f>
        <v>85.46</v>
      </c>
      <c r="Q2979">
        <f>1031.97</f>
        <v>1031.97</v>
      </c>
      <c r="R2979">
        <f>2256.72</f>
        <v>2256.7199999999998</v>
      </c>
      <c r="S2979">
        <f>972.23</f>
        <v>972.23</v>
      </c>
      <c r="T2979">
        <f>1747.967</f>
        <v>1747.9670000000001</v>
      </c>
      <c r="U2979">
        <f>33629.77</f>
        <v>33629.769999999997</v>
      </c>
      <c r="V2979">
        <f>241.83</f>
        <v>241.83</v>
      </c>
    </row>
    <row r="2980" spans="1:22" x14ac:dyDescent="0.2">
      <c r="A2980" s="1">
        <v>40935</v>
      </c>
      <c r="B2980">
        <f>2211.25</f>
        <v>2211.25</v>
      </c>
      <c r="C2980">
        <f>8672.84</f>
        <v>8672.84</v>
      </c>
      <c r="D2980">
        <f>3882.67</f>
        <v>3882.67</v>
      </c>
      <c r="E2980">
        <f>1873.243</f>
        <v>1873.2429999999999</v>
      </c>
      <c r="F2980">
        <f>1379.91</f>
        <v>1379.91</v>
      </c>
      <c r="G2980">
        <f>6185.736</f>
        <v>6185.7359999999999</v>
      </c>
      <c r="H2980">
        <f>1899.88</f>
        <v>1899.88</v>
      </c>
      <c r="I2980">
        <f>5862.614</f>
        <v>5862.6139999999996</v>
      </c>
      <c r="J2980">
        <f>1721.93</f>
        <v>1721.93</v>
      </c>
      <c r="K2980">
        <f>4719.71</f>
        <v>4719.71</v>
      </c>
      <c r="L2980">
        <f>1103.16</f>
        <v>1103.1600000000001</v>
      </c>
      <c r="M2980">
        <f>4298.06</f>
        <v>4298.0600000000004</v>
      </c>
      <c r="N2980">
        <f>176.824</f>
        <v>176.82400000000001</v>
      </c>
      <c r="O2980">
        <f>1584.32</f>
        <v>1584.32</v>
      </c>
      <c r="P2980">
        <f>85.6</f>
        <v>85.6</v>
      </c>
      <c r="Q2980">
        <f>1036.71</f>
        <v>1036.71</v>
      </c>
      <c r="R2980">
        <f>2262.35</f>
        <v>2262.35</v>
      </c>
      <c r="S2980">
        <f>977.52</f>
        <v>977.52</v>
      </c>
      <c r="T2980">
        <f>1753.248</f>
        <v>1753.248</v>
      </c>
      <c r="U2980">
        <f>33895.02</f>
        <v>33895.019999999997</v>
      </c>
      <c r="V2980">
        <f>243.33</f>
        <v>243.33</v>
      </c>
    </row>
    <row r="2981" spans="1:22" x14ac:dyDescent="0.2">
      <c r="A2981" s="1">
        <v>40934</v>
      </c>
      <c r="B2981">
        <f>2222.96</f>
        <v>2222.96</v>
      </c>
      <c r="C2981">
        <f>8665.25</f>
        <v>8665.25</v>
      </c>
      <c r="D2981">
        <f>3924.48</f>
        <v>3924.48</v>
      </c>
      <c r="E2981">
        <f>1870.233</f>
        <v>1870.2329999999999</v>
      </c>
      <c r="F2981">
        <f>1398.22</f>
        <v>1398.22</v>
      </c>
      <c r="G2981">
        <f>6264.983</f>
        <v>6264.9830000000002</v>
      </c>
      <c r="H2981">
        <f>1880.8</f>
        <v>1880.8</v>
      </c>
      <c r="I2981">
        <f>5928.874</f>
        <v>5928.8739999999998</v>
      </c>
      <c r="J2981">
        <f>1735.28</f>
        <v>1735.28</v>
      </c>
      <c r="K2981">
        <f>4725.9</f>
        <v>4725.8999999999996</v>
      </c>
      <c r="L2981">
        <f>1111.54</f>
        <v>1111.54</v>
      </c>
      <c r="M2981">
        <f>4313.72</f>
        <v>4313.72</v>
      </c>
      <c r="N2981">
        <f>178.564</f>
        <v>178.56399999999999</v>
      </c>
      <c r="O2981">
        <f>1601.46</f>
        <v>1601.46</v>
      </c>
      <c r="P2981">
        <f>85.44</f>
        <v>85.44</v>
      </c>
      <c r="Q2981">
        <f>1042.45</f>
        <v>1042.45</v>
      </c>
      <c r="R2981">
        <f>2265.84</f>
        <v>2265.84</v>
      </c>
      <c r="S2981">
        <f>981.94</f>
        <v>981.94</v>
      </c>
      <c r="T2981">
        <f>1758.987</f>
        <v>1758.9870000000001</v>
      </c>
      <c r="U2981">
        <f>34065.49</f>
        <v>34065.49</v>
      </c>
      <c r="V2981">
        <f>243.31</f>
        <v>243.31</v>
      </c>
    </row>
    <row r="2982" spans="1:22" x14ac:dyDescent="0.2">
      <c r="A2982" s="1">
        <v>40933</v>
      </c>
      <c r="B2982">
        <f>2207.46</f>
        <v>2207.46</v>
      </c>
      <c r="C2982">
        <f>8514.35</f>
        <v>8514.35</v>
      </c>
      <c r="D2982">
        <f>3875.6</f>
        <v>3875.6</v>
      </c>
      <c r="E2982">
        <f>1841.897</f>
        <v>1841.8969999999999</v>
      </c>
      <c r="F2982">
        <f>1383.64</f>
        <v>1383.64</v>
      </c>
      <c r="G2982">
        <f>6144.913</f>
        <v>6144.9129999999996</v>
      </c>
      <c r="H2982">
        <f>1861.92</f>
        <v>1861.92</v>
      </c>
      <c r="I2982">
        <f>5763.468</f>
        <v>5763.4679999999998</v>
      </c>
      <c r="J2982">
        <f>1740.59</f>
        <v>1740.59</v>
      </c>
      <c r="K2982">
        <f>4752.62</f>
        <v>4752.62</v>
      </c>
      <c r="L2982">
        <f>1101.56</f>
        <v>1101.56</v>
      </c>
      <c r="M2982">
        <f>4288.5</f>
        <v>4288.5</v>
      </c>
      <c r="N2982">
        <f>177.795</f>
        <v>177.79499999999999</v>
      </c>
      <c r="O2982">
        <f>1582.7</f>
        <v>1582.7</v>
      </c>
      <c r="P2982">
        <f>85.35</f>
        <v>85.35</v>
      </c>
      <c r="Q2982">
        <f>1044.31</f>
        <v>1044.31</v>
      </c>
      <c r="R2982">
        <f>2278.83</f>
        <v>2278.83</v>
      </c>
      <c r="S2982">
        <f>985.53</f>
        <v>985.53</v>
      </c>
      <c r="T2982">
        <f>1758.645</f>
        <v>1758.645</v>
      </c>
      <c r="U2982">
        <f>33637.27</f>
        <v>33637.269999999997</v>
      </c>
      <c r="V2982">
        <f>241.41</f>
        <v>241.41</v>
      </c>
    </row>
    <row r="2983" spans="1:22" x14ac:dyDescent="0.2">
      <c r="A2983" s="1">
        <v>40932</v>
      </c>
      <c r="B2983">
        <f>2204.01</f>
        <v>2204.0100000000002</v>
      </c>
      <c r="C2983">
        <f>8529.16</f>
        <v>8529.16</v>
      </c>
      <c r="D2983">
        <f>3893.96</f>
        <v>3893.96</v>
      </c>
      <c r="E2983">
        <f>1837.952</f>
        <v>1837.952</v>
      </c>
      <c r="F2983">
        <f>1397.69</f>
        <v>1397.69</v>
      </c>
      <c r="G2983">
        <f>6174.616</f>
        <v>6174.616</v>
      </c>
      <c r="H2983">
        <f>1862.43</f>
        <v>1862.43</v>
      </c>
      <c r="I2983">
        <f>5790.754</f>
        <v>5790.7539999999999</v>
      </c>
      <c r="J2983">
        <f>1728.68</f>
        <v>1728.68</v>
      </c>
      <c r="K2983">
        <f>4710.57</f>
        <v>4710.57</v>
      </c>
      <c r="L2983">
        <f>1100.52</f>
        <v>1100.52</v>
      </c>
      <c r="M2983">
        <f>4266.26</f>
        <v>4266.26</v>
      </c>
      <c r="N2983">
        <f>178.137</f>
        <v>178.137</v>
      </c>
      <c r="O2983">
        <f>1589.63</f>
        <v>1589.63</v>
      </c>
      <c r="P2983">
        <f>84.84</f>
        <v>84.84</v>
      </c>
      <c r="Q2983">
        <f>1035.93</f>
        <v>1035.93</v>
      </c>
      <c r="R2983">
        <f>2259.22</f>
        <v>2259.2199999999998</v>
      </c>
      <c r="S2983">
        <f>972.69</f>
        <v>972.69</v>
      </c>
      <c r="T2983">
        <f>1757.734</f>
        <v>1757.7339999999999</v>
      </c>
      <c r="U2983">
        <f>33733.46</f>
        <v>33733.46</v>
      </c>
      <c r="V2983">
        <f>242.02</f>
        <v>242.02</v>
      </c>
    </row>
    <row r="2984" spans="1:22" x14ac:dyDescent="0.2">
      <c r="A2984" s="1">
        <v>40931</v>
      </c>
      <c r="B2984">
        <f>2219.88</f>
        <v>2219.88</v>
      </c>
      <c r="C2984">
        <f>8554.81</f>
        <v>8554.81</v>
      </c>
      <c r="D2984">
        <f>3914.71</f>
        <v>3914.71</v>
      </c>
      <c r="E2984">
        <f>1841.696</f>
        <v>1841.6959999999999</v>
      </c>
      <c r="F2984">
        <f>1400.91</f>
        <v>1400.91</v>
      </c>
      <c r="G2984">
        <f>6210.243</f>
        <v>6210.2430000000004</v>
      </c>
      <c r="H2984">
        <f>1868.92</f>
        <v>1868.92</v>
      </c>
      <c r="I2984">
        <f>5846.768</f>
        <v>5846.768</v>
      </c>
      <c r="J2984">
        <f>1734.51</f>
        <v>1734.51</v>
      </c>
      <c r="K2984">
        <f>4714.61</f>
        <v>4714.6099999999997</v>
      </c>
      <c r="L2984">
        <f>1106.99</f>
        <v>1106.99</v>
      </c>
      <c r="M2984">
        <f>4285.25</f>
        <v>4285.25</v>
      </c>
      <c r="N2984">
        <f>178.74</f>
        <v>178.74</v>
      </c>
      <c r="O2984">
        <f>1595.06</f>
        <v>1595.06</v>
      </c>
      <c r="P2984">
        <f>84.4</f>
        <v>84.4</v>
      </c>
      <c r="Q2984">
        <f>1033.96</f>
        <v>1033.96</v>
      </c>
      <c r="R2984">
        <f>2261.47</f>
        <v>2261.4699999999998</v>
      </c>
      <c r="S2984">
        <f>971.9</f>
        <v>971.9</v>
      </c>
      <c r="T2984">
        <f>1766.109</f>
        <v>1766.1089999999999</v>
      </c>
      <c r="U2984">
        <f>33940.48</f>
        <v>33940.480000000003</v>
      </c>
      <c r="V2984">
        <f>243.82</f>
        <v>243.82</v>
      </c>
    </row>
    <row r="2985" spans="1:22" x14ac:dyDescent="0.2">
      <c r="A2985" s="1">
        <v>40928</v>
      </c>
      <c r="B2985">
        <f>2205.22</f>
        <v>2205.2199999999998</v>
      </c>
      <c r="C2985">
        <f>8505.75</f>
        <v>8505.75</v>
      </c>
      <c r="D2985">
        <f>3878.14</f>
        <v>3878.14</v>
      </c>
      <c r="E2985">
        <f>1833.264</f>
        <v>1833.2639999999999</v>
      </c>
      <c r="F2985">
        <f>1375.92</f>
        <v>1375.92</v>
      </c>
      <c r="G2985">
        <f>6125.38</f>
        <v>6125.38</v>
      </c>
      <c r="H2985">
        <f>1863.31</f>
        <v>1863.31</v>
      </c>
      <c r="I2985">
        <f>5758.783</f>
        <v>5758.7830000000004</v>
      </c>
      <c r="J2985">
        <f>1736.93</f>
        <v>1736.93</v>
      </c>
      <c r="K2985">
        <f>4712.06</f>
        <v>4712.0600000000004</v>
      </c>
      <c r="L2985">
        <f>1099.82</f>
        <v>1099.82</v>
      </c>
      <c r="M2985">
        <f>4260.86</f>
        <v>4260.8599999999997</v>
      </c>
      <c r="N2985">
        <f>178.877</f>
        <v>178.87700000000001</v>
      </c>
      <c r="O2985">
        <f>1586.44</f>
        <v>1586.44</v>
      </c>
      <c r="P2985">
        <f>84.73</f>
        <v>84.73</v>
      </c>
      <c r="Q2985">
        <f>1035</f>
        <v>1035</v>
      </c>
      <c r="R2985">
        <f>2260.37</f>
        <v>2260.37</v>
      </c>
      <c r="S2985">
        <f>970.2</f>
        <v>970.2</v>
      </c>
      <c r="T2985">
        <f>1763.326</f>
        <v>1763.326</v>
      </c>
      <c r="U2985">
        <f>33703.38</f>
        <v>33703.379999999997</v>
      </c>
      <c r="V2985">
        <f>242.09</f>
        <v>242.09</v>
      </c>
    </row>
    <row r="2986" spans="1:22" x14ac:dyDescent="0.2">
      <c r="A2986" s="1">
        <v>40927</v>
      </c>
      <c r="B2986">
        <f>2187.83</f>
        <v>2187.83</v>
      </c>
      <c r="C2986">
        <f>8498.98</f>
        <v>8498.98</v>
      </c>
      <c r="D2986">
        <f>3886.67</f>
        <v>3886.67</v>
      </c>
      <c r="E2986">
        <f>1826.443</f>
        <v>1826.443</v>
      </c>
      <c r="F2986">
        <f>1372.6</f>
        <v>1372.6</v>
      </c>
      <c r="G2986">
        <f>6116.724</f>
        <v>6116.7240000000002</v>
      </c>
      <c r="H2986">
        <f>1830.49</f>
        <v>1830.49</v>
      </c>
      <c r="I2986">
        <f>5771.571</f>
        <v>5771.5709999999999</v>
      </c>
      <c r="J2986">
        <f>1727.91</f>
        <v>1727.91</v>
      </c>
      <c r="K2986">
        <f>4709.65</f>
        <v>4709.6499999999996</v>
      </c>
      <c r="L2986">
        <f>1098.63</f>
        <v>1098.6300000000001</v>
      </c>
      <c r="M2986">
        <f>4251.72</f>
        <v>4251.72</v>
      </c>
      <c r="N2986">
        <f>178.819</f>
        <v>178.81899999999999</v>
      </c>
      <c r="O2986">
        <f>1590.7</f>
        <v>1590.7</v>
      </c>
      <c r="P2986">
        <f>84.36</f>
        <v>84.36</v>
      </c>
      <c r="Q2986">
        <f>1035.52</f>
        <v>1035.52</v>
      </c>
      <c r="R2986">
        <f>2258.8</f>
        <v>2258.8000000000002</v>
      </c>
      <c r="S2986">
        <f>951.22</f>
        <v>951.22</v>
      </c>
      <c r="T2986">
        <f>1770.109</f>
        <v>1770.1089999999999</v>
      </c>
      <c r="U2986">
        <f>33586.15</f>
        <v>33586.15</v>
      </c>
      <c r="V2986">
        <f>241.3</f>
        <v>241.3</v>
      </c>
    </row>
    <row r="2987" spans="1:22" x14ac:dyDescent="0.2">
      <c r="A2987" s="1">
        <v>40926</v>
      </c>
      <c r="B2987">
        <f>2159.28</f>
        <v>2159.2800000000002</v>
      </c>
      <c r="C2987">
        <f>8436.55</f>
        <v>8436.5499999999993</v>
      </c>
      <c r="D2987">
        <f>3860.42</f>
        <v>3860.42</v>
      </c>
      <c r="E2987">
        <f>1806.96</f>
        <v>1806.96</v>
      </c>
      <c r="F2987">
        <f>1372.19</f>
        <v>1372.19</v>
      </c>
      <c r="G2987">
        <f>6051.588</f>
        <v>6051.5879999999997</v>
      </c>
      <c r="H2987">
        <f>1830.09</f>
        <v>1830.09</v>
      </c>
      <c r="I2987">
        <f>5649.269</f>
        <v>5649.2690000000002</v>
      </c>
      <c r="J2987">
        <f>1724.19</f>
        <v>1724.19</v>
      </c>
      <c r="K2987">
        <f>4686.25</f>
        <v>4686.25</v>
      </c>
      <c r="L2987">
        <f>1093.03</f>
        <v>1093.03</v>
      </c>
      <c r="M2987">
        <f>4214.3</f>
        <v>4214.3</v>
      </c>
      <c r="N2987">
        <f>179.46</f>
        <v>179.46</v>
      </c>
      <c r="O2987">
        <f>1572.67</f>
        <v>1572.67</v>
      </c>
      <c r="P2987">
        <f>84.62</f>
        <v>84.62</v>
      </c>
      <c r="Q2987">
        <f>1030.14</f>
        <v>1030.1400000000001</v>
      </c>
      <c r="R2987">
        <f>2247.64</f>
        <v>2247.64</v>
      </c>
      <c r="S2987">
        <f>943.89</f>
        <v>943.89</v>
      </c>
      <c r="T2987">
        <f>1774.564</f>
        <v>1774.5640000000001</v>
      </c>
      <c r="U2987">
        <f>33550.09</f>
        <v>33550.089999999997</v>
      </c>
      <c r="V2987">
        <f>240.57</f>
        <v>240.57</v>
      </c>
    </row>
    <row r="2988" spans="1:22" x14ac:dyDescent="0.2">
      <c r="A2988" s="1">
        <v>40925</v>
      </c>
      <c r="B2988">
        <f>2149.56</f>
        <v>2149.56</v>
      </c>
      <c r="C2988">
        <f>8368.62</f>
        <v>8368.6200000000008</v>
      </c>
      <c r="D2988">
        <f>3852.94</f>
        <v>3852.94</v>
      </c>
      <c r="E2988">
        <f>1791.146</f>
        <v>1791.146</v>
      </c>
      <c r="F2988">
        <f>1369.03</f>
        <v>1369.03</v>
      </c>
      <c r="G2988">
        <f>6019.468</f>
        <v>6019.4679999999998</v>
      </c>
      <c r="H2988">
        <f>1823.04</f>
        <v>1823.04</v>
      </c>
      <c r="I2988">
        <f>5604.427</f>
        <v>5604.4269999999997</v>
      </c>
      <c r="J2988">
        <f>1715.47</f>
        <v>1715.47</v>
      </c>
      <c r="K2988">
        <f>4633.45</f>
        <v>4633.45</v>
      </c>
      <c r="L2988">
        <f>1089.74</f>
        <v>1089.74</v>
      </c>
      <c r="M2988">
        <f>4177.45</f>
        <v>4177.45</v>
      </c>
      <c r="N2988">
        <f>179.345</f>
        <v>179.345</v>
      </c>
      <c r="O2988">
        <f>1571.81</f>
        <v>1571.81</v>
      </c>
      <c r="P2988">
        <f>84.72</f>
        <v>84.72</v>
      </c>
      <c r="Q2988">
        <f>1019.99</f>
        <v>1019.99</v>
      </c>
      <c r="R2988">
        <f>2222.59</f>
        <v>2222.59</v>
      </c>
      <c r="S2988">
        <f>939.46</f>
        <v>939.46</v>
      </c>
      <c r="T2988">
        <f>1772.682</f>
        <v>1772.682</v>
      </c>
      <c r="U2988">
        <f>33424.73</f>
        <v>33424.730000000003</v>
      </c>
      <c r="V2988">
        <f>238.97</f>
        <v>238.97</v>
      </c>
    </row>
    <row r="2989" spans="1:22" x14ac:dyDescent="0.2">
      <c r="A2989" s="1">
        <v>40924</v>
      </c>
      <c r="B2989">
        <f>2134.47</f>
        <v>2134.4699999999998</v>
      </c>
      <c r="C2989">
        <f>8200.4</f>
        <v>8200.4</v>
      </c>
      <c r="D2989">
        <f>3828.24</f>
        <v>3828.24</v>
      </c>
      <c r="E2989">
        <f>1753.341</f>
        <v>1753.3409999999999</v>
      </c>
      <c r="F2989">
        <f>1361.69</f>
        <v>1361.69</v>
      </c>
      <c r="G2989">
        <f>5970.331</f>
        <v>5970.3310000000001</v>
      </c>
      <c r="H2989">
        <f>1808.44</f>
        <v>1808.44</v>
      </c>
      <c r="I2989">
        <f>5513.059</f>
        <v>5513.0590000000002</v>
      </c>
      <c r="J2989">
        <f>1708.8</f>
        <v>1708.8</v>
      </c>
      <c r="K2989">
        <f>4617.09</f>
        <v>4617.09</v>
      </c>
      <c r="L2989">
        <f>1081.23</f>
        <v>1081.23</v>
      </c>
      <c r="M2989">
        <f>4145.84</f>
        <v>4145.84</v>
      </c>
      <c r="N2989">
        <f>179.191</f>
        <v>179.191</v>
      </c>
      <c r="O2989">
        <f>1559.12</f>
        <v>1559.12</v>
      </c>
      <c r="P2989">
        <f>84.32</f>
        <v>84.32</v>
      </c>
      <c r="Q2989" t="e">
        <f>NA()</f>
        <v>#N/A</v>
      </c>
      <c r="R2989" t="e">
        <f>NA()</f>
        <v>#N/A</v>
      </c>
      <c r="S2989">
        <f>931.38</f>
        <v>931.38</v>
      </c>
      <c r="T2989">
        <f>1769.194</f>
        <v>1769.194</v>
      </c>
      <c r="U2989">
        <f>33205.01</f>
        <v>33205.01</v>
      </c>
      <c r="V2989">
        <f>236.61</f>
        <v>236.61</v>
      </c>
    </row>
    <row r="2990" spans="1:22" x14ac:dyDescent="0.2">
      <c r="A2990" s="1">
        <v>40921</v>
      </c>
      <c r="B2990">
        <f>2129.94</f>
        <v>2129.94</v>
      </c>
      <c r="C2990">
        <f>8199.52</f>
        <v>8199.52</v>
      </c>
      <c r="D2990">
        <f>3814.16</f>
        <v>3814.16</v>
      </c>
      <c r="E2990">
        <f>1755.282</f>
        <v>1755.2819999999999</v>
      </c>
      <c r="F2990">
        <f>1353.25</f>
        <v>1353.25</v>
      </c>
      <c r="G2990">
        <f>5931.331</f>
        <v>5931.3310000000001</v>
      </c>
      <c r="H2990">
        <f>1835.24</f>
        <v>1835.24</v>
      </c>
      <c r="I2990">
        <f>5461.629</f>
        <v>5461.6289999999999</v>
      </c>
      <c r="J2990">
        <f>1708.8</f>
        <v>1708.8</v>
      </c>
      <c r="K2990">
        <f>4617.09</f>
        <v>4617.09</v>
      </c>
      <c r="L2990">
        <f>1078.71</f>
        <v>1078.71</v>
      </c>
      <c r="M2990">
        <f>4140.68</f>
        <v>4140.68</v>
      </c>
      <c r="N2990">
        <f>178.385</f>
        <v>178.38499999999999</v>
      </c>
      <c r="O2990">
        <f>1545.89</f>
        <v>1545.89</v>
      </c>
      <c r="P2990">
        <f>85.12</f>
        <v>85.12</v>
      </c>
      <c r="Q2990">
        <f>1013.51</f>
        <v>1013.51</v>
      </c>
      <c r="R2990">
        <f>2214.73</f>
        <v>2214.73</v>
      </c>
      <c r="S2990">
        <f>943.41</f>
        <v>943.41</v>
      </c>
      <c r="T2990">
        <f>1756.372</f>
        <v>1756.3720000000001</v>
      </c>
      <c r="U2990">
        <f>32927.36</f>
        <v>32927.360000000001</v>
      </c>
      <c r="V2990">
        <f>236.32</f>
        <v>236.32</v>
      </c>
    </row>
    <row r="2991" spans="1:22" x14ac:dyDescent="0.2">
      <c r="A2991" s="1">
        <v>40920</v>
      </c>
      <c r="B2991">
        <f>2132.79</f>
        <v>2132.79</v>
      </c>
      <c r="C2991">
        <f>8213.57</f>
        <v>8213.57</v>
      </c>
      <c r="D2991">
        <f>3831.61</f>
        <v>3831.61</v>
      </c>
      <c r="E2991">
        <f>1756.306</f>
        <v>1756.306</v>
      </c>
      <c r="F2991">
        <f>1371.66</f>
        <v>1371.66</v>
      </c>
      <c r="G2991">
        <f>5973.617</f>
        <v>5973.6170000000002</v>
      </c>
      <c r="H2991">
        <f>1829.32</f>
        <v>1829.32</v>
      </c>
      <c r="I2991">
        <f>5540.032</f>
        <v>5540.0320000000002</v>
      </c>
      <c r="J2991">
        <f>1712.75</f>
        <v>1712.75</v>
      </c>
      <c r="K2991">
        <f>4639.76</f>
        <v>4639.76</v>
      </c>
      <c r="L2991">
        <f>1086.03</f>
        <v>1086.03</v>
      </c>
      <c r="M2991">
        <f>4162.43</f>
        <v>4162.43</v>
      </c>
      <c r="N2991">
        <f>178.344</f>
        <v>178.34399999999999</v>
      </c>
      <c r="O2991">
        <f>1547.11</f>
        <v>1547.11</v>
      </c>
      <c r="P2991">
        <f>84.67</f>
        <v>84.67</v>
      </c>
      <c r="Q2991">
        <f>1017.33</f>
        <v>1017.33</v>
      </c>
      <c r="R2991">
        <f>2225.74</f>
        <v>2225.7399999999998</v>
      </c>
      <c r="S2991">
        <f>933.83</f>
        <v>933.83</v>
      </c>
      <c r="T2991">
        <f>1756.248</f>
        <v>1756.248</v>
      </c>
      <c r="U2991">
        <f>33008.52</f>
        <v>33008.519999999997</v>
      </c>
      <c r="V2991">
        <f>236.37</f>
        <v>236.37</v>
      </c>
    </row>
    <row r="2992" spans="1:22" x14ac:dyDescent="0.2">
      <c r="A2992" s="1">
        <v>40919</v>
      </c>
      <c r="B2992">
        <f>2125.61</f>
        <v>2125.61</v>
      </c>
      <c r="C2992">
        <f>8178.53</f>
        <v>8178.53</v>
      </c>
      <c r="D2992">
        <f>3837.29</f>
        <v>3837.29</v>
      </c>
      <c r="E2992">
        <f>1747.395</f>
        <v>1747.395</v>
      </c>
      <c r="F2992">
        <f>1383.89</f>
        <v>1383.89</v>
      </c>
      <c r="G2992">
        <f>5995.888</f>
        <v>5995.8879999999999</v>
      </c>
      <c r="H2992">
        <f>1837.82</f>
        <v>1837.82</v>
      </c>
      <c r="I2992">
        <f>5477.595</f>
        <v>5477.5950000000003</v>
      </c>
      <c r="J2992">
        <f>1712.02</f>
        <v>1712.02</v>
      </c>
      <c r="K2992">
        <f>4627.79</f>
        <v>4627.79</v>
      </c>
      <c r="L2992">
        <f>1086.72</f>
        <v>1086.72</v>
      </c>
      <c r="M2992">
        <f>4151.8</f>
        <v>4151.8</v>
      </c>
      <c r="N2992">
        <f>180.211</f>
        <v>180.21100000000001</v>
      </c>
      <c r="O2992">
        <f>1551.23</f>
        <v>1551.23</v>
      </c>
      <c r="P2992">
        <f>85.54</f>
        <v>85.54</v>
      </c>
      <c r="Q2992">
        <f>1014.41</f>
        <v>1014.41</v>
      </c>
      <c r="R2992">
        <f>2220.48</f>
        <v>2220.48</v>
      </c>
      <c r="S2992">
        <f>941.95</f>
        <v>941.95</v>
      </c>
      <c r="T2992">
        <f>1744.26</f>
        <v>1744.26</v>
      </c>
      <c r="U2992">
        <f>32827.05</f>
        <v>32827.050000000003</v>
      </c>
      <c r="V2992">
        <f>234.71</f>
        <v>234.71</v>
      </c>
    </row>
    <row r="2993" spans="1:22" x14ac:dyDescent="0.2">
      <c r="A2993" s="1">
        <v>40918</v>
      </c>
      <c r="B2993">
        <f>2124.68</f>
        <v>2124.6799999999998</v>
      </c>
      <c r="C2993">
        <f>8159.13</f>
        <v>8159.13</v>
      </c>
      <c r="D2993">
        <f>3854.66</f>
        <v>3854.66</v>
      </c>
      <c r="E2993">
        <f>1747.691</f>
        <v>1747.691</v>
      </c>
      <c r="F2993">
        <f>1414.63</f>
        <v>1414.63</v>
      </c>
      <c r="G2993">
        <f>6075.337</f>
        <v>6075.3370000000004</v>
      </c>
      <c r="H2993">
        <f>1839.64</f>
        <v>1839.64</v>
      </c>
      <c r="I2993">
        <f>5534.961</f>
        <v>5534.9610000000002</v>
      </c>
      <c r="J2993">
        <f>1718.23</f>
        <v>1718.23</v>
      </c>
      <c r="K2993">
        <f>4624.99</f>
        <v>4624.99</v>
      </c>
      <c r="L2993">
        <f>1095.29</f>
        <v>1095.29</v>
      </c>
      <c r="M2993">
        <f>4162.77</f>
        <v>4162.7700000000004</v>
      </c>
      <c r="N2993">
        <f>181.964</f>
        <v>181.964</v>
      </c>
      <c r="O2993">
        <f>1559.42</f>
        <v>1559.42</v>
      </c>
      <c r="P2993">
        <f>85.58</f>
        <v>85.58</v>
      </c>
      <c r="Q2993">
        <f>1016.7</f>
        <v>1016.7</v>
      </c>
      <c r="R2993">
        <f>2219.58</f>
        <v>2219.58</v>
      </c>
      <c r="S2993">
        <f>939.98</f>
        <v>939.98</v>
      </c>
      <c r="T2993">
        <f>1751.276</f>
        <v>1751.2760000000001</v>
      </c>
      <c r="U2993">
        <f>33020.16</f>
        <v>33020.160000000003</v>
      </c>
      <c r="V2993">
        <f>234.78</f>
        <v>234.78</v>
      </c>
    </row>
    <row r="2994" spans="1:22" x14ac:dyDescent="0.2">
      <c r="A2994" s="1">
        <v>40917</v>
      </c>
      <c r="B2994">
        <f>2099.73</f>
        <v>2099.73</v>
      </c>
      <c r="C2994">
        <f>8037.64</f>
        <v>8037.64</v>
      </c>
      <c r="D2994">
        <f>3797.52</f>
        <v>3797.52</v>
      </c>
      <c r="E2994">
        <f>1714.628</f>
        <v>1714.6279999999999</v>
      </c>
      <c r="F2994">
        <f>1397.96</f>
        <v>1397.96</v>
      </c>
      <c r="G2994">
        <f>5970.911</f>
        <v>5970.9110000000001</v>
      </c>
      <c r="H2994">
        <f>1829.92</f>
        <v>1829.92</v>
      </c>
      <c r="I2994">
        <f>5407.707</f>
        <v>5407.7070000000003</v>
      </c>
      <c r="J2994">
        <f>1710.32</f>
        <v>1710.32</v>
      </c>
      <c r="K2994">
        <f>4583.33</f>
        <v>4583.33</v>
      </c>
      <c r="L2994">
        <f>1083.39</f>
        <v>1083.3900000000001</v>
      </c>
      <c r="M2994">
        <f>4110.57</f>
        <v>4110.57</v>
      </c>
      <c r="N2994">
        <f>180.02</f>
        <v>180.02</v>
      </c>
      <c r="O2994">
        <f>1530.9</f>
        <v>1530.9</v>
      </c>
      <c r="P2994" t="e">
        <f>NA()</f>
        <v>#N/A</v>
      </c>
      <c r="Q2994">
        <f>1007.64</f>
        <v>1007.64</v>
      </c>
      <c r="R2994">
        <f>2200</f>
        <v>2200</v>
      </c>
      <c r="S2994" t="e">
        <f>NA()</f>
        <v>#N/A</v>
      </c>
      <c r="T2994">
        <f>1747.804</f>
        <v>1747.8040000000001</v>
      </c>
      <c r="U2994">
        <f>32774.83</f>
        <v>32774.83</v>
      </c>
      <c r="V2994">
        <f>233.88</f>
        <v>233.88</v>
      </c>
    </row>
    <row r="2995" spans="1:22" x14ac:dyDescent="0.2">
      <c r="A2995" s="1">
        <v>40914</v>
      </c>
      <c r="B2995">
        <f>2113.17</f>
        <v>2113.17</v>
      </c>
      <c r="C2995">
        <f>7986.78</f>
        <v>7986.78</v>
      </c>
      <c r="D2995">
        <f>3822.84</f>
        <v>3822.84</v>
      </c>
      <c r="E2995">
        <f>1707.515</f>
        <v>1707.5150000000001</v>
      </c>
      <c r="F2995">
        <f>1401.69</f>
        <v>1401.69</v>
      </c>
      <c r="G2995">
        <f>5996.372</f>
        <v>5996.3720000000003</v>
      </c>
      <c r="H2995">
        <f>1823.63</f>
        <v>1823.63</v>
      </c>
      <c r="I2995">
        <f>5417.768</f>
        <v>5417.768</v>
      </c>
      <c r="J2995">
        <f>1706.38</f>
        <v>1706.38</v>
      </c>
      <c r="K2995">
        <f>4572.57</f>
        <v>4572.57</v>
      </c>
      <c r="L2995">
        <f>1084.05</f>
        <v>1084.05</v>
      </c>
      <c r="M2995">
        <f>4107.67</f>
        <v>4107.67</v>
      </c>
      <c r="N2995">
        <f>180.123</f>
        <v>180.12299999999999</v>
      </c>
      <c r="O2995">
        <f>1539.29</f>
        <v>1539.29</v>
      </c>
      <c r="P2995">
        <f>85.26</f>
        <v>85.26</v>
      </c>
      <c r="Q2995">
        <f>1006.33</f>
        <v>1006.33</v>
      </c>
      <c r="R2995">
        <f>2194.98</f>
        <v>2194.98</v>
      </c>
      <c r="S2995">
        <f>936.98</f>
        <v>936.98</v>
      </c>
      <c r="T2995">
        <f>1739.523</f>
        <v>1739.5229999999999</v>
      </c>
      <c r="U2995">
        <f>32749.57</f>
        <v>32749.57</v>
      </c>
      <c r="V2995">
        <f>233.13</f>
        <v>233.13</v>
      </c>
    </row>
    <row r="2996" spans="1:22" x14ac:dyDescent="0.2">
      <c r="A2996" s="1">
        <v>40913</v>
      </c>
      <c r="B2996">
        <f>2109.2</f>
        <v>2109.1999999999998</v>
      </c>
      <c r="C2996">
        <f>8006.8</f>
        <v>8006.8</v>
      </c>
      <c r="D2996">
        <f>3805.64</f>
        <v>3805.64</v>
      </c>
      <c r="E2996">
        <f>1717.367</f>
        <v>1717.367</v>
      </c>
      <c r="F2996">
        <f>1396.72</f>
        <v>1396.72</v>
      </c>
      <c r="G2996">
        <f>5995.522</f>
        <v>5995.5219999999999</v>
      </c>
      <c r="H2996">
        <f>1839.03</f>
        <v>1839.03</v>
      </c>
      <c r="I2996">
        <f>5466.493</f>
        <v>5466.4930000000004</v>
      </c>
      <c r="J2996">
        <f>1713.38</f>
        <v>1713.38</v>
      </c>
      <c r="K2996">
        <f>4581.56</f>
        <v>4581.5600000000004</v>
      </c>
      <c r="L2996">
        <f>1090.14</f>
        <v>1090.1400000000001</v>
      </c>
      <c r="M2996">
        <f>4125.36</f>
        <v>4125.3599999999997</v>
      </c>
      <c r="N2996">
        <f>179.212</f>
        <v>179.21199999999999</v>
      </c>
      <c r="O2996">
        <f>1538.84</f>
        <v>1538.84</v>
      </c>
      <c r="P2996">
        <f>85.88</f>
        <v>85.88</v>
      </c>
      <c r="Q2996">
        <f>1010.52</f>
        <v>1010.52</v>
      </c>
      <c r="R2996">
        <f>2199.73</f>
        <v>2199.73</v>
      </c>
      <c r="S2996">
        <f>945.56</f>
        <v>945.56</v>
      </c>
      <c r="T2996">
        <f>1735.828</f>
        <v>1735.828</v>
      </c>
      <c r="U2996">
        <f>32599.06</f>
        <v>32599.06</v>
      </c>
      <c r="V2996">
        <f>232.04</f>
        <v>232.04</v>
      </c>
    </row>
    <row r="2997" spans="1:22" x14ac:dyDescent="0.2">
      <c r="A2997" s="1">
        <v>40912</v>
      </c>
      <c r="B2997">
        <f>2144.01</f>
        <v>2144.0100000000002</v>
      </c>
      <c r="C2997">
        <f>8038.64</f>
        <v>8038.64</v>
      </c>
      <c r="D2997">
        <f>3835.54</f>
        <v>3835.54</v>
      </c>
      <c r="E2997">
        <f>1726.755</f>
        <v>1726.7550000000001</v>
      </c>
      <c r="F2997">
        <f>1426.52</f>
        <v>1426.52</v>
      </c>
      <c r="G2997">
        <f>6093.551</f>
        <v>6093.5510000000004</v>
      </c>
      <c r="H2997">
        <f>1864.57</f>
        <v>1864.57</v>
      </c>
      <c r="I2997">
        <f>5569.99</f>
        <v>5569.99</v>
      </c>
      <c r="J2997">
        <f>1715.27</f>
        <v>1715.27</v>
      </c>
      <c r="K2997">
        <f>4566.56</f>
        <v>4566.5600000000004</v>
      </c>
      <c r="L2997">
        <f>1102.47</f>
        <v>1102.47</v>
      </c>
      <c r="M2997">
        <f>4148.06</f>
        <v>4148.0600000000004</v>
      </c>
      <c r="N2997">
        <f>180.054</f>
        <v>180.054</v>
      </c>
      <c r="O2997">
        <f>1552.57</f>
        <v>1552.57</v>
      </c>
      <c r="P2997">
        <f>86.88</f>
        <v>86.88</v>
      </c>
      <c r="Q2997">
        <f>1009.84</f>
        <v>1009.84</v>
      </c>
      <c r="R2997">
        <f>2193.28</f>
        <v>2193.2800000000002</v>
      </c>
      <c r="S2997">
        <f>954.18</f>
        <v>954.18</v>
      </c>
      <c r="T2997">
        <f>1749.301</f>
        <v>1749.3009999999999</v>
      </c>
      <c r="U2997">
        <f>32899.68</f>
        <v>32899.68</v>
      </c>
      <c r="V2997">
        <f>233.24</f>
        <v>233.24</v>
      </c>
    </row>
    <row r="2998" spans="1:22" x14ac:dyDescent="0.2">
      <c r="A2998" s="1">
        <v>40911</v>
      </c>
      <c r="B2998">
        <f>2156.23</f>
        <v>2156.23</v>
      </c>
      <c r="C2998">
        <f>8055.27</f>
        <v>8055.27</v>
      </c>
      <c r="D2998">
        <f>3856.73</f>
        <v>3856.73</v>
      </c>
      <c r="E2998">
        <f>1731.097</f>
        <v>1731.097</v>
      </c>
      <c r="F2998">
        <f>1434.98</f>
        <v>1434.98</v>
      </c>
      <c r="G2998">
        <f>6136.539</f>
        <v>6136.5389999999998</v>
      </c>
      <c r="H2998">
        <f>1830.56</f>
        <v>1830.56</v>
      </c>
      <c r="I2998">
        <f>5691.94</f>
        <v>5691.94</v>
      </c>
      <c r="J2998">
        <f>1715.71</f>
        <v>1715.71</v>
      </c>
      <c r="K2998">
        <f>4564.41</f>
        <v>4564.41</v>
      </c>
      <c r="L2998">
        <f>1110.59</f>
        <v>1110.5899999999999</v>
      </c>
      <c r="M2998">
        <f>4156.12</f>
        <v>4156.12</v>
      </c>
      <c r="N2998">
        <f>180.099</f>
        <v>180.09899999999999</v>
      </c>
      <c r="O2998">
        <f>1561.25</f>
        <v>1561.25</v>
      </c>
      <c r="P2998" t="e">
        <f>NA()</f>
        <v>#N/A</v>
      </c>
      <c r="Q2998">
        <f>1010.43</f>
        <v>1010.43</v>
      </c>
      <c r="R2998">
        <f>2192.4</f>
        <v>2192.4</v>
      </c>
      <c r="S2998" t="e">
        <f>NA()</f>
        <v>#N/A</v>
      </c>
      <c r="T2998">
        <f>1743.904</f>
        <v>1743.904</v>
      </c>
      <c r="U2998">
        <f>32768.35</f>
        <v>32768.35</v>
      </c>
      <c r="V2998">
        <f>232.67</f>
        <v>232.67</v>
      </c>
    </row>
    <row r="2999" spans="1:22" x14ac:dyDescent="0.2">
      <c r="A2999" s="1">
        <v>40910</v>
      </c>
      <c r="B2999">
        <f>2098.7</f>
        <v>2098.6999999999998</v>
      </c>
      <c r="C2999">
        <f>7868.87</f>
        <v>7868.87</v>
      </c>
      <c r="D2999">
        <f>3770.37</f>
        <v>3770.37</v>
      </c>
      <c r="E2999">
        <f>1688.648</f>
        <v>1688.6479999999999</v>
      </c>
      <c r="F2999">
        <f>1409.58</f>
        <v>1409.58</v>
      </c>
      <c r="G2999">
        <f>5964.3</f>
        <v>5964.3</v>
      </c>
      <c r="H2999">
        <f>1826.03</f>
        <v>1826.03</v>
      </c>
      <c r="I2999">
        <f>5597.69</f>
        <v>5597.69</v>
      </c>
      <c r="J2999">
        <f>1701.9</f>
        <v>1701.9</v>
      </c>
      <c r="K2999">
        <f>4495.07</f>
        <v>4495.07</v>
      </c>
      <c r="L2999">
        <f>1098.52</f>
        <v>1098.52</v>
      </c>
      <c r="M2999">
        <f>4086.83</f>
        <v>4086.83</v>
      </c>
      <c r="N2999">
        <f>177.768</f>
        <v>177.768</v>
      </c>
      <c r="O2999">
        <f>1537.38</f>
        <v>1537.38</v>
      </c>
      <c r="P2999" t="e">
        <f>NA()</f>
        <v>#N/A</v>
      </c>
      <c r="Q2999" t="e">
        <f>NA()</f>
        <v>#N/A</v>
      </c>
      <c r="R2999" t="e">
        <f>NA()</f>
        <v>#N/A</v>
      </c>
      <c r="S2999" t="e">
        <f>NA()</f>
        <v>#N/A</v>
      </c>
      <c r="T2999" t="e">
        <f>NA()</f>
        <v>#N/A</v>
      </c>
      <c r="U2999" t="e">
        <f>NA()</f>
        <v>#N/A</v>
      </c>
      <c r="V2999" t="e">
        <f>NA()</f>
        <v>#N/A</v>
      </c>
    </row>
    <row r="3000" spans="1:22" x14ac:dyDescent="0.2">
      <c r="A3000" s="1">
        <v>40907</v>
      </c>
      <c r="B3000">
        <f>2098.7</f>
        <v>2098.6999999999998</v>
      </c>
      <c r="C3000">
        <f>7867.01</f>
        <v>7867.01</v>
      </c>
      <c r="D3000">
        <f>3770.37</f>
        <v>3770.37</v>
      </c>
      <c r="E3000">
        <f>1687.3</f>
        <v>1687.3</v>
      </c>
      <c r="F3000">
        <f>1409.58</f>
        <v>1409.58</v>
      </c>
      <c r="G3000">
        <f>5964.3</f>
        <v>5964.3</v>
      </c>
      <c r="H3000">
        <f>1826.03</f>
        <v>1826.03</v>
      </c>
      <c r="I3000">
        <f>5507.645</f>
        <v>5507.6450000000004</v>
      </c>
      <c r="J3000">
        <f>1701.9</f>
        <v>1701.9</v>
      </c>
      <c r="K3000">
        <f>4495.07</f>
        <v>4495.07</v>
      </c>
      <c r="L3000">
        <f>1094.28</f>
        <v>1094.28</v>
      </c>
      <c r="M3000">
        <f>4074.83</f>
        <v>4074.83</v>
      </c>
      <c r="N3000">
        <f>176.899</f>
        <v>176.899</v>
      </c>
      <c r="O3000">
        <f>1520.83</f>
        <v>1520.83</v>
      </c>
      <c r="P3000">
        <f>86.06</f>
        <v>86.06</v>
      </c>
      <c r="Q3000">
        <f>1001.63</f>
        <v>1001.63</v>
      </c>
      <c r="R3000">
        <f>2158.94</f>
        <v>2158.94</v>
      </c>
      <c r="S3000">
        <f>935.71</f>
        <v>935.71</v>
      </c>
      <c r="T3000">
        <f>1727.718</f>
        <v>1727.7180000000001</v>
      </c>
      <c r="U3000">
        <f>31985.67</f>
        <v>31985.67</v>
      </c>
      <c r="V3000">
        <f>229.61</f>
        <v>229.61</v>
      </c>
    </row>
    <row r="3001" spans="1:22" x14ac:dyDescent="0.2">
      <c r="A3001" s="1">
        <v>40906</v>
      </c>
      <c r="B3001">
        <f>2093.97</f>
        <v>2093.9699999999998</v>
      </c>
      <c r="C3001">
        <f>7835.27</f>
        <v>7835.27</v>
      </c>
      <c r="D3001">
        <f>3766.64</f>
        <v>3766.64</v>
      </c>
      <c r="E3001">
        <f>1683.266</f>
        <v>1683.2660000000001</v>
      </c>
      <c r="F3001">
        <f>1398.62</f>
        <v>1398.62</v>
      </c>
      <c r="G3001">
        <f>5901.003</f>
        <v>5901.0029999999997</v>
      </c>
      <c r="H3001">
        <f>1790.03</f>
        <v>1790.03</v>
      </c>
      <c r="I3001">
        <f>5423.967</f>
        <v>5423.9669999999996</v>
      </c>
      <c r="J3001">
        <f>1710.04</f>
        <v>1710.04</v>
      </c>
      <c r="K3001">
        <f>4513.23</f>
        <v>4513.2299999999996</v>
      </c>
      <c r="L3001">
        <f>1087.25</f>
        <v>1087.25</v>
      </c>
      <c r="M3001">
        <f>4057.34</f>
        <v>4057.34</v>
      </c>
      <c r="N3001">
        <f>175.444</f>
        <v>175.44399999999999</v>
      </c>
      <c r="O3001">
        <f>1506.34</f>
        <v>1506.34</v>
      </c>
      <c r="P3001">
        <f>85.31</f>
        <v>85.31</v>
      </c>
      <c r="Q3001">
        <f>1007.32</f>
        <v>1007.32</v>
      </c>
      <c r="R3001">
        <f>2168.12</f>
        <v>2168.12</v>
      </c>
      <c r="S3001">
        <f>927.37</f>
        <v>927.37</v>
      </c>
      <c r="T3001">
        <f>1729.138</f>
        <v>1729.1379999999999</v>
      </c>
      <c r="U3001">
        <f>31995.87</f>
        <v>31995.87</v>
      </c>
      <c r="V3001">
        <f>229.82</f>
        <v>229.82</v>
      </c>
    </row>
    <row r="3002" spans="1:22" x14ac:dyDescent="0.2">
      <c r="A3002" s="1">
        <v>40905</v>
      </c>
      <c r="B3002">
        <f>2078.25</f>
        <v>2078.25</v>
      </c>
      <c r="C3002">
        <f>7826.64</f>
        <v>7826.64</v>
      </c>
      <c r="D3002">
        <f>3726.47</f>
        <v>3726.47</v>
      </c>
      <c r="E3002">
        <f>1681.156</f>
        <v>1681.1559999999999</v>
      </c>
      <c r="F3002">
        <f>1388.01</f>
        <v>1388.01</v>
      </c>
      <c r="G3002">
        <f>5867.427</f>
        <v>5867.4269999999997</v>
      </c>
      <c r="H3002">
        <f>1779.5</f>
        <v>1779.5</v>
      </c>
      <c r="I3002">
        <f>5379.821</f>
        <v>5379.8209999999999</v>
      </c>
      <c r="J3002">
        <f>1693.24</f>
        <v>1693.24</v>
      </c>
      <c r="K3002">
        <f>4465.29</f>
        <v>4465.29</v>
      </c>
      <c r="L3002">
        <f>1079.21</f>
        <v>1079.21</v>
      </c>
      <c r="M3002">
        <f>4024.11</f>
        <v>4024.11</v>
      </c>
      <c r="N3002">
        <f>175.028</f>
        <v>175.02799999999999</v>
      </c>
      <c r="O3002">
        <f>1494.93</f>
        <v>1494.93</v>
      </c>
      <c r="P3002">
        <f>85.14</f>
        <v>85.14</v>
      </c>
      <c r="Q3002">
        <f>996.65</f>
        <v>996.65</v>
      </c>
      <c r="R3002">
        <f>2145.09</f>
        <v>2145.09</v>
      </c>
      <c r="S3002">
        <f>926.51</f>
        <v>926.51</v>
      </c>
      <c r="T3002">
        <f>1726.977</f>
        <v>1726.9770000000001</v>
      </c>
      <c r="U3002">
        <f>32092.87</f>
        <v>32092.87</v>
      </c>
      <c r="V3002">
        <f>229.37</f>
        <v>229.37</v>
      </c>
    </row>
    <row r="3003" spans="1:22" x14ac:dyDescent="0.2">
      <c r="A3003" s="1">
        <v>40904</v>
      </c>
      <c r="B3003">
        <f>2069.96</f>
        <v>2069.96</v>
      </c>
      <c r="C3003">
        <f>7910.08</f>
        <v>7910.08</v>
      </c>
      <c r="D3003">
        <f>3729.28</f>
        <v>3729.28</v>
      </c>
      <c r="E3003">
        <f>1701.722</f>
        <v>1701.722</v>
      </c>
      <c r="F3003">
        <f>1401.14</f>
        <v>1401.14</v>
      </c>
      <c r="G3003">
        <f>5945.22</f>
        <v>5945.22</v>
      </c>
      <c r="H3003">
        <f>1784.96</f>
        <v>1784.96</v>
      </c>
      <c r="I3003">
        <f>5477.529</f>
        <v>5477.5290000000005</v>
      </c>
      <c r="J3003">
        <f>1709.3</f>
        <v>1709.3</v>
      </c>
      <c r="K3003">
        <f>4521.85</f>
        <v>4521.8500000000004</v>
      </c>
      <c r="L3003">
        <f>1090.61</f>
        <v>1090.6099999999999</v>
      </c>
      <c r="M3003">
        <f>4076.75</f>
        <v>4076.75</v>
      </c>
      <c r="N3003">
        <f>174.477</f>
        <v>174.477</v>
      </c>
      <c r="O3003">
        <f>1503.71</f>
        <v>1503.71</v>
      </c>
      <c r="P3003">
        <f>85.08</f>
        <v>85.08</v>
      </c>
      <c r="Q3003">
        <f>1008.44</f>
        <v>1008.44</v>
      </c>
      <c r="R3003">
        <f>2171.71</f>
        <v>2171.71</v>
      </c>
      <c r="S3003">
        <f>929.12</f>
        <v>929.12</v>
      </c>
      <c r="T3003" t="e">
        <f>NA()</f>
        <v>#N/A</v>
      </c>
      <c r="U3003" t="e">
        <f>NA()</f>
        <v>#N/A</v>
      </c>
      <c r="V3003" t="e">
        <f>NA()</f>
        <v>#N/A</v>
      </c>
    </row>
    <row r="3004" spans="1:22" x14ac:dyDescent="0.2">
      <c r="A3004" s="1">
        <v>40903</v>
      </c>
      <c r="B3004">
        <f>2069.96</f>
        <v>2069.96</v>
      </c>
      <c r="C3004">
        <f>7903.96</f>
        <v>7903.96</v>
      </c>
      <c r="D3004">
        <f>3729.28</f>
        <v>3729.28</v>
      </c>
      <c r="E3004">
        <f>1707.615</f>
        <v>1707.615</v>
      </c>
      <c r="F3004">
        <f>1398.64</f>
        <v>1398.64</v>
      </c>
      <c r="G3004">
        <f>5934.596</f>
        <v>5934.5959999999995</v>
      </c>
      <c r="H3004">
        <f>1782.42</f>
        <v>1782.42</v>
      </c>
      <c r="I3004">
        <f>5464.154</f>
        <v>5464.1540000000005</v>
      </c>
      <c r="J3004">
        <f>1705.84</f>
        <v>1705.84</v>
      </c>
      <c r="K3004">
        <f>4520.86</f>
        <v>4520.8599999999997</v>
      </c>
      <c r="L3004">
        <f>1088.36</f>
        <v>1088.3599999999999</v>
      </c>
      <c r="M3004">
        <f>4074.07</f>
        <v>4074.07</v>
      </c>
      <c r="N3004" t="e">
        <f>NA()</f>
        <v>#N/A</v>
      </c>
      <c r="O3004" t="e">
        <f>NA()</f>
        <v>#N/A</v>
      </c>
      <c r="P3004">
        <f>85.13</f>
        <v>85.13</v>
      </c>
      <c r="Q3004" t="e">
        <f>NA()</f>
        <v>#N/A</v>
      </c>
      <c r="R3004" t="e">
        <f>NA()</f>
        <v>#N/A</v>
      </c>
      <c r="S3004">
        <f>931.93</f>
        <v>931.93</v>
      </c>
      <c r="T3004" t="e">
        <f>NA()</f>
        <v>#N/A</v>
      </c>
      <c r="U3004" t="e">
        <f>NA()</f>
        <v>#N/A</v>
      </c>
      <c r="V3004" t="e">
        <f>NA()</f>
        <v>#N/A</v>
      </c>
    </row>
    <row r="3005" spans="1:22" x14ac:dyDescent="0.2">
      <c r="A3005" s="1">
        <v>40900</v>
      </c>
      <c r="B3005">
        <f>2069.96</f>
        <v>2069.96</v>
      </c>
      <c r="C3005">
        <f>7911.12</f>
        <v>7911.12</v>
      </c>
      <c r="D3005">
        <f>3729.28</f>
        <v>3729.28</v>
      </c>
      <c r="E3005">
        <f>1707.747</f>
        <v>1707.7470000000001</v>
      </c>
      <c r="F3005">
        <f>1398.64</f>
        <v>1398.64</v>
      </c>
      <c r="G3005">
        <f>5934.596</f>
        <v>5934.5959999999995</v>
      </c>
      <c r="H3005">
        <f>1776.62</f>
        <v>1776.62</v>
      </c>
      <c r="I3005">
        <f>5464.154</f>
        <v>5464.1540000000005</v>
      </c>
      <c r="J3005">
        <f>1705.84</f>
        <v>1705.84</v>
      </c>
      <c r="K3005">
        <f>4520.86</f>
        <v>4520.8599999999997</v>
      </c>
      <c r="L3005">
        <f>1087.98</f>
        <v>1087.98</v>
      </c>
      <c r="M3005">
        <f>4071.96</f>
        <v>4071.96</v>
      </c>
      <c r="N3005">
        <f>174.233</f>
        <v>174.233</v>
      </c>
      <c r="O3005">
        <f>1502.88</f>
        <v>1502.88</v>
      </c>
      <c r="P3005" t="e">
        <f>NA()</f>
        <v>#N/A</v>
      </c>
      <c r="Q3005">
        <f>1006.11</f>
        <v>1006.11</v>
      </c>
      <c r="R3005">
        <f>2171.5</f>
        <v>2171.5</v>
      </c>
      <c r="S3005" t="e">
        <f>NA()</f>
        <v>#N/A</v>
      </c>
      <c r="T3005">
        <f>1721.157</f>
        <v>1721.1569999999999</v>
      </c>
      <c r="U3005">
        <f>32127.25</f>
        <v>32127.25</v>
      </c>
      <c r="V3005">
        <f>228.28</f>
        <v>228.28</v>
      </c>
    </row>
    <row r="3006" spans="1:22" x14ac:dyDescent="0.2">
      <c r="A3006" s="1">
        <v>40899</v>
      </c>
      <c r="B3006">
        <f>2051.1</f>
        <v>2051.1</v>
      </c>
      <c r="C3006">
        <f>7837.57</f>
        <v>7837.57</v>
      </c>
      <c r="D3006">
        <f>3691.58</f>
        <v>3691.58</v>
      </c>
      <c r="E3006">
        <f>1692.712</f>
        <v>1692.712</v>
      </c>
      <c r="F3006">
        <f>1387.08</f>
        <v>1387.08</v>
      </c>
      <c r="G3006">
        <f>5892.203</f>
        <v>5892.2030000000004</v>
      </c>
      <c r="H3006">
        <f>1776.85</f>
        <v>1776.85</v>
      </c>
      <c r="I3006">
        <f>5430.353</f>
        <v>5430.3530000000001</v>
      </c>
      <c r="J3006">
        <f>1689.63</f>
        <v>1689.63</v>
      </c>
      <c r="K3006">
        <f>4480.76</f>
        <v>4480.76</v>
      </c>
      <c r="L3006">
        <f>1079.51</f>
        <v>1079.51</v>
      </c>
      <c r="M3006">
        <f>4041.68</f>
        <v>4041.68</v>
      </c>
      <c r="N3006">
        <f>172.918</f>
        <v>172.91800000000001</v>
      </c>
      <c r="O3006">
        <f>1491.61</f>
        <v>1491.61</v>
      </c>
      <c r="P3006">
        <f>84.92</f>
        <v>84.92</v>
      </c>
      <c r="Q3006">
        <f>995.4</f>
        <v>995.4</v>
      </c>
      <c r="R3006">
        <f>2152.04</f>
        <v>2152.04</v>
      </c>
      <c r="S3006">
        <f>927.67</f>
        <v>927.67</v>
      </c>
      <c r="T3006">
        <f>1717.763</f>
        <v>1717.7629999999999</v>
      </c>
      <c r="U3006">
        <f>31904.14</f>
        <v>31904.14</v>
      </c>
      <c r="V3006">
        <f>227.5</f>
        <v>227.5</v>
      </c>
    </row>
    <row r="3007" spans="1:22" x14ac:dyDescent="0.2">
      <c r="A3007" s="1">
        <v>40898</v>
      </c>
      <c r="B3007">
        <f>2037.56</f>
        <v>2037.56</v>
      </c>
      <c r="C3007">
        <f>7799.49</f>
        <v>7799.49</v>
      </c>
      <c r="D3007">
        <f>3646.1</f>
        <v>3646.1</v>
      </c>
      <c r="E3007">
        <f>1686.445</f>
        <v>1686.4449999999999</v>
      </c>
      <c r="F3007">
        <f>1372.01</f>
        <v>1372.01</v>
      </c>
      <c r="G3007">
        <f>5812.424</f>
        <v>5812.424</v>
      </c>
      <c r="H3007">
        <f>1777.22</f>
        <v>1777.22</v>
      </c>
      <c r="I3007">
        <f>5370.866</f>
        <v>5370.866</v>
      </c>
      <c r="J3007">
        <f>1681.86</f>
        <v>1681.86</v>
      </c>
      <c r="K3007">
        <f>4442.71</f>
        <v>4442.71</v>
      </c>
      <c r="L3007">
        <f>1071.8</f>
        <v>1071.8</v>
      </c>
      <c r="M3007">
        <f>4008.91</f>
        <v>4008.91</v>
      </c>
      <c r="N3007">
        <f>171.754</f>
        <v>171.75399999999999</v>
      </c>
      <c r="O3007">
        <f>1475.35</f>
        <v>1475.35</v>
      </c>
      <c r="P3007">
        <f>85.04</f>
        <v>85.04</v>
      </c>
      <c r="Q3007">
        <f>991.9</f>
        <v>991.9</v>
      </c>
      <c r="R3007">
        <f>2133.86</f>
        <v>2133.86</v>
      </c>
      <c r="S3007">
        <f>930.96</f>
        <v>930.96</v>
      </c>
      <c r="T3007">
        <f>1703.701</f>
        <v>1703.701</v>
      </c>
      <c r="U3007">
        <f>31646.77</f>
        <v>31646.77</v>
      </c>
      <c r="V3007">
        <f>225.89</f>
        <v>225.89</v>
      </c>
    </row>
    <row r="3008" spans="1:22" x14ac:dyDescent="0.2">
      <c r="A3008" s="1">
        <v>40897</v>
      </c>
      <c r="B3008">
        <f>2052.58</f>
        <v>2052.58</v>
      </c>
      <c r="C3008">
        <f>7696.39</f>
        <v>7696.39</v>
      </c>
      <c r="D3008">
        <f>3666.29</f>
        <v>3666.29</v>
      </c>
      <c r="E3008">
        <f>1658.066</f>
        <v>1658.066</v>
      </c>
      <c r="F3008">
        <f>1379.4</f>
        <v>1379.4</v>
      </c>
      <c r="G3008">
        <f>5857.371</f>
        <v>5857.3710000000001</v>
      </c>
      <c r="H3008">
        <f>1766.2</f>
        <v>1766.2</v>
      </c>
      <c r="I3008">
        <f>5429.674</f>
        <v>5429.674</v>
      </c>
      <c r="J3008">
        <f>1668.79</f>
        <v>1668.79</v>
      </c>
      <c r="K3008">
        <f>4434.29</f>
        <v>4434.29</v>
      </c>
      <c r="L3008">
        <f>1069.79</f>
        <v>1069.79</v>
      </c>
      <c r="M3008">
        <f>4007.93</f>
        <v>4007.93</v>
      </c>
      <c r="N3008">
        <f>172.106</f>
        <v>172.10599999999999</v>
      </c>
      <c r="O3008">
        <f>1483.16</f>
        <v>1483.16</v>
      </c>
      <c r="P3008">
        <f>84.4</f>
        <v>84.4</v>
      </c>
      <c r="Q3008">
        <f>986.9</f>
        <v>986.9</v>
      </c>
      <c r="R3008">
        <f>2129.67</f>
        <v>2129.67</v>
      </c>
      <c r="S3008">
        <f>921.73</f>
        <v>921.73</v>
      </c>
      <c r="T3008">
        <f>1706.688</f>
        <v>1706.6880000000001</v>
      </c>
      <c r="U3008">
        <f>31783.9</f>
        <v>31783.9</v>
      </c>
      <c r="V3008">
        <f>225.63</f>
        <v>225.63</v>
      </c>
    </row>
    <row r="3009" spans="1:22" x14ac:dyDescent="0.2">
      <c r="A3009" s="1">
        <v>40896</v>
      </c>
      <c r="B3009">
        <f>2025.03</f>
        <v>2025.03</v>
      </c>
      <c r="C3009">
        <f>7585.14</f>
        <v>7585.14</v>
      </c>
      <c r="D3009">
        <f>3629.35</f>
        <v>3629.35</v>
      </c>
      <c r="E3009">
        <f>1635.925</f>
        <v>1635.925</v>
      </c>
      <c r="F3009">
        <f>1361.31</f>
        <v>1361.31</v>
      </c>
      <c r="G3009">
        <f>5738.449</f>
        <v>5738.4489999999996</v>
      </c>
      <c r="H3009">
        <f>1763.78</f>
        <v>1763.78</v>
      </c>
      <c r="I3009">
        <f>5268.219</f>
        <v>5268.2190000000001</v>
      </c>
      <c r="J3009">
        <f>1629.65</f>
        <v>1629.65</v>
      </c>
      <c r="K3009">
        <f>4305.09</f>
        <v>4305.09</v>
      </c>
      <c r="L3009">
        <f>1050.35</f>
        <v>1050.3499999999999</v>
      </c>
      <c r="M3009">
        <f>3909.06</f>
        <v>3909.06</v>
      </c>
      <c r="N3009">
        <f>169.895</f>
        <v>169.89500000000001</v>
      </c>
      <c r="O3009">
        <f>1453.76</f>
        <v>1453.76</v>
      </c>
      <c r="P3009">
        <f>84.03</f>
        <v>84.03</v>
      </c>
      <c r="Q3009">
        <f>962.23</f>
        <v>962.23</v>
      </c>
      <c r="R3009">
        <f>2067.67</f>
        <v>2067.67</v>
      </c>
      <c r="S3009">
        <f>919.02</f>
        <v>919.02</v>
      </c>
      <c r="T3009">
        <f>1706.28</f>
        <v>1706.28</v>
      </c>
      <c r="U3009">
        <f>31721.37</f>
        <v>31721.37</v>
      </c>
      <c r="V3009">
        <f>225.57</f>
        <v>225.57</v>
      </c>
    </row>
    <row r="3010" spans="1:22" x14ac:dyDescent="0.2">
      <c r="A3010" s="1">
        <v>40893</v>
      </c>
      <c r="B3010">
        <f>2029.41</f>
        <v>2029.41</v>
      </c>
      <c r="C3010">
        <f>7672.3</f>
        <v>7672.3</v>
      </c>
      <c r="D3010">
        <f>3644.47</f>
        <v>3644.47</v>
      </c>
      <c r="E3010">
        <f>1664.078</f>
        <v>1664.078</v>
      </c>
      <c r="F3010">
        <f>1363.32</f>
        <v>1363.32</v>
      </c>
      <c r="G3010">
        <f>5760.551</f>
        <v>5760.5510000000004</v>
      </c>
      <c r="H3010">
        <f>1786.38</f>
        <v>1786.38</v>
      </c>
      <c r="I3010">
        <f>5269.883</f>
        <v>5269.8829999999998</v>
      </c>
      <c r="J3010">
        <f>1642.29</f>
        <v>1642.29</v>
      </c>
      <c r="K3010">
        <f>4356.85</f>
        <v>4356.8500000000004</v>
      </c>
      <c r="L3010">
        <f>1054.38</f>
        <v>1054.3800000000001</v>
      </c>
      <c r="M3010">
        <f>3947.22</f>
        <v>3947.22</v>
      </c>
      <c r="N3010">
        <f>169.395</f>
        <v>169.39500000000001</v>
      </c>
      <c r="O3010">
        <f>1453</f>
        <v>1453</v>
      </c>
      <c r="P3010">
        <f>84.53</f>
        <v>84.53</v>
      </c>
      <c r="Q3010">
        <f>970.52</f>
        <v>970.52</v>
      </c>
      <c r="R3010">
        <f>2092.18</f>
        <v>2092.1799999999998</v>
      </c>
      <c r="S3010">
        <f>928.24</f>
        <v>928.24</v>
      </c>
      <c r="T3010" t="e">
        <f>NA()</f>
        <v>#N/A</v>
      </c>
      <c r="U3010" t="e">
        <f>NA()</f>
        <v>#N/A</v>
      </c>
      <c r="V3010" t="e">
        <f>NA()</f>
        <v>#N/A</v>
      </c>
    </row>
    <row r="3011" spans="1:22" x14ac:dyDescent="0.2">
      <c r="A3011" s="1">
        <v>40892</v>
      </c>
      <c r="B3011">
        <f>2048.49</f>
        <v>2048.4899999999998</v>
      </c>
      <c r="C3011">
        <f>7638.63</f>
        <v>7638.63</v>
      </c>
      <c r="D3011">
        <f>3653.61</f>
        <v>3653.61</v>
      </c>
      <c r="E3011">
        <f>1650.559</f>
        <v>1650.559</v>
      </c>
      <c r="F3011">
        <f>1362.64</f>
        <v>1362.64</v>
      </c>
      <c r="G3011">
        <f>5756.019</f>
        <v>5756.0190000000002</v>
      </c>
      <c r="H3011">
        <f>1781.05</f>
        <v>1781.05</v>
      </c>
      <c r="I3011">
        <f>5276.999</f>
        <v>5276.9989999999998</v>
      </c>
      <c r="J3011">
        <f>1638.37</f>
        <v>1638.37</v>
      </c>
      <c r="K3011">
        <f>4341.06</f>
        <v>4341.0600000000004</v>
      </c>
      <c r="L3011">
        <f>1053.56</f>
        <v>1053.56</v>
      </c>
      <c r="M3011">
        <f>3934.69</f>
        <v>3934.69</v>
      </c>
      <c r="N3011">
        <f>169.957</f>
        <v>169.95699999999999</v>
      </c>
      <c r="O3011">
        <f>1459.86</f>
        <v>1459.86</v>
      </c>
      <c r="P3011">
        <f>84.21</f>
        <v>84.21</v>
      </c>
      <c r="Q3011">
        <f>968.93</f>
        <v>968.93</v>
      </c>
      <c r="R3011">
        <f>2085.44</f>
        <v>2085.44</v>
      </c>
      <c r="S3011">
        <f>930.11</f>
        <v>930.11</v>
      </c>
      <c r="T3011">
        <f>1705.903</f>
        <v>1705.903</v>
      </c>
      <c r="U3011">
        <f>32006.7</f>
        <v>32006.7</v>
      </c>
      <c r="V3011">
        <f>226.22</f>
        <v>226.22</v>
      </c>
    </row>
    <row r="3012" spans="1:22" x14ac:dyDescent="0.2">
      <c r="A3012" s="1">
        <v>40891</v>
      </c>
      <c r="B3012">
        <f>2027.42</f>
        <v>2027.42</v>
      </c>
      <c r="C3012">
        <f>7705.55</f>
        <v>7705.55</v>
      </c>
      <c r="D3012">
        <f>3630.58</f>
        <v>3630.58</v>
      </c>
      <c r="E3012">
        <f>1663.916</f>
        <v>1663.9159999999999</v>
      </c>
      <c r="F3012">
        <f>1350.61</f>
        <v>1350.61</v>
      </c>
      <c r="G3012">
        <f>5696.239</f>
        <v>5696.2389999999996</v>
      </c>
      <c r="H3012">
        <f>1801.23</f>
        <v>1801.23</v>
      </c>
      <c r="I3012">
        <f>5200.695</f>
        <v>5200.6949999999997</v>
      </c>
      <c r="J3012">
        <f>1627.43</f>
        <v>1627.43</v>
      </c>
      <c r="K3012">
        <f>4326.23</f>
        <v>4326.2299999999996</v>
      </c>
      <c r="L3012">
        <f>1045.24</f>
        <v>1045.24</v>
      </c>
      <c r="M3012">
        <f>3921.35</f>
        <v>3921.35</v>
      </c>
      <c r="N3012">
        <f>168.584</f>
        <v>168.584</v>
      </c>
      <c r="O3012">
        <f>1446.04</f>
        <v>1446.04</v>
      </c>
      <c r="P3012">
        <f>84.73</f>
        <v>84.73</v>
      </c>
      <c r="Q3012">
        <f>961.98</f>
        <v>961.98</v>
      </c>
      <c r="R3012">
        <f>2078.51</f>
        <v>2078.5100000000002</v>
      </c>
      <c r="S3012">
        <f>945.45</f>
        <v>945.45</v>
      </c>
      <c r="T3012">
        <f>1707.764</f>
        <v>1707.7639999999999</v>
      </c>
      <c r="U3012">
        <f>31727.03</f>
        <v>31727.03</v>
      </c>
      <c r="V3012">
        <f>226.38</f>
        <v>226.38</v>
      </c>
    </row>
    <row r="3013" spans="1:22" x14ac:dyDescent="0.2">
      <c r="A3013" s="1">
        <v>40890</v>
      </c>
      <c r="B3013">
        <f>2068.08</f>
        <v>2068.08</v>
      </c>
      <c r="C3013">
        <f>7803.12</f>
        <v>7803.12</v>
      </c>
      <c r="D3013">
        <f>3713.68</f>
        <v>3713.68</v>
      </c>
      <c r="E3013">
        <f>1687.493</f>
        <v>1687.4929999999999</v>
      </c>
      <c r="F3013">
        <f>1384.2</f>
        <v>1384.2</v>
      </c>
      <c r="G3013">
        <f>5873.22</f>
        <v>5873.22</v>
      </c>
      <c r="H3013">
        <f>1810.24</f>
        <v>1810.24</v>
      </c>
      <c r="I3013">
        <f>5365.551</f>
        <v>5365.5510000000004</v>
      </c>
      <c r="J3013">
        <f>1640.21</f>
        <v>1640.21</v>
      </c>
      <c r="K3013">
        <f>4376.76</f>
        <v>4376.76</v>
      </c>
      <c r="L3013">
        <f>1061.98</f>
        <v>1061.98</v>
      </c>
      <c r="M3013">
        <f>3991.09</f>
        <v>3991.09</v>
      </c>
      <c r="N3013">
        <f>170.859</f>
        <v>170.85900000000001</v>
      </c>
      <c r="O3013">
        <f>1475.42</f>
        <v>1475.42</v>
      </c>
      <c r="P3013">
        <f>84.95</f>
        <v>84.95</v>
      </c>
      <c r="Q3013">
        <f>968.21</f>
        <v>968.21</v>
      </c>
      <c r="R3013">
        <f>2102.15</f>
        <v>2102.15</v>
      </c>
      <c r="S3013">
        <f>950.23</f>
        <v>950.23</v>
      </c>
      <c r="T3013">
        <f>1724.804</f>
        <v>1724.8040000000001</v>
      </c>
      <c r="U3013">
        <f>32208.2</f>
        <v>32208.2</v>
      </c>
      <c r="V3013">
        <f>228.94</f>
        <v>228.94</v>
      </c>
    </row>
    <row r="3014" spans="1:22" x14ac:dyDescent="0.2">
      <c r="A3014" s="1">
        <v>40889</v>
      </c>
      <c r="B3014">
        <f>2057.43</f>
        <v>2057.4299999999998</v>
      </c>
      <c r="C3014">
        <f>7842.39</f>
        <v>7842.39</v>
      </c>
      <c r="D3014">
        <f>3671.55</f>
        <v>3671.55</v>
      </c>
      <c r="E3014">
        <f>1701.907</f>
        <v>1701.9069999999999</v>
      </c>
      <c r="F3014">
        <f>1369.11</f>
        <v>1369.11</v>
      </c>
      <c r="G3014">
        <f>5837.437</f>
        <v>5837.4369999999999</v>
      </c>
      <c r="H3014">
        <f>1820.1</f>
        <v>1820.1</v>
      </c>
      <c r="I3014">
        <f>5418.079</f>
        <v>5418.0789999999997</v>
      </c>
      <c r="J3014">
        <f>1641.61</f>
        <v>1641.61</v>
      </c>
      <c r="K3014">
        <f>4415.51</f>
        <v>4415.51</v>
      </c>
      <c r="L3014">
        <f>1064.14</f>
        <v>1064.1400000000001</v>
      </c>
      <c r="M3014">
        <f>4023.28</f>
        <v>4023.28</v>
      </c>
      <c r="N3014">
        <f>169.236</f>
        <v>169.23599999999999</v>
      </c>
      <c r="O3014">
        <f>1468.01</f>
        <v>1468.01</v>
      </c>
      <c r="P3014">
        <f>85.25</f>
        <v>85.25</v>
      </c>
      <c r="Q3014">
        <f>977.13</f>
        <v>977.13</v>
      </c>
      <c r="R3014">
        <f>2120.15</f>
        <v>2120.15</v>
      </c>
      <c r="S3014">
        <f>957.9</f>
        <v>957.9</v>
      </c>
      <c r="T3014">
        <f>1726.354</f>
        <v>1726.354</v>
      </c>
      <c r="U3014">
        <f>32270.06</f>
        <v>32270.06</v>
      </c>
      <c r="V3014">
        <f>229.06</f>
        <v>229.06</v>
      </c>
    </row>
    <row r="3015" spans="1:22" x14ac:dyDescent="0.2">
      <c r="A3015" s="1">
        <v>40886</v>
      </c>
      <c r="B3015">
        <f>2097.39</f>
        <v>2097.39</v>
      </c>
      <c r="C3015">
        <f>7918.33</f>
        <v>7918.33</v>
      </c>
      <c r="D3015">
        <f>3740.11</f>
        <v>3740.11</v>
      </c>
      <c r="E3015">
        <f>1718.771</f>
        <v>1718.771</v>
      </c>
      <c r="F3015">
        <f>1381.67</f>
        <v>1381.67</v>
      </c>
      <c r="G3015">
        <f>5946.131</f>
        <v>5946.1310000000003</v>
      </c>
      <c r="H3015">
        <f>1808.55</f>
        <v>1808.55</v>
      </c>
      <c r="I3015">
        <f>5612.965</f>
        <v>5612.9650000000001</v>
      </c>
      <c r="J3015">
        <f>1659.8</f>
        <v>1659.8</v>
      </c>
      <c r="K3015">
        <f>4481.92</f>
        <v>4481.92</v>
      </c>
      <c r="L3015">
        <f>1077.92</f>
        <v>1077.92</v>
      </c>
      <c r="M3015">
        <f>4086.21</f>
        <v>4086.21</v>
      </c>
      <c r="N3015">
        <f>169.687</f>
        <v>169.68700000000001</v>
      </c>
      <c r="O3015">
        <f>1494.61</f>
        <v>1494.61</v>
      </c>
      <c r="P3015">
        <f>84.41</f>
        <v>84.41</v>
      </c>
      <c r="Q3015">
        <f>988.4</f>
        <v>988.4</v>
      </c>
      <c r="R3015">
        <f>2152.15</f>
        <v>2152.15</v>
      </c>
      <c r="S3015">
        <f>946.91</f>
        <v>946.91</v>
      </c>
      <c r="T3015">
        <f>1727.99</f>
        <v>1727.99</v>
      </c>
      <c r="U3015">
        <f>32632.92</f>
        <v>32632.92</v>
      </c>
      <c r="V3015">
        <f>229.92</f>
        <v>229.92</v>
      </c>
    </row>
    <row r="3016" spans="1:22" x14ac:dyDescent="0.2">
      <c r="A3016" s="1">
        <v>40885</v>
      </c>
      <c r="B3016">
        <f>2081.9</f>
        <v>2081.9</v>
      </c>
      <c r="C3016">
        <f>7993.6</f>
        <v>7993.6</v>
      </c>
      <c r="D3016">
        <f>3709.37</f>
        <v>3709.37</v>
      </c>
      <c r="E3016">
        <f>1743.407</f>
        <v>1743.4069999999999</v>
      </c>
      <c r="F3016">
        <f>1369.71</f>
        <v>1369.71</v>
      </c>
      <c r="G3016">
        <f>5900.911</f>
        <v>5900.9110000000001</v>
      </c>
      <c r="H3016">
        <f>1821.02</f>
        <v>1821.02</v>
      </c>
      <c r="I3016">
        <f>5500.873</f>
        <v>5500.8729999999996</v>
      </c>
      <c r="J3016">
        <f>1638.19</f>
        <v>1638.19</v>
      </c>
      <c r="K3016">
        <f>4407.7</f>
        <v>4407.7</v>
      </c>
      <c r="L3016">
        <f>1067.83</f>
        <v>1067.83</v>
      </c>
      <c r="M3016">
        <f>4042.53</f>
        <v>4042.53</v>
      </c>
      <c r="N3016">
        <f>168.977</f>
        <v>168.977</v>
      </c>
      <c r="O3016">
        <f>1475.49</f>
        <v>1475.49</v>
      </c>
      <c r="P3016">
        <f>84.84</f>
        <v>84.84</v>
      </c>
      <c r="Q3016">
        <f>974.95</f>
        <v>974.95</v>
      </c>
      <c r="R3016">
        <f>2116.41</f>
        <v>2116.41</v>
      </c>
      <c r="S3016">
        <f>955.88</f>
        <v>955.88</v>
      </c>
      <c r="T3016">
        <f>1738.34</f>
        <v>1738.34</v>
      </c>
      <c r="U3016">
        <f>32760.17</f>
        <v>32760.17</v>
      </c>
      <c r="V3016">
        <f>231.66</f>
        <v>231.66</v>
      </c>
    </row>
    <row r="3017" spans="1:22" x14ac:dyDescent="0.2">
      <c r="A3017" s="1">
        <v>40884</v>
      </c>
      <c r="B3017">
        <f>2119.93</f>
        <v>2119.9299999999998</v>
      </c>
      <c r="C3017">
        <f>8078.35</f>
        <v>8078.35</v>
      </c>
      <c r="D3017">
        <f>3752.08</f>
        <v>3752.08</v>
      </c>
      <c r="E3017">
        <f>1764.957</f>
        <v>1764.9570000000001</v>
      </c>
      <c r="F3017">
        <f>1376.08</f>
        <v>1376.08</v>
      </c>
      <c r="G3017">
        <f>5985.338</f>
        <v>5985.3379999999997</v>
      </c>
      <c r="H3017">
        <f>1827.21</f>
        <v>1827.21</v>
      </c>
      <c r="I3017">
        <f>5639.063</f>
        <v>5639.0630000000001</v>
      </c>
      <c r="J3017">
        <f>1663.33</f>
        <v>1663.33</v>
      </c>
      <c r="K3017">
        <f>4503.44</f>
        <v>4503.4399999999996</v>
      </c>
      <c r="L3017">
        <f>1081.6</f>
        <v>1081.5999999999999</v>
      </c>
      <c r="M3017">
        <f>4120.41</f>
        <v>4120.41</v>
      </c>
      <c r="N3017">
        <f>169.822</f>
        <v>169.822</v>
      </c>
      <c r="O3017">
        <f>1498.8</f>
        <v>1498.8</v>
      </c>
      <c r="P3017">
        <f>84.98</f>
        <v>84.98</v>
      </c>
      <c r="Q3017">
        <f>990.69</f>
        <v>990.69</v>
      </c>
      <c r="R3017">
        <f>2162.07</f>
        <v>2162.0700000000002</v>
      </c>
      <c r="S3017">
        <f>961.68</f>
        <v>961.68</v>
      </c>
      <c r="T3017">
        <f>1736.732</f>
        <v>1736.732</v>
      </c>
      <c r="U3017">
        <f>32760.27</f>
        <v>32760.27</v>
      </c>
      <c r="V3017">
        <f>230.81</f>
        <v>230.81</v>
      </c>
    </row>
    <row r="3018" spans="1:22" x14ac:dyDescent="0.2">
      <c r="A3018" s="1">
        <v>40883</v>
      </c>
      <c r="B3018">
        <f>2124.84</f>
        <v>2124.84</v>
      </c>
      <c r="C3018">
        <f>8036.38</f>
        <v>8036.38</v>
      </c>
      <c r="D3018">
        <f>3766.54</f>
        <v>3766.54</v>
      </c>
      <c r="E3018">
        <f>1754.12</f>
        <v>1754.12</v>
      </c>
      <c r="F3018">
        <f>1372.83</f>
        <v>1372.83</v>
      </c>
      <c r="G3018">
        <f>5979.652</f>
        <v>5979.652</v>
      </c>
      <c r="H3018">
        <f>1803.8</f>
        <v>1803.8</v>
      </c>
      <c r="I3018">
        <f>5652.98</f>
        <v>5652.98</v>
      </c>
      <c r="J3018">
        <f>1657.89</f>
        <v>1657.89</v>
      </c>
      <c r="K3018">
        <f>4494.3</f>
        <v>4494.3</v>
      </c>
      <c r="L3018">
        <f>1077.52</f>
        <v>1077.52</v>
      </c>
      <c r="M3018">
        <f>4107.15</f>
        <v>4107.1499999999996</v>
      </c>
      <c r="N3018">
        <f>169.12</f>
        <v>169.12</v>
      </c>
      <c r="O3018">
        <f>1499.19</f>
        <v>1499.19</v>
      </c>
      <c r="P3018">
        <f>83.94</f>
        <v>83.94</v>
      </c>
      <c r="Q3018">
        <f>989</f>
        <v>989</v>
      </c>
      <c r="R3018">
        <f>2157.1</f>
        <v>2157.1</v>
      </c>
      <c r="S3018">
        <f>946.78</f>
        <v>946.78</v>
      </c>
      <c r="T3018">
        <f>1731.854</f>
        <v>1731.854</v>
      </c>
      <c r="U3018">
        <f>32719.23</f>
        <v>32719.23</v>
      </c>
      <c r="V3018">
        <f>230.49</f>
        <v>230.49</v>
      </c>
    </row>
    <row r="3019" spans="1:22" x14ac:dyDescent="0.2">
      <c r="A3019" s="1">
        <v>40882</v>
      </c>
      <c r="B3019">
        <f>2140.86</f>
        <v>2140.86</v>
      </c>
      <c r="C3019">
        <f>8139.28</f>
        <v>8139.28</v>
      </c>
      <c r="D3019">
        <f>3766.03</f>
        <v>3766.03</v>
      </c>
      <c r="E3019">
        <f>1777.447</f>
        <v>1777.4469999999999</v>
      </c>
      <c r="F3019">
        <f>1377.67</f>
        <v>1377.67</v>
      </c>
      <c r="G3019">
        <f>6019.459</f>
        <v>6019.4589999999998</v>
      </c>
      <c r="H3019">
        <f>1818.28</f>
        <v>1818.28</v>
      </c>
      <c r="I3019">
        <f>5717.234</f>
        <v>5717.2340000000004</v>
      </c>
      <c r="J3019">
        <f>1651.84</f>
        <v>1651.84</v>
      </c>
      <c r="K3019">
        <f>4490.29</f>
        <v>4490.29</v>
      </c>
      <c r="L3019">
        <f>1081.74</f>
        <v>1081.74</v>
      </c>
      <c r="M3019">
        <f>4126.55</f>
        <v>4126.55</v>
      </c>
      <c r="N3019">
        <f>169.473</f>
        <v>169.47300000000001</v>
      </c>
      <c r="O3019">
        <f>1505.08</f>
        <v>1505.08</v>
      </c>
      <c r="P3019">
        <f>84.87</f>
        <v>84.87</v>
      </c>
      <c r="Q3019">
        <f>986.52</f>
        <v>986.52</v>
      </c>
      <c r="R3019">
        <f>2154.68</f>
        <v>2154.6799999999998</v>
      </c>
      <c r="S3019">
        <f>960.38</f>
        <v>960.38</v>
      </c>
      <c r="T3019">
        <f>1727.289</f>
        <v>1727.289</v>
      </c>
      <c r="U3019">
        <f>32832.22</f>
        <v>32832.22</v>
      </c>
      <c r="V3019">
        <f>231.01</f>
        <v>231.01</v>
      </c>
    </row>
    <row r="3020" spans="1:22" x14ac:dyDescent="0.2">
      <c r="A3020" s="1">
        <v>40879</v>
      </c>
      <c r="B3020">
        <f>2134.96</f>
        <v>2134.96</v>
      </c>
      <c r="C3020">
        <f>8085.54</f>
        <v>8085.54</v>
      </c>
      <c r="D3020">
        <f>3755.43</f>
        <v>3755.43</v>
      </c>
      <c r="E3020">
        <f>1767.548</f>
        <v>1767.548</v>
      </c>
      <c r="F3020">
        <f>1367.33</f>
        <v>1367.33</v>
      </c>
      <c r="G3020">
        <f>5971.764</f>
        <v>5971.7640000000001</v>
      </c>
      <c r="H3020">
        <f>1804.81</f>
        <v>1804.81</v>
      </c>
      <c r="I3020">
        <f>5645.07</f>
        <v>5645.07</v>
      </c>
      <c r="J3020">
        <f>1639.42</f>
        <v>1639.42</v>
      </c>
      <c r="K3020">
        <f>4444.84</f>
        <v>4444.84</v>
      </c>
      <c r="L3020">
        <f>1073.98</f>
        <v>1073.98</v>
      </c>
      <c r="M3020">
        <f>4086.17</f>
        <v>4086.17</v>
      </c>
      <c r="N3020">
        <f>169.357</f>
        <v>169.357</v>
      </c>
      <c r="O3020">
        <f>1493.76</f>
        <v>1493.76</v>
      </c>
      <c r="P3020">
        <f>84.24</f>
        <v>84.24</v>
      </c>
      <c r="Q3020">
        <f>977.48</f>
        <v>977.48</v>
      </c>
      <c r="R3020">
        <f>2132.64</f>
        <v>2132.64</v>
      </c>
      <c r="S3020">
        <f>954.65</f>
        <v>954.65</v>
      </c>
      <c r="T3020">
        <f>1729.101</f>
        <v>1729.1010000000001</v>
      </c>
      <c r="U3020">
        <f>32610.9</f>
        <v>32610.9</v>
      </c>
      <c r="V3020">
        <f>229.73</f>
        <v>229.73</v>
      </c>
    </row>
    <row r="3021" spans="1:22" x14ac:dyDescent="0.2">
      <c r="A3021" s="1">
        <v>40878</v>
      </c>
      <c r="B3021">
        <f>2116.47</f>
        <v>2116.4699999999998</v>
      </c>
      <c r="C3021">
        <f>8070.13</f>
        <v>8070.13</v>
      </c>
      <c r="D3021">
        <f>3712.85</f>
        <v>3712.85</v>
      </c>
      <c r="E3021">
        <f>1764.389</f>
        <v>1764.3889999999999</v>
      </c>
      <c r="F3021">
        <f>1369.18</f>
        <v>1369.18</v>
      </c>
      <c r="G3021">
        <f>5925.289</f>
        <v>5925.2889999999998</v>
      </c>
      <c r="H3021">
        <f>1794.67</f>
        <v>1794.67</v>
      </c>
      <c r="I3021">
        <f>5610.784</f>
        <v>5610.7839999999997</v>
      </c>
      <c r="J3021">
        <f>1643.84</f>
        <v>1643.84</v>
      </c>
      <c r="K3021">
        <f>4444.92</f>
        <v>4444.92</v>
      </c>
      <c r="L3021">
        <f>1073.06</f>
        <v>1073.06</v>
      </c>
      <c r="M3021">
        <f>4075.13</f>
        <v>4075.13</v>
      </c>
      <c r="N3021">
        <f>168.684</f>
        <v>168.684</v>
      </c>
      <c r="O3021">
        <f>1477.89</f>
        <v>1477.89</v>
      </c>
      <c r="P3021">
        <f>83.34</f>
        <v>83.34</v>
      </c>
      <c r="Q3021">
        <f>980.66</f>
        <v>980.66</v>
      </c>
      <c r="R3021">
        <f>2133.07</f>
        <v>2133.0700000000002</v>
      </c>
      <c r="S3021">
        <f>949.35</f>
        <v>949.35</v>
      </c>
      <c r="T3021">
        <f>1728.965</f>
        <v>1728.9649999999999</v>
      </c>
      <c r="U3021">
        <f>32748.85</f>
        <v>32748.85</v>
      </c>
      <c r="V3021">
        <f>228.67</f>
        <v>228.67</v>
      </c>
    </row>
    <row r="3022" spans="1:22" x14ac:dyDescent="0.2">
      <c r="A3022" s="1">
        <v>40877</v>
      </c>
      <c r="B3022">
        <f>2134.97</f>
        <v>2134.9699999999998</v>
      </c>
      <c r="C3022">
        <f>7834.95</f>
        <v>7834.95</v>
      </c>
      <c r="D3022">
        <f>3723.73</f>
        <v>3723.73</v>
      </c>
      <c r="E3022">
        <f>1707.719</f>
        <v>1707.7190000000001</v>
      </c>
      <c r="F3022">
        <f>1376.31</f>
        <v>1376.31</v>
      </c>
      <c r="G3022">
        <f>5959.915</f>
        <v>5959.915</v>
      </c>
      <c r="H3022">
        <f>1770.58</f>
        <v>1770.58</v>
      </c>
      <c r="I3022">
        <f>5644.064</f>
        <v>5644.0640000000003</v>
      </c>
      <c r="J3022">
        <f>1649.62</f>
        <v>1649.62</v>
      </c>
      <c r="K3022">
        <f>4452.91</f>
        <v>4452.91</v>
      </c>
      <c r="L3022">
        <f>1074.14</f>
        <v>1074.1400000000001</v>
      </c>
      <c r="M3022">
        <f>4075.56</f>
        <v>4075.56</v>
      </c>
      <c r="N3022">
        <f>169.517</f>
        <v>169.517</v>
      </c>
      <c r="O3022">
        <f>1487.86</f>
        <v>1487.86</v>
      </c>
      <c r="P3022">
        <f>83.31</f>
        <v>83.31</v>
      </c>
      <c r="Q3022">
        <f>985.79</f>
        <v>985.79</v>
      </c>
      <c r="R3022">
        <f>2137.08</f>
        <v>2137.08</v>
      </c>
      <c r="S3022">
        <f>934.53</f>
        <v>934.53</v>
      </c>
      <c r="T3022">
        <f>1730.914</f>
        <v>1730.914</v>
      </c>
      <c r="U3022">
        <f>32812.64</f>
        <v>32812.639999999999</v>
      </c>
      <c r="V3022">
        <f>228.77</f>
        <v>228.77</v>
      </c>
    </row>
    <row r="3023" spans="1:22" x14ac:dyDescent="0.2">
      <c r="A3023" s="1">
        <v>40876</v>
      </c>
      <c r="B3023">
        <f>2089.2</f>
        <v>2089.1999999999998</v>
      </c>
      <c r="C3023">
        <f>7627.22</f>
        <v>7627.22</v>
      </c>
      <c r="D3023">
        <f>3607.51</f>
        <v>3607.51</v>
      </c>
      <c r="E3023">
        <f>1673.041</f>
        <v>1673.0409999999999</v>
      </c>
      <c r="F3023">
        <f>1332.19</f>
        <v>1332.19</v>
      </c>
      <c r="G3023">
        <f>5730.631</f>
        <v>5730.6310000000003</v>
      </c>
      <c r="H3023">
        <f>1763.55</f>
        <v>1763.55</v>
      </c>
      <c r="I3023">
        <f>5374.078</f>
        <v>5374.0780000000004</v>
      </c>
      <c r="J3023">
        <f>1593.33</f>
        <v>1593.33</v>
      </c>
      <c r="K3023">
        <f>4268.05</f>
        <v>4268.05</v>
      </c>
      <c r="L3023">
        <f>1037.48</f>
        <v>1037.48</v>
      </c>
      <c r="M3023">
        <f>3920.5</f>
        <v>3920.5</v>
      </c>
      <c r="N3023">
        <f>165.685</f>
        <v>165.685</v>
      </c>
      <c r="O3023">
        <f>1436.62</f>
        <v>1436.62</v>
      </c>
      <c r="P3023">
        <f>82.88</f>
        <v>82.88</v>
      </c>
      <c r="Q3023">
        <f>952.14</f>
        <v>952.14</v>
      </c>
      <c r="R3023">
        <f>2048.06</f>
        <v>2048.06</v>
      </c>
      <c r="S3023">
        <f>936.1</f>
        <v>936.1</v>
      </c>
      <c r="T3023">
        <f>1693.17</f>
        <v>1693.17</v>
      </c>
      <c r="U3023">
        <f>31636.36</f>
        <v>31636.36</v>
      </c>
      <c r="V3023">
        <f>223.01</f>
        <v>223.01</v>
      </c>
    </row>
    <row r="3024" spans="1:22" x14ac:dyDescent="0.2">
      <c r="A3024" s="1">
        <v>40875</v>
      </c>
      <c r="B3024">
        <f>2062.81</f>
        <v>2062.81</v>
      </c>
      <c r="C3024">
        <f>7609.93</f>
        <v>7609.93</v>
      </c>
      <c r="D3024">
        <f>3591.13</f>
        <v>3591.13</v>
      </c>
      <c r="E3024">
        <f>1659.666</f>
        <v>1659.6659999999999</v>
      </c>
      <c r="F3024">
        <f>1318.93</f>
        <v>1318.93</v>
      </c>
      <c r="G3024">
        <f>5679.826</f>
        <v>5679.826</v>
      </c>
      <c r="H3024">
        <f>1729.84</f>
        <v>1729.84</v>
      </c>
      <c r="I3024">
        <f>5346.838</f>
        <v>5346.8379999999997</v>
      </c>
      <c r="J3024">
        <f>1579.59</f>
        <v>1579.59</v>
      </c>
      <c r="K3024">
        <f>4257.15</f>
        <v>4257.1499999999996</v>
      </c>
      <c r="L3024">
        <f>1027.58</f>
        <v>1027.58</v>
      </c>
      <c r="M3024">
        <f>3894.46</f>
        <v>3894.46</v>
      </c>
      <c r="N3024">
        <f>164.257</f>
        <v>164.25700000000001</v>
      </c>
      <c r="O3024">
        <f>1426.26</f>
        <v>1426.26</v>
      </c>
      <c r="P3024">
        <f>81.81</f>
        <v>81.81</v>
      </c>
      <c r="Q3024">
        <f>946.89</f>
        <v>946.89</v>
      </c>
      <c r="R3024">
        <f>2042.8</f>
        <v>2042.8</v>
      </c>
      <c r="S3024">
        <f>918.16</f>
        <v>918.16</v>
      </c>
      <c r="T3024">
        <f>1692.682</f>
        <v>1692.682</v>
      </c>
      <c r="U3024">
        <f>31829.34</f>
        <v>31829.34</v>
      </c>
      <c r="V3024">
        <f>223.78</f>
        <v>223.78</v>
      </c>
    </row>
    <row r="3025" spans="1:22" x14ac:dyDescent="0.2">
      <c r="A3025" s="1">
        <v>40872</v>
      </c>
      <c r="B3025">
        <f>2006.36</f>
        <v>2006.36</v>
      </c>
      <c r="C3025">
        <f>7418.9</f>
        <v>7418.9</v>
      </c>
      <c r="D3025">
        <f>3491.01</f>
        <v>3491.01</v>
      </c>
      <c r="E3025">
        <f>1613.788</f>
        <v>1613.788</v>
      </c>
      <c r="F3025">
        <f>1292.93</f>
        <v>1292.93</v>
      </c>
      <c r="G3025">
        <f>5500.268</f>
        <v>5500.268</v>
      </c>
      <c r="H3025">
        <f>1728.15</f>
        <v>1728.15</v>
      </c>
      <c r="I3025">
        <f>5094.066</f>
        <v>5094.0659999999998</v>
      </c>
      <c r="J3025">
        <f>1544.67</f>
        <v>1544.67</v>
      </c>
      <c r="K3025">
        <f>4135.75</f>
        <v>4135.75</v>
      </c>
      <c r="L3025">
        <f>999.21</f>
        <v>999.21</v>
      </c>
      <c r="M3025">
        <f>3775.32</f>
        <v>3775.32</v>
      </c>
      <c r="N3025">
        <f>160.614</f>
        <v>160.614</v>
      </c>
      <c r="O3025">
        <f>1375.83</f>
        <v>1375.83</v>
      </c>
      <c r="P3025">
        <f>81.77</f>
        <v>81.77</v>
      </c>
      <c r="Q3025">
        <f>925.44</f>
        <v>925.44</v>
      </c>
      <c r="R3025">
        <f>1984.5</f>
        <v>1984.5</v>
      </c>
      <c r="S3025">
        <f>906.44</f>
        <v>906.44</v>
      </c>
      <c r="T3025">
        <f>1662.716</f>
        <v>1662.7159999999999</v>
      </c>
      <c r="U3025">
        <f>31123.96</f>
        <v>31123.96</v>
      </c>
      <c r="V3025">
        <f>220.3</f>
        <v>220.3</v>
      </c>
    </row>
    <row r="3026" spans="1:22" x14ac:dyDescent="0.2">
      <c r="A3026" s="1">
        <v>40871</v>
      </c>
      <c r="B3026">
        <f>1987.73</f>
        <v>1987.73</v>
      </c>
      <c r="C3026">
        <f>7487.37</f>
        <v>7487.37</v>
      </c>
      <c r="D3026">
        <f>3465.95</f>
        <v>3465.95</v>
      </c>
      <c r="E3026">
        <f>1633.575</f>
        <v>1633.575</v>
      </c>
      <c r="F3026">
        <f>1282.9</f>
        <v>1282.9000000000001</v>
      </c>
      <c r="G3026">
        <f>5468.354</f>
        <v>5468.3540000000003</v>
      </c>
      <c r="H3026">
        <f>1742.28</f>
        <v>1742.28</v>
      </c>
      <c r="I3026">
        <f>5085.565</f>
        <v>5085.5649999999996</v>
      </c>
      <c r="J3026">
        <f>1547.02</f>
        <v>1547.02</v>
      </c>
      <c r="K3026">
        <f>4146.07</f>
        <v>4146.07</v>
      </c>
      <c r="L3026">
        <f>998.69</f>
        <v>998.69</v>
      </c>
      <c r="M3026">
        <f>3781.98</f>
        <v>3781.98</v>
      </c>
      <c r="N3026">
        <f>159.208</f>
        <v>159.208</v>
      </c>
      <c r="O3026">
        <f>1363.21</f>
        <v>1363.21</v>
      </c>
      <c r="P3026">
        <f>81.67</f>
        <v>81.67</v>
      </c>
      <c r="Q3026" t="e">
        <f>NA()</f>
        <v>#N/A</v>
      </c>
      <c r="R3026" t="e">
        <f>NA()</f>
        <v>#N/A</v>
      </c>
      <c r="S3026">
        <f>905.77</f>
        <v>905.77</v>
      </c>
      <c r="T3026">
        <f>1661.744</f>
        <v>1661.7439999999999</v>
      </c>
      <c r="U3026">
        <f>31201.82</f>
        <v>31201.82</v>
      </c>
      <c r="V3026">
        <f>220.53</f>
        <v>220.53</v>
      </c>
    </row>
    <row r="3027" spans="1:22" x14ac:dyDescent="0.2">
      <c r="A3027" s="1">
        <v>40870</v>
      </c>
      <c r="B3027">
        <f>1990.38</f>
        <v>1990.38</v>
      </c>
      <c r="C3027">
        <f>7475.98</f>
        <v>7475.98</v>
      </c>
      <c r="D3027">
        <f>3474.2</f>
        <v>3474.2</v>
      </c>
      <c r="E3027">
        <f>1628.065</f>
        <v>1628.0650000000001</v>
      </c>
      <c r="F3027">
        <f>1297.84</f>
        <v>1297.8399999999999</v>
      </c>
      <c r="G3027">
        <f>5486.048</f>
        <v>5486.0479999999998</v>
      </c>
      <c r="H3027">
        <f>1765.98</f>
        <v>1765.98</v>
      </c>
      <c r="I3027">
        <f>5109.867</f>
        <v>5109.8670000000002</v>
      </c>
      <c r="J3027">
        <f>1547.02</f>
        <v>1547.02</v>
      </c>
      <c r="K3027">
        <f>4146.07</f>
        <v>4146.07</v>
      </c>
      <c r="L3027">
        <f>1004.25</f>
        <v>1004.25</v>
      </c>
      <c r="M3027">
        <f>3792.45</f>
        <v>3792.45</v>
      </c>
      <c r="N3027">
        <f>159.703</f>
        <v>159.703</v>
      </c>
      <c r="O3027">
        <f>1366.8</f>
        <v>1366.8</v>
      </c>
      <c r="P3027" t="e">
        <f>NA()</f>
        <v>#N/A</v>
      </c>
      <c r="Q3027">
        <f>923.81</f>
        <v>923.81</v>
      </c>
      <c r="R3027">
        <f>1989.54</f>
        <v>1989.54</v>
      </c>
      <c r="S3027" t="e">
        <f>NA()</f>
        <v>#N/A</v>
      </c>
      <c r="T3027">
        <f>1648.322</f>
        <v>1648.3219999999999</v>
      </c>
      <c r="U3027">
        <f>30956.19</f>
        <v>30956.19</v>
      </c>
      <c r="V3027">
        <f>218.26</f>
        <v>218.26</v>
      </c>
    </row>
    <row r="3028" spans="1:22" x14ac:dyDescent="0.2">
      <c r="A3028" s="1">
        <v>40869</v>
      </c>
      <c r="B3028">
        <f>2016.29</f>
        <v>2016.29</v>
      </c>
      <c r="C3028">
        <f>7646.46</f>
        <v>7646.46</v>
      </c>
      <c r="D3028">
        <f>3516.33</f>
        <v>3516.33</v>
      </c>
      <c r="E3028">
        <f>1672.343</f>
        <v>1672.3430000000001</v>
      </c>
      <c r="F3028">
        <f>1317.78</f>
        <v>1317.78</v>
      </c>
      <c r="G3028">
        <f>5598.807</f>
        <v>5598.8069999999998</v>
      </c>
      <c r="H3028">
        <f>1775.5</f>
        <v>1775.5</v>
      </c>
      <c r="I3028">
        <f>5241.361</f>
        <v>5241.3609999999999</v>
      </c>
      <c r="J3028">
        <f>1574.91</f>
        <v>1574.91</v>
      </c>
      <c r="K3028">
        <f>4239.83</f>
        <v>4239.83</v>
      </c>
      <c r="L3028">
        <f>1024.06</f>
        <v>1024.06</v>
      </c>
      <c r="M3028">
        <f>3875.73</f>
        <v>3875.73</v>
      </c>
      <c r="N3028">
        <f>161.164</f>
        <v>161.16399999999999</v>
      </c>
      <c r="O3028">
        <f>1384.84</f>
        <v>1384.84</v>
      </c>
      <c r="P3028">
        <f>83.2</f>
        <v>83.2</v>
      </c>
      <c r="Q3028">
        <f>941.1</f>
        <v>941.1</v>
      </c>
      <c r="R3028">
        <f>2034.41</f>
        <v>2034.41</v>
      </c>
      <c r="S3028">
        <f>920.8</f>
        <v>920.8</v>
      </c>
      <c r="T3028">
        <f>1663.926</f>
        <v>1663.9259999999999</v>
      </c>
      <c r="U3028">
        <f>31369.74</f>
        <v>31369.74</v>
      </c>
      <c r="V3028">
        <f>220.06</f>
        <v>220.06</v>
      </c>
    </row>
    <row r="3029" spans="1:22" x14ac:dyDescent="0.2">
      <c r="A3029" s="1">
        <v>40868</v>
      </c>
      <c r="B3029">
        <f>2029.89</f>
        <v>2029.89</v>
      </c>
      <c r="C3029">
        <f>7668.91</f>
        <v>7668.91</v>
      </c>
      <c r="D3029">
        <f>3526.98</f>
        <v>3526.98</v>
      </c>
      <c r="E3029">
        <f>1673.222</f>
        <v>1673.222</v>
      </c>
      <c r="F3029">
        <f>1324.49</f>
        <v>1324.49</v>
      </c>
      <c r="G3029">
        <f>5608.111</f>
        <v>5608.1109999999999</v>
      </c>
      <c r="H3029">
        <f>1777.27</f>
        <v>1777.27</v>
      </c>
      <c r="I3029">
        <f>5272.875</f>
        <v>5272.875</v>
      </c>
      <c r="J3029">
        <f>1580.97</f>
        <v>1580.97</v>
      </c>
      <c r="K3029">
        <f>4256.91</f>
        <v>4256.91</v>
      </c>
      <c r="L3029">
        <f>1026.89</f>
        <v>1026.8900000000001</v>
      </c>
      <c r="M3029">
        <f>3888.32</f>
        <v>3888.32</v>
      </c>
      <c r="N3029">
        <f>161.112</f>
        <v>161.11199999999999</v>
      </c>
      <c r="O3029">
        <f>1393.35</f>
        <v>1393.35</v>
      </c>
      <c r="P3029">
        <f>83.64</f>
        <v>83.64</v>
      </c>
      <c r="Q3029">
        <f>942.14</f>
        <v>942.14</v>
      </c>
      <c r="R3029">
        <f>2042.71</f>
        <v>2042.71</v>
      </c>
      <c r="S3029">
        <f>919.89</f>
        <v>919.89</v>
      </c>
      <c r="T3029">
        <f>1661.158</f>
        <v>1661.1579999999999</v>
      </c>
      <c r="U3029">
        <f>31116.01</f>
        <v>31116.01</v>
      </c>
      <c r="V3029">
        <f>219.5</f>
        <v>219.5</v>
      </c>
    </row>
    <row r="3030" spans="1:22" x14ac:dyDescent="0.2">
      <c r="A3030" s="1">
        <v>40865</v>
      </c>
      <c r="B3030">
        <f>2086.68</f>
        <v>2086.6799999999998</v>
      </c>
      <c r="C3030">
        <f>7852.94</f>
        <v>7852.94</v>
      </c>
      <c r="D3030">
        <f>3621.76</f>
        <v>3621.76</v>
      </c>
      <c r="E3030">
        <f>1717.732</f>
        <v>1717.732</v>
      </c>
      <c r="F3030">
        <f>1363.32</f>
        <v>1363.32</v>
      </c>
      <c r="G3030">
        <f>5818.956</f>
        <v>5818.9560000000001</v>
      </c>
      <c r="H3030">
        <f>1779.28</f>
        <v>1779.28</v>
      </c>
      <c r="I3030">
        <f>5466.528</f>
        <v>5466.5280000000002</v>
      </c>
      <c r="J3030">
        <f>1606.56</f>
        <v>1606.56</v>
      </c>
      <c r="K3030">
        <f>4336.84</f>
        <v>4336.84</v>
      </c>
      <c r="L3030">
        <f>1050.12</f>
        <v>1050.1199999999999</v>
      </c>
      <c r="M3030">
        <f>3978.94</f>
        <v>3978.94</v>
      </c>
      <c r="N3030">
        <f>165.45</f>
        <v>165.45</v>
      </c>
      <c r="O3030">
        <f>1440.1</f>
        <v>1440.1</v>
      </c>
      <c r="P3030">
        <f>83.53</f>
        <v>83.53</v>
      </c>
      <c r="Q3030">
        <f>957.27</f>
        <v>957.27</v>
      </c>
      <c r="R3030">
        <f>2081.42</f>
        <v>2081.42</v>
      </c>
      <c r="S3030">
        <f>923.6</f>
        <v>923.6</v>
      </c>
      <c r="T3030">
        <f>1675.687</f>
        <v>1675.6869999999999</v>
      </c>
      <c r="U3030">
        <f>31812.66</f>
        <v>31812.66</v>
      </c>
      <c r="V3030">
        <f>222.24</f>
        <v>222.24</v>
      </c>
    </row>
    <row r="3031" spans="1:22" x14ac:dyDescent="0.2">
      <c r="A3031" s="1">
        <v>40864</v>
      </c>
      <c r="B3031">
        <f>2104.12</f>
        <v>2104.12</v>
      </c>
      <c r="C3031">
        <f>7981.52</f>
        <v>7981.52</v>
      </c>
      <c r="D3031">
        <f>3662.41</f>
        <v>3662.41</v>
      </c>
      <c r="E3031">
        <f>1750.523</f>
        <v>1750.5229999999999</v>
      </c>
      <c r="F3031">
        <f>1376.78</f>
        <v>1376.78</v>
      </c>
      <c r="G3031">
        <f>5885.581</f>
        <v>5885.5810000000001</v>
      </c>
      <c r="H3031">
        <f>1799.37</f>
        <v>1799.37</v>
      </c>
      <c r="I3031">
        <f>5491.743</f>
        <v>5491.7430000000004</v>
      </c>
      <c r="J3031">
        <f>1604.51</f>
        <v>1604.51</v>
      </c>
      <c r="K3031">
        <f>4339.26</f>
        <v>4339.26</v>
      </c>
      <c r="L3031">
        <f>1053.56</f>
        <v>1053.56</v>
      </c>
      <c r="M3031">
        <f>3996.55</f>
        <v>3996.55</v>
      </c>
      <c r="N3031">
        <f>167.08</f>
        <v>167.08</v>
      </c>
      <c r="O3031">
        <f>1450.7</f>
        <v>1450.7</v>
      </c>
      <c r="P3031">
        <f>84.16</f>
        <v>84.16</v>
      </c>
      <c r="Q3031">
        <f>955.4</f>
        <v>955.4</v>
      </c>
      <c r="R3031">
        <f>2082.1</f>
        <v>2082.1</v>
      </c>
      <c r="S3031">
        <f>933.53</f>
        <v>933.53</v>
      </c>
      <c r="T3031">
        <f>1697.896</f>
        <v>1697.896</v>
      </c>
      <c r="U3031">
        <f>32438.05</f>
        <v>32438.05</v>
      </c>
      <c r="V3031">
        <f>225.07</f>
        <v>225.07</v>
      </c>
    </row>
    <row r="3032" spans="1:22" x14ac:dyDescent="0.2">
      <c r="A3032" s="1">
        <v>40863</v>
      </c>
      <c r="B3032">
        <f>2130.83</f>
        <v>2130.83</v>
      </c>
      <c r="C3032">
        <f>8049.02</f>
        <v>8049.02</v>
      </c>
      <c r="D3032">
        <f>3720.41</f>
        <v>3720.41</v>
      </c>
      <c r="E3032">
        <f>1765.361</f>
        <v>1765.3610000000001</v>
      </c>
      <c r="F3032">
        <f>1385.35</f>
        <v>1385.35</v>
      </c>
      <c r="G3032">
        <f>5977.545</f>
        <v>5977.5450000000001</v>
      </c>
      <c r="H3032">
        <f>1795.43</f>
        <v>1795.43</v>
      </c>
      <c r="I3032">
        <f>5563.604</f>
        <v>5563.6040000000003</v>
      </c>
      <c r="J3032">
        <f>1619.64</f>
        <v>1619.64</v>
      </c>
      <c r="K3032">
        <f>4414.27</f>
        <v>4414.2700000000004</v>
      </c>
      <c r="L3032">
        <f>1061.48</f>
        <v>1061.48</v>
      </c>
      <c r="M3032">
        <f>4052.36</f>
        <v>4052.36</v>
      </c>
      <c r="N3032">
        <f>168.575</f>
        <v>168.57499999999999</v>
      </c>
      <c r="O3032">
        <f>1469.78</f>
        <v>1469.78</v>
      </c>
      <c r="P3032">
        <f>84.11</f>
        <v>84.11</v>
      </c>
      <c r="Q3032">
        <f>966.33</f>
        <v>966.33</v>
      </c>
      <c r="R3032">
        <f>2117.64</f>
        <v>2117.64</v>
      </c>
      <c r="S3032">
        <f>928.9</f>
        <v>928.9</v>
      </c>
      <c r="T3032">
        <f>1698.802</f>
        <v>1698.8019999999999</v>
      </c>
      <c r="U3032">
        <f>32672.67</f>
        <v>32672.67</v>
      </c>
      <c r="V3032">
        <f>225.28</f>
        <v>225.28</v>
      </c>
    </row>
    <row r="3033" spans="1:22" x14ac:dyDescent="0.2">
      <c r="A3033" s="1">
        <v>40862</v>
      </c>
      <c r="B3033">
        <f>2142.97</f>
        <v>2142.9699999999998</v>
      </c>
      <c r="C3033">
        <f>8084.67</f>
        <v>8084.67</v>
      </c>
      <c r="D3033">
        <f>3721.05</f>
        <v>3721.05</v>
      </c>
      <c r="E3033">
        <f>1782.163</f>
        <v>1782.163</v>
      </c>
      <c r="F3033">
        <f>1384.97</f>
        <v>1384.97</v>
      </c>
      <c r="G3033">
        <f>5989.523</f>
        <v>5989.5230000000001</v>
      </c>
      <c r="H3033">
        <f>1805.05</f>
        <v>1805.05</v>
      </c>
      <c r="I3033">
        <f>5547.215</f>
        <v>5547.2150000000001</v>
      </c>
      <c r="J3033">
        <f>1642.22</f>
        <v>1642.22</v>
      </c>
      <c r="K3033">
        <f>4486.96</f>
        <v>4486.96</v>
      </c>
      <c r="L3033">
        <f>1066.21</f>
        <v>1066.21</v>
      </c>
      <c r="M3033">
        <f>4092.73</f>
        <v>4092.73</v>
      </c>
      <c r="N3033">
        <f>168.644</f>
        <v>168.64400000000001</v>
      </c>
      <c r="O3033">
        <f>1467.69</f>
        <v>1467.69</v>
      </c>
      <c r="P3033">
        <f>84.62</f>
        <v>84.62</v>
      </c>
      <c r="Q3033">
        <f>979.44</f>
        <v>979.44</v>
      </c>
      <c r="R3033">
        <f>2152.8</f>
        <v>2152.8000000000002</v>
      </c>
      <c r="S3033">
        <f>937.63</f>
        <v>937.63</v>
      </c>
      <c r="T3033">
        <f>1701.787</f>
        <v>1701.787</v>
      </c>
      <c r="U3033">
        <f>32674.18</f>
        <v>32674.18</v>
      </c>
      <c r="V3033">
        <f>225.44</f>
        <v>225.44</v>
      </c>
    </row>
    <row r="3034" spans="1:22" x14ac:dyDescent="0.2">
      <c r="A3034" s="1">
        <v>40861</v>
      </c>
      <c r="B3034">
        <f>2154.28</f>
        <v>2154.2800000000002</v>
      </c>
      <c r="C3034">
        <f>8131.56</f>
        <v>8131.56</v>
      </c>
      <c r="D3034">
        <f>3722.13</f>
        <v>3722.13</v>
      </c>
      <c r="E3034">
        <f>1796.113</f>
        <v>1796.1130000000001</v>
      </c>
      <c r="F3034">
        <f>1392.26</f>
        <v>1392.26</v>
      </c>
      <c r="G3034">
        <f>6023.64</f>
        <v>6023.64</v>
      </c>
      <c r="H3034">
        <f>1814.34</f>
        <v>1814.34</v>
      </c>
      <c r="I3034">
        <f>5651.86</f>
        <v>5651.86</v>
      </c>
      <c r="J3034">
        <f>1638.07</f>
        <v>1638.07</v>
      </c>
      <c r="K3034">
        <f>4464.37</f>
        <v>4464.37</v>
      </c>
      <c r="L3034">
        <f>1073.21</f>
        <v>1073.21</v>
      </c>
      <c r="M3034">
        <f>4103.8</f>
        <v>4103.8</v>
      </c>
      <c r="N3034">
        <f>168.216</f>
        <v>168.21600000000001</v>
      </c>
      <c r="O3034">
        <f>1476.97</f>
        <v>1476.97</v>
      </c>
      <c r="P3034">
        <f>85.16</f>
        <v>85.16</v>
      </c>
      <c r="Q3034">
        <f>975.43</f>
        <v>975.43</v>
      </c>
      <c r="R3034">
        <f>2142.09</f>
        <v>2142.09</v>
      </c>
      <c r="S3034">
        <f>943.97</f>
        <v>943.97</v>
      </c>
      <c r="T3034">
        <f>1694.898</f>
        <v>1694.8979999999999</v>
      </c>
      <c r="U3034">
        <f>32343.89</f>
        <v>32343.89</v>
      </c>
      <c r="V3034">
        <f>224.34</f>
        <v>224.34</v>
      </c>
    </row>
    <row r="3035" spans="1:22" x14ac:dyDescent="0.2">
      <c r="A3035" s="1">
        <v>40858</v>
      </c>
      <c r="B3035">
        <f>2172.89</f>
        <v>2172.89</v>
      </c>
      <c r="C3035">
        <f>8096.04</f>
        <v>8096.04</v>
      </c>
      <c r="D3035">
        <f>3739.89</f>
        <v>3739.89</v>
      </c>
      <c r="E3035">
        <f>1785.065</f>
        <v>1785.0650000000001</v>
      </c>
      <c r="F3035">
        <f>1403.85</f>
        <v>1403.85</v>
      </c>
      <c r="G3035">
        <f>6119.054</f>
        <v>6119.0540000000001</v>
      </c>
      <c r="H3035">
        <f>1796.34</f>
        <v>1796.34</v>
      </c>
      <c r="I3035">
        <f>5757.994</f>
        <v>5757.9939999999997</v>
      </c>
      <c r="J3035">
        <f>1651.18</f>
        <v>1651.18</v>
      </c>
      <c r="K3035">
        <f>4505.92</f>
        <v>4505.92</v>
      </c>
      <c r="L3035">
        <f>1083.65</f>
        <v>1083.6500000000001</v>
      </c>
      <c r="M3035">
        <f>4140.95</f>
        <v>4140.95</v>
      </c>
      <c r="N3035">
        <f>169.428</f>
        <v>169.428</v>
      </c>
      <c r="O3035">
        <f>1489.85</f>
        <v>1489.85</v>
      </c>
      <c r="P3035">
        <f>84.98</f>
        <v>84.98</v>
      </c>
      <c r="Q3035">
        <f>981.99</f>
        <v>981.99</v>
      </c>
      <c r="R3035">
        <f>2162.48</f>
        <v>2162.48</v>
      </c>
      <c r="S3035">
        <f>935.34</f>
        <v>935.34</v>
      </c>
      <c r="T3035">
        <f>1694.829</f>
        <v>1694.829</v>
      </c>
      <c r="U3035">
        <f>32261.65</f>
        <v>32261.65</v>
      </c>
      <c r="V3035">
        <f>223.93</f>
        <v>223.93</v>
      </c>
    </row>
    <row r="3036" spans="1:22" x14ac:dyDescent="0.2">
      <c r="A3036" s="1">
        <v>40857</v>
      </c>
      <c r="B3036">
        <f>2122.73</f>
        <v>2122.73</v>
      </c>
      <c r="C3036">
        <f>7964.08</f>
        <v>7964.08</v>
      </c>
      <c r="D3036">
        <f>3672.07</f>
        <v>3672.07</v>
      </c>
      <c r="E3036">
        <f>1753.412</f>
        <v>1753.412</v>
      </c>
      <c r="F3036">
        <f>1365.68</f>
        <v>1365.68</v>
      </c>
      <c r="G3036">
        <f>5935.294</f>
        <v>5935.2939999999999</v>
      </c>
      <c r="H3036">
        <f>1792.78</f>
        <v>1792.78</v>
      </c>
      <c r="I3036">
        <f>5553.489</f>
        <v>5553.4889999999996</v>
      </c>
      <c r="J3036">
        <f>1625.93</f>
        <v>1625.93</v>
      </c>
      <c r="K3036">
        <f>4419.63</f>
        <v>4419.63</v>
      </c>
      <c r="L3036">
        <f>1060.1</f>
        <v>1060.0999999999999</v>
      </c>
      <c r="M3036">
        <f>4049.78</f>
        <v>4049.78</v>
      </c>
      <c r="N3036">
        <f>167.216</f>
        <v>167.21600000000001</v>
      </c>
      <c r="O3036">
        <f>1458.51</f>
        <v>1458.51</v>
      </c>
      <c r="P3036">
        <f>85.38</f>
        <v>85.38</v>
      </c>
      <c r="Q3036">
        <f>963.68</f>
        <v>963.68</v>
      </c>
      <c r="R3036">
        <f>2121.14</f>
        <v>2121.14</v>
      </c>
      <c r="S3036">
        <f>936.84</f>
        <v>936.84</v>
      </c>
      <c r="T3036">
        <f>1689.229</f>
        <v>1689.229</v>
      </c>
      <c r="U3036">
        <f>32216.61</f>
        <v>32216.61</v>
      </c>
      <c r="V3036">
        <f>223.43</f>
        <v>223.43</v>
      </c>
    </row>
    <row r="3037" spans="1:22" x14ac:dyDescent="0.2">
      <c r="A3037" s="1">
        <v>40856</v>
      </c>
      <c r="B3037">
        <f>2124.06</f>
        <v>2124.06</v>
      </c>
      <c r="C3037">
        <f>8141.48</f>
        <v>8141.48</v>
      </c>
      <c r="D3037">
        <f>3682.56</f>
        <v>3682.56</v>
      </c>
      <c r="E3037">
        <f>1801.318</f>
        <v>1801.318</v>
      </c>
      <c r="F3037">
        <f>1369.27</f>
        <v>1369.27</v>
      </c>
      <c r="G3037">
        <f>5977.451</f>
        <v>5977.451</v>
      </c>
      <c r="H3037">
        <f>1828.33</f>
        <v>1828.33</v>
      </c>
      <c r="I3037">
        <f>5562.133</f>
        <v>5562.1329999999998</v>
      </c>
      <c r="J3037">
        <f>1609.01</f>
        <v>1609.01</v>
      </c>
      <c r="K3037">
        <f>4383.2</f>
        <v>4383.2</v>
      </c>
      <c r="L3037">
        <f>1060.22</f>
        <v>1060.22</v>
      </c>
      <c r="M3037">
        <f>4054.09</f>
        <v>4054.09</v>
      </c>
      <c r="N3037">
        <f>167.855</f>
        <v>167.85499999999999</v>
      </c>
      <c r="O3037">
        <f>1461.73</f>
        <v>1461.73</v>
      </c>
      <c r="P3037">
        <f>86.61</f>
        <v>86.61</v>
      </c>
      <c r="Q3037">
        <f>953.96</f>
        <v>953.96</v>
      </c>
      <c r="R3037">
        <f>2102.72</f>
        <v>2102.7199999999998</v>
      </c>
      <c r="S3037">
        <f>961.34</f>
        <v>961.34</v>
      </c>
      <c r="T3037">
        <f>1690.658</f>
        <v>1690.6579999999999</v>
      </c>
      <c r="U3037">
        <f>32017.01</f>
        <v>32017.01</v>
      </c>
      <c r="V3037">
        <f>223.13</f>
        <v>223.13</v>
      </c>
    </row>
    <row r="3038" spans="1:22" x14ac:dyDescent="0.2">
      <c r="A3038" s="1">
        <v>40855</v>
      </c>
      <c r="B3038">
        <f>2153.89</f>
        <v>2153.89</v>
      </c>
      <c r="C3038">
        <f>8221.77</f>
        <v>8221.77</v>
      </c>
      <c r="D3038">
        <f>3753.65</f>
        <v>3753.65</v>
      </c>
      <c r="E3038">
        <f>1820.587</f>
        <v>1820.587</v>
      </c>
      <c r="F3038">
        <f>1395.12</f>
        <v>1395.12</v>
      </c>
      <c r="G3038">
        <f>6144.493</f>
        <v>6144.4930000000004</v>
      </c>
      <c r="H3038">
        <f>1802.08</f>
        <v>1802.08</v>
      </c>
      <c r="I3038">
        <f>5769.431</f>
        <v>5769.4309999999996</v>
      </c>
      <c r="J3038">
        <f>1656.48</f>
        <v>1656.48</v>
      </c>
      <c r="K3038">
        <f>4550.31</f>
        <v>4550.3100000000004</v>
      </c>
      <c r="L3038">
        <f>1086.4</f>
        <v>1086.4000000000001</v>
      </c>
      <c r="M3038">
        <f>4174.2</f>
        <v>4174.2</v>
      </c>
      <c r="N3038">
        <f>169.391</f>
        <v>169.39099999999999</v>
      </c>
      <c r="O3038">
        <f>1487.66</f>
        <v>1487.66</v>
      </c>
      <c r="P3038">
        <f>85.33</f>
        <v>85.33</v>
      </c>
      <c r="Q3038">
        <f>986.3</f>
        <v>986.3</v>
      </c>
      <c r="R3038">
        <f>2182.61</f>
        <v>2182.61</v>
      </c>
      <c r="S3038">
        <f>946.76</f>
        <v>946.76</v>
      </c>
      <c r="T3038">
        <f>1709.227</f>
        <v>1709.2270000000001</v>
      </c>
      <c r="U3038">
        <f>32670.42</f>
        <v>32670.42</v>
      </c>
      <c r="V3038">
        <f>224.51</f>
        <v>224.51</v>
      </c>
    </row>
    <row r="3039" spans="1:22" x14ac:dyDescent="0.2">
      <c r="A3039" s="1">
        <v>40854</v>
      </c>
      <c r="B3039">
        <f>2141.01</f>
        <v>2141.0100000000002</v>
      </c>
      <c r="C3039">
        <f>8180.5</f>
        <v>8180.5</v>
      </c>
      <c r="D3039">
        <f>3715.54</f>
        <v>3715.54</v>
      </c>
      <c r="E3039">
        <f>1820.106</f>
        <v>1820.106</v>
      </c>
      <c r="F3039">
        <f>1378.17</f>
        <v>1378.17</v>
      </c>
      <c r="G3039">
        <f>6060.609</f>
        <v>6060.6090000000004</v>
      </c>
      <c r="H3039">
        <f>1820.81</f>
        <v>1820.81</v>
      </c>
      <c r="I3039">
        <f>5700.339</f>
        <v>5700.3389999999999</v>
      </c>
      <c r="J3039">
        <f>1638.89</f>
        <v>1638.89</v>
      </c>
      <c r="K3039">
        <f>4495.78</f>
        <v>4495.78</v>
      </c>
      <c r="L3039">
        <f>1077.18</f>
        <v>1077.18</v>
      </c>
      <c r="M3039">
        <f>4136.13</f>
        <v>4136.13</v>
      </c>
      <c r="N3039">
        <f>168.224</f>
        <v>168.22399999999999</v>
      </c>
      <c r="O3039">
        <f>1474.11</f>
        <v>1474.11</v>
      </c>
      <c r="P3039">
        <f>86.05</f>
        <v>86.05</v>
      </c>
      <c r="Q3039">
        <f>974.79</f>
        <v>974.79</v>
      </c>
      <c r="R3039">
        <f>2156</f>
        <v>2156</v>
      </c>
      <c r="S3039">
        <f>962.68</f>
        <v>962.68</v>
      </c>
      <c r="T3039">
        <f>1700.194</f>
        <v>1700.194</v>
      </c>
      <c r="U3039">
        <f>32514.38</f>
        <v>32514.38</v>
      </c>
      <c r="V3039">
        <f>222.85</f>
        <v>222.85</v>
      </c>
    </row>
    <row r="3040" spans="1:22" x14ac:dyDescent="0.2">
      <c r="A3040" s="1">
        <v>40851</v>
      </c>
      <c r="B3040">
        <f>2147.18</f>
        <v>2147.1799999999998</v>
      </c>
      <c r="C3040">
        <f>8166.05</f>
        <v>8166.05</v>
      </c>
      <c r="D3040">
        <f>3726.56</f>
        <v>3726.56</v>
      </c>
      <c r="E3040">
        <f>1818.796</f>
        <v>1818.796</v>
      </c>
      <c r="F3040">
        <f>1377.66</f>
        <v>1377.66</v>
      </c>
      <c r="G3040">
        <f>6076.078</f>
        <v>6076.0780000000004</v>
      </c>
      <c r="H3040">
        <f>1813.63</f>
        <v>1813.63</v>
      </c>
      <c r="I3040">
        <f>5738.467</f>
        <v>5738.4669999999996</v>
      </c>
      <c r="J3040">
        <f>1624.21</f>
        <v>1624.21</v>
      </c>
      <c r="K3040">
        <f>4468.3</f>
        <v>4468.3</v>
      </c>
      <c r="L3040">
        <f>1075.91</f>
        <v>1075.9100000000001</v>
      </c>
      <c r="M3040">
        <f>4128.16</f>
        <v>4128.16</v>
      </c>
      <c r="N3040">
        <f>168.805</f>
        <v>168.80500000000001</v>
      </c>
      <c r="O3040">
        <f>1481.69</f>
        <v>1481.69</v>
      </c>
      <c r="P3040">
        <f>86.11</f>
        <v>86.11</v>
      </c>
      <c r="Q3040">
        <f>969.46</f>
        <v>969.46</v>
      </c>
      <c r="R3040">
        <f>2142.34</f>
        <v>2142.34</v>
      </c>
      <c r="S3040">
        <f>964.69</f>
        <v>964.69</v>
      </c>
      <c r="T3040">
        <f>1691.237</f>
        <v>1691.2370000000001</v>
      </c>
      <c r="U3040">
        <f>31917.02</f>
        <v>31917.02</v>
      </c>
      <c r="V3040">
        <f>219.98</f>
        <v>219.98</v>
      </c>
    </row>
    <row r="3041" spans="1:22" x14ac:dyDescent="0.2">
      <c r="A3041" s="1">
        <v>40850</v>
      </c>
      <c r="B3041">
        <f>2165.05</f>
        <v>2165.0500000000002</v>
      </c>
      <c r="C3041">
        <f>8087.62</f>
        <v>8087.62</v>
      </c>
      <c r="D3041">
        <f>3739.02</f>
        <v>3739.02</v>
      </c>
      <c r="E3041">
        <f>1790.008</f>
        <v>1790.008</v>
      </c>
      <c r="F3041">
        <f>1376.04</f>
        <v>1376.04</v>
      </c>
      <c r="G3041">
        <f>6069.25</f>
        <v>6069.25</v>
      </c>
      <c r="H3041">
        <f>1789.3</f>
        <v>1789.3</v>
      </c>
      <c r="I3041">
        <f>5821.804</f>
        <v>5821.8040000000001</v>
      </c>
      <c r="J3041">
        <f>1633.39</f>
        <v>1633.39</v>
      </c>
      <c r="K3041">
        <f>4493.63</f>
        <v>4493.63</v>
      </c>
      <c r="L3041">
        <f>1081.05</f>
        <v>1081.05</v>
      </c>
      <c r="M3041">
        <f>4140.76</f>
        <v>4140.76</v>
      </c>
      <c r="N3041">
        <f>168.51</f>
        <v>168.51</v>
      </c>
      <c r="O3041">
        <f>1496.17</f>
        <v>1496.17</v>
      </c>
      <c r="P3041" t="e">
        <f>NA()</f>
        <v>#N/A</v>
      </c>
      <c r="Q3041">
        <f>971.96</f>
        <v>971.96</v>
      </c>
      <c r="R3041">
        <f>2155.87</f>
        <v>2155.87</v>
      </c>
      <c r="S3041" t="e">
        <f>NA()</f>
        <v>#N/A</v>
      </c>
      <c r="T3041">
        <f>1696.977</f>
        <v>1696.9770000000001</v>
      </c>
      <c r="U3041">
        <f>32211.88</f>
        <v>32211.88</v>
      </c>
      <c r="V3041">
        <f>221.48</f>
        <v>221.48</v>
      </c>
    </row>
    <row r="3042" spans="1:22" x14ac:dyDescent="0.2">
      <c r="A3042" s="1">
        <v>40849</v>
      </c>
      <c r="B3042">
        <f>2131.32</f>
        <v>2131.3200000000002</v>
      </c>
      <c r="C3042">
        <f>8106</f>
        <v>8106</v>
      </c>
      <c r="D3042">
        <f>3697.53</f>
        <v>3697.53</v>
      </c>
      <c r="E3042">
        <f>1795.698</f>
        <v>1795.6980000000001</v>
      </c>
      <c r="F3042">
        <f>1364.6</f>
        <v>1364.6</v>
      </c>
      <c r="G3042">
        <f>6009.058</f>
        <v>6009.058</v>
      </c>
      <c r="H3042">
        <f>1787.81</f>
        <v>1787.81</v>
      </c>
      <c r="I3042">
        <f>5713.436</f>
        <v>5713.4359999999997</v>
      </c>
      <c r="J3042">
        <f>1607.9</f>
        <v>1607.9</v>
      </c>
      <c r="K3042">
        <f>4410.2</f>
        <v>4410.2</v>
      </c>
      <c r="L3042">
        <f>1068.59</f>
        <v>1068.5899999999999</v>
      </c>
      <c r="M3042">
        <f>4080.4</f>
        <v>4080.4</v>
      </c>
      <c r="N3042">
        <f>166.262</f>
        <v>166.262</v>
      </c>
      <c r="O3042">
        <f>1468.5</f>
        <v>1468.5</v>
      </c>
      <c r="P3042">
        <f>85.34</f>
        <v>85.34</v>
      </c>
      <c r="Q3042">
        <f>955.49</f>
        <v>955.49</v>
      </c>
      <c r="R3042">
        <f>2115.7</f>
        <v>2115.6999999999998</v>
      </c>
      <c r="S3042">
        <f>947.45</f>
        <v>947.45</v>
      </c>
      <c r="T3042">
        <f>1694.146</f>
        <v>1694.146</v>
      </c>
      <c r="U3042">
        <f>32196.56</f>
        <v>32196.560000000001</v>
      </c>
      <c r="V3042">
        <f>222.33</f>
        <v>222.33</v>
      </c>
    </row>
    <row r="3043" spans="1:22" x14ac:dyDescent="0.2">
      <c r="A3043" s="1">
        <v>40848</v>
      </c>
      <c r="B3043">
        <f>2108.18</f>
        <v>2108.1799999999998</v>
      </c>
      <c r="C3043">
        <f>8011.52</f>
        <v>8011.52</v>
      </c>
      <c r="D3043">
        <f>3646.84</f>
        <v>3646.84</v>
      </c>
      <c r="E3043">
        <f>1780.231</f>
        <v>1780.231</v>
      </c>
      <c r="F3043">
        <f>1356.64</f>
        <v>1356.64</v>
      </c>
      <c r="G3043">
        <f>5917.464</f>
        <v>5917.4639999999999</v>
      </c>
      <c r="H3043">
        <f>1816.32</f>
        <v>1816.32</v>
      </c>
      <c r="I3043">
        <f>5596.206</f>
        <v>5596.2060000000001</v>
      </c>
      <c r="J3043">
        <f>1589.02</f>
        <v>1589.02</v>
      </c>
      <c r="K3043">
        <f>4340.89</f>
        <v>4340.8900000000003</v>
      </c>
      <c r="L3043">
        <f>1057.6</f>
        <v>1057.5999999999999</v>
      </c>
      <c r="M3043">
        <f>4029.37</f>
        <v>4029.37</v>
      </c>
      <c r="N3043">
        <f>165.616</f>
        <v>165.61600000000001</v>
      </c>
      <c r="O3043">
        <f>1452.6</f>
        <v>1452.6</v>
      </c>
      <c r="P3043">
        <f>86.32</f>
        <v>86.32</v>
      </c>
      <c r="Q3043">
        <f>942.94</f>
        <v>942.94</v>
      </c>
      <c r="R3043">
        <f>2081.97</f>
        <v>2081.9699999999998</v>
      </c>
      <c r="S3043">
        <f>967.88</f>
        <v>967.88</v>
      </c>
      <c r="T3043">
        <f>1676.249</f>
        <v>1676.249</v>
      </c>
      <c r="U3043">
        <f>31724.22</f>
        <v>31724.22</v>
      </c>
      <c r="V3043">
        <f>219.76</f>
        <v>219.76</v>
      </c>
    </row>
    <row r="3044" spans="1:22" x14ac:dyDescent="0.2">
      <c r="A3044" s="1">
        <v>40847</v>
      </c>
      <c r="B3044">
        <f>2178.43</f>
        <v>2178.4299999999998</v>
      </c>
      <c r="C3044">
        <f>8233.7</f>
        <v>8233.7000000000007</v>
      </c>
      <c r="D3044">
        <f>3729.34</f>
        <v>3729.34</v>
      </c>
      <c r="E3044">
        <f>1829.553</f>
        <v>1829.5530000000001</v>
      </c>
      <c r="F3044">
        <f>1386.81</f>
        <v>1386.81</v>
      </c>
      <c r="G3044">
        <f>6125.252</f>
        <v>6125.2520000000004</v>
      </c>
      <c r="H3044">
        <f>1838.88</f>
        <v>1838.88</v>
      </c>
      <c r="I3044">
        <f>5968.077</f>
        <v>5968.0770000000002</v>
      </c>
      <c r="J3044">
        <f>1623.17</f>
        <v>1623.17</v>
      </c>
      <c r="K3044">
        <f>4465.15</f>
        <v>4465.1499999999996</v>
      </c>
      <c r="L3044">
        <f>1093.03</f>
        <v>1093.03</v>
      </c>
      <c r="M3044">
        <f>4175.1</f>
        <v>4175.1000000000004</v>
      </c>
      <c r="N3044">
        <f>168.511</f>
        <v>168.511</v>
      </c>
      <c r="O3044">
        <f>1503.56</f>
        <v>1503.56</v>
      </c>
      <c r="P3044">
        <f>86.65</f>
        <v>86.65</v>
      </c>
      <c r="Q3044">
        <f>965.29</f>
        <v>965.29</v>
      </c>
      <c r="R3044">
        <f>2141.81</f>
        <v>2141.81</v>
      </c>
      <c r="S3044">
        <f>980.14</f>
        <v>980.14</v>
      </c>
      <c r="T3044">
        <f>1689.962</f>
        <v>1689.962</v>
      </c>
      <c r="U3044">
        <f>32348.54</f>
        <v>32348.54</v>
      </c>
      <c r="V3044">
        <f>222.05</f>
        <v>222.05</v>
      </c>
    </row>
    <row r="3045" spans="1:22" x14ac:dyDescent="0.2">
      <c r="A3045" s="1">
        <v>40844</v>
      </c>
      <c r="B3045">
        <f>2232.13</f>
        <v>2232.13</v>
      </c>
      <c r="C3045">
        <f>8341.55</f>
        <v>8341.5499999999993</v>
      </c>
      <c r="D3045">
        <f>3835.64</f>
        <v>3835.64</v>
      </c>
      <c r="E3045">
        <f>1856.255</f>
        <v>1856.2550000000001</v>
      </c>
      <c r="F3045">
        <f>1406.05</f>
        <v>1406.05</v>
      </c>
      <c r="G3045">
        <f>6300.138</f>
        <v>6300.1379999999999</v>
      </c>
      <c r="H3045">
        <f>1916.57</f>
        <v>1916.57</v>
      </c>
      <c r="I3045">
        <f>6236.658</f>
        <v>6236.6580000000004</v>
      </c>
      <c r="J3045">
        <f>1654.82</f>
        <v>1654.82</v>
      </c>
      <c r="K3045">
        <f>4577.32</f>
        <v>4577.32</v>
      </c>
      <c r="L3045">
        <f>1119.13</f>
        <v>1119.1300000000001</v>
      </c>
      <c r="M3045">
        <f>4301.63</f>
        <v>4301.63</v>
      </c>
      <c r="N3045">
        <f>169.79</f>
        <v>169.79</v>
      </c>
      <c r="O3045">
        <f>1537.3</f>
        <v>1537.3</v>
      </c>
      <c r="P3045">
        <f>87.36</f>
        <v>87.36</v>
      </c>
      <c r="Q3045">
        <f>984.04</f>
        <v>984.04</v>
      </c>
      <c r="R3045">
        <f>2196.13</f>
        <v>2196.13</v>
      </c>
      <c r="S3045">
        <f>989.6</f>
        <v>989.6</v>
      </c>
      <c r="T3045">
        <f>1716.692</f>
        <v>1716.692</v>
      </c>
      <c r="U3045">
        <f>32894.11</f>
        <v>32894.11</v>
      </c>
      <c r="V3045">
        <f>223.92</f>
        <v>223.92</v>
      </c>
    </row>
    <row r="3046" spans="1:22" x14ac:dyDescent="0.2">
      <c r="A3046" s="1">
        <v>40843</v>
      </c>
      <c r="B3046">
        <f>2241.98</f>
        <v>2241.98</v>
      </c>
      <c r="C3046">
        <f>8229.37</f>
        <v>8229.3700000000008</v>
      </c>
      <c r="D3046">
        <f>3843.43</f>
        <v>3843.43</v>
      </c>
      <c r="E3046">
        <f>1826.221</f>
        <v>1826.221</v>
      </c>
      <c r="F3046">
        <f>1408.95</f>
        <v>1408.95</v>
      </c>
      <c r="G3046">
        <f>6279.357</f>
        <v>6279.357</v>
      </c>
      <c r="H3046">
        <f>1889.3</f>
        <v>1889.3</v>
      </c>
      <c r="I3046">
        <f>6240.105</f>
        <v>6240.1049999999996</v>
      </c>
      <c r="J3046">
        <f>1660</f>
        <v>1660</v>
      </c>
      <c r="K3046">
        <f>4574.97</f>
        <v>4574.97</v>
      </c>
      <c r="L3046">
        <f>1119.58</f>
        <v>1119.58</v>
      </c>
      <c r="M3046">
        <f>4289.85</f>
        <v>4289.8500000000004</v>
      </c>
      <c r="N3046">
        <f>169.29</f>
        <v>169.29</v>
      </c>
      <c r="O3046">
        <f>1539.73</f>
        <v>1539.73</v>
      </c>
      <c r="P3046">
        <f>86.64</f>
        <v>86.64</v>
      </c>
      <c r="Q3046">
        <f>988.65</f>
        <v>988.65</v>
      </c>
      <c r="R3046">
        <f>2195.22</f>
        <v>2195.2199999999998</v>
      </c>
      <c r="S3046">
        <f>978.52</f>
        <v>978.52</v>
      </c>
      <c r="T3046">
        <f>1679.734</f>
        <v>1679.7339999999999</v>
      </c>
      <c r="U3046">
        <f>32452.55</f>
        <v>32452.55</v>
      </c>
      <c r="V3046">
        <f>220.63</f>
        <v>220.63</v>
      </c>
    </row>
    <row r="3047" spans="1:22" x14ac:dyDescent="0.2">
      <c r="A3047" s="1">
        <v>40842</v>
      </c>
      <c r="B3047">
        <f>2186.46</f>
        <v>2186.46</v>
      </c>
      <c r="C3047">
        <f>7974.92</f>
        <v>7974.92</v>
      </c>
      <c r="D3047">
        <f>3735.41</f>
        <v>3735.41</v>
      </c>
      <c r="E3047">
        <f>1764.709</f>
        <v>1764.7090000000001</v>
      </c>
      <c r="F3047">
        <f>1390.84</f>
        <v>1390.84</v>
      </c>
      <c r="G3047">
        <f>6049.424</f>
        <v>6049.424</v>
      </c>
      <c r="H3047">
        <f>1840.43</f>
        <v>1840.43</v>
      </c>
      <c r="I3047">
        <f>5826.66</f>
        <v>5826.66</v>
      </c>
      <c r="J3047">
        <f>1627.65</f>
        <v>1627.65</v>
      </c>
      <c r="K3047">
        <f>4424.2</f>
        <v>4424.2</v>
      </c>
      <c r="L3047">
        <f>1082.2</f>
        <v>1082.2</v>
      </c>
      <c r="M3047">
        <f>4116.85</f>
        <v>4116.8500000000004</v>
      </c>
      <c r="N3047">
        <f>167.468</f>
        <v>167.46799999999999</v>
      </c>
      <c r="O3047">
        <f>1485.78</f>
        <v>1485.78</v>
      </c>
      <c r="P3047">
        <f>85.82</f>
        <v>85.82</v>
      </c>
      <c r="Q3047">
        <f>963.92</f>
        <v>963.92</v>
      </c>
      <c r="R3047">
        <f>2122.32</f>
        <v>2122.3200000000002</v>
      </c>
      <c r="S3047">
        <f>957.54</f>
        <v>957.54</v>
      </c>
      <c r="T3047">
        <f>1674.015</f>
        <v>1674.0150000000001</v>
      </c>
      <c r="U3047">
        <f>31736.62</f>
        <v>31736.62</v>
      </c>
      <c r="V3047">
        <f>217.81</f>
        <v>217.81</v>
      </c>
    </row>
    <row r="3048" spans="1:22" x14ac:dyDescent="0.2">
      <c r="A3048" s="1">
        <v>40841</v>
      </c>
      <c r="B3048">
        <f>2182.2</f>
        <v>2182.1999999999998</v>
      </c>
      <c r="C3048">
        <f>7956.87</f>
        <v>7956.87</v>
      </c>
      <c r="D3048">
        <f>3716.45</f>
        <v>3716.45</v>
      </c>
      <c r="E3048">
        <f>1755.347</f>
        <v>1755.347</v>
      </c>
      <c r="F3048">
        <f>1382.17</f>
        <v>1382.17</v>
      </c>
      <c r="G3048">
        <f>6040.824</f>
        <v>6040.8239999999996</v>
      </c>
      <c r="H3048">
        <f>1856.67</f>
        <v>1856.67</v>
      </c>
      <c r="I3048">
        <f>5864.579</f>
        <v>5864.5789999999997</v>
      </c>
      <c r="J3048">
        <f>1610.27</f>
        <v>1610.27</v>
      </c>
      <c r="K3048">
        <f>4378.95</f>
        <v>4378.95</v>
      </c>
      <c r="L3048">
        <f>1079.31</f>
        <v>1079.31</v>
      </c>
      <c r="M3048">
        <f>4100.9</f>
        <v>4100.8999999999996</v>
      </c>
      <c r="N3048">
        <f>167.043</f>
        <v>167.04300000000001</v>
      </c>
      <c r="O3048">
        <f>1484.01</f>
        <v>1484.01</v>
      </c>
      <c r="P3048">
        <f>86.32</f>
        <v>86.32</v>
      </c>
      <c r="Q3048">
        <f>958.6</f>
        <v>958.6</v>
      </c>
      <c r="R3048">
        <f>2100.17</f>
        <v>2100.17</v>
      </c>
      <c r="S3048">
        <f>959.1</f>
        <v>959.1</v>
      </c>
      <c r="T3048">
        <f>1672.225</f>
        <v>1672.2249999999999</v>
      </c>
      <c r="U3048">
        <f>31663.61</f>
        <v>31663.61</v>
      </c>
      <c r="V3048">
        <f>217.94</f>
        <v>217.94</v>
      </c>
    </row>
    <row r="3049" spans="1:22" x14ac:dyDescent="0.2">
      <c r="A3049" s="1">
        <v>40840</v>
      </c>
      <c r="B3049">
        <f>2201.34</f>
        <v>2201.34</v>
      </c>
      <c r="C3049">
        <f>7906.21</f>
        <v>7906.21</v>
      </c>
      <c r="D3049">
        <f>3731.59</f>
        <v>3731.59</v>
      </c>
      <c r="E3049">
        <f>1744.489</f>
        <v>1744.489</v>
      </c>
      <c r="F3049">
        <f>1389.27</f>
        <v>1389.27</v>
      </c>
      <c r="G3049">
        <f>6058.874</f>
        <v>6058.8739999999998</v>
      </c>
      <c r="H3049">
        <f>1864</f>
        <v>1864</v>
      </c>
      <c r="I3049">
        <f>5904.094</f>
        <v>5904.0940000000001</v>
      </c>
      <c r="J3049">
        <f>1634.52</f>
        <v>1634.52</v>
      </c>
      <c r="K3049">
        <f>4468.89</f>
        <v>4468.8900000000003</v>
      </c>
      <c r="L3049">
        <f>1091.89</f>
        <v>1091.8900000000001</v>
      </c>
      <c r="M3049">
        <f>4156.02</f>
        <v>4156.0200000000004</v>
      </c>
      <c r="N3049">
        <f>168.032</f>
        <v>168.03200000000001</v>
      </c>
      <c r="O3049">
        <f>1494.3</f>
        <v>1494.3</v>
      </c>
      <c r="P3049">
        <f>87.5</f>
        <v>87.5</v>
      </c>
      <c r="Q3049">
        <f>974.17</f>
        <v>974.17</v>
      </c>
      <c r="R3049">
        <f>2143.13</f>
        <v>2143.13</v>
      </c>
      <c r="S3049">
        <f>969.04</f>
        <v>969.04</v>
      </c>
      <c r="T3049">
        <f>1659.769</f>
        <v>1659.769</v>
      </c>
      <c r="U3049">
        <f>31654.31</f>
        <v>31654.31</v>
      </c>
      <c r="V3049">
        <f>216.63</f>
        <v>216.63</v>
      </c>
    </row>
    <row r="3050" spans="1:22" x14ac:dyDescent="0.2">
      <c r="A3050" s="1">
        <v>40837</v>
      </c>
      <c r="B3050">
        <f>2175.24</f>
        <v>2175.2399999999998</v>
      </c>
      <c r="C3050">
        <f>7691.99</f>
        <v>7691.99</v>
      </c>
      <c r="D3050">
        <f>3691.63</f>
        <v>3691.63</v>
      </c>
      <c r="E3050">
        <f>1690.565</f>
        <v>1690.5650000000001</v>
      </c>
      <c r="F3050">
        <f>1390.78</f>
        <v>1390.78</v>
      </c>
      <c r="G3050">
        <f>5990.948</f>
        <v>5990.9480000000003</v>
      </c>
      <c r="H3050">
        <f>1841.16</f>
        <v>1841.16</v>
      </c>
      <c r="I3050">
        <f>5838.589</f>
        <v>5838.5889999999999</v>
      </c>
      <c r="J3050">
        <f>1630.63</f>
        <v>1630.63</v>
      </c>
      <c r="K3050">
        <f>4408.75</f>
        <v>4408.75</v>
      </c>
      <c r="L3050">
        <f>1085.43</f>
        <v>1085.43</v>
      </c>
      <c r="M3050">
        <f>4095.56</f>
        <v>4095.56</v>
      </c>
      <c r="N3050">
        <f>167.622</f>
        <v>167.62200000000001</v>
      </c>
      <c r="O3050">
        <f>1477.25</f>
        <v>1477.25</v>
      </c>
      <c r="P3050">
        <f>86.91</f>
        <v>86.91</v>
      </c>
      <c r="Q3050">
        <f>970.01</f>
        <v>970.01</v>
      </c>
      <c r="R3050">
        <f>2115.86</f>
        <v>2115.86</v>
      </c>
      <c r="S3050">
        <f>954.63</f>
        <v>954.63</v>
      </c>
      <c r="T3050">
        <f>1658.522</f>
        <v>1658.5219999999999</v>
      </c>
      <c r="U3050">
        <f>31449.99</f>
        <v>31449.99</v>
      </c>
      <c r="V3050">
        <f>216.19</f>
        <v>216.19</v>
      </c>
    </row>
    <row r="3051" spans="1:22" x14ac:dyDescent="0.2">
      <c r="A3051" s="1">
        <v>40836</v>
      </c>
      <c r="B3051">
        <f>2139.27</f>
        <v>2139.27</v>
      </c>
      <c r="C3051">
        <f>7583.34</f>
        <v>7583.34</v>
      </c>
      <c r="D3051">
        <f>3621.71</f>
        <v>3621.71</v>
      </c>
      <c r="E3051">
        <f>1667.849</f>
        <v>1667.8489999999999</v>
      </c>
      <c r="F3051">
        <f>1350.35</f>
        <v>1350.35</v>
      </c>
      <c r="G3051">
        <f>5781.083</f>
        <v>5781.0829999999996</v>
      </c>
      <c r="H3051">
        <f>1835.09</f>
        <v>1835.09</v>
      </c>
      <c r="I3051">
        <f>5601.845</f>
        <v>5601.8450000000003</v>
      </c>
      <c r="J3051">
        <f>1601.91</f>
        <v>1601.91</v>
      </c>
      <c r="K3051">
        <f>4326.34</f>
        <v>4326.34</v>
      </c>
      <c r="L3051">
        <f>1059.72</f>
        <v>1059.72</v>
      </c>
      <c r="M3051">
        <f>4001.52</f>
        <v>4001.52</v>
      </c>
      <c r="N3051">
        <f>165.197</f>
        <v>165.197</v>
      </c>
      <c r="O3051">
        <f>1443.1</f>
        <v>1443.1</v>
      </c>
      <c r="P3051">
        <f>87.17</f>
        <v>87.17</v>
      </c>
      <c r="Q3051">
        <f>949.06</f>
        <v>949.06</v>
      </c>
      <c r="R3051">
        <f>2076.75</f>
        <v>2076.75</v>
      </c>
      <c r="S3051">
        <f>956.96</f>
        <v>956.96</v>
      </c>
      <c r="T3051">
        <f>1638.82</f>
        <v>1638.82</v>
      </c>
      <c r="U3051">
        <f>30836.89</f>
        <v>30836.89</v>
      </c>
      <c r="V3051">
        <f>213.36</f>
        <v>213.36</v>
      </c>
    </row>
    <row r="3052" spans="1:22" x14ac:dyDescent="0.2">
      <c r="A3052" s="1">
        <v>40835</v>
      </c>
      <c r="B3052">
        <f>2153.21</f>
        <v>2153.21</v>
      </c>
      <c r="C3052">
        <f>7761.45</f>
        <v>7761.45</v>
      </c>
      <c r="D3052">
        <f>3665.96</f>
        <v>3665.96</v>
      </c>
      <c r="E3052">
        <f>1714.139</f>
        <v>1714.1389999999999</v>
      </c>
      <c r="F3052">
        <f>1362.46</f>
        <v>1362.46</v>
      </c>
      <c r="G3052">
        <f>5906.23</f>
        <v>5906.23</v>
      </c>
      <c r="H3052">
        <f>1839.34</f>
        <v>1839.34</v>
      </c>
      <c r="I3052">
        <f>5733.366</f>
        <v>5733.366</v>
      </c>
      <c r="J3052">
        <f>1597.17</f>
        <v>1597.17</v>
      </c>
      <c r="K3052">
        <f>4307.69</f>
        <v>4307.6899999999996</v>
      </c>
      <c r="L3052">
        <f>1067.8</f>
        <v>1067.8</v>
      </c>
      <c r="M3052">
        <f>4029.01</f>
        <v>4029.01</v>
      </c>
      <c r="N3052">
        <f>165.78</f>
        <v>165.78</v>
      </c>
      <c r="O3052">
        <f>1462.93</f>
        <v>1462.93</v>
      </c>
      <c r="P3052">
        <f>87.33</f>
        <v>87.33</v>
      </c>
      <c r="Q3052">
        <f>943.8</f>
        <v>943.8</v>
      </c>
      <c r="R3052">
        <f>2067.28</f>
        <v>2067.2800000000002</v>
      </c>
      <c r="S3052">
        <f>963.97</f>
        <v>963.97</v>
      </c>
      <c r="T3052">
        <f>1649.553</f>
        <v>1649.5530000000001</v>
      </c>
      <c r="U3052">
        <f>31197.35</f>
        <v>31197.35</v>
      </c>
      <c r="V3052">
        <f>214.56</f>
        <v>214.56</v>
      </c>
    </row>
    <row r="3053" spans="1:22" x14ac:dyDescent="0.2">
      <c r="A3053" s="1">
        <v>40834</v>
      </c>
      <c r="B3053">
        <f>2149.29</f>
        <v>2149.29</v>
      </c>
      <c r="C3053">
        <f>7721.95</f>
        <v>7721.95</v>
      </c>
      <c r="D3053">
        <f>3638.31</f>
        <v>3638.31</v>
      </c>
      <c r="E3053">
        <f>1699.758</f>
        <v>1699.758</v>
      </c>
      <c r="F3053">
        <f>1334.45</f>
        <v>1334.45</v>
      </c>
      <c r="G3053">
        <f>5790.47</f>
        <v>5790.47</v>
      </c>
      <c r="H3053">
        <f>1842.63</f>
        <v>1842.63</v>
      </c>
      <c r="I3053">
        <f>5664.804</f>
        <v>5664.8040000000001</v>
      </c>
      <c r="J3053">
        <f>1602.97</f>
        <v>1602.97</v>
      </c>
      <c r="K3053">
        <f>4362.95</f>
        <v>4362.95</v>
      </c>
      <c r="L3053">
        <f>1060.86</f>
        <v>1060.8599999999999</v>
      </c>
      <c r="M3053">
        <f>4037.44</f>
        <v>4037.44</v>
      </c>
      <c r="N3053">
        <f>164.71</f>
        <v>164.71</v>
      </c>
      <c r="O3053">
        <f>1452.75</f>
        <v>1452.75</v>
      </c>
      <c r="P3053">
        <f>86.84</f>
        <v>86.84</v>
      </c>
      <c r="Q3053">
        <f>951.11</f>
        <v>951.11</v>
      </c>
      <c r="R3053">
        <f>2093.43</f>
        <v>2093.4299999999998</v>
      </c>
      <c r="S3053">
        <f>963.65</f>
        <v>963.65</v>
      </c>
      <c r="T3053">
        <f>1638.866</f>
        <v>1638.866</v>
      </c>
      <c r="U3053">
        <f>31054.2</f>
        <v>31054.2</v>
      </c>
      <c r="V3053">
        <f>214.01</f>
        <v>214.01</v>
      </c>
    </row>
    <row r="3054" spans="1:22" x14ac:dyDescent="0.2">
      <c r="A3054" s="1">
        <v>40833</v>
      </c>
      <c r="B3054">
        <f>2160.41</f>
        <v>2160.41</v>
      </c>
      <c r="C3054">
        <f>7821.34</f>
        <v>7821.34</v>
      </c>
      <c r="D3054">
        <f>3656.03</f>
        <v>3656.03</v>
      </c>
      <c r="E3054">
        <f>1728.952</f>
        <v>1728.952</v>
      </c>
      <c r="F3054">
        <f>1351.17</f>
        <v>1351.17</v>
      </c>
      <c r="G3054">
        <f>5870.001</f>
        <v>5870.0010000000002</v>
      </c>
      <c r="H3054">
        <f>1872.78</f>
        <v>1872.78</v>
      </c>
      <c r="I3054">
        <f>5708.401</f>
        <v>5708.4009999999998</v>
      </c>
      <c r="J3054">
        <f>1578.61</f>
        <v>1578.61</v>
      </c>
      <c r="K3054">
        <f>4276.07</f>
        <v>4276.07</v>
      </c>
      <c r="L3054">
        <f>1063.08</f>
        <v>1063.08</v>
      </c>
      <c r="M3054">
        <f>4017.89</f>
        <v>4017.89</v>
      </c>
      <c r="N3054">
        <f>165.04</f>
        <v>165.04</v>
      </c>
      <c r="O3054">
        <f>1459.14</f>
        <v>1459.14</v>
      </c>
      <c r="P3054">
        <f>87.84</f>
        <v>87.84</v>
      </c>
      <c r="Q3054">
        <f>929.63</f>
        <v>929.63</v>
      </c>
      <c r="R3054">
        <f>2051.54</f>
        <v>2051.54</v>
      </c>
      <c r="S3054">
        <f>977.3</f>
        <v>977.3</v>
      </c>
      <c r="T3054">
        <f>1631.736</f>
        <v>1631.7360000000001</v>
      </c>
      <c r="U3054">
        <f>31095.23</f>
        <v>31095.23</v>
      </c>
      <c r="V3054">
        <f>213.75</f>
        <v>213.75</v>
      </c>
    </row>
    <row r="3055" spans="1:22" x14ac:dyDescent="0.2">
      <c r="A3055" s="1">
        <v>40830</v>
      </c>
      <c r="B3055">
        <f>2178.13</f>
        <v>2178.13</v>
      </c>
      <c r="C3055">
        <f>7794.25</f>
        <v>7794.25</v>
      </c>
      <c r="D3055">
        <f>3675.98</f>
        <v>3675.98</v>
      </c>
      <c r="E3055">
        <f>1717.79</f>
        <v>1717.79</v>
      </c>
      <c r="F3055">
        <f>1354.02</f>
        <v>1354.02</v>
      </c>
      <c r="G3055">
        <f>5909.164</f>
        <v>5909.1639999999998</v>
      </c>
      <c r="H3055">
        <f>1829.67</f>
        <v>1829.67</v>
      </c>
      <c r="I3055">
        <f>5828.998</f>
        <v>5828.9979999999996</v>
      </c>
      <c r="J3055">
        <f>1599.49</f>
        <v>1599.49</v>
      </c>
      <c r="K3055">
        <f>4361.05</f>
        <v>4361.05</v>
      </c>
      <c r="L3055">
        <f>1072.76</f>
        <v>1072.76</v>
      </c>
      <c r="M3055">
        <f>4067.48</f>
        <v>4067.48</v>
      </c>
      <c r="N3055">
        <f>165.884</f>
        <v>165.88399999999999</v>
      </c>
      <c r="O3055">
        <f>1473.3</f>
        <v>1473.3</v>
      </c>
      <c r="P3055">
        <f>86.59</f>
        <v>86.59</v>
      </c>
      <c r="Q3055">
        <f>944.95</f>
        <v>944.95</v>
      </c>
      <c r="R3055">
        <f>2091.99</f>
        <v>2091.9899999999998</v>
      </c>
      <c r="S3055">
        <f>960.53</f>
        <v>960.53</v>
      </c>
      <c r="T3055">
        <f>1630.365</f>
        <v>1630.365</v>
      </c>
      <c r="U3055">
        <f>31123.59</f>
        <v>31123.59</v>
      </c>
      <c r="V3055">
        <f>213.91</f>
        <v>213.91</v>
      </c>
    </row>
    <row r="3056" spans="1:22" x14ac:dyDescent="0.2">
      <c r="A3056" s="1">
        <v>40829</v>
      </c>
      <c r="B3056">
        <f>2157.77</f>
        <v>2157.77</v>
      </c>
      <c r="C3056">
        <f>7767.03</f>
        <v>7767.03</v>
      </c>
      <c r="D3056">
        <f>3633.63</f>
        <v>3633.63</v>
      </c>
      <c r="E3056">
        <f>1708.545</f>
        <v>1708.5450000000001</v>
      </c>
      <c r="F3056">
        <f>1338.11</f>
        <v>1338.11</v>
      </c>
      <c r="G3056">
        <f>5815.321</f>
        <v>5815.3209999999999</v>
      </c>
      <c r="H3056">
        <f>1855.8</f>
        <v>1855.8</v>
      </c>
      <c r="I3056">
        <f>5701.329</f>
        <v>5701.3289999999997</v>
      </c>
      <c r="J3056">
        <f>1580.89</f>
        <v>1580.89</v>
      </c>
      <c r="K3056">
        <f>4285.76</f>
        <v>4285.76</v>
      </c>
      <c r="L3056">
        <f>1058.36</f>
        <v>1058.3599999999999</v>
      </c>
      <c r="M3056">
        <f>4008.54</f>
        <v>4008.54</v>
      </c>
      <c r="N3056">
        <f>164.901</f>
        <v>164.90100000000001</v>
      </c>
      <c r="O3056">
        <f>1459.76</f>
        <v>1459.76</v>
      </c>
      <c r="P3056">
        <f>87.43</f>
        <v>87.43</v>
      </c>
      <c r="Q3056">
        <f>933.58</f>
        <v>933.58</v>
      </c>
      <c r="R3056">
        <f>2056.26</f>
        <v>2056.2600000000002</v>
      </c>
      <c r="S3056">
        <f>973.38</f>
        <v>973.38</v>
      </c>
      <c r="T3056">
        <f>1625.966</f>
        <v>1625.9659999999999</v>
      </c>
      <c r="U3056">
        <f>30834.39</f>
        <v>30834.39</v>
      </c>
      <c r="V3056">
        <f>213.31</f>
        <v>213.31</v>
      </c>
    </row>
    <row r="3057" spans="1:22" x14ac:dyDescent="0.2">
      <c r="A3057" s="1">
        <v>40828</v>
      </c>
      <c r="B3057">
        <f>2172.06</f>
        <v>2172.06</v>
      </c>
      <c r="C3057">
        <f>7733.03</f>
        <v>7733.03</v>
      </c>
      <c r="D3057">
        <f>3659.46</f>
        <v>3659.46</v>
      </c>
      <c r="E3057">
        <f>1695.093</f>
        <v>1695.0930000000001</v>
      </c>
      <c r="F3057">
        <f>1335.75</f>
        <v>1335.75</v>
      </c>
      <c r="G3057">
        <f>5873.719</f>
        <v>5873.7190000000001</v>
      </c>
      <c r="H3057">
        <f>1837.29</f>
        <v>1837.29</v>
      </c>
      <c r="I3057">
        <f>5823.877</f>
        <v>5823.8770000000004</v>
      </c>
      <c r="J3057">
        <f>1582.53</f>
        <v>1582.53</v>
      </c>
      <c r="K3057">
        <f>4296.19</f>
        <v>4296.1899999999996</v>
      </c>
      <c r="L3057">
        <f>1064.93</f>
        <v>1064.93</v>
      </c>
      <c r="M3057">
        <f>4030.64</f>
        <v>4030.64</v>
      </c>
      <c r="N3057">
        <f>164.974</f>
        <v>164.97399999999999</v>
      </c>
      <c r="O3057">
        <f>1475.67</f>
        <v>1475.67</v>
      </c>
      <c r="P3057">
        <f>88.01</f>
        <v>88.01</v>
      </c>
      <c r="Q3057">
        <f>937.05</f>
        <v>937.05</v>
      </c>
      <c r="R3057">
        <f>2062.22</f>
        <v>2062.2199999999998</v>
      </c>
      <c r="S3057">
        <f>966.47</f>
        <v>966.47</v>
      </c>
      <c r="T3057">
        <f>1628.534</f>
        <v>1628.5340000000001</v>
      </c>
      <c r="U3057">
        <f>31129.95</f>
        <v>31129.95</v>
      </c>
      <c r="V3057">
        <f>213.57</f>
        <v>213.57</v>
      </c>
    </row>
    <row r="3058" spans="1:22" x14ac:dyDescent="0.2">
      <c r="A3058" s="1">
        <v>40827</v>
      </c>
      <c r="B3058">
        <f>2149.61</f>
        <v>2149.61</v>
      </c>
      <c r="C3058">
        <f>7672.7</f>
        <v>7672.7</v>
      </c>
      <c r="D3058">
        <f>3626.65</f>
        <v>3626.65</v>
      </c>
      <c r="E3058">
        <f>1669.881</f>
        <v>1669.8810000000001</v>
      </c>
      <c r="F3058">
        <f>1325.8</f>
        <v>1325.8</v>
      </c>
      <c r="G3058">
        <f>5764.493</f>
        <v>5764.4930000000004</v>
      </c>
      <c r="H3058">
        <f>1857.96</f>
        <v>1857.96</v>
      </c>
      <c r="I3058">
        <f>5636.82</f>
        <v>5636.82</v>
      </c>
      <c r="J3058">
        <f>1572.58</f>
        <v>1572.58</v>
      </c>
      <c r="K3058">
        <f>4254.36</f>
        <v>4254.3599999999997</v>
      </c>
      <c r="L3058">
        <f>1050.93</f>
        <v>1050.93</v>
      </c>
      <c r="M3058">
        <f>3973.78</f>
        <v>3973.78</v>
      </c>
      <c r="N3058">
        <f>164.309</f>
        <v>164.309</v>
      </c>
      <c r="O3058">
        <f>1452.02</f>
        <v>1452.02</v>
      </c>
      <c r="P3058">
        <f>88.16</f>
        <v>88.16</v>
      </c>
      <c r="Q3058">
        <f>928.43</f>
        <v>928.43</v>
      </c>
      <c r="R3058">
        <f>2041.9</f>
        <v>2041.9</v>
      </c>
      <c r="S3058">
        <f>968.47</f>
        <v>968.47</v>
      </c>
      <c r="T3058">
        <f>1619.502</f>
        <v>1619.502</v>
      </c>
      <c r="U3058">
        <f>30803.88</f>
        <v>30803.88</v>
      </c>
      <c r="V3058">
        <f>211.71</f>
        <v>211.71</v>
      </c>
    </row>
    <row r="3059" spans="1:22" x14ac:dyDescent="0.2">
      <c r="A3059" s="1">
        <v>40826</v>
      </c>
      <c r="B3059">
        <f>2150.92</f>
        <v>2150.92</v>
      </c>
      <c r="C3059">
        <f>7585.4</f>
        <v>7585.4</v>
      </c>
      <c r="D3059">
        <f>3628.86</f>
        <v>3628.86</v>
      </c>
      <c r="E3059">
        <f>1649.373</f>
        <v>1649.373</v>
      </c>
      <c r="F3059">
        <f>1332.74</f>
        <v>1332.74</v>
      </c>
      <c r="G3059">
        <f>5787.114</f>
        <v>5787.1139999999996</v>
      </c>
      <c r="H3059">
        <f>1829.96</f>
        <v>1829.96</v>
      </c>
      <c r="I3059">
        <f>5659.956</f>
        <v>5659.9560000000001</v>
      </c>
      <c r="J3059">
        <f>1577.89</f>
        <v>1577.89</v>
      </c>
      <c r="K3059">
        <f>4251.94</f>
        <v>4251.9399999999996</v>
      </c>
      <c r="L3059">
        <f>1053.4</f>
        <v>1053.4000000000001</v>
      </c>
      <c r="M3059">
        <f>3964.32</f>
        <v>3964.32</v>
      </c>
      <c r="N3059">
        <f>165.323</f>
        <v>165.32300000000001</v>
      </c>
      <c r="O3059">
        <f>1456.29</f>
        <v>1456.29</v>
      </c>
      <c r="P3059" t="e">
        <f>NA()</f>
        <v>#N/A</v>
      </c>
      <c r="Q3059">
        <f>929.5</f>
        <v>929.5</v>
      </c>
      <c r="R3059">
        <f>2040.76</f>
        <v>2040.76</v>
      </c>
      <c r="S3059" t="e">
        <f>NA()</f>
        <v>#N/A</v>
      </c>
      <c r="T3059">
        <f>1609.522</f>
        <v>1609.5219999999999</v>
      </c>
      <c r="U3059">
        <f>30884.7</f>
        <v>30884.7</v>
      </c>
      <c r="V3059">
        <f>211.4</f>
        <v>211.4</v>
      </c>
    </row>
    <row r="3060" spans="1:22" x14ac:dyDescent="0.2">
      <c r="A3060" s="1">
        <v>40823</v>
      </c>
      <c r="B3060">
        <f>2119.98</f>
        <v>2119.98</v>
      </c>
      <c r="C3060">
        <f>7458.34</f>
        <v>7458.34</v>
      </c>
      <c r="D3060">
        <f>3564.6</f>
        <v>3564.6</v>
      </c>
      <c r="E3060">
        <f>1622.218</f>
        <v>1622.2180000000001</v>
      </c>
      <c r="F3060">
        <f>1308.14</f>
        <v>1308.1400000000001</v>
      </c>
      <c r="G3060">
        <f>5665.073</f>
        <v>5665.0730000000003</v>
      </c>
      <c r="H3060">
        <f>1829.24</f>
        <v>1829.24</v>
      </c>
      <c r="I3060">
        <f>5476.158</f>
        <v>5476.1580000000004</v>
      </c>
      <c r="J3060">
        <f>1538.15</f>
        <v>1538.15</v>
      </c>
      <c r="K3060">
        <f>4111.86</f>
        <v>4111.8599999999997</v>
      </c>
      <c r="L3060">
        <f>1031.64</f>
        <v>1031.6400000000001</v>
      </c>
      <c r="M3060">
        <f>3860.17</f>
        <v>3860.17</v>
      </c>
      <c r="N3060">
        <f>164.445</f>
        <v>164.44499999999999</v>
      </c>
      <c r="O3060">
        <f>1431.95</f>
        <v>1431.95</v>
      </c>
      <c r="P3060">
        <f>87.71</f>
        <v>87.71</v>
      </c>
      <c r="Q3060">
        <f>906.14</f>
        <v>906.14</v>
      </c>
      <c r="R3060">
        <f>1973.42</f>
        <v>1973.42</v>
      </c>
      <c r="S3060">
        <f>951.22</f>
        <v>951.22</v>
      </c>
      <c r="T3060">
        <f>1589.792</f>
        <v>1589.7919999999999</v>
      </c>
      <c r="U3060">
        <f>30244.9</f>
        <v>30244.9</v>
      </c>
      <c r="V3060">
        <f>208.73</f>
        <v>208.73</v>
      </c>
    </row>
    <row r="3061" spans="1:22" x14ac:dyDescent="0.2">
      <c r="A3061" s="1">
        <v>40822</v>
      </c>
      <c r="B3061">
        <f>2103.46</f>
        <v>2103.46</v>
      </c>
      <c r="C3061">
        <f>7353.73</f>
        <v>7353.73</v>
      </c>
      <c r="D3061">
        <f>3556.45</f>
        <v>3556.45</v>
      </c>
      <c r="E3061">
        <f>1585.834</f>
        <v>1585.8340000000001</v>
      </c>
      <c r="F3061">
        <f>1285.05</f>
        <v>1285.05</v>
      </c>
      <c r="G3061">
        <f>5566.479</f>
        <v>5566.4790000000003</v>
      </c>
      <c r="H3061">
        <f>1818.25</f>
        <v>1818.25</v>
      </c>
      <c r="I3061">
        <f>5411.435</f>
        <v>5411.4350000000004</v>
      </c>
      <c r="J3061">
        <f>1535.76</f>
        <v>1535.76</v>
      </c>
      <c r="K3061">
        <f>4146.11</f>
        <v>4146.1099999999997</v>
      </c>
      <c r="L3061">
        <f>1020.98</f>
        <v>1020.98</v>
      </c>
      <c r="M3061">
        <f>3852.21</f>
        <v>3852.21</v>
      </c>
      <c r="N3061">
        <f>163.176</f>
        <v>163.17599999999999</v>
      </c>
      <c r="O3061">
        <f>1421.87</f>
        <v>1421.87</v>
      </c>
      <c r="P3061">
        <f>87.74</f>
        <v>87.74</v>
      </c>
      <c r="Q3061">
        <f>911.61</f>
        <v>911.61</v>
      </c>
      <c r="R3061">
        <f>1989.61</f>
        <v>1989.61</v>
      </c>
      <c r="S3061">
        <f>945.2</f>
        <v>945.2</v>
      </c>
      <c r="T3061">
        <f>1568.211</f>
        <v>1568.211</v>
      </c>
      <c r="U3061">
        <f>29888.87</f>
        <v>29888.87</v>
      </c>
      <c r="V3061">
        <f>206.45</f>
        <v>206.45</v>
      </c>
    </row>
    <row r="3062" spans="1:22" x14ac:dyDescent="0.2">
      <c r="A3062" s="1">
        <v>40821</v>
      </c>
      <c r="B3062">
        <f>2033.24</f>
        <v>2033.24</v>
      </c>
      <c r="C3062">
        <f>7142.18</f>
        <v>7142.18</v>
      </c>
      <c r="D3062">
        <f>3429.35</f>
        <v>3429.35</v>
      </c>
      <c r="E3062">
        <f>1535.281</f>
        <v>1535.2809999999999</v>
      </c>
      <c r="F3062">
        <f>1260.51</f>
        <v>1260.51</v>
      </c>
      <c r="G3062">
        <f>5384.579</f>
        <v>5384.5789999999997</v>
      </c>
      <c r="H3062">
        <f>1796.38</f>
        <v>1796.38</v>
      </c>
      <c r="I3062">
        <f>5229.233</f>
        <v>5229.2330000000002</v>
      </c>
      <c r="J3062">
        <f>1519.69</f>
        <v>1519.69</v>
      </c>
      <c r="K3062">
        <f>4069.61</f>
        <v>4069.61</v>
      </c>
      <c r="L3062">
        <f>999.49</f>
        <v>999.49</v>
      </c>
      <c r="M3062">
        <f>3757.13</f>
        <v>3757.13</v>
      </c>
      <c r="N3062">
        <f>161.09</f>
        <v>161.09</v>
      </c>
      <c r="O3062">
        <f>1383.77</f>
        <v>1383.77</v>
      </c>
      <c r="P3062">
        <f>87.13</f>
        <v>87.13</v>
      </c>
      <c r="Q3062">
        <f>898.71</f>
        <v>898.71</v>
      </c>
      <c r="R3062">
        <f>1953.67</f>
        <v>1953.67</v>
      </c>
      <c r="S3062">
        <f>931.59</f>
        <v>931.59</v>
      </c>
      <c r="T3062">
        <f>1570.272</f>
        <v>1570.2719999999999</v>
      </c>
      <c r="U3062">
        <f>29468.56</f>
        <v>29468.560000000001</v>
      </c>
      <c r="V3062">
        <f>206.17</f>
        <v>206.17</v>
      </c>
    </row>
    <row r="3063" spans="1:22" x14ac:dyDescent="0.2">
      <c r="A3063" s="1">
        <v>40820</v>
      </c>
      <c r="B3063">
        <f>2003.4</f>
        <v>2003.4</v>
      </c>
      <c r="C3063">
        <f>7058.7</f>
        <v>7058.7</v>
      </c>
      <c r="D3063">
        <f>3322.88</f>
        <v>3322.88</v>
      </c>
      <c r="E3063">
        <f>1525.501</f>
        <v>1525.501</v>
      </c>
      <c r="F3063">
        <f>1230.35</f>
        <v>1230.3499999999999</v>
      </c>
      <c r="G3063">
        <f>5212.977</f>
        <v>5212.9769999999999</v>
      </c>
      <c r="H3063">
        <f>1823.09</f>
        <v>1823.09</v>
      </c>
      <c r="I3063">
        <f>5058.892</f>
        <v>5058.8919999999998</v>
      </c>
      <c r="J3063">
        <f>1500.41</f>
        <v>1500.41</v>
      </c>
      <c r="K3063">
        <f>3995.18</f>
        <v>3995.18</v>
      </c>
      <c r="L3063">
        <f>982.38</f>
        <v>982.38</v>
      </c>
      <c r="M3063">
        <f>3681.89</f>
        <v>3681.89</v>
      </c>
      <c r="N3063">
        <f>158.969</f>
        <v>158.96899999999999</v>
      </c>
      <c r="O3063">
        <f>1340.89</f>
        <v>1340.89</v>
      </c>
      <c r="P3063">
        <f>87.7</f>
        <v>87.7</v>
      </c>
      <c r="Q3063">
        <f>887.31</f>
        <v>887.31</v>
      </c>
      <c r="R3063">
        <f>1918.39</f>
        <v>1918.39</v>
      </c>
      <c r="S3063">
        <f>944.32</f>
        <v>944.32</v>
      </c>
      <c r="T3063">
        <f>1569.759</f>
        <v>1569.759</v>
      </c>
      <c r="U3063">
        <f>29178.27</f>
        <v>29178.27</v>
      </c>
      <c r="V3063">
        <f>205.44</f>
        <v>205.44</v>
      </c>
    </row>
    <row r="3064" spans="1:22" x14ac:dyDescent="0.2">
      <c r="A3064" s="1">
        <v>40819</v>
      </c>
      <c r="B3064">
        <f>2058.29</f>
        <v>2058.29</v>
      </c>
      <c r="C3064">
        <f>7171.47</f>
        <v>7171.47</v>
      </c>
      <c r="D3064">
        <f>3410.96</f>
        <v>3410.96</v>
      </c>
      <c r="E3064">
        <f>1564.071</f>
        <v>1564.0709999999999</v>
      </c>
      <c r="F3064">
        <f>1256.21</f>
        <v>1256.21</v>
      </c>
      <c r="G3064">
        <f>5374.516</f>
        <v>5374.5159999999996</v>
      </c>
      <c r="H3064">
        <f>1853.98</f>
        <v>1853.98</v>
      </c>
      <c r="I3064">
        <f>5188.845</f>
        <v>5188.8450000000003</v>
      </c>
      <c r="J3064">
        <f>1477.96</f>
        <v>1477.96</v>
      </c>
      <c r="K3064">
        <f>3906.18</f>
        <v>3906.18</v>
      </c>
      <c r="L3064">
        <f>991.55</f>
        <v>991.55</v>
      </c>
      <c r="M3064">
        <f>3682.72</f>
        <v>3682.72</v>
      </c>
      <c r="N3064">
        <f>162.234</f>
        <v>162.23400000000001</v>
      </c>
      <c r="O3064">
        <f>1378.62</f>
        <v>1378.62</v>
      </c>
      <c r="P3064">
        <f>88.14</f>
        <v>88.14</v>
      </c>
      <c r="Q3064">
        <f>864.76</f>
        <v>864.76</v>
      </c>
      <c r="R3064">
        <f>1875.95</f>
        <v>1875.95</v>
      </c>
      <c r="S3064">
        <f>958.35</f>
        <v>958.35</v>
      </c>
      <c r="T3064">
        <f>1597.162</f>
        <v>1597.162</v>
      </c>
      <c r="U3064">
        <f>29877.9</f>
        <v>29877.9</v>
      </c>
      <c r="V3064">
        <f>209.25</f>
        <v>209.25</v>
      </c>
    </row>
    <row r="3065" spans="1:22" x14ac:dyDescent="0.2">
      <c r="A3065" s="1">
        <v>40816</v>
      </c>
      <c r="B3065">
        <f>2069.63</f>
        <v>2069.63</v>
      </c>
      <c r="C3065">
        <f>7423.63</f>
        <v>7423.63</v>
      </c>
      <c r="D3065">
        <f>3446.56</f>
        <v>3446.56</v>
      </c>
      <c r="E3065">
        <f>1615.419</f>
        <v>1615.4190000000001</v>
      </c>
      <c r="F3065">
        <f>1266.07</f>
        <v>1266.07</v>
      </c>
      <c r="G3065">
        <f>5466.267</f>
        <v>5466.2669999999998</v>
      </c>
      <c r="H3065">
        <f>1871.39</f>
        <v>1871.39</v>
      </c>
      <c r="I3065">
        <f>5321.994</f>
        <v>5321.9939999999997</v>
      </c>
      <c r="J3065">
        <f>1509.65</f>
        <v>1509.65</v>
      </c>
      <c r="K3065">
        <f>4023.15</f>
        <v>4023.15</v>
      </c>
      <c r="L3065">
        <f>1012.06</f>
        <v>1012.06</v>
      </c>
      <c r="M3065">
        <f>3782.76</f>
        <v>3782.76</v>
      </c>
      <c r="N3065">
        <f>162.811</f>
        <v>162.81100000000001</v>
      </c>
      <c r="O3065">
        <f>1395.51</f>
        <v>1395.51</v>
      </c>
      <c r="P3065">
        <f>88.22</f>
        <v>88.22</v>
      </c>
      <c r="Q3065">
        <f>886.89</f>
        <v>886.89</v>
      </c>
      <c r="R3065">
        <f>1930.79</f>
        <v>1930.79</v>
      </c>
      <c r="S3065">
        <f>976.39</f>
        <v>976.39</v>
      </c>
      <c r="T3065">
        <f>1596.349</f>
        <v>1596.3489999999999</v>
      </c>
      <c r="U3065">
        <f>29674.2</f>
        <v>29674.2</v>
      </c>
      <c r="V3065">
        <f>208.62</f>
        <v>208.62</v>
      </c>
    </row>
    <row r="3066" spans="1:22" x14ac:dyDescent="0.2">
      <c r="A3066" s="1">
        <v>40815</v>
      </c>
      <c r="B3066">
        <f>2103.12</f>
        <v>2103.12</v>
      </c>
      <c r="C3066">
        <f>7521.34</f>
        <v>7521.34</v>
      </c>
      <c r="D3066">
        <f>3492.51</f>
        <v>3492.51</v>
      </c>
      <c r="E3066">
        <f>1641.145</f>
        <v>1641.145</v>
      </c>
      <c r="F3066">
        <f>1281.29</f>
        <v>1281.29</v>
      </c>
      <c r="G3066">
        <f>5575.349</f>
        <v>5575.3490000000002</v>
      </c>
      <c r="H3066">
        <f>1877.53</f>
        <v>1877.53</v>
      </c>
      <c r="I3066">
        <f>5502.062</f>
        <v>5502.0619999999999</v>
      </c>
      <c r="J3066">
        <f>1535.69</f>
        <v>1535.69</v>
      </c>
      <c r="K3066">
        <f>4126.03</f>
        <v>4126.03</v>
      </c>
      <c r="L3066">
        <f>1028.35</f>
        <v>1028.3499999999999</v>
      </c>
      <c r="M3066">
        <f>3870.34</f>
        <v>3870.34</v>
      </c>
      <c r="N3066">
        <f>162.893</f>
        <v>162.893</v>
      </c>
      <c r="O3066">
        <f>1410.76</f>
        <v>1410.76</v>
      </c>
      <c r="P3066">
        <f>88.05</f>
        <v>88.05</v>
      </c>
      <c r="Q3066">
        <f>904.43</f>
        <v>904.43</v>
      </c>
      <c r="R3066">
        <f>1980.23</f>
        <v>1980.23</v>
      </c>
      <c r="S3066">
        <f>977.83</f>
        <v>977.83</v>
      </c>
      <c r="T3066">
        <f>1592.173</f>
        <v>1592.173</v>
      </c>
      <c r="U3066">
        <f>29688.89</f>
        <v>29688.89</v>
      </c>
      <c r="V3066">
        <f>208.56</f>
        <v>208.56</v>
      </c>
    </row>
    <row r="3067" spans="1:22" x14ac:dyDescent="0.2">
      <c r="A3067" s="1">
        <v>40814</v>
      </c>
      <c r="B3067">
        <f>2106.08</f>
        <v>2106.08</v>
      </c>
      <c r="C3067">
        <f>7543.79</f>
        <v>7543.79</v>
      </c>
      <c r="D3067">
        <f>3506.48</f>
        <v>3506.48</v>
      </c>
      <c r="E3067">
        <f>1634.822</f>
        <v>1634.8219999999999</v>
      </c>
      <c r="F3067">
        <f>1278.85</f>
        <v>1278.8499999999999</v>
      </c>
      <c r="G3067">
        <f>5588.849</f>
        <v>5588.8490000000002</v>
      </c>
      <c r="H3067">
        <f>1879.77</f>
        <v>1879.77</v>
      </c>
      <c r="I3067">
        <f>5412.495</f>
        <v>5412.4949999999999</v>
      </c>
      <c r="J3067">
        <f>1515.8</f>
        <v>1515.8</v>
      </c>
      <c r="K3067">
        <f>4095.7</f>
        <v>4095.7</v>
      </c>
      <c r="L3067">
        <f>1017.44</f>
        <v>1017.44</v>
      </c>
      <c r="M3067">
        <f>3845.4</f>
        <v>3845.4</v>
      </c>
      <c r="N3067">
        <f>163.206</f>
        <v>163.20599999999999</v>
      </c>
      <c r="O3067">
        <f>1400.07</f>
        <v>1400.07</v>
      </c>
      <c r="P3067">
        <f>87.14</f>
        <v>87.14</v>
      </c>
      <c r="Q3067">
        <f>894.36</f>
        <v>894.36</v>
      </c>
      <c r="R3067">
        <f>1964.2</f>
        <v>1964.2</v>
      </c>
      <c r="S3067">
        <f>967.28</f>
        <v>967.28</v>
      </c>
      <c r="T3067">
        <f>1609.465</f>
        <v>1609.4649999999999</v>
      </c>
      <c r="U3067">
        <f>30339.03</f>
        <v>30339.03</v>
      </c>
      <c r="V3067">
        <f>211.39</f>
        <v>211.39</v>
      </c>
    </row>
    <row r="3068" spans="1:22" x14ac:dyDescent="0.2">
      <c r="A3068" s="1">
        <v>40813</v>
      </c>
      <c r="B3068">
        <f>2144.46</f>
        <v>2144.46</v>
      </c>
      <c r="C3068">
        <f>7567.39</f>
        <v>7567.39</v>
      </c>
      <c r="D3068">
        <f>3556.86</f>
        <v>3556.86</v>
      </c>
      <c r="E3068">
        <f>1638.99</f>
        <v>1638.99</v>
      </c>
      <c r="F3068">
        <f>1291.57</f>
        <v>1291.57</v>
      </c>
      <c r="G3068">
        <f>5684.84</f>
        <v>5684.84</v>
      </c>
      <c r="H3068">
        <f>1852.4</f>
        <v>1852.4</v>
      </c>
      <c r="I3068">
        <f>5477.273</f>
        <v>5477.2730000000001</v>
      </c>
      <c r="J3068">
        <f>1537.94</f>
        <v>1537.94</v>
      </c>
      <c r="K3068">
        <f>4182.35</f>
        <v>4182.3500000000004</v>
      </c>
      <c r="L3068">
        <f>1027.74</f>
        <v>1027.74</v>
      </c>
      <c r="M3068">
        <f>3901.52</f>
        <v>3901.52</v>
      </c>
      <c r="N3068">
        <f>165.626</f>
        <v>165.626</v>
      </c>
      <c r="O3068">
        <f>1416.77</f>
        <v>1416.77</v>
      </c>
      <c r="P3068">
        <f>85.93</f>
        <v>85.93</v>
      </c>
      <c r="Q3068">
        <f>914.41</f>
        <v>914.41</v>
      </c>
      <c r="R3068">
        <f>2005.19</f>
        <v>2005.19</v>
      </c>
      <c r="S3068">
        <f>950.81</f>
        <v>950.81</v>
      </c>
      <c r="T3068">
        <f>1606.53</f>
        <v>1606.53</v>
      </c>
      <c r="U3068">
        <f>30752.4</f>
        <v>30752.400000000001</v>
      </c>
      <c r="V3068">
        <f>211.19</f>
        <v>211.19</v>
      </c>
    </row>
    <row r="3069" spans="1:22" x14ac:dyDescent="0.2">
      <c r="A3069" s="1">
        <v>40812</v>
      </c>
      <c r="B3069">
        <f>2078</f>
        <v>2078</v>
      </c>
      <c r="C3069">
        <f>7227.25</f>
        <v>7227.25</v>
      </c>
      <c r="D3069">
        <f>3419.34</f>
        <v>3419.34</v>
      </c>
      <c r="E3069">
        <f>1561.94</f>
        <v>1561.94</v>
      </c>
      <c r="F3069">
        <f>1245.12</f>
        <v>1245.1199999999999</v>
      </c>
      <c r="G3069">
        <f>5413.224</f>
        <v>5413.2240000000002</v>
      </c>
      <c r="H3069">
        <f>1817.89</f>
        <v>1817.89</v>
      </c>
      <c r="I3069">
        <f>5169.084</f>
        <v>5169.0839999999998</v>
      </c>
      <c r="J3069">
        <f>1521.37</f>
        <v>1521.37</v>
      </c>
      <c r="K3069">
        <f>4137.09</f>
        <v>4137.09</v>
      </c>
      <c r="L3069">
        <f>997.88</f>
        <v>997.88</v>
      </c>
      <c r="M3069">
        <f>3796.34</f>
        <v>3796.34</v>
      </c>
      <c r="N3069">
        <f>160.838</f>
        <v>160.83799999999999</v>
      </c>
      <c r="O3069">
        <f>1355.15</f>
        <v>1355.15</v>
      </c>
      <c r="P3069">
        <f>84.56</f>
        <v>84.56</v>
      </c>
      <c r="Q3069">
        <f>903.4</f>
        <v>903.4</v>
      </c>
      <c r="R3069">
        <f>1983.97</f>
        <v>1983.97</v>
      </c>
      <c r="S3069">
        <f>925.79</f>
        <v>925.79</v>
      </c>
      <c r="T3069">
        <f>1574.75</f>
        <v>1574.75</v>
      </c>
      <c r="U3069">
        <f>29718.56</f>
        <v>29718.560000000001</v>
      </c>
      <c r="V3069">
        <f>206.35</f>
        <v>206.35</v>
      </c>
    </row>
    <row r="3070" spans="1:22" x14ac:dyDescent="0.2">
      <c r="A3070" s="1">
        <v>40809</v>
      </c>
      <c r="B3070">
        <f>2051.82</f>
        <v>2051.8200000000002</v>
      </c>
      <c r="C3070">
        <f>7258.62</f>
        <v>7258.62</v>
      </c>
      <c r="D3070">
        <f>3404.18</f>
        <v>3404.18</v>
      </c>
      <c r="E3070">
        <f>1580.247</f>
        <v>1580.2470000000001</v>
      </c>
      <c r="F3070">
        <f>1234.63</f>
        <v>1234.6300000000001</v>
      </c>
      <c r="G3070">
        <f>5351.479</f>
        <v>5351.4790000000003</v>
      </c>
      <c r="H3070">
        <f>1857.43</f>
        <v>1857.43</v>
      </c>
      <c r="I3070">
        <f>5079.855</f>
        <v>5079.8549999999996</v>
      </c>
      <c r="J3070">
        <f>1492.78</f>
        <v>1492.78</v>
      </c>
      <c r="K3070">
        <f>4046.12</f>
        <v>4046.12</v>
      </c>
      <c r="L3070">
        <f>984.44</f>
        <v>984.44</v>
      </c>
      <c r="M3070">
        <f>3746.59</f>
        <v>3746.59</v>
      </c>
      <c r="N3070">
        <f>158.77</f>
        <v>158.77000000000001</v>
      </c>
      <c r="O3070">
        <f>1331.73</f>
        <v>1331.73</v>
      </c>
      <c r="P3070" t="e">
        <f>NA()</f>
        <v>#N/A</v>
      </c>
      <c r="Q3070">
        <f>884.51</f>
        <v>884.51</v>
      </c>
      <c r="R3070">
        <f>1938.73</f>
        <v>1938.73</v>
      </c>
      <c r="S3070" t="e">
        <f>NA()</f>
        <v>#N/A</v>
      </c>
      <c r="T3070">
        <f>1565.28</f>
        <v>1565.28</v>
      </c>
      <c r="U3070">
        <f>30061.21</f>
        <v>30061.21</v>
      </c>
      <c r="V3070">
        <f>206.11</f>
        <v>206.11</v>
      </c>
    </row>
    <row r="3071" spans="1:22" x14ac:dyDescent="0.2">
      <c r="A3071" s="1">
        <v>40808</v>
      </c>
      <c r="B3071">
        <f>2041.86</f>
        <v>2041.86</v>
      </c>
      <c r="C3071">
        <f>7405.76</f>
        <v>7405.76</v>
      </c>
      <c r="D3071">
        <f>3387.25</f>
        <v>3387.25</v>
      </c>
      <c r="E3071">
        <f>1615.242</f>
        <v>1615.242</v>
      </c>
      <c r="F3071">
        <f>1223.21</f>
        <v>1223.21</v>
      </c>
      <c r="G3071">
        <f>5290.811</f>
        <v>5290.8109999999997</v>
      </c>
      <c r="H3071">
        <f>1856.22</f>
        <v>1856.22</v>
      </c>
      <c r="I3071">
        <f>5030.773</f>
        <v>5030.7730000000001</v>
      </c>
      <c r="J3071">
        <f>1486.78</f>
        <v>1486.78</v>
      </c>
      <c r="K3071">
        <f>4021.2</f>
        <v>4021.2</v>
      </c>
      <c r="L3071">
        <f>978.42</f>
        <v>978.42</v>
      </c>
      <c r="M3071">
        <f>3727.21</f>
        <v>3727.21</v>
      </c>
      <c r="N3071">
        <f>157.802</f>
        <v>157.80199999999999</v>
      </c>
      <c r="O3071">
        <f>1322.14</f>
        <v>1322.14</v>
      </c>
      <c r="P3071">
        <f>85.18</f>
        <v>85.18</v>
      </c>
      <c r="Q3071">
        <f>877.26</f>
        <v>877.26</v>
      </c>
      <c r="R3071">
        <f>1926.76</f>
        <v>1926.76</v>
      </c>
      <c r="S3071">
        <f>945.72</f>
        <v>945.72</v>
      </c>
      <c r="T3071">
        <f>1587.687</f>
        <v>1587.6869999999999</v>
      </c>
      <c r="U3071">
        <f>30323.04</f>
        <v>30323.040000000001</v>
      </c>
      <c r="V3071">
        <f>209.15</f>
        <v>209.15</v>
      </c>
    </row>
    <row r="3072" spans="1:22" x14ac:dyDescent="0.2">
      <c r="A3072" s="1">
        <v>40807</v>
      </c>
      <c r="B3072">
        <f>2117.28</f>
        <v>2117.2800000000002</v>
      </c>
      <c r="C3072">
        <f>7856.6</f>
        <v>7856.6</v>
      </c>
      <c r="D3072">
        <f>3553.07</f>
        <v>3553.07</v>
      </c>
      <c r="E3072">
        <f>1724.01</f>
        <v>1724.01</v>
      </c>
      <c r="F3072">
        <f>1281.5</f>
        <v>1281.5</v>
      </c>
      <c r="G3072">
        <f>5643.79</f>
        <v>5643.79</v>
      </c>
      <c r="H3072">
        <f>1876.61</f>
        <v>1876.61</v>
      </c>
      <c r="I3072">
        <f>5363.643</f>
        <v>5363.643</v>
      </c>
      <c r="J3072">
        <f>1525.12</f>
        <v>1525.12</v>
      </c>
      <c r="K3072">
        <f>4155.81</f>
        <v>4155.8100000000004</v>
      </c>
      <c r="L3072">
        <f>1017.49</f>
        <v>1017.49</v>
      </c>
      <c r="M3072">
        <f>3890.9</f>
        <v>3890.9</v>
      </c>
      <c r="N3072">
        <f>163.336</f>
        <v>163.33600000000001</v>
      </c>
      <c r="O3072">
        <f>1384.02</f>
        <v>1384.02</v>
      </c>
      <c r="P3072">
        <f>85.57</f>
        <v>85.57</v>
      </c>
      <c r="Q3072">
        <f>900.1</f>
        <v>900.1</v>
      </c>
      <c r="R3072">
        <f>1990.2</f>
        <v>1990.2</v>
      </c>
      <c r="S3072">
        <f>961.71</f>
        <v>961.71</v>
      </c>
      <c r="T3072">
        <f>1631.5</f>
        <v>1631.5</v>
      </c>
      <c r="U3072">
        <f>31311.17</f>
        <v>31311.17</v>
      </c>
      <c r="V3072">
        <f>215.09</f>
        <v>215.09</v>
      </c>
    </row>
    <row r="3073" spans="1:22" x14ac:dyDescent="0.2">
      <c r="A3073" s="1">
        <v>40806</v>
      </c>
      <c r="B3073">
        <f>2129.71</f>
        <v>2129.71</v>
      </c>
      <c r="C3073">
        <f>7970.42</f>
        <v>7970.42</v>
      </c>
      <c r="D3073">
        <f>3602.65</f>
        <v>3602.65</v>
      </c>
      <c r="E3073">
        <f>1744.403</f>
        <v>1744.403</v>
      </c>
      <c r="F3073">
        <f>1305.24</f>
        <v>1305.24</v>
      </c>
      <c r="G3073">
        <f>5764.804</f>
        <v>5764.8040000000001</v>
      </c>
      <c r="H3073">
        <f>1865.84</f>
        <v>1865.84</v>
      </c>
      <c r="I3073">
        <f>5454.655</f>
        <v>5454.6549999999997</v>
      </c>
      <c r="J3073">
        <f>1564.76</f>
        <v>1564.76</v>
      </c>
      <c r="K3073">
        <f>4280.33</f>
        <v>4280.33</v>
      </c>
      <c r="L3073">
        <f>1035.68</f>
        <v>1035.68</v>
      </c>
      <c r="M3073">
        <f>3975.43</f>
        <v>3975.43</v>
      </c>
      <c r="N3073">
        <f>165.658</f>
        <v>165.65799999999999</v>
      </c>
      <c r="O3073">
        <f>1408.49</f>
        <v>1408.49</v>
      </c>
      <c r="P3073">
        <f>85.36</f>
        <v>85.36</v>
      </c>
      <c r="Q3073">
        <f>927.74</f>
        <v>927.74</v>
      </c>
      <c r="R3073">
        <f>2050.39</f>
        <v>2050.39</v>
      </c>
      <c r="S3073">
        <f>959.07</f>
        <v>959.07</v>
      </c>
      <c r="T3073">
        <f>1634.377</f>
        <v>1634.377</v>
      </c>
      <c r="U3073">
        <f>31343.9</f>
        <v>31343.9</v>
      </c>
      <c r="V3073">
        <f>215.26</f>
        <v>215.26</v>
      </c>
    </row>
    <row r="3074" spans="1:22" x14ac:dyDescent="0.2">
      <c r="A3074" s="1">
        <v>40805</v>
      </c>
      <c r="B3074">
        <f>2101.12</f>
        <v>2101.12</v>
      </c>
      <c r="C3074">
        <f>7958.26</f>
        <v>7958.26</v>
      </c>
      <c r="D3074">
        <f>3532.69</f>
        <v>3532.69</v>
      </c>
      <c r="E3074">
        <f>1741.138</f>
        <v>1741.1379999999999</v>
      </c>
      <c r="F3074">
        <f>1267.92</f>
        <v>1267.92</v>
      </c>
      <c r="G3074">
        <f>5622.601</f>
        <v>5622.6009999999997</v>
      </c>
      <c r="H3074">
        <f>1884.94</f>
        <v>1884.94</v>
      </c>
      <c r="I3074">
        <f>5311.609</f>
        <v>5311.6090000000004</v>
      </c>
      <c r="J3074">
        <f>1560.45</f>
        <v>1560.45</v>
      </c>
      <c r="K3074">
        <f>4289.13</f>
        <v>4289.13</v>
      </c>
      <c r="L3074">
        <f>1021.55</f>
        <v>1021.55</v>
      </c>
      <c r="M3074">
        <f>3956.84</f>
        <v>3956.84</v>
      </c>
      <c r="N3074">
        <f>162.649</f>
        <v>162.649</v>
      </c>
      <c r="O3074">
        <f>1382.39</f>
        <v>1382.39</v>
      </c>
      <c r="P3074" t="e">
        <f>NA()</f>
        <v>#N/A</v>
      </c>
      <c r="Q3074">
        <f>926.6</f>
        <v>926.6</v>
      </c>
      <c r="R3074">
        <f>2053.74</f>
        <v>2053.7399999999998</v>
      </c>
      <c r="S3074" t="e">
        <f>NA()</f>
        <v>#N/A</v>
      </c>
      <c r="T3074">
        <f>1627.044</f>
        <v>1627.0440000000001</v>
      </c>
      <c r="U3074">
        <f>30959.59</f>
        <v>30959.59</v>
      </c>
      <c r="V3074">
        <f>214.13</f>
        <v>214.13</v>
      </c>
    </row>
    <row r="3075" spans="1:22" x14ac:dyDescent="0.2">
      <c r="A3075" s="1">
        <v>40802</v>
      </c>
      <c r="B3075">
        <f>2135.71</f>
        <v>2135.71</v>
      </c>
      <c r="C3075">
        <f>8180.58</f>
        <v>8180.58</v>
      </c>
      <c r="D3075">
        <f>3605.8</f>
        <v>3605.8</v>
      </c>
      <c r="E3075">
        <f>1791.17</f>
        <v>1791.17</v>
      </c>
      <c r="F3075">
        <f>1295.4</f>
        <v>1295.4000000000001</v>
      </c>
      <c r="G3075">
        <f>5794.403</f>
        <v>5794.4030000000002</v>
      </c>
      <c r="H3075">
        <f>1873.41</f>
        <v>1873.41</v>
      </c>
      <c r="I3075">
        <f>5513.33</f>
        <v>5513.33</v>
      </c>
      <c r="J3075">
        <f>1573.31</f>
        <v>1573.31</v>
      </c>
      <c r="K3075">
        <f>4330.44</f>
        <v>4330.4399999999996</v>
      </c>
      <c r="L3075">
        <f>1040.07</f>
        <v>1040.07</v>
      </c>
      <c r="M3075">
        <f>4022.82</f>
        <v>4022.82</v>
      </c>
      <c r="N3075">
        <f>164.755</f>
        <v>164.755</v>
      </c>
      <c r="O3075">
        <f>1413.39</f>
        <v>1413.39</v>
      </c>
      <c r="P3075">
        <f>86.16</f>
        <v>86.16</v>
      </c>
      <c r="Q3075">
        <f>936.02</f>
        <v>936.02</v>
      </c>
      <c r="R3075">
        <f>2074.06</f>
        <v>2074.06</v>
      </c>
      <c r="S3075">
        <f>975.69</f>
        <v>975.69</v>
      </c>
      <c r="T3075">
        <f>1631.737</f>
        <v>1631.7370000000001</v>
      </c>
      <c r="U3075">
        <f>31051.35</f>
        <v>31051.35</v>
      </c>
      <c r="V3075">
        <f>215.56</f>
        <v>215.56</v>
      </c>
    </row>
    <row r="3076" spans="1:22" x14ac:dyDescent="0.2">
      <c r="A3076" s="1">
        <v>40801</v>
      </c>
      <c r="B3076">
        <f>2118.29</f>
        <v>2118.29</v>
      </c>
      <c r="C3076">
        <f>8100.97</f>
        <v>8100.97</v>
      </c>
      <c r="D3076">
        <f>3585.07</f>
        <v>3585.07</v>
      </c>
      <c r="E3076">
        <f>1767.033</f>
        <v>1767.0329999999999</v>
      </c>
      <c r="F3076">
        <f>1291.28</f>
        <v>1291.28</v>
      </c>
      <c r="G3076">
        <f>5764.228</f>
        <v>5764.2280000000001</v>
      </c>
      <c r="H3076">
        <f>1846.22</f>
        <v>1846.22</v>
      </c>
      <c r="I3076">
        <f>5516.522</f>
        <v>5516.5219999999999</v>
      </c>
      <c r="J3076">
        <f>1563.78</f>
        <v>1563.78</v>
      </c>
      <c r="K3076">
        <f>4307.04</f>
        <v>4307.04</v>
      </c>
      <c r="L3076">
        <f>1037.2</f>
        <v>1037.2</v>
      </c>
      <c r="M3076">
        <f>4000.35</f>
        <v>4000.35</v>
      </c>
      <c r="N3076">
        <f>163.794</f>
        <v>163.79400000000001</v>
      </c>
      <c r="O3076">
        <f>1405.03</f>
        <v>1405.03</v>
      </c>
      <c r="P3076">
        <f>85.34</f>
        <v>85.34</v>
      </c>
      <c r="Q3076">
        <f>929.84</f>
        <v>929.84</v>
      </c>
      <c r="R3076">
        <f>2062.25</f>
        <v>2062.25</v>
      </c>
      <c r="S3076">
        <f>954.89</f>
        <v>954.89</v>
      </c>
      <c r="T3076">
        <f>1626.545</f>
        <v>1626.5450000000001</v>
      </c>
      <c r="U3076">
        <f>30998.05</f>
        <v>30998.05</v>
      </c>
      <c r="V3076">
        <f>215.4</f>
        <v>215.4</v>
      </c>
    </row>
    <row r="3077" spans="1:22" x14ac:dyDescent="0.2">
      <c r="A3077" s="1">
        <v>40800</v>
      </c>
      <c r="B3077">
        <f>2082.76</f>
        <v>2082.7600000000002</v>
      </c>
      <c r="C3077">
        <f>7995.53</f>
        <v>7995.53</v>
      </c>
      <c r="D3077">
        <f>3510.83</f>
        <v>3510.83</v>
      </c>
      <c r="E3077">
        <f>1746.462</f>
        <v>1746.462</v>
      </c>
      <c r="F3077">
        <f>1265.61</f>
        <v>1265.6099999999999</v>
      </c>
      <c r="G3077">
        <f>5619.742</f>
        <v>5619.7420000000002</v>
      </c>
      <c r="H3077">
        <f>1827.62</f>
        <v>1827.62</v>
      </c>
      <c r="I3077">
        <f>5316.172</f>
        <v>5316.1719999999996</v>
      </c>
      <c r="J3077">
        <f>1541.43</f>
        <v>1541.43</v>
      </c>
      <c r="K3077">
        <f>4234.75</f>
        <v>4234.75</v>
      </c>
      <c r="L3077">
        <f>1015.16</f>
        <v>1015.16</v>
      </c>
      <c r="M3077">
        <f>3916.49</f>
        <v>3916.49</v>
      </c>
      <c r="N3077">
        <f>162.762</f>
        <v>162.762</v>
      </c>
      <c r="O3077">
        <f>1376.85</f>
        <v>1376.85</v>
      </c>
      <c r="P3077">
        <f>84.39</f>
        <v>84.39</v>
      </c>
      <c r="Q3077">
        <f>918.17</f>
        <v>918.17</v>
      </c>
      <c r="R3077">
        <f>2027.04</f>
        <v>2027.04</v>
      </c>
      <c r="S3077">
        <f>942.1</f>
        <v>942.1</v>
      </c>
      <c r="T3077">
        <f>1606.982</f>
        <v>1606.982</v>
      </c>
      <c r="U3077">
        <f>30459.82</f>
        <v>30459.82</v>
      </c>
      <c r="V3077">
        <f>213.24</f>
        <v>213.24</v>
      </c>
    </row>
    <row r="3078" spans="1:22" x14ac:dyDescent="0.2">
      <c r="A3078" s="1">
        <v>40799</v>
      </c>
      <c r="B3078">
        <f>2067.63</f>
        <v>2067.63</v>
      </c>
      <c r="C3078">
        <f>8025.81</f>
        <v>8025.81</v>
      </c>
      <c r="D3078">
        <f>3474.72</f>
        <v>3474.72</v>
      </c>
      <c r="E3078">
        <f>1768.189</f>
        <v>1768.1890000000001</v>
      </c>
      <c r="F3078">
        <f>1260.05</f>
        <v>1260.05</v>
      </c>
      <c r="G3078">
        <f>5580.729</f>
        <v>5580.7290000000003</v>
      </c>
      <c r="H3078">
        <f>1839.37</f>
        <v>1839.37</v>
      </c>
      <c r="I3078">
        <f>5217.691</f>
        <v>5217.6909999999998</v>
      </c>
      <c r="J3078">
        <f>1522.75</f>
        <v>1522.75</v>
      </c>
      <c r="K3078">
        <f>4177.67</f>
        <v>4177.67</v>
      </c>
      <c r="L3078">
        <f>1007</f>
        <v>1007</v>
      </c>
      <c r="M3078">
        <f>3880.65</f>
        <v>3880.65</v>
      </c>
      <c r="N3078">
        <f>161.561</f>
        <v>161.56100000000001</v>
      </c>
      <c r="O3078">
        <f>1357.68</f>
        <v>1357.68</v>
      </c>
      <c r="P3078">
        <f>84.95</f>
        <v>84.95</v>
      </c>
      <c r="Q3078">
        <f>904.3</f>
        <v>904.3</v>
      </c>
      <c r="R3078">
        <f>2000.08</f>
        <v>2000.08</v>
      </c>
      <c r="S3078">
        <f>952.42</f>
        <v>952.42</v>
      </c>
      <c r="T3078">
        <f>1594.101</f>
        <v>1594.1010000000001</v>
      </c>
      <c r="U3078">
        <f>30032.71</f>
        <v>30032.71</v>
      </c>
      <c r="V3078">
        <f>211.37</f>
        <v>211.37</v>
      </c>
    </row>
    <row r="3079" spans="1:22" x14ac:dyDescent="0.2">
      <c r="A3079" s="1">
        <v>40798</v>
      </c>
      <c r="B3079">
        <f>2053.56</f>
        <v>2053.56</v>
      </c>
      <c r="C3079">
        <f>8069.86</f>
        <v>8069.86</v>
      </c>
      <c r="D3079">
        <f>3444.75</f>
        <v>3444.75</v>
      </c>
      <c r="E3079">
        <f>1778.222</f>
        <v>1778.222</v>
      </c>
      <c r="F3079">
        <f>1248.05</f>
        <v>1248.05</v>
      </c>
      <c r="G3079">
        <f>5537.105</f>
        <v>5537.1049999999996</v>
      </c>
      <c r="H3079">
        <f>1821.62</f>
        <v>1821.62</v>
      </c>
      <c r="I3079">
        <f>5127.782</f>
        <v>5127.7820000000002</v>
      </c>
      <c r="J3079">
        <f>1515.1</f>
        <v>1515.1</v>
      </c>
      <c r="K3079">
        <f>4137.73</f>
        <v>4137.7299999999996</v>
      </c>
      <c r="L3079">
        <f>997.82</f>
        <v>997.82</v>
      </c>
      <c r="M3079">
        <f>3838.93</f>
        <v>3838.93</v>
      </c>
      <c r="N3079">
        <f>161.246</f>
        <v>161.24600000000001</v>
      </c>
      <c r="O3079">
        <f>1343.23</f>
        <v>1343.23</v>
      </c>
      <c r="P3079">
        <f>84.53</f>
        <v>84.53</v>
      </c>
      <c r="Q3079">
        <f>895.13</f>
        <v>895.13</v>
      </c>
      <c r="R3079">
        <f>1981.3</f>
        <v>1981.3</v>
      </c>
      <c r="S3079">
        <f>941.55</f>
        <v>941.55</v>
      </c>
      <c r="T3079">
        <f>1595.323</f>
        <v>1595.3230000000001</v>
      </c>
      <c r="U3079">
        <f>29855.75</f>
        <v>29855.75</v>
      </c>
      <c r="V3079">
        <f>211.11</f>
        <v>211.11</v>
      </c>
    </row>
    <row r="3080" spans="1:22" x14ac:dyDescent="0.2">
      <c r="A3080" s="1">
        <v>40795</v>
      </c>
      <c r="B3080">
        <f>2092.61</f>
        <v>2092.61</v>
      </c>
      <c r="C3080">
        <f>8241.37</f>
        <v>8241.3700000000008</v>
      </c>
      <c r="D3080">
        <f>3501.85</f>
        <v>3501.85</v>
      </c>
      <c r="E3080">
        <f>1818.362</f>
        <v>1818.3620000000001</v>
      </c>
      <c r="F3080">
        <f>1277.34</f>
        <v>1277.3399999999999</v>
      </c>
      <c r="G3080">
        <f>5661.404</f>
        <v>5661.4040000000005</v>
      </c>
      <c r="H3080">
        <f>1827.33</f>
        <v>1827.33</v>
      </c>
      <c r="I3080">
        <f>5329.271</f>
        <v>5329.2709999999997</v>
      </c>
      <c r="J3080">
        <f>1506.79</f>
        <v>1506.79</v>
      </c>
      <c r="K3080">
        <f>4109.42</f>
        <v>4109.42</v>
      </c>
      <c r="L3080">
        <f>1015.1</f>
        <v>1015.1</v>
      </c>
      <c r="M3080">
        <f>3879.54</f>
        <v>3879.54</v>
      </c>
      <c r="N3080">
        <f>164.103</f>
        <v>164.10300000000001</v>
      </c>
      <c r="O3080">
        <f>1379.71</f>
        <v>1379.71</v>
      </c>
      <c r="P3080">
        <f>85.52</f>
        <v>85.52</v>
      </c>
      <c r="Q3080">
        <f>891.32</f>
        <v>891.32</v>
      </c>
      <c r="R3080">
        <f>1967.47</f>
        <v>1967.47</v>
      </c>
      <c r="S3080">
        <f>959.88</f>
        <v>959.88</v>
      </c>
      <c r="T3080">
        <f>1615.22</f>
        <v>1615.22</v>
      </c>
      <c r="U3080">
        <f>30440.87</f>
        <v>30440.87</v>
      </c>
      <c r="V3080">
        <f>213.3</f>
        <v>213.3</v>
      </c>
    </row>
    <row r="3081" spans="1:22" x14ac:dyDescent="0.2">
      <c r="A3081" s="1">
        <v>40794</v>
      </c>
      <c r="B3081">
        <f>2134.61</f>
        <v>2134.61</v>
      </c>
      <c r="C3081">
        <f>8395.25</f>
        <v>8395.25</v>
      </c>
      <c r="D3081">
        <f>3586.28</f>
        <v>3586.28</v>
      </c>
      <c r="E3081">
        <f>1857.123</f>
        <v>1857.123</v>
      </c>
      <c r="F3081">
        <f>1313.05</f>
        <v>1313.05</v>
      </c>
      <c r="G3081">
        <f>5861.809</f>
        <v>5861.8090000000002</v>
      </c>
      <c r="H3081">
        <f>1825.79</f>
        <v>1825.79</v>
      </c>
      <c r="I3081">
        <f>5622.046</f>
        <v>5622.0460000000003</v>
      </c>
      <c r="J3081">
        <f>1542.55</f>
        <v>1542.55</v>
      </c>
      <c r="K3081">
        <f>4221.82</f>
        <v>4221.82</v>
      </c>
      <c r="L3081">
        <f>1046.54</f>
        <v>1046.54</v>
      </c>
      <c r="M3081">
        <f>3998.96</f>
        <v>3998.96</v>
      </c>
      <c r="N3081" t="e">
        <f>NA()</f>
        <v>#N/A</v>
      </c>
      <c r="O3081">
        <f>1416.15</f>
        <v>1416.15</v>
      </c>
      <c r="P3081">
        <f>85.4</f>
        <v>85.4</v>
      </c>
      <c r="Q3081">
        <f>914.2</f>
        <v>914.2</v>
      </c>
      <c r="R3081">
        <f>2021.42</f>
        <v>2021.42</v>
      </c>
      <c r="S3081">
        <f>962.06</f>
        <v>962.06</v>
      </c>
      <c r="T3081">
        <f>1627.511</f>
        <v>1627.511</v>
      </c>
      <c r="U3081">
        <f>30918</f>
        <v>30918</v>
      </c>
      <c r="V3081">
        <f>215.86</f>
        <v>215.86</v>
      </c>
    </row>
    <row r="3082" spans="1:22" x14ac:dyDescent="0.2">
      <c r="A3082" s="1">
        <v>40793</v>
      </c>
      <c r="B3082">
        <f>2126.21</f>
        <v>2126.21</v>
      </c>
      <c r="C3082">
        <f>8352.13</f>
        <v>8352.1299999999992</v>
      </c>
      <c r="D3082">
        <f>3571.65</f>
        <v>3571.65</v>
      </c>
      <c r="E3082">
        <f>1849.233</f>
        <v>1849.2329999999999</v>
      </c>
      <c r="F3082">
        <f>1300.25</f>
        <v>1300.25</v>
      </c>
      <c r="G3082">
        <f>5792.642</f>
        <v>5792.6419999999998</v>
      </c>
      <c r="H3082">
        <f>1815.04</f>
        <v>1815.04</v>
      </c>
      <c r="I3082">
        <f>5615.408</f>
        <v>5615.4080000000004</v>
      </c>
      <c r="J3082">
        <f>1553.91</f>
        <v>1553.91</v>
      </c>
      <c r="K3082">
        <f>4266.4</f>
        <v>4266.3999999999996</v>
      </c>
      <c r="L3082">
        <f>1046.24</f>
        <v>1046.24</v>
      </c>
      <c r="M3082">
        <f>4011.9</f>
        <v>4011.9</v>
      </c>
      <c r="N3082">
        <f>163.818</f>
        <v>163.81800000000001</v>
      </c>
      <c r="O3082">
        <f>1404.24</f>
        <v>1404.24</v>
      </c>
      <c r="P3082">
        <f>84.63</f>
        <v>84.63</v>
      </c>
      <c r="Q3082">
        <f>923.54</f>
        <v>923.54</v>
      </c>
      <c r="R3082">
        <f>2043.05</f>
        <v>2043.05</v>
      </c>
      <c r="S3082">
        <f>957.26</f>
        <v>957.26</v>
      </c>
      <c r="T3082">
        <f>1613.034</f>
        <v>1613.0340000000001</v>
      </c>
      <c r="U3082">
        <f>30514.6</f>
        <v>30514.6</v>
      </c>
      <c r="V3082">
        <f>213.51</f>
        <v>213.51</v>
      </c>
    </row>
    <row r="3083" spans="1:22" x14ac:dyDescent="0.2">
      <c r="A3083" s="1">
        <v>40792</v>
      </c>
      <c r="B3083">
        <f>2078.74</f>
        <v>2078.7399999999998</v>
      </c>
      <c r="C3083">
        <f>8197.63</f>
        <v>8197.6299999999992</v>
      </c>
      <c r="D3083">
        <f>3458.48</f>
        <v>3458.48</v>
      </c>
      <c r="E3083">
        <f>1809.126</f>
        <v>1809.126</v>
      </c>
      <c r="F3083">
        <f>1270.99</f>
        <v>1270.99</v>
      </c>
      <c r="G3083">
        <f>5629.595</f>
        <v>5629.5950000000003</v>
      </c>
      <c r="H3083">
        <f>1799.12</f>
        <v>1799.12</v>
      </c>
      <c r="I3083">
        <f>5435.375</f>
        <v>5435.375</v>
      </c>
      <c r="J3083">
        <f>1521.08</f>
        <v>1521.08</v>
      </c>
      <c r="K3083">
        <f>4145.73</f>
        <v>4145.7299999999996</v>
      </c>
      <c r="L3083">
        <f>1024.92</f>
        <v>1024.92</v>
      </c>
      <c r="M3083">
        <f>3903.1</f>
        <v>3903.1</v>
      </c>
      <c r="N3083">
        <f>160.683</f>
        <v>160.68299999999999</v>
      </c>
      <c r="O3083">
        <f>1361.9</f>
        <v>1361.9</v>
      </c>
      <c r="P3083">
        <f>83.91</f>
        <v>83.91</v>
      </c>
      <c r="Q3083">
        <f>901.55</f>
        <v>901.55</v>
      </c>
      <c r="R3083">
        <f>1985.67</f>
        <v>1985.67</v>
      </c>
      <c r="S3083">
        <f>941.44</f>
        <v>941.44</v>
      </c>
      <c r="T3083">
        <f>1588.161</f>
        <v>1588.1610000000001</v>
      </c>
      <c r="U3083">
        <f>29525.83</f>
        <v>29525.83</v>
      </c>
      <c r="V3083">
        <f>210.15</f>
        <v>210.15</v>
      </c>
    </row>
    <row r="3084" spans="1:22" x14ac:dyDescent="0.2">
      <c r="A3084" s="1">
        <v>40791</v>
      </c>
      <c r="B3084">
        <f>2074.36</f>
        <v>2074.36</v>
      </c>
      <c r="C3084">
        <f>8206.39</f>
        <v>8206.39</v>
      </c>
      <c r="D3084">
        <f>3422.09</f>
        <v>3422.09</v>
      </c>
      <c r="E3084">
        <f>1811.81</f>
        <v>1811.81</v>
      </c>
      <c r="F3084">
        <f>1260.15</f>
        <v>1260.1500000000001</v>
      </c>
      <c r="G3084">
        <f>5605.182</f>
        <v>5605.1819999999998</v>
      </c>
      <c r="H3084">
        <f>1831.89</f>
        <v>1831.89</v>
      </c>
      <c r="I3084">
        <f>5542.027</f>
        <v>5542.027</v>
      </c>
      <c r="J3084">
        <f>1531.23</f>
        <v>1531.23</v>
      </c>
      <c r="K3084">
        <f>4175.64</f>
        <v>4175.6400000000003</v>
      </c>
      <c r="L3084">
        <f>1033.32</f>
        <v>1033.32</v>
      </c>
      <c r="M3084">
        <f>3942.82</f>
        <v>3942.82</v>
      </c>
      <c r="N3084">
        <f>160.487</f>
        <v>160.48699999999999</v>
      </c>
      <c r="O3084">
        <f>1371.46</f>
        <v>1371.46</v>
      </c>
      <c r="P3084">
        <f>84.44</f>
        <v>84.44</v>
      </c>
      <c r="Q3084" t="e">
        <f>NA()</f>
        <v>#N/A</v>
      </c>
      <c r="R3084" t="e">
        <f>NA()</f>
        <v>#N/A</v>
      </c>
      <c r="S3084">
        <f>960.01</f>
        <v>960.01</v>
      </c>
      <c r="T3084">
        <f>1597.943</f>
        <v>1597.943</v>
      </c>
      <c r="U3084">
        <f>29888.14</f>
        <v>29888.14</v>
      </c>
      <c r="V3084">
        <f>211.71</f>
        <v>211.71</v>
      </c>
    </row>
    <row r="3085" spans="1:22" x14ac:dyDescent="0.2">
      <c r="A3085" s="1">
        <v>40788</v>
      </c>
      <c r="B3085">
        <f>2137.76</f>
        <v>2137.7600000000002</v>
      </c>
      <c r="C3085">
        <f>8431.95</f>
        <v>8431.9500000000007</v>
      </c>
      <c r="D3085">
        <f>3549.15</f>
        <v>3549.15</v>
      </c>
      <c r="E3085">
        <f>1870.251</f>
        <v>1870.251</v>
      </c>
      <c r="F3085">
        <f>1309.25</f>
        <v>1309.25</v>
      </c>
      <c r="G3085">
        <f>5849.994</f>
        <v>5849.9939999999997</v>
      </c>
      <c r="H3085">
        <f>1856.65</f>
        <v>1856.65</v>
      </c>
      <c r="I3085">
        <f>5841.703</f>
        <v>5841.7030000000004</v>
      </c>
      <c r="J3085">
        <f>1531.23</f>
        <v>1531.23</v>
      </c>
      <c r="K3085">
        <f>4175.64</f>
        <v>4175.6400000000003</v>
      </c>
      <c r="L3085">
        <f>1057.57</f>
        <v>1057.57</v>
      </c>
      <c r="M3085">
        <f>4016.22</f>
        <v>4016.22</v>
      </c>
      <c r="N3085">
        <f>164.943</f>
        <v>164.94300000000001</v>
      </c>
      <c r="O3085">
        <f>1429.2</f>
        <v>1429.2</v>
      </c>
      <c r="P3085">
        <f>84.58</f>
        <v>84.58</v>
      </c>
      <c r="Q3085">
        <f>908.35</f>
        <v>908.35</v>
      </c>
      <c r="R3085">
        <f>2000.5</f>
        <v>2000.5</v>
      </c>
      <c r="S3085">
        <f>977.76</f>
        <v>977.76</v>
      </c>
      <c r="T3085">
        <f>1617.301</f>
        <v>1617.3009999999999</v>
      </c>
      <c r="U3085">
        <f>30518.92</f>
        <v>30518.92</v>
      </c>
      <c r="V3085">
        <f>214.01</f>
        <v>214.01</v>
      </c>
    </row>
    <row r="3086" spans="1:22" x14ac:dyDescent="0.2">
      <c r="A3086" s="1">
        <v>40787</v>
      </c>
      <c r="B3086">
        <f>2178.8</f>
        <v>2178.8000000000002</v>
      </c>
      <c r="C3086">
        <f>8594.98</f>
        <v>8594.98</v>
      </c>
      <c r="D3086">
        <f>3634.07</f>
        <v>3634.07</v>
      </c>
      <c r="E3086">
        <f>1899.69</f>
        <v>1899.69</v>
      </c>
      <c r="F3086">
        <f>1328.82</f>
        <v>1328.82</v>
      </c>
      <c r="G3086">
        <f>5973.125</f>
        <v>5973.125</v>
      </c>
      <c r="H3086">
        <f>1867.29</f>
        <v>1867.29</v>
      </c>
      <c r="I3086">
        <f>6026.652</f>
        <v>6026.652</v>
      </c>
      <c r="J3086">
        <f>1559.91</f>
        <v>1559.91</v>
      </c>
      <c r="K3086">
        <f>4283.98</f>
        <v>4283.9799999999996</v>
      </c>
      <c r="L3086">
        <f>1077.18</f>
        <v>1077.18</v>
      </c>
      <c r="M3086">
        <f>4111.41</f>
        <v>4111.41</v>
      </c>
      <c r="N3086">
        <f>166.694</f>
        <v>166.69399999999999</v>
      </c>
      <c r="O3086">
        <f>1465.67</f>
        <v>1465.67</v>
      </c>
      <c r="P3086">
        <f>85.09</f>
        <v>85.09</v>
      </c>
      <c r="Q3086">
        <f>927.08</f>
        <v>927.08</v>
      </c>
      <c r="R3086">
        <f>2052.3</f>
        <v>2052.3000000000002</v>
      </c>
      <c r="S3086">
        <f>988.55</f>
        <v>988.55</v>
      </c>
      <c r="T3086">
        <f>1630.989</f>
        <v>1630.989</v>
      </c>
      <c r="U3086">
        <f>31088.12</f>
        <v>31088.12</v>
      </c>
      <c r="V3086">
        <f>217.44</f>
        <v>217.44</v>
      </c>
    </row>
    <row r="3087" spans="1:22" x14ac:dyDescent="0.2">
      <c r="A3087" s="1">
        <v>40786</v>
      </c>
      <c r="B3087">
        <f>2165.14</f>
        <v>2165.14</v>
      </c>
      <c r="C3087">
        <f>8562.17</f>
        <v>8562.17</v>
      </c>
      <c r="D3087">
        <f>3617.89</f>
        <v>3617.89</v>
      </c>
      <c r="E3087">
        <f>1890.763</f>
        <v>1890.7629999999999</v>
      </c>
      <c r="F3087">
        <f>1327.3</f>
        <v>1327.3</v>
      </c>
      <c r="G3087">
        <f>5992.636</f>
        <v>5992.6360000000004</v>
      </c>
      <c r="H3087">
        <f>1865.59</f>
        <v>1865.59</v>
      </c>
      <c r="I3087">
        <f>6053.113</f>
        <v>6053.1130000000003</v>
      </c>
      <c r="J3087">
        <f>1572.15</f>
        <v>1572.15</v>
      </c>
      <c r="K3087">
        <f>4334.93</f>
        <v>4334.93</v>
      </c>
      <c r="L3087">
        <f>1079.85</f>
        <v>1079.8499999999999</v>
      </c>
      <c r="M3087">
        <f>4138.56</f>
        <v>4138.5600000000004</v>
      </c>
      <c r="N3087">
        <f>164.772</f>
        <v>164.77199999999999</v>
      </c>
      <c r="O3087">
        <f>1456.68</f>
        <v>1456.68</v>
      </c>
      <c r="P3087">
        <f>84.75</f>
        <v>84.75</v>
      </c>
      <c r="Q3087">
        <f>938.02</f>
        <v>938.02</v>
      </c>
      <c r="R3087">
        <f>2076.78</f>
        <v>2076.7800000000002</v>
      </c>
      <c r="S3087">
        <f>978.79</f>
        <v>978.79</v>
      </c>
      <c r="T3087">
        <f>1618.53</f>
        <v>1618.53</v>
      </c>
      <c r="U3087">
        <f>31005.5</f>
        <v>31005.5</v>
      </c>
      <c r="V3087">
        <f>215.12</f>
        <v>215.12</v>
      </c>
    </row>
    <row r="3088" spans="1:22" x14ac:dyDescent="0.2">
      <c r="A3088" s="1">
        <v>40785</v>
      </c>
      <c r="B3088">
        <f>2119.08</f>
        <v>2119.08</v>
      </c>
      <c r="C3088">
        <f>8400.44</f>
        <v>8400.44</v>
      </c>
      <c r="D3088">
        <f>3533.31</f>
        <v>3533.31</v>
      </c>
      <c r="E3088">
        <f>1855.07</f>
        <v>1855.07</v>
      </c>
      <c r="F3088">
        <f>1307.15</f>
        <v>1307.1500000000001</v>
      </c>
      <c r="G3088">
        <f>5849.903</f>
        <v>5849.9030000000002</v>
      </c>
      <c r="H3088">
        <f>1841.39</f>
        <v>1841.39</v>
      </c>
      <c r="I3088">
        <f>5885.855</f>
        <v>5885.8549999999996</v>
      </c>
      <c r="J3088">
        <f>1567.84</f>
        <v>1567.84</v>
      </c>
      <c r="K3088">
        <f>4313.77</f>
        <v>4313.7700000000004</v>
      </c>
      <c r="L3088">
        <f>1063.93</f>
        <v>1063.93</v>
      </c>
      <c r="M3088">
        <f>4086.83</f>
        <v>4086.83</v>
      </c>
      <c r="N3088">
        <f>160.981</f>
        <v>160.98099999999999</v>
      </c>
      <c r="O3088">
        <f>1415.64</f>
        <v>1415.64</v>
      </c>
      <c r="P3088">
        <f>84.35</f>
        <v>84.35</v>
      </c>
      <c r="Q3088">
        <f>932.19</f>
        <v>932.19</v>
      </c>
      <c r="R3088">
        <f>2066.37</f>
        <v>2066.37</v>
      </c>
      <c r="S3088">
        <f>974.6</f>
        <v>974.6</v>
      </c>
      <c r="T3088">
        <f>1579.492</f>
        <v>1579.492</v>
      </c>
      <c r="U3088">
        <f>30365.13</f>
        <v>30365.13</v>
      </c>
      <c r="V3088">
        <f>210.8</f>
        <v>210.8</v>
      </c>
    </row>
    <row r="3089" spans="1:22" x14ac:dyDescent="0.2">
      <c r="A3089" s="1">
        <v>40784</v>
      </c>
      <c r="B3089">
        <f>2075.85</f>
        <v>2075.85</v>
      </c>
      <c r="C3089">
        <f>8355.98</f>
        <v>8355.98</v>
      </c>
      <c r="D3089">
        <f>3440.26</f>
        <v>3440.26</v>
      </c>
      <c r="E3089">
        <f>1838.207</f>
        <v>1838.2070000000001</v>
      </c>
      <c r="F3089">
        <f>1298.64</f>
        <v>1298.6400000000001</v>
      </c>
      <c r="G3089">
        <f>5740.878</f>
        <v>5740.8779999999997</v>
      </c>
      <c r="H3089">
        <f>1818.84</f>
        <v>1818.84</v>
      </c>
      <c r="I3089">
        <f>5910.421</f>
        <v>5910.4210000000003</v>
      </c>
      <c r="J3089">
        <f>1564.49</f>
        <v>1564.49</v>
      </c>
      <c r="K3089">
        <f>4301.84</f>
        <v>4301.84</v>
      </c>
      <c r="L3089">
        <f>1063.69</f>
        <v>1063.69</v>
      </c>
      <c r="M3089">
        <f>4068.34</f>
        <v>4068.34</v>
      </c>
      <c r="N3089">
        <f>158.91</f>
        <v>158.91</v>
      </c>
      <c r="O3089">
        <f>1401.78</f>
        <v>1401.78</v>
      </c>
      <c r="P3089">
        <f>83.88</f>
        <v>83.88</v>
      </c>
      <c r="Q3089">
        <f>929.08</f>
        <v>929.08</v>
      </c>
      <c r="R3089">
        <f>2061.05</f>
        <v>2061.0500000000002</v>
      </c>
      <c r="S3089">
        <f>963.84</f>
        <v>963.84</v>
      </c>
      <c r="T3089">
        <f>1569.602</f>
        <v>1569.6020000000001</v>
      </c>
      <c r="U3089">
        <f>30292.76</f>
        <v>30292.76</v>
      </c>
      <c r="V3089">
        <f>210.03</f>
        <v>210.03</v>
      </c>
    </row>
    <row r="3090" spans="1:22" x14ac:dyDescent="0.2">
      <c r="A3090" s="1">
        <v>40781</v>
      </c>
      <c r="B3090">
        <f>2075.85</f>
        <v>2075.85</v>
      </c>
      <c r="C3090">
        <f>8110.97</f>
        <v>8110.97</v>
      </c>
      <c r="D3090">
        <f>3440.26</f>
        <v>3440.26</v>
      </c>
      <c r="E3090">
        <f>1785.393</f>
        <v>1785.393</v>
      </c>
      <c r="F3090">
        <f>1284.59</f>
        <v>1284.5899999999999</v>
      </c>
      <c r="G3090">
        <f>5678.757</f>
        <v>5678.7569999999996</v>
      </c>
      <c r="H3090">
        <f>1817.05</f>
        <v>1817.05</v>
      </c>
      <c r="I3090">
        <f>5733.401</f>
        <v>5733.4009999999998</v>
      </c>
      <c r="J3090">
        <f>1530.64</f>
        <v>1530.64</v>
      </c>
      <c r="K3090">
        <f>4182</f>
        <v>4182</v>
      </c>
      <c r="L3090">
        <f>1042.5</f>
        <v>1042.5</v>
      </c>
      <c r="M3090">
        <f>3972.37</f>
        <v>3972.37</v>
      </c>
      <c r="N3090">
        <f>158.327</f>
        <v>158.327</v>
      </c>
      <c r="O3090">
        <f>1383.98</f>
        <v>1383.98</v>
      </c>
      <c r="P3090">
        <f>83.51</f>
        <v>83.51</v>
      </c>
      <c r="Q3090">
        <f>904.97</f>
        <v>904.97</v>
      </c>
      <c r="R3090">
        <f>2004.11</f>
        <v>2004.11</v>
      </c>
      <c r="S3090">
        <f>960.07</f>
        <v>960.07</v>
      </c>
      <c r="T3090">
        <f>1539.438</f>
        <v>1539.4380000000001</v>
      </c>
      <c r="U3090">
        <f>29425.05</f>
        <v>29425.05</v>
      </c>
      <c r="V3090">
        <f>205.29</f>
        <v>205.29</v>
      </c>
    </row>
    <row r="3091" spans="1:22" x14ac:dyDescent="0.2">
      <c r="A3091" s="1">
        <v>40780</v>
      </c>
      <c r="B3091">
        <f>2080.86</f>
        <v>2080.86</v>
      </c>
      <c r="C3091">
        <f>8089.32</f>
        <v>8089.32</v>
      </c>
      <c r="D3091">
        <f>3441.05</f>
        <v>3441.05</v>
      </c>
      <c r="E3091">
        <f>1780.137</f>
        <v>1780.1369999999999</v>
      </c>
      <c r="F3091">
        <f>1286.13</f>
        <v>1286.1300000000001</v>
      </c>
      <c r="G3091">
        <f>5694.504</f>
        <v>5694.5039999999999</v>
      </c>
      <c r="H3091">
        <f>1797.01</f>
        <v>1797.01</v>
      </c>
      <c r="I3091">
        <f>5779.393</f>
        <v>5779.393</v>
      </c>
      <c r="J3091">
        <f>1515.34</f>
        <v>1515.34</v>
      </c>
      <c r="K3091">
        <f>4116.87</f>
        <v>4116.87</v>
      </c>
      <c r="L3091">
        <f>1043.46</f>
        <v>1043.46</v>
      </c>
      <c r="M3091">
        <f>3943.43</f>
        <v>3943.43</v>
      </c>
      <c r="N3091">
        <f>158.656</f>
        <v>158.65600000000001</v>
      </c>
      <c r="O3091">
        <f>1394.19</f>
        <v>1394.19</v>
      </c>
      <c r="P3091">
        <f>83.37</f>
        <v>83.37</v>
      </c>
      <c r="Q3091">
        <f>893.11</f>
        <v>893.11</v>
      </c>
      <c r="R3091">
        <f>1973.96</f>
        <v>1973.96</v>
      </c>
      <c r="S3091">
        <f>954.66</f>
        <v>954.66</v>
      </c>
      <c r="T3091">
        <f>1539.291</f>
        <v>1539.2909999999999</v>
      </c>
      <c r="U3091">
        <f>29349.45</f>
        <v>29349.45</v>
      </c>
      <c r="V3091">
        <f>204.62</f>
        <v>204.62</v>
      </c>
    </row>
    <row r="3092" spans="1:22" x14ac:dyDescent="0.2">
      <c r="A3092" s="1">
        <v>40779</v>
      </c>
      <c r="B3092">
        <f>2111.44</f>
        <v>2111.44</v>
      </c>
      <c r="C3092">
        <f>8129.81</f>
        <v>8129.81</v>
      </c>
      <c r="D3092">
        <f>3491.18</f>
        <v>3491.18</v>
      </c>
      <c r="E3092">
        <f>1789.402</f>
        <v>1789.402</v>
      </c>
      <c r="F3092">
        <f>1326.66</f>
        <v>1326.66</v>
      </c>
      <c r="G3092">
        <f>5825.425</f>
        <v>5825.4250000000002</v>
      </c>
      <c r="H3092">
        <f>1810.14</f>
        <v>1810.14</v>
      </c>
      <c r="I3092">
        <f>5856.574</f>
        <v>5856.5739999999996</v>
      </c>
      <c r="J3092">
        <f>1542.02</f>
        <v>1542.02</v>
      </c>
      <c r="K3092">
        <f>4183.06</f>
        <v>4183.0600000000004</v>
      </c>
      <c r="L3092">
        <f>1060.28</f>
        <v>1060.28</v>
      </c>
      <c r="M3092">
        <f>3990.85</f>
        <v>3990.85</v>
      </c>
      <c r="N3092">
        <f>161.445</f>
        <v>161.44499999999999</v>
      </c>
      <c r="O3092">
        <f>1411.91</f>
        <v>1411.91</v>
      </c>
      <c r="P3092">
        <f>83.16</f>
        <v>83.16</v>
      </c>
      <c r="Q3092">
        <f>910.41</f>
        <v>910.41</v>
      </c>
      <c r="R3092">
        <f>2005.13</f>
        <v>2005.13</v>
      </c>
      <c r="S3092">
        <f>942.5</f>
        <v>942.5</v>
      </c>
      <c r="T3092">
        <f>1552.719</f>
        <v>1552.7190000000001</v>
      </c>
      <c r="U3092">
        <f>29604.59</f>
        <v>29604.59</v>
      </c>
      <c r="V3092">
        <f>206.05</f>
        <v>206.05</v>
      </c>
    </row>
    <row r="3093" spans="1:22" x14ac:dyDescent="0.2">
      <c r="A3093" s="1">
        <v>40778</v>
      </c>
      <c r="B3093">
        <f>2081.3</f>
        <v>2081.3000000000002</v>
      </c>
      <c r="C3093">
        <f>8154.09</f>
        <v>8154.09</v>
      </c>
      <c r="D3093">
        <f>3439.67</f>
        <v>3439.67</v>
      </c>
      <c r="E3093">
        <f>1803.055</f>
        <v>1803.0550000000001</v>
      </c>
      <c r="F3093">
        <f>1315.95</f>
        <v>1315.95</v>
      </c>
      <c r="G3093">
        <f>5772.699</f>
        <v>5772.6989999999996</v>
      </c>
      <c r="H3093">
        <f>1835.43</f>
        <v>1835.43</v>
      </c>
      <c r="I3093">
        <f>5751.104</f>
        <v>5751.1040000000003</v>
      </c>
      <c r="J3093">
        <f>1527.11</f>
        <v>1527.11</v>
      </c>
      <c r="K3093">
        <f>4128.63</f>
        <v>4128.63</v>
      </c>
      <c r="L3093">
        <f>1050.4</f>
        <v>1050.4000000000001</v>
      </c>
      <c r="M3093">
        <f>3953.4</f>
        <v>3953.4</v>
      </c>
      <c r="N3093">
        <f>160.652</f>
        <v>160.65199999999999</v>
      </c>
      <c r="O3093">
        <f>1391.73</f>
        <v>1391.73</v>
      </c>
      <c r="P3093">
        <f>83.74</f>
        <v>83.74</v>
      </c>
      <c r="Q3093">
        <f>898.3</f>
        <v>898.3</v>
      </c>
      <c r="R3093">
        <f>1978.89</f>
        <v>1978.89</v>
      </c>
      <c r="S3093">
        <f>952.85</f>
        <v>952.85</v>
      </c>
      <c r="T3093">
        <f>1536.717</f>
        <v>1536.7170000000001</v>
      </c>
      <c r="U3093">
        <f>29259.86</f>
        <v>29259.86</v>
      </c>
      <c r="V3093">
        <f>204.19</f>
        <v>204.19</v>
      </c>
    </row>
    <row r="3094" spans="1:22" x14ac:dyDescent="0.2">
      <c r="A3094" s="1">
        <v>40777</v>
      </c>
      <c r="B3094">
        <f>2069.35</f>
        <v>2069.35</v>
      </c>
      <c r="C3094">
        <f>8027.02</f>
        <v>8027.02</v>
      </c>
      <c r="D3094">
        <f>3416.79</f>
        <v>3416.79</v>
      </c>
      <c r="E3094">
        <f>1766.728</f>
        <v>1766.7280000000001</v>
      </c>
      <c r="F3094">
        <f>1297.86</f>
        <v>1297.8599999999999</v>
      </c>
      <c r="G3094">
        <f>5714.542</f>
        <v>5714.5420000000004</v>
      </c>
      <c r="H3094">
        <f>1821.21</f>
        <v>1821.21</v>
      </c>
      <c r="I3094">
        <f>5706.441</f>
        <v>5706.4409999999998</v>
      </c>
      <c r="J3094">
        <f>1483.55</f>
        <v>1483.55</v>
      </c>
      <c r="K3094">
        <f>3991.38</f>
        <v>3991.38</v>
      </c>
      <c r="L3094">
        <f>1031.35</f>
        <v>1031.3499999999999</v>
      </c>
      <c r="M3094">
        <f>3862.95</f>
        <v>3862.95</v>
      </c>
      <c r="N3094">
        <f>159.187</f>
        <v>159.18700000000001</v>
      </c>
      <c r="O3094">
        <f>1381.55</f>
        <v>1381.55</v>
      </c>
      <c r="P3094">
        <f>82.83</f>
        <v>82.83</v>
      </c>
      <c r="Q3094">
        <f>872.7</f>
        <v>872.7</v>
      </c>
      <c r="R3094">
        <f>1913.27</f>
        <v>1913.27</v>
      </c>
      <c r="S3094">
        <f>943.26</f>
        <v>943.26</v>
      </c>
      <c r="T3094">
        <f>1558.109</f>
        <v>1558.1089999999999</v>
      </c>
      <c r="U3094">
        <f>29433.12</f>
        <v>29433.119999999999</v>
      </c>
      <c r="V3094">
        <f>205.83</f>
        <v>205.83</v>
      </c>
    </row>
    <row r="3095" spans="1:22" x14ac:dyDescent="0.2">
      <c r="A3095" s="1">
        <v>40774</v>
      </c>
      <c r="B3095">
        <f>2046.83</f>
        <v>2046.83</v>
      </c>
      <c r="C3095">
        <f>8033.43</f>
        <v>8033.43</v>
      </c>
      <c r="D3095">
        <f>3380.22</f>
        <v>3380.22</v>
      </c>
      <c r="E3095">
        <f>1774.073</f>
        <v>1774.0730000000001</v>
      </c>
      <c r="F3095">
        <f>1280.7</f>
        <v>1280.7</v>
      </c>
      <c r="G3095">
        <f>5696.86</f>
        <v>5696.86</v>
      </c>
      <c r="H3095">
        <f>1845.39</f>
        <v>1845.39</v>
      </c>
      <c r="I3095">
        <f>5670.564</f>
        <v>5670.5640000000003</v>
      </c>
      <c r="J3095">
        <f>1478.86</f>
        <v>1478.86</v>
      </c>
      <c r="K3095">
        <f>3991.02</f>
        <v>3991.02</v>
      </c>
      <c r="L3095">
        <f>1024.95</f>
        <v>1024.95</v>
      </c>
      <c r="M3095">
        <f>3863.93</f>
        <v>3863.93</v>
      </c>
      <c r="N3095">
        <f>157.078</f>
        <v>157.078</v>
      </c>
      <c r="O3095">
        <f>1370.57</f>
        <v>1370.57</v>
      </c>
      <c r="P3095">
        <f>83.14</f>
        <v>83.14</v>
      </c>
      <c r="Q3095">
        <f>868.8</f>
        <v>868.8</v>
      </c>
      <c r="R3095">
        <f>1912.77</f>
        <v>1912.77</v>
      </c>
      <c r="S3095">
        <f>954.51</f>
        <v>954.51</v>
      </c>
      <c r="T3095">
        <f>1546.54</f>
        <v>1546.54</v>
      </c>
      <c r="U3095">
        <f>29378.69</f>
        <v>29378.69</v>
      </c>
      <c r="V3095">
        <f>204.95</f>
        <v>204.95</v>
      </c>
    </row>
    <row r="3096" spans="1:22" x14ac:dyDescent="0.2">
      <c r="A3096" s="1">
        <v>40773</v>
      </c>
      <c r="B3096">
        <f>2056.64</f>
        <v>2056.64</v>
      </c>
      <c r="C3096">
        <f>8121.52</f>
        <v>8121.52</v>
      </c>
      <c r="D3096">
        <f>3414.73</f>
        <v>3414.73</v>
      </c>
      <c r="E3096">
        <f>1820.217</f>
        <v>1820.2170000000001</v>
      </c>
      <c r="F3096">
        <f>1287.65</f>
        <v>1287.6500000000001</v>
      </c>
      <c r="G3096">
        <f>5717.759</f>
        <v>5717.759</v>
      </c>
      <c r="H3096">
        <f>1866.06</f>
        <v>1866.06</v>
      </c>
      <c r="I3096">
        <f>5736.74</f>
        <v>5736.74</v>
      </c>
      <c r="J3096">
        <f>1490.58</f>
        <v>1490.58</v>
      </c>
      <c r="K3096">
        <f>4052.76</f>
        <v>4052.76</v>
      </c>
      <c r="L3096">
        <f>1034.07</f>
        <v>1034.07</v>
      </c>
      <c r="M3096">
        <f>3919.03</f>
        <v>3919.03</v>
      </c>
      <c r="N3096">
        <f>159.01</f>
        <v>159.01</v>
      </c>
      <c r="O3096">
        <f>1394.7</f>
        <v>1394.7</v>
      </c>
      <c r="P3096">
        <f>84.23</f>
        <v>84.23</v>
      </c>
      <c r="Q3096">
        <f>875.8</f>
        <v>875.8</v>
      </c>
      <c r="R3096">
        <f>1941.92</f>
        <v>1941.92</v>
      </c>
      <c r="S3096">
        <f>974.34</f>
        <v>974.34</v>
      </c>
      <c r="T3096">
        <f>1543.874</f>
        <v>1543.874</v>
      </c>
      <c r="U3096">
        <f>29288.86</f>
        <v>29288.86</v>
      </c>
      <c r="V3096">
        <f>204.43</f>
        <v>204.43</v>
      </c>
    </row>
    <row r="3097" spans="1:22" x14ac:dyDescent="0.2">
      <c r="A3097" s="1">
        <v>40772</v>
      </c>
      <c r="B3097">
        <f>2142.49</f>
        <v>2142.4899999999998</v>
      </c>
      <c r="C3097">
        <f>8338.39</f>
        <v>8338.39</v>
      </c>
      <c r="D3097">
        <f>3575.25</f>
        <v>3575.25</v>
      </c>
      <c r="E3097">
        <f>1873.751</f>
        <v>1873.751</v>
      </c>
      <c r="F3097">
        <f>1335.33</f>
        <v>1335.33</v>
      </c>
      <c r="G3097">
        <f>6022.248</f>
        <v>6022.2479999999996</v>
      </c>
      <c r="H3097">
        <f>1873.84</f>
        <v>1873.84</v>
      </c>
      <c r="I3097">
        <f>6097.559</f>
        <v>6097.5590000000002</v>
      </c>
      <c r="J3097">
        <f>1538.03</f>
        <v>1538.03</v>
      </c>
      <c r="K3097">
        <f>4243.25</f>
        <v>4243.25</v>
      </c>
      <c r="L3097">
        <f>1070.64</f>
        <v>1070.6400000000001</v>
      </c>
      <c r="M3097">
        <f>4098.09</f>
        <v>4098.09</v>
      </c>
      <c r="N3097">
        <f>164.486</f>
        <v>164.48599999999999</v>
      </c>
      <c r="O3097">
        <f>1465.52</f>
        <v>1465.52</v>
      </c>
      <c r="P3097">
        <f>84.33</f>
        <v>84.33</v>
      </c>
      <c r="Q3097">
        <f>906.22</f>
        <v>906.22</v>
      </c>
      <c r="R3097">
        <f>2032.41</f>
        <v>2032.41</v>
      </c>
      <c r="S3097">
        <f>986.2</f>
        <v>986.2</v>
      </c>
      <c r="T3097">
        <f>1566.868</f>
        <v>1566.8679999999999</v>
      </c>
      <c r="U3097">
        <f>30178.72</f>
        <v>30178.720000000001</v>
      </c>
      <c r="V3097">
        <f>208.14</f>
        <v>208.14</v>
      </c>
    </row>
    <row r="3098" spans="1:22" x14ac:dyDescent="0.2">
      <c r="A3098" s="1">
        <v>40771</v>
      </c>
      <c r="B3098">
        <f>2150.8</f>
        <v>2150.8000000000002</v>
      </c>
      <c r="C3098">
        <f>8283.17</f>
        <v>8283.17</v>
      </c>
      <c r="D3098">
        <f>3586.36</f>
        <v>3586.36</v>
      </c>
      <c r="E3098">
        <f>1862.916</f>
        <v>1862.9159999999999</v>
      </c>
      <c r="F3098">
        <f>1327.34</f>
        <v>1327.34</v>
      </c>
      <c r="G3098">
        <f>5989.785</f>
        <v>5989.7849999999999</v>
      </c>
      <c r="H3098">
        <f>1870.86</f>
        <v>1870.86</v>
      </c>
      <c r="I3098">
        <f>6055.822</f>
        <v>6055.8220000000001</v>
      </c>
      <c r="J3098">
        <f>1530.74</f>
        <v>1530.74</v>
      </c>
      <c r="K3098">
        <f>4239.73</f>
        <v>4239.7299999999996</v>
      </c>
      <c r="L3098">
        <f>1060.97</f>
        <v>1060.97</v>
      </c>
      <c r="M3098">
        <f>4083.9</f>
        <v>4083.9</v>
      </c>
      <c r="N3098">
        <f>163.014</f>
        <v>163.01400000000001</v>
      </c>
      <c r="O3098">
        <f>1458.17</f>
        <v>1458.17</v>
      </c>
      <c r="P3098">
        <f>84.26</f>
        <v>84.26</v>
      </c>
      <c r="Q3098">
        <f>906.81</f>
        <v>906.81</v>
      </c>
      <c r="R3098">
        <f>2029.92</f>
        <v>2029.92</v>
      </c>
      <c r="S3098">
        <f>989.22</f>
        <v>989.22</v>
      </c>
      <c r="T3098">
        <f>1557.934</f>
        <v>1557.934</v>
      </c>
      <c r="U3098">
        <f>29987.27</f>
        <v>29987.27</v>
      </c>
      <c r="V3098">
        <f>207.17</f>
        <v>207.17</v>
      </c>
    </row>
    <row r="3099" spans="1:22" x14ac:dyDescent="0.2">
      <c r="A3099" s="1">
        <v>40770</v>
      </c>
      <c r="B3099">
        <f>2164.76</f>
        <v>2164.7600000000002</v>
      </c>
      <c r="C3099">
        <f>8304.36</f>
        <v>8304.36</v>
      </c>
      <c r="D3099">
        <f>3581.64</f>
        <v>3581.64</v>
      </c>
      <c r="E3099">
        <f>1852.479</f>
        <v>1852.479</v>
      </c>
      <c r="F3099">
        <f>1324.85</f>
        <v>1324.85</v>
      </c>
      <c r="G3099">
        <f>5975.328</f>
        <v>5975.3280000000004</v>
      </c>
      <c r="H3099">
        <f>1870.7</f>
        <v>1870.7</v>
      </c>
      <c r="I3099">
        <f>6101.445</f>
        <v>6101.4449999999997</v>
      </c>
      <c r="J3099">
        <f>1536.72</f>
        <v>1536.72</v>
      </c>
      <c r="K3099">
        <f>4281.26</f>
        <v>4281.26</v>
      </c>
      <c r="L3099">
        <f>1064.41</f>
        <v>1064.4100000000001</v>
      </c>
      <c r="M3099">
        <f>4111.49</f>
        <v>4111.49</v>
      </c>
      <c r="N3099">
        <f>162.449</f>
        <v>162.44900000000001</v>
      </c>
      <c r="O3099">
        <f>1459.65</f>
        <v>1459.65</v>
      </c>
      <c r="P3099">
        <f>84.43</f>
        <v>84.43</v>
      </c>
      <c r="Q3099">
        <f>910.36</f>
        <v>910.36</v>
      </c>
      <c r="R3099">
        <f>2049.51</f>
        <v>2049.5100000000002</v>
      </c>
      <c r="S3099">
        <f>986.75</f>
        <v>986.75</v>
      </c>
      <c r="T3099">
        <f>1562.624</f>
        <v>1562.624</v>
      </c>
      <c r="U3099">
        <f>30159.42</f>
        <v>30159.42</v>
      </c>
      <c r="V3099">
        <f>207.48</f>
        <v>207.48</v>
      </c>
    </row>
    <row r="3100" spans="1:22" x14ac:dyDescent="0.2">
      <c r="A3100" s="1">
        <v>40767</v>
      </c>
      <c r="B3100">
        <f>2146.8</f>
        <v>2146.8000000000002</v>
      </c>
      <c r="C3100">
        <f>8069.19</f>
        <v>8069.19</v>
      </c>
      <c r="D3100">
        <f>3561.19</f>
        <v>3561.19</v>
      </c>
      <c r="E3100">
        <f>1808.958</f>
        <v>1808.9580000000001</v>
      </c>
      <c r="F3100">
        <f>1304.81</f>
        <v>1304.81</v>
      </c>
      <c r="G3100">
        <f>5895.047</f>
        <v>5895.0469999999996</v>
      </c>
      <c r="H3100">
        <f>1860.56</f>
        <v>1860.56</v>
      </c>
      <c r="I3100">
        <f>5984.378</f>
        <v>5984.3779999999997</v>
      </c>
      <c r="J3100">
        <f>1506.53</f>
        <v>1506.53</v>
      </c>
      <c r="K3100">
        <f>4189.06</f>
        <v>4189.0600000000004</v>
      </c>
      <c r="L3100">
        <f>1044.57</f>
        <v>1044.57</v>
      </c>
      <c r="M3100">
        <f>4028.93</f>
        <v>4028.93</v>
      </c>
      <c r="N3100">
        <f>162.365</f>
        <v>162.36500000000001</v>
      </c>
      <c r="O3100">
        <f>1458.05</f>
        <v>1458.05</v>
      </c>
      <c r="P3100">
        <f>83.77</f>
        <v>83.77</v>
      </c>
      <c r="Q3100">
        <f>894.38</f>
        <v>894.38</v>
      </c>
      <c r="R3100">
        <f>2005.67</f>
        <v>2005.67</v>
      </c>
      <c r="S3100">
        <f>975.42</f>
        <v>975.42</v>
      </c>
      <c r="T3100">
        <f>1550.038</f>
        <v>1550.038</v>
      </c>
      <c r="U3100">
        <f>29826.4</f>
        <v>29826.400000000001</v>
      </c>
      <c r="V3100">
        <f>206.15</f>
        <v>206.15</v>
      </c>
    </row>
    <row r="3101" spans="1:22" x14ac:dyDescent="0.2">
      <c r="A3101" s="1">
        <v>40766</v>
      </c>
      <c r="B3101">
        <f>2078.57</f>
        <v>2078.5700000000002</v>
      </c>
      <c r="C3101">
        <f>8044.7</f>
        <v>8044.7</v>
      </c>
      <c r="D3101">
        <f>3455.96</f>
        <v>3455.96</v>
      </c>
      <c r="E3101">
        <f>1808.204</f>
        <v>1808.204</v>
      </c>
      <c r="F3101">
        <f>1263.98</f>
        <v>1263.98</v>
      </c>
      <c r="G3101">
        <f>5701.707</f>
        <v>5701.7070000000003</v>
      </c>
      <c r="H3101">
        <f>1860.67</f>
        <v>1860.67</v>
      </c>
      <c r="I3101">
        <f>5797.624</f>
        <v>5797.6239999999998</v>
      </c>
      <c r="J3101">
        <f>1498.43</f>
        <v>1498.43</v>
      </c>
      <c r="K3101">
        <f>4166.45</f>
        <v>4166.45</v>
      </c>
      <c r="L3101">
        <f>1026.43</f>
        <v>1026.43</v>
      </c>
      <c r="M3101">
        <f>3980.14</f>
        <v>3980.14</v>
      </c>
      <c r="N3101">
        <f>157.9</f>
        <v>157.9</v>
      </c>
      <c r="O3101">
        <f>1410.54</f>
        <v>1410.54</v>
      </c>
      <c r="P3101">
        <f>83.7</f>
        <v>83.7</v>
      </c>
      <c r="Q3101">
        <f>885.7</f>
        <v>885.7</v>
      </c>
      <c r="R3101">
        <f>1995.14</f>
        <v>1995.14</v>
      </c>
      <c r="S3101">
        <f>978.84</f>
        <v>978.84</v>
      </c>
      <c r="T3101">
        <f>1541.32</f>
        <v>1541.32</v>
      </c>
      <c r="U3101">
        <f>29490.2</f>
        <v>29490.2</v>
      </c>
      <c r="V3101">
        <f>204.09</f>
        <v>204.09</v>
      </c>
    </row>
    <row r="3102" spans="1:22" x14ac:dyDescent="0.2">
      <c r="A3102" s="1">
        <v>40765</v>
      </c>
      <c r="B3102">
        <f>2031.41</f>
        <v>2031.41</v>
      </c>
      <c r="C3102">
        <f>7942.57</f>
        <v>7942.57</v>
      </c>
      <c r="D3102">
        <f>3351.76</f>
        <v>3351.76</v>
      </c>
      <c r="E3102">
        <f>1791.217</f>
        <v>1791.2170000000001</v>
      </c>
      <c r="F3102">
        <f>1219.23</f>
        <v>1219.23</v>
      </c>
      <c r="G3102">
        <f>5504.33</f>
        <v>5504.33</v>
      </c>
      <c r="H3102">
        <f>1876.2</f>
        <v>1876.2</v>
      </c>
      <c r="I3102">
        <f>5633.352</f>
        <v>5633.3519999999999</v>
      </c>
      <c r="J3102">
        <f>1439.79</f>
        <v>1439.79</v>
      </c>
      <c r="K3102">
        <f>3981.16</f>
        <v>3981.16</v>
      </c>
      <c r="L3102">
        <f>997.83</f>
        <v>997.83</v>
      </c>
      <c r="M3102">
        <f>3856.21</f>
        <v>3856.21</v>
      </c>
      <c r="N3102">
        <f>154.773</f>
        <v>154.773</v>
      </c>
      <c r="O3102">
        <f>1371.87</f>
        <v>1371.87</v>
      </c>
      <c r="P3102">
        <f>83.25</f>
        <v>83.25</v>
      </c>
      <c r="Q3102">
        <f>848.39</f>
        <v>848.39</v>
      </c>
      <c r="R3102">
        <f>1906.53</f>
        <v>1906.53</v>
      </c>
      <c r="S3102">
        <f>986.26</f>
        <v>986.26</v>
      </c>
      <c r="T3102">
        <f>1518.31</f>
        <v>1518.31</v>
      </c>
      <c r="U3102">
        <f>28658.57</f>
        <v>28658.57</v>
      </c>
      <c r="V3102">
        <f>201.39</f>
        <v>201.39</v>
      </c>
    </row>
    <row r="3103" spans="1:22" x14ac:dyDescent="0.2">
      <c r="A3103" s="1">
        <v>40764</v>
      </c>
      <c r="B3103">
        <f>2062.34</f>
        <v>2062.34</v>
      </c>
      <c r="C3103">
        <f>7819.61</f>
        <v>7819.61</v>
      </c>
      <c r="D3103">
        <f>3452.72</f>
        <v>3452.72</v>
      </c>
      <c r="E3103">
        <f>1768.409</f>
        <v>1768.4090000000001</v>
      </c>
      <c r="F3103">
        <f>1255.95</f>
        <v>1255.95</v>
      </c>
      <c r="G3103">
        <f>5697.125</f>
        <v>5697.125</v>
      </c>
      <c r="H3103">
        <f>1828.21</f>
        <v>1828.21</v>
      </c>
      <c r="I3103">
        <f>5885.418</f>
        <v>5885.4179999999997</v>
      </c>
      <c r="J3103">
        <f>1494.93</f>
        <v>1494.93</v>
      </c>
      <c r="K3103">
        <f>4158.31</f>
        <v>4158.3100000000004</v>
      </c>
      <c r="L3103">
        <f>1025.01</f>
        <v>1025.01</v>
      </c>
      <c r="M3103">
        <f>3972.54</f>
        <v>3972.54</v>
      </c>
      <c r="N3103">
        <f>157.79</f>
        <v>157.79</v>
      </c>
      <c r="O3103">
        <f>1427.53</f>
        <v>1427.53</v>
      </c>
      <c r="P3103">
        <f>81.94</f>
        <v>81.94</v>
      </c>
      <c r="Q3103">
        <f>884.48</f>
        <v>884.48</v>
      </c>
      <c r="R3103">
        <f>1993.76</f>
        <v>1993.76</v>
      </c>
      <c r="S3103">
        <f>978.21</f>
        <v>978.21</v>
      </c>
      <c r="T3103" t="e">
        <f>NA()</f>
        <v>#N/A</v>
      </c>
      <c r="U3103" t="e">
        <f>NA()</f>
        <v>#N/A</v>
      </c>
      <c r="V3103" t="e">
        <f>NA()</f>
        <v>#N/A</v>
      </c>
    </row>
    <row r="3104" spans="1:22" x14ac:dyDescent="0.2">
      <c r="A3104" s="1">
        <v>40763</v>
      </c>
      <c r="B3104">
        <f>2042.2</f>
        <v>2042.2</v>
      </c>
      <c r="C3104">
        <f>8008.11</f>
        <v>8008.11</v>
      </c>
      <c r="D3104">
        <f>3388.57</f>
        <v>3388.57</v>
      </c>
      <c r="E3104">
        <f>1807.797</f>
        <v>1807.797</v>
      </c>
      <c r="F3104">
        <f>1248.7</f>
        <v>1248.7</v>
      </c>
      <c r="G3104">
        <f>5623.542</f>
        <v>5623.5420000000004</v>
      </c>
      <c r="H3104">
        <f>1855.1</f>
        <v>1855.1</v>
      </c>
      <c r="I3104">
        <f>5785.971</f>
        <v>5785.9709999999995</v>
      </c>
      <c r="J3104">
        <f>1447.53</f>
        <v>1447.53</v>
      </c>
      <c r="K3104">
        <f>3967.79</f>
        <v>3967.79</v>
      </c>
      <c r="L3104">
        <f>1006.43</f>
        <v>1006.43</v>
      </c>
      <c r="M3104">
        <f>3863.33</f>
        <v>3863.33</v>
      </c>
      <c r="N3104">
        <f>155.478</f>
        <v>155.47800000000001</v>
      </c>
      <c r="O3104">
        <f>1409.39</f>
        <v>1409.39</v>
      </c>
      <c r="P3104">
        <f>82.95</f>
        <v>82.95</v>
      </c>
      <c r="Q3104">
        <f>851.58</f>
        <v>851.58</v>
      </c>
      <c r="R3104">
        <f>1903.47</f>
        <v>1903.47</v>
      </c>
      <c r="S3104">
        <f>994.05</f>
        <v>994.05</v>
      </c>
      <c r="T3104">
        <f>1513.399</f>
        <v>1513.3989999999999</v>
      </c>
      <c r="U3104">
        <f>28391.18</f>
        <v>28391.18</v>
      </c>
      <c r="V3104">
        <f>199.54</f>
        <v>199.54</v>
      </c>
    </row>
    <row r="3105" spans="1:22" x14ac:dyDescent="0.2">
      <c r="A3105" s="1">
        <v>40760</v>
      </c>
      <c r="B3105">
        <f>2101.34</f>
        <v>2101.34</v>
      </c>
      <c r="C3105">
        <f>8399.74</f>
        <v>8399.74</v>
      </c>
      <c r="D3105">
        <f>3507.58</f>
        <v>3507.58</v>
      </c>
      <c r="E3105">
        <f>1900.51</f>
        <v>1900.51</v>
      </c>
      <c r="F3105">
        <f>1285.88</f>
        <v>1285.8800000000001</v>
      </c>
      <c r="G3105">
        <f>5845.615</f>
        <v>5845.6149999999998</v>
      </c>
      <c r="H3105">
        <f>1870.96</f>
        <v>1870.96</v>
      </c>
      <c r="I3105">
        <f>6040.345</f>
        <v>6040.3450000000003</v>
      </c>
      <c r="J3105">
        <f>1524.57</f>
        <v>1524.57</v>
      </c>
      <c r="K3105">
        <f>4253.16</f>
        <v>4253.16</v>
      </c>
      <c r="L3105">
        <f>1045.4</f>
        <v>1045.4000000000001</v>
      </c>
      <c r="M3105">
        <f>4071.43</f>
        <v>4071.43</v>
      </c>
      <c r="N3105">
        <f>161.236</f>
        <v>161.23599999999999</v>
      </c>
      <c r="O3105">
        <f>1468.74</f>
        <v>1468.74</v>
      </c>
      <c r="P3105">
        <f>84.22</f>
        <v>84.22</v>
      </c>
      <c r="Q3105">
        <f>902.37</f>
        <v>902.37</v>
      </c>
      <c r="R3105">
        <f>2039.04</f>
        <v>2039.04</v>
      </c>
      <c r="S3105">
        <f>1017.03</f>
        <v>1017.03</v>
      </c>
      <c r="T3105">
        <f>1545.995</f>
        <v>1545.9949999999999</v>
      </c>
      <c r="U3105">
        <f>29256.75</f>
        <v>29256.75</v>
      </c>
      <c r="V3105">
        <f>204.65</f>
        <v>204.65</v>
      </c>
    </row>
    <row r="3106" spans="1:22" x14ac:dyDescent="0.2">
      <c r="A3106" s="1">
        <v>40759</v>
      </c>
      <c r="B3106">
        <f>2138.3</f>
        <v>2138.3000000000002</v>
      </c>
      <c r="C3106">
        <f>8625.23</f>
        <v>8625.23</v>
      </c>
      <c r="D3106">
        <f>3605.29</f>
        <v>3605.29</v>
      </c>
      <c r="E3106">
        <f>1958.771</f>
        <v>1958.771</v>
      </c>
      <c r="F3106">
        <f>1314.55</f>
        <v>1314.55</v>
      </c>
      <c r="G3106">
        <f>5985.083</f>
        <v>5985.0829999999996</v>
      </c>
      <c r="H3106">
        <f>1906</f>
        <v>1906</v>
      </c>
      <c r="I3106">
        <f>6111.552</f>
        <v>6111.5519999999997</v>
      </c>
      <c r="J3106">
        <f>1512.12</f>
        <v>1512.12</v>
      </c>
      <c r="K3106">
        <f>4258.74</f>
        <v>4258.74</v>
      </c>
      <c r="L3106">
        <f>1054.42</f>
        <v>1054.42</v>
      </c>
      <c r="M3106">
        <f>4120.08</f>
        <v>4120.08</v>
      </c>
      <c r="N3106">
        <f>163.784</f>
        <v>163.78399999999999</v>
      </c>
      <c r="O3106">
        <f>1493.82</f>
        <v>1493.82</v>
      </c>
      <c r="P3106">
        <f>86.25</f>
        <v>86.25</v>
      </c>
      <c r="Q3106">
        <f>895.47</f>
        <v>895.47</v>
      </c>
      <c r="R3106">
        <f>2040.2</f>
        <v>2040.2</v>
      </c>
      <c r="S3106">
        <f>1049.23</f>
        <v>1049.23</v>
      </c>
      <c r="T3106">
        <f>1566.347</f>
        <v>1566.347</v>
      </c>
      <c r="U3106">
        <f>29601.61</f>
        <v>29601.61</v>
      </c>
      <c r="V3106">
        <f>207.41</f>
        <v>207.41</v>
      </c>
    </row>
    <row r="3107" spans="1:22" x14ac:dyDescent="0.2">
      <c r="A3107" s="1">
        <v>40758</v>
      </c>
      <c r="B3107">
        <f>2200.08</f>
        <v>2200.08</v>
      </c>
      <c r="C3107">
        <f>8852.69</f>
        <v>8852.69</v>
      </c>
      <c r="D3107">
        <f>3733.22</f>
        <v>3733.22</v>
      </c>
      <c r="E3107">
        <f>2012.307</f>
        <v>2012.307</v>
      </c>
      <c r="F3107">
        <f>1358.73</f>
        <v>1358.73</v>
      </c>
      <c r="G3107">
        <f>6229.953</f>
        <v>6229.9530000000004</v>
      </c>
      <c r="H3107">
        <f>1960.88</f>
        <v>1960.88</v>
      </c>
      <c r="I3107">
        <f>6407.45</f>
        <v>6407.45</v>
      </c>
      <c r="J3107">
        <f>1570.81</f>
        <v>1570.81</v>
      </c>
      <c r="K3107">
        <f>4475.67</f>
        <v>4475.67</v>
      </c>
      <c r="L3107">
        <f>1091.13</f>
        <v>1091.1300000000001</v>
      </c>
      <c r="M3107">
        <f>4305.12</f>
        <v>4305.12</v>
      </c>
      <c r="N3107">
        <f>167.346</f>
        <v>167.346</v>
      </c>
      <c r="O3107">
        <f>1545.66</f>
        <v>1545.66</v>
      </c>
      <c r="P3107">
        <f>86.16</f>
        <v>86.16</v>
      </c>
      <c r="Q3107">
        <f>931.22</f>
        <v>931.22</v>
      </c>
      <c r="R3107">
        <f>2142.56</f>
        <v>2142.56</v>
      </c>
      <c r="S3107">
        <f>1049.73</f>
        <v>1049.73</v>
      </c>
      <c r="T3107">
        <f>1600.275</f>
        <v>1600.2750000000001</v>
      </c>
      <c r="U3107">
        <f>30520.43</f>
        <v>30520.43</v>
      </c>
      <c r="V3107">
        <f>212.05</f>
        <v>212.05</v>
      </c>
    </row>
    <row r="3108" spans="1:22" x14ac:dyDescent="0.2">
      <c r="A3108" s="1">
        <v>40757</v>
      </c>
      <c r="B3108">
        <f>2227.42</f>
        <v>2227.42</v>
      </c>
      <c r="C3108">
        <f>9017.21</f>
        <v>9017.2099999999991</v>
      </c>
      <c r="D3108">
        <f>3809.89</f>
        <v>3809.89</v>
      </c>
      <c r="E3108">
        <f>2056.194</f>
        <v>2056.194</v>
      </c>
      <c r="F3108">
        <f>1368.9</f>
        <v>1368.9</v>
      </c>
      <c r="G3108">
        <f>6311.517</f>
        <v>6311.5169999999998</v>
      </c>
      <c r="H3108">
        <f>1988.97</f>
        <v>1988.97</v>
      </c>
      <c r="I3108">
        <f>6499.82</f>
        <v>6499.82</v>
      </c>
      <c r="J3108">
        <f>1566.88</f>
        <v>1566.88</v>
      </c>
      <c r="K3108">
        <f>4451.78</f>
        <v>4451.78</v>
      </c>
      <c r="L3108">
        <f>1096.19</f>
        <v>1096.19</v>
      </c>
      <c r="M3108">
        <f>4325.8</f>
        <v>4325.8</v>
      </c>
      <c r="N3108">
        <f>169.641</f>
        <v>169.64099999999999</v>
      </c>
      <c r="O3108">
        <f>1575.45</f>
        <v>1575.45</v>
      </c>
      <c r="P3108">
        <f>87.32</f>
        <v>87.32</v>
      </c>
      <c r="Q3108">
        <f>925.46</f>
        <v>925.46</v>
      </c>
      <c r="R3108">
        <f>2131.1</f>
        <v>2131.1</v>
      </c>
      <c r="S3108">
        <f>1071.58</f>
        <v>1071.58</v>
      </c>
      <c r="T3108">
        <f>1611.622</f>
        <v>1611.6220000000001</v>
      </c>
      <c r="U3108">
        <f>30871.78</f>
        <v>30871.78</v>
      </c>
      <c r="V3108">
        <f>214.16</f>
        <v>214.16</v>
      </c>
    </row>
    <row r="3109" spans="1:22" x14ac:dyDescent="0.2">
      <c r="A3109" s="1">
        <v>40756</v>
      </c>
      <c r="B3109">
        <f>2264.64</f>
        <v>2264.64</v>
      </c>
      <c r="C3109">
        <f>9169.47</f>
        <v>9169.4699999999993</v>
      </c>
      <c r="D3109">
        <f>3847.23</f>
        <v>3847.23</v>
      </c>
      <c r="E3109">
        <f>2093.704</f>
        <v>2093.7040000000002</v>
      </c>
      <c r="F3109">
        <f>1367.75</f>
        <v>1367.75</v>
      </c>
      <c r="G3109">
        <f>6357.461</f>
        <v>6357.4610000000002</v>
      </c>
      <c r="H3109">
        <f>2018.26</f>
        <v>2018.26</v>
      </c>
      <c r="I3109">
        <f>6646.25</f>
        <v>6646.25</v>
      </c>
      <c r="J3109">
        <f>1597.45</f>
        <v>1597.45</v>
      </c>
      <c r="K3109">
        <f>4570.02</f>
        <v>4570.0200000000004</v>
      </c>
      <c r="L3109">
        <f>1112.64</f>
        <v>1112.6400000000001</v>
      </c>
      <c r="M3109">
        <f>4420.46</f>
        <v>4420.46</v>
      </c>
      <c r="N3109">
        <f>171.817</f>
        <v>171.81700000000001</v>
      </c>
      <c r="O3109">
        <f>1605.73</f>
        <v>1605.73</v>
      </c>
      <c r="P3109">
        <f>87.82</f>
        <v>87.82</v>
      </c>
      <c r="Q3109">
        <f>945.59</f>
        <v>945.59</v>
      </c>
      <c r="R3109">
        <f>2187</f>
        <v>2187</v>
      </c>
      <c r="S3109">
        <f>1081.41</f>
        <v>1081.4100000000001</v>
      </c>
      <c r="T3109">
        <f>1625.309</f>
        <v>1625.309</v>
      </c>
      <c r="U3109">
        <f>31257.31</f>
        <v>31257.31</v>
      </c>
      <c r="V3109">
        <f>216.08</f>
        <v>216.08</v>
      </c>
    </row>
    <row r="3110" spans="1:22" x14ac:dyDescent="0.2">
      <c r="A3110" s="1">
        <v>40753</v>
      </c>
      <c r="B3110">
        <f>2292.28</f>
        <v>2292.2800000000002</v>
      </c>
      <c r="C3110">
        <f>9120.65</f>
        <v>9120.65</v>
      </c>
      <c r="D3110">
        <f>3874.38</f>
        <v>3874.38</v>
      </c>
      <c r="E3110">
        <f>2075.475</f>
        <v>2075.4749999999999</v>
      </c>
      <c r="F3110">
        <f>1392.49</f>
        <v>1392.49</v>
      </c>
      <c r="G3110">
        <f>6464.751</f>
        <v>6464.7510000000002</v>
      </c>
      <c r="H3110">
        <f>1977.86</f>
        <v>1977.86</v>
      </c>
      <c r="I3110">
        <f>6828.673</f>
        <v>6828.6729999999998</v>
      </c>
      <c r="J3110">
        <f>1603.11</f>
        <v>1603.11</v>
      </c>
      <c r="K3110">
        <f>4588.74</f>
        <v>4588.74</v>
      </c>
      <c r="L3110">
        <f>1123.95</f>
        <v>1123.95</v>
      </c>
      <c r="M3110">
        <f>4450.25</f>
        <v>4450.25</v>
      </c>
      <c r="N3110">
        <f>172.961</f>
        <v>172.96100000000001</v>
      </c>
      <c r="O3110">
        <f>1625.37</f>
        <v>1625.37</v>
      </c>
      <c r="P3110">
        <f>86.96</f>
        <v>86.96</v>
      </c>
      <c r="Q3110">
        <f>951.91</f>
        <v>951.91</v>
      </c>
      <c r="R3110">
        <f>2196.08</f>
        <v>2196.08</v>
      </c>
      <c r="S3110">
        <f>1068.3</f>
        <v>1068.3</v>
      </c>
      <c r="T3110">
        <f>1614.33</f>
        <v>1614.33</v>
      </c>
      <c r="U3110">
        <f>31208.04</f>
        <v>31208.04</v>
      </c>
      <c r="V3110">
        <f>214.71</f>
        <v>214.71</v>
      </c>
    </row>
    <row r="3111" spans="1:22" x14ac:dyDescent="0.2">
      <c r="A3111" s="1">
        <v>40752</v>
      </c>
      <c r="B3111">
        <f>2304.13</f>
        <v>2304.13</v>
      </c>
      <c r="C3111">
        <f>9166.92</f>
        <v>9166.92</v>
      </c>
      <c r="D3111">
        <f>3913.04</f>
        <v>3913.04</v>
      </c>
      <c r="E3111">
        <f>2089.052</f>
        <v>2089.0520000000001</v>
      </c>
      <c r="F3111">
        <f>1391.81</f>
        <v>1391.81</v>
      </c>
      <c r="G3111">
        <f>6495.042</f>
        <v>6495.0420000000004</v>
      </c>
      <c r="H3111">
        <f>1974.36</f>
        <v>1974.36</v>
      </c>
      <c r="I3111">
        <f>6835.96</f>
        <v>6835.96</v>
      </c>
      <c r="J3111">
        <f>1615.8</f>
        <v>1615.8</v>
      </c>
      <c r="K3111">
        <f>4617.09</f>
        <v>4617.09</v>
      </c>
      <c r="L3111">
        <f>1128.54</f>
        <v>1128.54</v>
      </c>
      <c r="M3111">
        <f>4472.64</f>
        <v>4472.6400000000003</v>
      </c>
      <c r="N3111">
        <f>173.62</f>
        <v>173.62</v>
      </c>
      <c r="O3111">
        <f>1636.28</f>
        <v>1636.28</v>
      </c>
      <c r="P3111">
        <f>87.39</f>
        <v>87.39</v>
      </c>
      <c r="Q3111">
        <f>956.99</f>
        <v>956.99</v>
      </c>
      <c r="R3111">
        <f>2210.33</f>
        <v>2210.33</v>
      </c>
      <c r="S3111">
        <f>1077.18</f>
        <v>1077.18</v>
      </c>
      <c r="T3111">
        <f>1622.829</f>
        <v>1622.829</v>
      </c>
      <c r="U3111">
        <f>31446.39</f>
        <v>31446.39</v>
      </c>
      <c r="V3111">
        <f>215.93</f>
        <v>215.93</v>
      </c>
    </row>
    <row r="3112" spans="1:22" x14ac:dyDescent="0.2">
      <c r="A3112" s="1">
        <v>40751</v>
      </c>
      <c r="B3112">
        <f>2299.51</f>
        <v>2299.5100000000002</v>
      </c>
      <c r="C3112">
        <f>9158.57</f>
        <v>9158.57</v>
      </c>
      <c r="D3112">
        <f>3901.96</f>
        <v>3901.96</v>
      </c>
      <c r="E3112">
        <f>2095.285</f>
        <v>2095.2849999999999</v>
      </c>
      <c r="F3112">
        <f>1387.36</f>
        <v>1387.36</v>
      </c>
      <c r="G3112">
        <f>6479.321</f>
        <v>6479.3209999999999</v>
      </c>
      <c r="H3112">
        <f>1995.87</f>
        <v>1995.87</v>
      </c>
      <c r="I3112">
        <f>6899.765</f>
        <v>6899.7650000000003</v>
      </c>
      <c r="J3112">
        <f>1625.8</f>
        <v>1625.8</v>
      </c>
      <c r="K3112">
        <f>4630.76</f>
        <v>4630.76</v>
      </c>
      <c r="L3112">
        <f>1133.37</f>
        <v>1133.3699999999999</v>
      </c>
      <c r="M3112">
        <f>4493.81</f>
        <v>4493.8100000000004</v>
      </c>
      <c r="N3112">
        <f>173.495</f>
        <v>173.495</v>
      </c>
      <c r="O3112">
        <f>1635.78</f>
        <v>1635.78</v>
      </c>
      <c r="P3112">
        <f>88.42</f>
        <v>88.42</v>
      </c>
      <c r="Q3112">
        <f>961.63</f>
        <v>961.63</v>
      </c>
      <c r="R3112">
        <f>2217.29</f>
        <v>2217.29</v>
      </c>
      <c r="S3112">
        <f>1090.82</f>
        <v>1090.82</v>
      </c>
      <c r="T3112">
        <f>1620.76</f>
        <v>1620.76</v>
      </c>
      <c r="U3112">
        <f>31593.99</f>
        <v>31593.99</v>
      </c>
      <c r="V3112">
        <f>216.79</f>
        <v>216.79</v>
      </c>
    </row>
    <row r="3113" spans="1:22" x14ac:dyDescent="0.2">
      <c r="A3113" s="1">
        <v>40750</v>
      </c>
      <c r="B3113">
        <f>2322.42</f>
        <v>2322.42</v>
      </c>
      <c r="C3113">
        <f>9248.41</f>
        <v>9248.41</v>
      </c>
      <c r="D3113">
        <f>3949.32</f>
        <v>3949.32</v>
      </c>
      <c r="E3113">
        <f>2108.957</f>
        <v>2108.9569999999999</v>
      </c>
      <c r="F3113">
        <f>1405.14</f>
        <v>1405.14</v>
      </c>
      <c r="G3113">
        <f>6577.507</f>
        <v>6577.5069999999996</v>
      </c>
      <c r="H3113">
        <f>2006.04</f>
        <v>2006.04</v>
      </c>
      <c r="I3113">
        <f>7037.71</f>
        <v>7037.71</v>
      </c>
      <c r="J3113">
        <f>1647.5</f>
        <v>1647.5</v>
      </c>
      <c r="K3113">
        <f>4727.76</f>
        <v>4727.76</v>
      </c>
      <c r="L3113">
        <f>1148.65</f>
        <v>1148.6500000000001</v>
      </c>
      <c r="M3113">
        <f>4573.04</f>
        <v>4573.04</v>
      </c>
      <c r="N3113">
        <f>174.344</f>
        <v>174.34399999999999</v>
      </c>
      <c r="O3113">
        <f>1653.38</f>
        <v>1653.38</v>
      </c>
      <c r="P3113">
        <f>88.95</f>
        <v>88.95</v>
      </c>
      <c r="Q3113">
        <f>979.17</f>
        <v>979.17</v>
      </c>
      <c r="R3113">
        <f>2263.15</f>
        <v>2263.15</v>
      </c>
      <c r="S3113">
        <f>1099.77</f>
        <v>1099.77</v>
      </c>
      <c r="T3113">
        <f>1627.19</f>
        <v>1627.19</v>
      </c>
      <c r="U3113">
        <f>31868.73</f>
        <v>31868.73</v>
      </c>
      <c r="V3113">
        <f>218.17</f>
        <v>218.17</v>
      </c>
    </row>
    <row r="3114" spans="1:22" x14ac:dyDescent="0.2">
      <c r="A3114" s="1">
        <v>40749</v>
      </c>
      <c r="B3114">
        <f>2323.84</f>
        <v>2323.84</v>
      </c>
      <c r="C3114">
        <f>9157.7</f>
        <v>9157.7000000000007</v>
      </c>
      <c r="D3114">
        <f>3946.34</f>
        <v>3946.34</v>
      </c>
      <c r="E3114">
        <f>2093.236</f>
        <v>2093.2359999999999</v>
      </c>
      <c r="F3114">
        <f>1387.35</f>
        <v>1387.35</v>
      </c>
      <c r="G3114">
        <f>6529.273</f>
        <v>6529.2730000000001</v>
      </c>
      <c r="H3114">
        <f>1982.12</f>
        <v>1982.12</v>
      </c>
      <c r="I3114">
        <f>6999.191</f>
        <v>6999.1909999999998</v>
      </c>
      <c r="J3114">
        <f>1655.9</f>
        <v>1655.9</v>
      </c>
      <c r="K3114">
        <f>4746.04</f>
        <v>4746.04</v>
      </c>
      <c r="L3114">
        <f>1145.84</f>
        <v>1145.8399999999999</v>
      </c>
      <c r="M3114">
        <f>4568.06</f>
        <v>4568.0600000000004</v>
      </c>
      <c r="N3114">
        <f>175.458</f>
        <v>175.458</v>
      </c>
      <c r="O3114">
        <f>1659.19</f>
        <v>1659.19</v>
      </c>
      <c r="P3114">
        <f>88.61</f>
        <v>88.61</v>
      </c>
      <c r="Q3114">
        <f>987.77</f>
        <v>987.77</v>
      </c>
      <c r="R3114">
        <f>2272.47</f>
        <v>2272.4699999999998</v>
      </c>
      <c r="S3114">
        <f>1094.32</f>
        <v>1094.32</v>
      </c>
      <c r="T3114">
        <f>1625.406</f>
        <v>1625.4059999999999</v>
      </c>
      <c r="U3114">
        <f>32065.84</f>
        <v>32065.84</v>
      </c>
      <c r="V3114">
        <f>217.94</f>
        <v>217.94</v>
      </c>
    </row>
    <row r="3115" spans="1:22" x14ac:dyDescent="0.2">
      <c r="A3115" s="1">
        <v>40746</v>
      </c>
      <c r="B3115">
        <f>2339.24</f>
        <v>2339.2399999999998</v>
      </c>
      <c r="C3115">
        <f>9176.41</f>
        <v>9176.41</v>
      </c>
      <c r="D3115">
        <f>3952.84</f>
        <v>3952.84</v>
      </c>
      <c r="E3115">
        <f>2102.321</f>
        <v>2102.3209999999999</v>
      </c>
      <c r="F3115">
        <f>1390.83</f>
        <v>1390.83</v>
      </c>
      <c r="G3115">
        <f>6551.411</f>
        <v>6551.4110000000001</v>
      </c>
      <c r="H3115">
        <f>1999.87</f>
        <v>1999.87</v>
      </c>
      <c r="I3115">
        <f>7034.049</f>
        <v>7034.049</v>
      </c>
      <c r="J3115">
        <f>1666.14</f>
        <v>1666.14</v>
      </c>
      <c r="K3115">
        <f>4773.6</f>
        <v>4773.6000000000004</v>
      </c>
      <c r="L3115">
        <f>1151.49</f>
        <v>1151.49</v>
      </c>
      <c r="M3115">
        <f>4594.41</f>
        <v>4594.41</v>
      </c>
      <c r="N3115">
        <f>175.03</f>
        <v>175.03</v>
      </c>
      <c r="O3115">
        <f>1665.27</f>
        <v>1665.27</v>
      </c>
      <c r="P3115">
        <f>88.86</f>
        <v>88.86</v>
      </c>
      <c r="Q3115">
        <f>994.66</f>
        <v>994.66</v>
      </c>
      <c r="R3115">
        <f>2285.34</f>
        <v>2285.34</v>
      </c>
      <c r="S3115">
        <f>1103.09</f>
        <v>1103.0899999999999</v>
      </c>
      <c r="T3115">
        <f>1621.48</f>
        <v>1621.48</v>
      </c>
      <c r="U3115">
        <f>32016.3</f>
        <v>32016.3</v>
      </c>
      <c r="V3115">
        <f>217.77</f>
        <v>217.77</v>
      </c>
    </row>
    <row r="3116" spans="1:22" x14ac:dyDescent="0.2">
      <c r="A3116" s="1">
        <v>40745</v>
      </c>
      <c r="B3116">
        <f>2315.82</f>
        <v>2315.8200000000002</v>
      </c>
      <c r="C3116">
        <f>9117.39</f>
        <v>9117.39</v>
      </c>
      <c r="D3116">
        <f>3929.44</f>
        <v>3929.44</v>
      </c>
      <c r="E3116">
        <f>2084.009</f>
        <v>2084.009</v>
      </c>
      <c r="F3116">
        <f>1380.7</f>
        <v>1380.7</v>
      </c>
      <c r="G3116">
        <f>6508.553</f>
        <v>6508.5529999999999</v>
      </c>
      <c r="H3116">
        <f>1974.93</f>
        <v>1974.93</v>
      </c>
      <c r="I3116">
        <f>7008.436</f>
        <v>7008.4359999999997</v>
      </c>
      <c r="J3116">
        <f>1666.1</f>
        <v>1666.1</v>
      </c>
      <c r="K3116">
        <f>4767.82</f>
        <v>4767.82</v>
      </c>
      <c r="L3116">
        <f>1147.88</f>
        <v>1147.8800000000001</v>
      </c>
      <c r="M3116">
        <f>4577.25</f>
        <v>4577.25</v>
      </c>
      <c r="N3116">
        <f>173.757</f>
        <v>173.75700000000001</v>
      </c>
      <c r="O3116">
        <f>1656.83</f>
        <v>1656.83</v>
      </c>
      <c r="P3116">
        <f>88.3</f>
        <v>88.3</v>
      </c>
      <c r="Q3116">
        <f>999.57</f>
        <v>999.57</v>
      </c>
      <c r="R3116">
        <f>2283.23</f>
        <v>2283.23</v>
      </c>
      <c r="S3116">
        <f>1092.04</f>
        <v>1092.04</v>
      </c>
      <c r="T3116">
        <f>1631.204</f>
        <v>1631.204</v>
      </c>
      <c r="U3116">
        <f>32125.79</f>
        <v>32125.79</v>
      </c>
      <c r="V3116">
        <f>219.21</f>
        <v>219.21</v>
      </c>
    </row>
    <row r="3117" spans="1:22" x14ac:dyDescent="0.2">
      <c r="A3117" s="1">
        <v>40744</v>
      </c>
      <c r="B3117">
        <f>2301.24</f>
        <v>2301.2399999999998</v>
      </c>
      <c r="C3117">
        <f>9038.49</f>
        <v>9038.49</v>
      </c>
      <c r="D3117">
        <f>3898.76</f>
        <v>3898.76</v>
      </c>
      <c r="E3117">
        <f>2071.597</f>
        <v>2071.5970000000002</v>
      </c>
      <c r="F3117">
        <f>1352.35</f>
        <v>1352.35</v>
      </c>
      <c r="G3117">
        <f>6393.565</f>
        <v>6393.5649999999996</v>
      </c>
      <c r="H3117">
        <f>1962.45</f>
        <v>1962.45</v>
      </c>
      <c r="I3117">
        <f>6831.072</f>
        <v>6831.0720000000001</v>
      </c>
      <c r="J3117">
        <f>1646.94</f>
        <v>1646.94</v>
      </c>
      <c r="K3117">
        <f>4705.01</f>
        <v>4705.01</v>
      </c>
      <c r="L3117">
        <f>1128.3</f>
        <v>1128.3</v>
      </c>
      <c r="M3117">
        <f>4510.3</f>
        <v>4510.3</v>
      </c>
      <c r="N3117">
        <f>173.649</f>
        <v>173.649</v>
      </c>
      <c r="O3117">
        <f>1638.89</f>
        <v>1638.89</v>
      </c>
      <c r="P3117">
        <f>88.49</f>
        <v>88.49</v>
      </c>
      <c r="Q3117">
        <f>989.7</f>
        <v>989.7</v>
      </c>
      <c r="R3117">
        <f>2252.52</f>
        <v>2252.52</v>
      </c>
      <c r="S3117">
        <f>1092.74</f>
        <v>1092.74</v>
      </c>
      <c r="T3117">
        <f>1627.833</f>
        <v>1627.8330000000001</v>
      </c>
      <c r="U3117">
        <f>32056.06</f>
        <v>32056.06</v>
      </c>
      <c r="V3117">
        <f>218.31</f>
        <v>218.31</v>
      </c>
    </row>
    <row r="3118" spans="1:22" x14ac:dyDescent="0.2">
      <c r="A3118" s="1">
        <v>40743</v>
      </c>
      <c r="B3118">
        <f>2278.89</f>
        <v>2278.89</v>
      </c>
      <c r="C3118">
        <f>8969.49</f>
        <v>8969.49</v>
      </c>
      <c r="D3118">
        <f>3855.27</f>
        <v>3855.27</v>
      </c>
      <c r="E3118">
        <f>2056.827</f>
        <v>2056.8270000000002</v>
      </c>
      <c r="F3118">
        <f>1346.08</f>
        <v>1346.08</v>
      </c>
      <c r="G3118">
        <f>6333.004</f>
        <v>6333.0039999999999</v>
      </c>
      <c r="H3118">
        <f>1944.78</f>
        <v>1944.78</v>
      </c>
      <c r="I3118">
        <f>6728.213</f>
        <v>6728.2129999999997</v>
      </c>
      <c r="J3118">
        <f>1650.2</f>
        <v>1650.2</v>
      </c>
      <c r="K3118">
        <f>4707.14</f>
        <v>4707.1400000000003</v>
      </c>
      <c r="L3118">
        <f>1120.39</f>
        <v>1120.3900000000001</v>
      </c>
      <c r="M3118">
        <f>4484.09</f>
        <v>4484.09</v>
      </c>
      <c r="N3118">
        <f>172.118</f>
        <v>172.11799999999999</v>
      </c>
      <c r="O3118">
        <f>1618.44</f>
        <v>1618.44</v>
      </c>
      <c r="P3118">
        <f>88.08</f>
        <v>88.08</v>
      </c>
      <c r="Q3118">
        <f>989.83</f>
        <v>989.83</v>
      </c>
      <c r="R3118">
        <f>2253.71</f>
        <v>2253.71</v>
      </c>
      <c r="S3118">
        <f>1083.97</f>
        <v>1083.97</v>
      </c>
      <c r="T3118">
        <f>1625.943</f>
        <v>1625.943</v>
      </c>
      <c r="U3118">
        <f>32058.68</f>
        <v>32058.68</v>
      </c>
      <c r="V3118">
        <f>217.44</f>
        <v>217.44</v>
      </c>
    </row>
    <row r="3119" spans="1:22" x14ac:dyDescent="0.2">
      <c r="A3119" s="1">
        <v>40742</v>
      </c>
      <c r="B3119">
        <f>2264.74</f>
        <v>2264.7399999999998</v>
      </c>
      <c r="C3119">
        <f>8903.2</f>
        <v>8903.2000000000007</v>
      </c>
      <c r="D3119">
        <f>3830.51</f>
        <v>3830.51</v>
      </c>
      <c r="E3119">
        <f>2044.249</f>
        <v>2044.249</v>
      </c>
      <c r="F3119">
        <f>1330.51</f>
        <v>1330.51</v>
      </c>
      <c r="G3119">
        <f>6235.057</f>
        <v>6235.0569999999998</v>
      </c>
      <c r="H3119">
        <f>1949.53</f>
        <v>1949.53</v>
      </c>
      <c r="I3119">
        <f>6583.493</f>
        <v>6583.4930000000004</v>
      </c>
      <c r="J3119">
        <f>1630.47</f>
        <v>1630.47</v>
      </c>
      <c r="K3119">
        <f>4631.09</f>
        <v>4631.09</v>
      </c>
      <c r="L3119">
        <f>1105.83</f>
        <v>1105.83</v>
      </c>
      <c r="M3119">
        <f>4417.67</f>
        <v>4417.67</v>
      </c>
      <c r="N3119">
        <f>171.004</f>
        <v>171.00399999999999</v>
      </c>
      <c r="O3119">
        <f>1603.3</f>
        <v>1603.3</v>
      </c>
      <c r="P3119" t="e">
        <f>NA()</f>
        <v>#N/A</v>
      </c>
      <c r="Q3119">
        <f>978.22</f>
        <v>978.22</v>
      </c>
      <c r="R3119">
        <f>2217.55</f>
        <v>2217.5500000000002</v>
      </c>
      <c r="S3119" t="e">
        <f>NA()</f>
        <v>#N/A</v>
      </c>
      <c r="T3119">
        <f>1618.688</f>
        <v>1618.6880000000001</v>
      </c>
      <c r="U3119">
        <f>31871.59</f>
        <v>31871.59</v>
      </c>
      <c r="V3119">
        <f>216.25</f>
        <v>216.25</v>
      </c>
    </row>
    <row r="3120" spans="1:22" x14ac:dyDescent="0.2">
      <c r="A3120" s="1">
        <v>40739</v>
      </c>
      <c r="B3120">
        <f>2306.59</f>
        <v>2306.59</v>
      </c>
      <c r="C3120">
        <f>8993</f>
        <v>8993</v>
      </c>
      <c r="D3120">
        <f>3891</f>
        <v>3891</v>
      </c>
      <c r="E3120">
        <f>2067.712</f>
        <v>2067.712</v>
      </c>
      <c r="F3120">
        <f>1351.81</f>
        <v>1351.81</v>
      </c>
      <c r="G3120">
        <f>6373.378</f>
        <v>6373.3779999999997</v>
      </c>
      <c r="H3120">
        <f>1950.88</f>
        <v>1950.88</v>
      </c>
      <c r="I3120">
        <f>6755.945</f>
        <v>6755.9449999999997</v>
      </c>
      <c r="J3120">
        <f>1642.82</f>
        <v>1642.82</v>
      </c>
      <c r="K3120">
        <f>4670.2</f>
        <v>4670.2</v>
      </c>
      <c r="L3120">
        <f>1120.54</f>
        <v>1120.54</v>
      </c>
      <c r="M3120">
        <f>4472.51</f>
        <v>4472.51</v>
      </c>
      <c r="N3120">
        <f>172.424</f>
        <v>172.42400000000001</v>
      </c>
      <c r="O3120">
        <f>1631.81</f>
        <v>1631.81</v>
      </c>
      <c r="P3120">
        <f>88.37</f>
        <v>88.37</v>
      </c>
      <c r="Q3120">
        <f>987.74</f>
        <v>987.74</v>
      </c>
      <c r="R3120">
        <f>2235.65</f>
        <v>2235.65</v>
      </c>
      <c r="S3120">
        <f>1091.09</f>
        <v>1091.0899999999999</v>
      </c>
      <c r="T3120">
        <f>1635.592</f>
        <v>1635.5920000000001</v>
      </c>
      <c r="U3120">
        <f>32288.43</f>
        <v>32288.43</v>
      </c>
      <c r="V3120">
        <f>218.54</f>
        <v>218.54</v>
      </c>
    </row>
    <row r="3121" spans="1:22" x14ac:dyDescent="0.2">
      <c r="A3121" s="1">
        <v>40738</v>
      </c>
      <c r="B3121">
        <f>2305.36</f>
        <v>2305.36</v>
      </c>
      <c r="C3121">
        <f>9008.98</f>
        <v>9008.98</v>
      </c>
      <c r="D3121">
        <f>3893.2</f>
        <v>3893.2</v>
      </c>
      <c r="E3121">
        <f>2067.341</f>
        <v>2067.3409999999999</v>
      </c>
      <c r="F3121">
        <f>1347.47</f>
        <v>1347.47</v>
      </c>
      <c r="G3121">
        <f>6378.812</f>
        <v>6378.8119999999999</v>
      </c>
      <c r="H3121">
        <f>1944.11</f>
        <v>1944.11</v>
      </c>
      <c r="I3121">
        <f>6801.262</f>
        <v>6801.2619999999997</v>
      </c>
      <c r="J3121">
        <f>1638.71</f>
        <v>1638.71</v>
      </c>
      <c r="K3121">
        <f>4641.78</f>
        <v>4641.78</v>
      </c>
      <c r="L3121">
        <f>1122.46</f>
        <v>1122.46</v>
      </c>
      <c r="M3121">
        <f>4464.55</f>
        <v>4464.55</v>
      </c>
      <c r="N3121">
        <f>171.989</f>
        <v>171.989</v>
      </c>
      <c r="O3121">
        <f>1636.14</f>
        <v>1636.14</v>
      </c>
      <c r="P3121">
        <f>87.98</f>
        <v>87.98</v>
      </c>
      <c r="Q3121">
        <f>984.84</f>
        <v>984.84</v>
      </c>
      <c r="R3121">
        <f>2223.29</f>
        <v>2223.29</v>
      </c>
      <c r="S3121">
        <f>1087.93</f>
        <v>1087.93</v>
      </c>
      <c r="T3121">
        <f>1618.56</f>
        <v>1618.56</v>
      </c>
      <c r="U3121">
        <f>32203.94</f>
        <v>32203.94</v>
      </c>
      <c r="V3121">
        <f>217.37</f>
        <v>217.37</v>
      </c>
    </row>
    <row r="3122" spans="1:22" x14ac:dyDescent="0.2">
      <c r="A3122" s="1">
        <v>40737</v>
      </c>
      <c r="B3122">
        <f>2334.29</f>
        <v>2334.29</v>
      </c>
      <c r="C3122">
        <f>9048.61</f>
        <v>9048.61</v>
      </c>
      <c r="D3122">
        <f>3932.8</f>
        <v>3932.8</v>
      </c>
      <c r="E3122">
        <f>2071.58</f>
        <v>2071.58</v>
      </c>
      <c r="F3122">
        <f>1359.29</f>
        <v>1359.29</v>
      </c>
      <c r="G3122">
        <f>6429.661</f>
        <v>6429.6610000000001</v>
      </c>
      <c r="H3122">
        <f>1958.54</f>
        <v>1958.54</v>
      </c>
      <c r="I3122">
        <f>6861.58</f>
        <v>6861.58</v>
      </c>
      <c r="J3122">
        <f>1645.65</f>
        <v>1645.65</v>
      </c>
      <c r="K3122">
        <f>4674.27</f>
        <v>4674.2700000000004</v>
      </c>
      <c r="L3122">
        <f>1128.27</f>
        <v>1128.27</v>
      </c>
      <c r="M3122">
        <f>4496.91</f>
        <v>4496.91</v>
      </c>
      <c r="N3122">
        <f>173.296</f>
        <v>173.29599999999999</v>
      </c>
      <c r="O3122">
        <f>1650.91</f>
        <v>1650.91</v>
      </c>
      <c r="P3122">
        <f>88.38</f>
        <v>88.38</v>
      </c>
      <c r="Q3122">
        <f>991.83</f>
        <v>991.83</v>
      </c>
      <c r="R3122">
        <f>2238.29</f>
        <v>2238.29</v>
      </c>
      <c r="S3122">
        <f>1092.58</f>
        <v>1092.58</v>
      </c>
      <c r="T3122">
        <f>1619.991</f>
        <v>1619.991</v>
      </c>
      <c r="U3122">
        <f>32310.38</f>
        <v>32310.38</v>
      </c>
      <c r="V3122">
        <f>217.17</f>
        <v>217.17</v>
      </c>
    </row>
    <row r="3123" spans="1:22" x14ac:dyDescent="0.2">
      <c r="A3123" s="1">
        <v>40736</v>
      </c>
      <c r="B3123">
        <f>2334.46</f>
        <v>2334.46</v>
      </c>
      <c r="C3123">
        <f>8914.73</f>
        <v>8914.73</v>
      </c>
      <c r="D3123">
        <f>3907.85</f>
        <v>3907.85</v>
      </c>
      <c r="E3123">
        <f>2040.797</f>
        <v>2040.797</v>
      </c>
      <c r="F3123">
        <f>1342.58</f>
        <v>1342.58</v>
      </c>
      <c r="G3123">
        <f>6320.016</f>
        <v>6320.0159999999996</v>
      </c>
      <c r="H3123">
        <f>1936.89</f>
        <v>1936.89</v>
      </c>
      <c r="I3123">
        <f>6723.129</f>
        <v>6723.1289999999999</v>
      </c>
      <c r="J3123">
        <f>1642.49</f>
        <v>1642.49</v>
      </c>
      <c r="K3123">
        <f>4658.89</f>
        <v>4658.8900000000003</v>
      </c>
      <c r="L3123">
        <f>1117.18</f>
        <v>1117.18</v>
      </c>
      <c r="M3123">
        <f>4452</f>
        <v>4452</v>
      </c>
      <c r="N3123">
        <f>172.694</f>
        <v>172.69399999999999</v>
      </c>
      <c r="O3123">
        <f>1638.62</f>
        <v>1638.62</v>
      </c>
      <c r="P3123">
        <f>88</f>
        <v>88</v>
      </c>
      <c r="Q3123">
        <f>991.33</f>
        <v>991.33</v>
      </c>
      <c r="R3123">
        <f>2231.15</f>
        <v>2231.15</v>
      </c>
      <c r="S3123">
        <f>1088.33</f>
        <v>1088.33</v>
      </c>
      <c r="T3123">
        <f>1608.683</f>
        <v>1608.683</v>
      </c>
      <c r="U3123">
        <f>31926.55</f>
        <v>31926.55</v>
      </c>
      <c r="V3123">
        <f>215.49</f>
        <v>215.49</v>
      </c>
    </row>
    <row r="3124" spans="1:22" x14ac:dyDescent="0.2">
      <c r="A3124" s="1">
        <v>40735</v>
      </c>
      <c r="B3124">
        <f>2359.83</f>
        <v>2359.83</v>
      </c>
      <c r="C3124">
        <f>9056.68</f>
        <v>9056.68</v>
      </c>
      <c r="D3124">
        <f>3947.93</f>
        <v>3947.93</v>
      </c>
      <c r="E3124">
        <f>2079.976</f>
        <v>2079.9760000000001</v>
      </c>
      <c r="F3124">
        <f>1352.21</f>
        <v>1352.21</v>
      </c>
      <c r="G3124">
        <f>6376.586</f>
        <v>6376.5860000000002</v>
      </c>
      <c r="H3124">
        <f>1941.89</f>
        <v>1941.89</v>
      </c>
      <c r="I3124">
        <f>6764.526</f>
        <v>6764.5259999999998</v>
      </c>
      <c r="J3124">
        <f>1648.12</f>
        <v>1648.12</v>
      </c>
      <c r="K3124">
        <f>4679.77</f>
        <v>4679.7700000000004</v>
      </c>
      <c r="L3124">
        <f>1123.26</f>
        <v>1123.26</v>
      </c>
      <c r="M3124">
        <f>4477.63</f>
        <v>4477.63</v>
      </c>
      <c r="N3124">
        <f>173.743</f>
        <v>173.74299999999999</v>
      </c>
      <c r="O3124">
        <f>1649.19</f>
        <v>1649.19</v>
      </c>
      <c r="P3124">
        <f>88.71</f>
        <v>88.71</v>
      </c>
      <c r="Q3124">
        <f>993.26</f>
        <v>993.26</v>
      </c>
      <c r="R3124">
        <f>2241.07</f>
        <v>2241.0700000000002</v>
      </c>
      <c r="S3124">
        <f>1104.8</f>
        <v>1104.8</v>
      </c>
      <c r="T3124">
        <f>1608.346</f>
        <v>1608.346</v>
      </c>
      <c r="U3124">
        <f>31845.02</f>
        <v>31845.02</v>
      </c>
      <c r="V3124">
        <f>215.72</f>
        <v>215.72</v>
      </c>
    </row>
    <row r="3125" spans="1:22" x14ac:dyDescent="0.2">
      <c r="A3125" s="1">
        <v>40732</v>
      </c>
      <c r="B3125">
        <f>2401.51</f>
        <v>2401.5100000000002</v>
      </c>
      <c r="C3125">
        <f>9236.79</f>
        <v>9236.7900000000009</v>
      </c>
      <c r="D3125">
        <f>3988.83</f>
        <v>3988.83</v>
      </c>
      <c r="E3125">
        <f>2117.746</f>
        <v>2117.7460000000001</v>
      </c>
      <c r="F3125">
        <f>1377.31</f>
        <v>1377.31</v>
      </c>
      <c r="G3125">
        <f>6508.605</f>
        <v>6508.6049999999996</v>
      </c>
      <c r="H3125">
        <f>1948.87</f>
        <v>1948.87</v>
      </c>
      <c r="I3125">
        <f>7030.39</f>
        <v>7030.39</v>
      </c>
      <c r="J3125">
        <f>1665.38</f>
        <v>1665.38</v>
      </c>
      <c r="K3125">
        <f>4767.2</f>
        <v>4767.2</v>
      </c>
      <c r="L3125">
        <f>1144.97</f>
        <v>1144.97</v>
      </c>
      <c r="M3125">
        <f>4573.97</f>
        <v>4573.97</v>
      </c>
      <c r="N3125">
        <f>174.454</f>
        <v>174.45400000000001</v>
      </c>
      <c r="O3125">
        <f>1672.88</f>
        <v>1672.88</v>
      </c>
      <c r="P3125">
        <f>88.74</f>
        <v>88.74</v>
      </c>
      <c r="Q3125">
        <f>1006.03</f>
        <v>1006.03</v>
      </c>
      <c r="R3125">
        <f>2282.32</f>
        <v>2282.3200000000002</v>
      </c>
      <c r="S3125">
        <f>1110.11</f>
        <v>1110.1099999999999</v>
      </c>
      <c r="T3125">
        <f>1624.408</f>
        <v>1624.4079999999999</v>
      </c>
      <c r="U3125">
        <f>32002.33</f>
        <v>32002.33</v>
      </c>
      <c r="V3125">
        <f>216.36</f>
        <v>216.36</v>
      </c>
    </row>
    <row r="3126" spans="1:22" x14ac:dyDescent="0.2">
      <c r="A3126" s="1">
        <v>40731</v>
      </c>
      <c r="B3126">
        <f>2413.15</f>
        <v>2413.15</v>
      </c>
      <c r="C3126">
        <f>9265.46</f>
        <v>9265.4599999999991</v>
      </c>
      <c r="D3126">
        <f>4031.43</f>
        <v>4031.43</v>
      </c>
      <c r="E3126">
        <f>2123.941</f>
        <v>2123.9409999999998</v>
      </c>
      <c r="F3126">
        <f>1377.17</f>
        <v>1377.17</v>
      </c>
      <c r="G3126">
        <f>6548.429</f>
        <v>6548.4290000000001</v>
      </c>
      <c r="H3126">
        <f>1927.86</f>
        <v>1927.86</v>
      </c>
      <c r="I3126">
        <f>7169.332</f>
        <v>7169.3320000000003</v>
      </c>
      <c r="J3126">
        <f>1673.62</f>
        <v>1673.62</v>
      </c>
      <c r="K3126">
        <f>4799.64</f>
        <v>4799.6400000000003</v>
      </c>
      <c r="L3126">
        <f>1152.66</f>
        <v>1152.6600000000001</v>
      </c>
      <c r="M3126">
        <f>4605.39</f>
        <v>4605.3900000000003</v>
      </c>
      <c r="N3126">
        <f>174.115</f>
        <v>174.11500000000001</v>
      </c>
      <c r="O3126">
        <f>1686.41</f>
        <v>1686.41</v>
      </c>
      <c r="P3126">
        <f>88.51</f>
        <v>88.51</v>
      </c>
      <c r="Q3126">
        <f>1013.76</f>
        <v>1013.76</v>
      </c>
      <c r="R3126">
        <f>2298.31</f>
        <v>2298.31</v>
      </c>
      <c r="S3126">
        <f>1105.2</f>
        <v>1105.2</v>
      </c>
      <c r="T3126">
        <f>1631.405</f>
        <v>1631.405</v>
      </c>
      <c r="U3126">
        <f>32296.07</f>
        <v>32296.07</v>
      </c>
      <c r="V3126">
        <f>216.73</f>
        <v>216.73</v>
      </c>
    </row>
    <row r="3127" spans="1:22" x14ac:dyDescent="0.2">
      <c r="A3127" s="1">
        <v>40730</v>
      </c>
      <c r="B3127">
        <f>2401.47</f>
        <v>2401.4699999999998</v>
      </c>
      <c r="C3127">
        <f>9231.73</f>
        <v>9231.73</v>
      </c>
      <c r="D3127">
        <f>3997.05</f>
        <v>3997.05</v>
      </c>
      <c r="E3127">
        <f>2111.354</f>
        <v>2111.3539999999998</v>
      </c>
      <c r="F3127">
        <f>1364.73</f>
        <v>1364.73</v>
      </c>
      <c r="G3127">
        <f>6490.655</f>
        <v>6490.6549999999997</v>
      </c>
      <c r="H3127">
        <f>1942.24</f>
        <v>1942.24</v>
      </c>
      <c r="I3127">
        <f>7109.897</f>
        <v>7109.8969999999999</v>
      </c>
      <c r="J3127">
        <f>1662.05</f>
        <v>1662.05</v>
      </c>
      <c r="K3127">
        <f>4749.96</f>
        <v>4749.96</v>
      </c>
      <c r="L3127">
        <f>1146.9</f>
        <v>1146.9000000000001</v>
      </c>
      <c r="M3127">
        <f>4569.73</f>
        <v>4569.7299999999996</v>
      </c>
      <c r="N3127">
        <f>173.449</f>
        <v>173.44900000000001</v>
      </c>
      <c r="O3127">
        <f>1678.77</f>
        <v>1678.77</v>
      </c>
      <c r="P3127">
        <f>88.48</f>
        <v>88.48</v>
      </c>
      <c r="Q3127">
        <f>1004.4</f>
        <v>1004.4</v>
      </c>
      <c r="R3127">
        <f>2274.42</f>
        <v>2274.42</v>
      </c>
      <c r="S3127">
        <f>1109.05</f>
        <v>1109.05</v>
      </c>
      <c r="T3127">
        <f>1629.856</f>
        <v>1629.856</v>
      </c>
      <c r="U3127">
        <f>32130.71</f>
        <v>32130.71</v>
      </c>
      <c r="V3127">
        <f>215.79</f>
        <v>215.79</v>
      </c>
    </row>
    <row r="3128" spans="1:22" x14ac:dyDescent="0.2">
      <c r="A3128" s="1">
        <v>40729</v>
      </c>
      <c r="B3128">
        <f>2415.46</f>
        <v>2415.46</v>
      </c>
      <c r="C3128">
        <f>9299.68</f>
        <v>9299.68</v>
      </c>
      <c r="D3128">
        <f>4010.72</f>
        <v>4010.72</v>
      </c>
      <c r="E3128">
        <f>2120.225</f>
        <v>2120.2249999999999</v>
      </c>
      <c r="F3128">
        <f>1376.98</f>
        <v>1376.98</v>
      </c>
      <c r="G3128">
        <f>6561.48</f>
        <v>6561.48</v>
      </c>
      <c r="H3128">
        <f>1927.3</f>
        <v>1927.3</v>
      </c>
      <c r="I3128">
        <f>7217.867</f>
        <v>7217.8670000000002</v>
      </c>
      <c r="J3128">
        <f>1656.13</f>
        <v>1656.13</v>
      </c>
      <c r="K3128">
        <f>4743.4</f>
        <v>4743.3999999999996</v>
      </c>
      <c r="L3128">
        <f>1152.88</f>
        <v>1152.8800000000001</v>
      </c>
      <c r="M3128">
        <f>4582.3</f>
        <v>4582.3</v>
      </c>
      <c r="N3128">
        <f>173.024</f>
        <v>173.024</v>
      </c>
      <c r="O3128">
        <f>1683.48</f>
        <v>1683.48</v>
      </c>
      <c r="P3128">
        <f>88.1</f>
        <v>88.1</v>
      </c>
      <c r="Q3128">
        <f>1000.33</f>
        <v>1000.33</v>
      </c>
      <c r="R3128">
        <f>2271.29</f>
        <v>2271.29</v>
      </c>
      <c r="S3128">
        <f>1098.47</f>
        <v>1098.47</v>
      </c>
      <c r="T3128">
        <f>1637.663</f>
        <v>1637.663</v>
      </c>
      <c r="U3128">
        <f>32254.24</f>
        <v>32254.240000000002</v>
      </c>
      <c r="V3128">
        <f>216.47</f>
        <v>216.47</v>
      </c>
    </row>
    <row r="3129" spans="1:22" x14ac:dyDescent="0.2">
      <c r="A3129" s="1">
        <v>40728</v>
      </c>
      <c r="B3129">
        <f>2407.34</f>
        <v>2407.34</v>
      </c>
      <c r="C3129">
        <f>9331.85</f>
        <v>9331.85</v>
      </c>
      <c r="D3129">
        <f>4006.4</f>
        <v>4006.4</v>
      </c>
      <c r="E3129">
        <f>2125.98</f>
        <v>2125.98</v>
      </c>
      <c r="F3129">
        <f>1369.44</f>
        <v>1369.44</v>
      </c>
      <c r="G3129">
        <f>6541.647</f>
        <v>6541.6469999999999</v>
      </c>
      <c r="H3129">
        <f>1927.96</f>
        <v>1927.96</v>
      </c>
      <c r="I3129">
        <f>7256.42</f>
        <v>7256.42</v>
      </c>
      <c r="J3129">
        <f>1659.26</f>
        <v>1659.26</v>
      </c>
      <c r="K3129">
        <f>4747.76</f>
        <v>4747.76</v>
      </c>
      <c r="L3129">
        <f>1154.76</f>
        <v>1154.76</v>
      </c>
      <c r="M3129">
        <f>4589.62</f>
        <v>4589.62</v>
      </c>
      <c r="N3129">
        <f>172.425</f>
        <v>172.42500000000001</v>
      </c>
      <c r="O3129">
        <f>1683.89</f>
        <v>1683.89</v>
      </c>
      <c r="P3129">
        <f>87.87</f>
        <v>87.87</v>
      </c>
      <c r="Q3129" t="e">
        <f>NA()</f>
        <v>#N/A</v>
      </c>
      <c r="R3129" t="e">
        <f>NA()</f>
        <v>#N/A</v>
      </c>
      <c r="S3129">
        <f>1097.11</f>
        <v>1097.1099999999999</v>
      </c>
      <c r="T3129">
        <f>1629.584</f>
        <v>1629.5840000000001</v>
      </c>
      <c r="U3129">
        <f>32077.79</f>
        <v>32077.79</v>
      </c>
      <c r="V3129">
        <f>215.01</f>
        <v>215.01</v>
      </c>
    </row>
    <row r="3130" spans="1:22" x14ac:dyDescent="0.2">
      <c r="A3130" s="1">
        <v>40725</v>
      </c>
      <c r="B3130">
        <f>2391.29</f>
        <v>2391.29</v>
      </c>
      <c r="C3130">
        <f>9239.28</f>
        <v>9239.2800000000007</v>
      </c>
      <c r="D3130">
        <f>3987.91</f>
        <v>3987.91</v>
      </c>
      <c r="E3130">
        <f>2102.577</f>
        <v>2102.5770000000002</v>
      </c>
      <c r="F3130">
        <f>1357.92</f>
        <v>1357.92</v>
      </c>
      <c r="G3130">
        <f>6504.59</f>
        <v>6504.59</v>
      </c>
      <c r="H3130">
        <f>1902.16</f>
        <v>1902.16</v>
      </c>
      <c r="I3130">
        <f>7231.022</f>
        <v>7231.0219999999999</v>
      </c>
      <c r="J3130">
        <f>1659.26</f>
        <v>1659.26</v>
      </c>
      <c r="K3130">
        <f>4747.76</f>
        <v>4747.76</v>
      </c>
      <c r="L3130">
        <f>1151.33</f>
        <v>1151.33</v>
      </c>
      <c r="M3130">
        <f>4574.58</f>
        <v>4574.58</v>
      </c>
      <c r="N3130">
        <f>171.717</f>
        <v>171.71700000000001</v>
      </c>
      <c r="O3130">
        <f>1679.84</f>
        <v>1679.84</v>
      </c>
      <c r="P3130">
        <f>87.13</f>
        <v>87.13</v>
      </c>
      <c r="Q3130">
        <f>1004.12</f>
        <v>1004.12</v>
      </c>
      <c r="R3130">
        <f>2274.26</f>
        <v>2274.2600000000002</v>
      </c>
      <c r="S3130">
        <f>1084.1</f>
        <v>1084.0999999999999</v>
      </c>
      <c r="T3130">
        <f>1623.418</f>
        <v>1623.4179999999999</v>
      </c>
      <c r="U3130">
        <f>31925.47</f>
        <v>31925.47</v>
      </c>
      <c r="V3130">
        <f>214.23</f>
        <v>214.23</v>
      </c>
    </row>
    <row r="3131" spans="1:22" x14ac:dyDescent="0.2">
      <c r="A3131" s="1">
        <v>40724</v>
      </c>
      <c r="B3131">
        <f>2373.9</f>
        <v>2373.9</v>
      </c>
      <c r="C3131">
        <f>9163.44</f>
        <v>9163.44</v>
      </c>
      <c r="D3131">
        <f>3958.58</f>
        <v>3958.58</v>
      </c>
      <c r="E3131">
        <f>2083.31</f>
        <v>2083.31</v>
      </c>
      <c r="F3131">
        <f>1355.53</f>
        <v>1355.53</v>
      </c>
      <c r="G3131">
        <f>6460.386</f>
        <v>6460.3860000000004</v>
      </c>
      <c r="H3131">
        <f>1892.26</f>
        <v>1892.26</v>
      </c>
      <c r="I3131">
        <f>7187.706</f>
        <v>7187.7060000000001</v>
      </c>
      <c r="J3131">
        <f>1642.29</f>
        <v>1642.29</v>
      </c>
      <c r="K3131">
        <f>4679.9</f>
        <v>4679.8999999999996</v>
      </c>
      <c r="L3131">
        <f>1144.91</f>
        <v>1144.9100000000001</v>
      </c>
      <c r="M3131">
        <f>4531.21</f>
        <v>4531.21</v>
      </c>
      <c r="N3131">
        <f>170.779</f>
        <v>170.779</v>
      </c>
      <c r="O3131">
        <f>1666.47</f>
        <v>1666.47</v>
      </c>
      <c r="P3131">
        <f>86.92</f>
        <v>86.92</v>
      </c>
      <c r="Q3131">
        <f>988.98</f>
        <v>988.98</v>
      </c>
      <c r="R3131">
        <f>2241.66</f>
        <v>2241.66</v>
      </c>
      <c r="S3131">
        <f>1078.22</f>
        <v>1078.22</v>
      </c>
      <c r="T3131">
        <f>1607.709</f>
        <v>1607.7090000000001</v>
      </c>
      <c r="U3131">
        <f>31864.54</f>
        <v>31864.54</v>
      </c>
      <c r="V3131">
        <f>212.56</f>
        <v>212.56</v>
      </c>
    </row>
    <row r="3132" spans="1:22" x14ac:dyDescent="0.2">
      <c r="A3132" s="1">
        <v>40723</v>
      </c>
      <c r="B3132">
        <f>2355.61</f>
        <v>2355.61</v>
      </c>
      <c r="C3132">
        <f>9044.05</f>
        <v>9044.0499999999993</v>
      </c>
      <c r="D3132">
        <f>3898.82</f>
        <v>3898.82</v>
      </c>
      <c r="E3132">
        <f>2058.566</f>
        <v>2058.5659999999998</v>
      </c>
      <c r="F3132">
        <f>1338.91</f>
        <v>1338.91</v>
      </c>
      <c r="G3132">
        <f>6350.637</f>
        <v>6350.6369999999997</v>
      </c>
      <c r="H3132">
        <f>1874.63</f>
        <v>1874.63</v>
      </c>
      <c r="I3132">
        <f>7051.918</f>
        <v>7051.9179999999997</v>
      </c>
      <c r="J3132">
        <f>1626.18</f>
        <v>1626.18</v>
      </c>
      <c r="K3132">
        <f>4633.55</f>
        <v>4633.55</v>
      </c>
      <c r="L3132">
        <f>1129.48</f>
        <v>1129.48</v>
      </c>
      <c r="M3132">
        <f>4472.52</f>
        <v>4472.5200000000004</v>
      </c>
      <c r="N3132">
        <f>169.926</f>
        <v>169.92599999999999</v>
      </c>
      <c r="O3132">
        <f>1648.41</f>
        <v>1648.41</v>
      </c>
      <c r="P3132">
        <f>86.51</f>
        <v>86.51</v>
      </c>
      <c r="Q3132">
        <f>979.98</f>
        <v>979.98</v>
      </c>
      <c r="R3132">
        <f>2219.2</f>
        <v>2219.1999999999998</v>
      </c>
      <c r="S3132">
        <f>1071.73</f>
        <v>1071.73</v>
      </c>
      <c r="T3132">
        <f>1595.1</f>
        <v>1595.1</v>
      </c>
      <c r="U3132">
        <f>31726.3</f>
        <v>31726.3</v>
      </c>
      <c r="V3132">
        <f>211.39</f>
        <v>211.39</v>
      </c>
    </row>
    <row r="3133" spans="1:22" x14ac:dyDescent="0.2">
      <c r="A3133" s="1">
        <v>40722</v>
      </c>
      <c r="B3133">
        <f>2327.92</f>
        <v>2327.92</v>
      </c>
      <c r="C3133">
        <f>8954.2</f>
        <v>8954.2000000000007</v>
      </c>
      <c r="D3133">
        <f>3838.64</f>
        <v>3838.64</v>
      </c>
      <c r="E3133">
        <f>2036.006</f>
        <v>2036.0060000000001</v>
      </c>
      <c r="F3133">
        <f>1318.53</f>
        <v>1318.53</v>
      </c>
      <c r="G3133">
        <f>6244.677</f>
        <v>6244.6769999999997</v>
      </c>
      <c r="H3133">
        <f>1848.84</f>
        <v>1848.84</v>
      </c>
      <c r="I3133">
        <f>6910.735</f>
        <v>6910.7349999999997</v>
      </c>
      <c r="J3133">
        <f>1618.22</f>
        <v>1618.22</v>
      </c>
      <c r="K3133">
        <f>4594.72</f>
        <v>4594.72</v>
      </c>
      <c r="L3133">
        <f>1114.71</f>
        <v>1114.71</v>
      </c>
      <c r="M3133">
        <f>4412.36</f>
        <v>4412.3599999999997</v>
      </c>
      <c r="N3133">
        <f>168.298</f>
        <v>168.298</v>
      </c>
      <c r="O3133">
        <f>1621.47</f>
        <v>1621.47</v>
      </c>
      <c r="P3133">
        <f>85.32</f>
        <v>85.32</v>
      </c>
      <c r="Q3133">
        <f>974.35</f>
        <v>974.35</v>
      </c>
      <c r="R3133">
        <f>2200.68</f>
        <v>2200.6799999999998</v>
      </c>
      <c r="S3133">
        <f>1054.24</f>
        <v>1054.24</v>
      </c>
      <c r="T3133">
        <f>1585.875</f>
        <v>1585.875</v>
      </c>
      <c r="U3133">
        <f>31291.65</f>
        <v>31291.65</v>
      </c>
      <c r="V3133">
        <f>209.35</f>
        <v>209.35</v>
      </c>
    </row>
    <row r="3134" spans="1:22" x14ac:dyDescent="0.2">
      <c r="A3134" s="1">
        <v>40721</v>
      </c>
      <c r="B3134">
        <f>2324.93</f>
        <v>2324.9299999999998</v>
      </c>
      <c r="C3134">
        <f>8872.68</f>
        <v>8872.68</v>
      </c>
      <c r="D3134">
        <f>3808.99</f>
        <v>3808.99</v>
      </c>
      <c r="E3134">
        <f>2020.037</f>
        <v>2020.037</v>
      </c>
      <c r="F3134">
        <f>1314.59</f>
        <v>1314.59</v>
      </c>
      <c r="G3134">
        <f>6198.03</f>
        <v>6198.03</v>
      </c>
      <c r="H3134">
        <f>1834.96</f>
        <v>1834.96</v>
      </c>
      <c r="I3134">
        <f>6828.684</f>
        <v>6828.6840000000002</v>
      </c>
      <c r="J3134">
        <f>1599.78</f>
        <v>1599.78</v>
      </c>
      <c r="K3134">
        <f>4534.29</f>
        <v>4534.29</v>
      </c>
      <c r="L3134">
        <f>1105.29</f>
        <v>1105.29</v>
      </c>
      <c r="M3134">
        <f>4361.48</f>
        <v>4361.4799999999996</v>
      </c>
      <c r="N3134">
        <f>168.691</f>
        <v>168.691</v>
      </c>
      <c r="O3134">
        <f>1611.87</f>
        <v>1611.87</v>
      </c>
      <c r="P3134">
        <f>84.58</f>
        <v>84.58</v>
      </c>
      <c r="Q3134">
        <f>964.45</f>
        <v>964.45</v>
      </c>
      <c r="R3134">
        <f>2172.08</f>
        <v>2172.08</v>
      </c>
      <c r="S3134">
        <f>1047.47</f>
        <v>1047.47</v>
      </c>
      <c r="T3134">
        <f>1564.754</f>
        <v>1564.7539999999999</v>
      </c>
      <c r="U3134">
        <f>30897.05</f>
        <v>30897.05</v>
      </c>
      <c r="V3134">
        <f>207.03</f>
        <v>207.03</v>
      </c>
    </row>
    <row r="3135" spans="1:22" x14ac:dyDescent="0.2">
      <c r="A3135" s="1">
        <v>40718</v>
      </c>
      <c r="B3135">
        <f>2315.95</f>
        <v>2315.9499999999998</v>
      </c>
      <c r="C3135">
        <f>8890.67</f>
        <v>8890.67</v>
      </c>
      <c r="D3135">
        <f>3792.6</f>
        <v>3792.6</v>
      </c>
      <c r="E3135">
        <f>2025.603</f>
        <v>2025.6030000000001</v>
      </c>
      <c r="F3135">
        <f>1308.35</f>
        <v>1308.3499999999999</v>
      </c>
      <c r="G3135">
        <f>6158.559</f>
        <v>6158.5590000000002</v>
      </c>
      <c r="H3135">
        <f>1860.2</f>
        <v>1860.2</v>
      </c>
      <c r="I3135">
        <f>6765.326</f>
        <v>6765.326</v>
      </c>
      <c r="J3135">
        <f>1587.08</f>
        <v>1587.08</v>
      </c>
      <c r="K3135">
        <f>4493.65</f>
        <v>4493.6499999999996</v>
      </c>
      <c r="L3135">
        <f>1100.74</f>
        <v>1100.74</v>
      </c>
      <c r="M3135">
        <f>4339.96</f>
        <v>4339.96</v>
      </c>
      <c r="N3135">
        <f>169.147</f>
        <v>169.14699999999999</v>
      </c>
      <c r="O3135">
        <f>1612.69</f>
        <v>1612.69</v>
      </c>
      <c r="P3135">
        <f>85.27</f>
        <v>85.27</v>
      </c>
      <c r="Q3135">
        <f>959.14</f>
        <v>959.14</v>
      </c>
      <c r="R3135">
        <f>2152.31</f>
        <v>2152.31</v>
      </c>
      <c r="S3135">
        <f>1057.06</f>
        <v>1057.06</v>
      </c>
      <c r="T3135">
        <f>1556.175</f>
        <v>1556.175</v>
      </c>
      <c r="U3135">
        <f>30680.23</f>
        <v>30680.23</v>
      </c>
      <c r="V3135">
        <f>206.34</f>
        <v>206.34</v>
      </c>
    </row>
    <row r="3136" spans="1:22" x14ac:dyDescent="0.2">
      <c r="A3136" s="1">
        <v>40717</v>
      </c>
      <c r="B3136">
        <f>2307.62</f>
        <v>2307.62</v>
      </c>
      <c r="C3136">
        <f>8839.72</f>
        <v>8839.7199999999993</v>
      </c>
      <c r="D3136">
        <f>3777.07</f>
        <v>3777.07</v>
      </c>
      <c r="E3136">
        <f>2006.771</f>
        <v>2006.771</v>
      </c>
      <c r="F3136">
        <f>1303.84</f>
        <v>1303.8399999999999</v>
      </c>
      <c r="G3136">
        <f>6137.916</f>
        <v>6137.9160000000002</v>
      </c>
      <c r="H3136">
        <f>1846.41</f>
        <v>1846.41</v>
      </c>
      <c r="I3136">
        <f>6776.972</f>
        <v>6776.9719999999998</v>
      </c>
      <c r="J3136">
        <f>1603.75</f>
        <v>1603.75</v>
      </c>
      <c r="K3136">
        <f>4546.29</f>
        <v>4546.29</v>
      </c>
      <c r="L3136">
        <f>1103.11</f>
        <v>1103.1099999999999</v>
      </c>
      <c r="M3136">
        <f>4360.55</f>
        <v>4360.55</v>
      </c>
      <c r="N3136">
        <f>168.622</f>
        <v>168.62200000000001</v>
      </c>
      <c r="O3136">
        <f>1614.23</f>
        <v>1614.23</v>
      </c>
      <c r="P3136">
        <f>85.16</f>
        <v>85.16</v>
      </c>
      <c r="Q3136">
        <f>968.54</f>
        <v>968.54</v>
      </c>
      <c r="R3136">
        <f>2177.85</f>
        <v>2177.85</v>
      </c>
      <c r="S3136">
        <f>1047.3</f>
        <v>1047.3</v>
      </c>
      <c r="T3136">
        <f>1553.97</f>
        <v>1553.97</v>
      </c>
      <c r="U3136">
        <f>30326.54</f>
        <v>30326.54</v>
      </c>
      <c r="V3136">
        <f>204.94</f>
        <v>204.94</v>
      </c>
    </row>
    <row r="3137" spans="1:22" x14ac:dyDescent="0.2">
      <c r="A3137" s="1">
        <v>40716</v>
      </c>
      <c r="B3137">
        <f>2342.54</f>
        <v>2342.54</v>
      </c>
      <c r="C3137">
        <f>8937.31</f>
        <v>8937.31</v>
      </c>
      <c r="D3137">
        <f>3842.7</f>
        <v>3842.7</v>
      </c>
      <c r="E3137">
        <f>2026.621</f>
        <v>2026.6210000000001</v>
      </c>
      <c r="F3137">
        <f>1334.67</f>
        <v>1334.67</v>
      </c>
      <c r="G3137">
        <f>6305.331</f>
        <v>6305.3310000000001</v>
      </c>
      <c r="H3137">
        <f>1870.18</f>
        <v>1870.18</v>
      </c>
      <c r="I3137">
        <f>7034.471</f>
        <v>7034.4709999999995</v>
      </c>
      <c r="J3137">
        <f>1612.23</f>
        <v>1612.23</v>
      </c>
      <c r="K3137">
        <f>4557.52</f>
        <v>4557.5200000000004</v>
      </c>
      <c r="L3137">
        <f>1123.68</f>
        <v>1123.68</v>
      </c>
      <c r="M3137">
        <f>4421.62</f>
        <v>4421.62</v>
      </c>
      <c r="N3137">
        <f>169.803</f>
        <v>169.803</v>
      </c>
      <c r="O3137">
        <f>1639.77</f>
        <v>1639.77</v>
      </c>
      <c r="P3137">
        <f>85.76</f>
        <v>85.76</v>
      </c>
      <c r="Q3137">
        <f>971.12</f>
        <v>971.12</v>
      </c>
      <c r="R3137">
        <f>2184.03</f>
        <v>2184.0300000000002</v>
      </c>
      <c r="S3137">
        <f>1051.72</f>
        <v>1051.72</v>
      </c>
      <c r="T3137">
        <f>1572.27</f>
        <v>1572.27</v>
      </c>
      <c r="U3137">
        <f>30792.87</f>
        <v>30792.87</v>
      </c>
      <c r="V3137">
        <f>207.32</f>
        <v>207.32</v>
      </c>
    </row>
    <row r="3138" spans="1:22" x14ac:dyDescent="0.2">
      <c r="A3138" s="1">
        <v>40715</v>
      </c>
      <c r="B3138">
        <f>2343.02</f>
        <v>2343.02</v>
      </c>
      <c r="C3138">
        <f>8949.66</f>
        <v>8949.66</v>
      </c>
      <c r="D3138">
        <f>3843.22</f>
        <v>3843.22</v>
      </c>
      <c r="E3138">
        <f>2020.504</f>
        <v>2020.5039999999999</v>
      </c>
      <c r="F3138">
        <f>1336.52</f>
        <v>1336.52</v>
      </c>
      <c r="G3138">
        <f>6337.138</f>
        <v>6337.1379999999999</v>
      </c>
      <c r="H3138">
        <f>1841.6</f>
        <v>1841.6</v>
      </c>
      <c r="I3138">
        <f>7032.593</f>
        <v>7032.5929999999998</v>
      </c>
      <c r="J3138">
        <f>1622.69</f>
        <v>1622.69</v>
      </c>
      <c r="K3138">
        <f>4585.69</f>
        <v>4585.6899999999996</v>
      </c>
      <c r="L3138">
        <f>1126.26</f>
        <v>1126.26</v>
      </c>
      <c r="M3138">
        <f>4429.02</f>
        <v>4429.0200000000004</v>
      </c>
      <c r="N3138">
        <f>170.358</f>
        <v>170.358</v>
      </c>
      <c r="O3138">
        <f>1646.74</f>
        <v>1646.74</v>
      </c>
      <c r="P3138">
        <f>84.62</f>
        <v>84.62</v>
      </c>
      <c r="Q3138">
        <f>976.83</f>
        <v>976.83</v>
      </c>
      <c r="R3138">
        <f>2198.15</f>
        <v>2198.15</v>
      </c>
      <c r="S3138">
        <f>1034.89</f>
        <v>1034.8900000000001</v>
      </c>
      <c r="T3138">
        <f>1576.939</f>
        <v>1576.9390000000001</v>
      </c>
      <c r="U3138">
        <f>30971.88</f>
        <v>30971.88</v>
      </c>
      <c r="V3138">
        <f>208.59</f>
        <v>208.59</v>
      </c>
    </row>
    <row r="3139" spans="1:22" x14ac:dyDescent="0.2">
      <c r="A3139" s="1">
        <v>40714</v>
      </c>
      <c r="B3139">
        <f>2321.31</f>
        <v>2321.31</v>
      </c>
      <c r="C3139">
        <f>8860.47</f>
        <v>8860.4699999999993</v>
      </c>
      <c r="D3139">
        <f>3788.71</f>
        <v>3788.71</v>
      </c>
      <c r="E3139">
        <f>1993.779</f>
        <v>1993.779</v>
      </c>
      <c r="F3139">
        <f>1322.37</f>
        <v>1322.37</v>
      </c>
      <c r="G3139">
        <f>6245.246</f>
        <v>6245.2460000000001</v>
      </c>
      <c r="H3139">
        <f>1820.41</f>
        <v>1820.41</v>
      </c>
      <c r="I3139">
        <f>6889.894</f>
        <v>6889.8940000000002</v>
      </c>
      <c r="J3139">
        <f>1611.17</f>
        <v>1611.17</v>
      </c>
      <c r="K3139">
        <f>4522.41</f>
        <v>4522.41</v>
      </c>
      <c r="L3139">
        <f>1113.12</f>
        <v>1113.1199999999999</v>
      </c>
      <c r="M3139">
        <f>4359.94</f>
        <v>4359.9399999999996</v>
      </c>
      <c r="N3139">
        <f>169.307</f>
        <v>169.30699999999999</v>
      </c>
      <c r="O3139">
        <f>1623.56</f>
        <v>1623.56</v>
      </c>
      <c r="P3139">
        <f>83.8</f>
        <v>83.8</v>
      </c>
      <c r="Q3139">
        <f>969.78</f>
        <v>969.78</v>
      </c>
      <c r="R3139">
        <f>2168.8</f>
        <v>2168.8000000000002</v>
      </c>
      <c r="S3139">
        <f>1023.61</f>
        <v>1023.61</v>
      </c>
      <c r="T3139">
        <f>1566.598</f>
        <v>1566.598</v>
      </c>
      <c r="U3139">
        <f>30627.65</f>
        <v>30627.65</v>
      </c>
      <c r="V3139">
        <f>207.4</f>
        <v>207.4</v>
      </c>
    </row>
    <row r="3140" spans="1:22" x14ac:dyDescent="0.2">
      <c r="A3140" s="1">
        <v>40711</v>
      </c>
      <c r="B3140">
        <f>2339.62</f>
        <v>2339.62</v>
      </c>
      <c r="C3140">
        <f>8880.72</f>
        <v>8880.7199999999993</v>
      </c>
      <c r="D3140">
        <f>3803.05</f>
        <v>3803.05</v>
      </c>
      <c r="E3140">
        <f>2003.318</f>
        <v>2003.318</v>
      </c>
      <c r="F3140">
        <f>1319.56</f>
        <v>1319.56</v>
      </c>
      <c r="G3140">
        <f>6251.223</f>
        <v>6251.223</v>
      </c>
      <c r="H3140">
        <f>1818.54</f>
        <v>1818.54</v>
      </c>
      <c r="I3140">
        <f>6931.308</f>
        <v>6931.308</v>
      </c>
      <c r="J3140">
        <f>1600.59</f>
        <v>1600.59</v>
      </c>
      <c r="K3140">
        <f>4498.08</f>
        <v>4498.08</v>
      </c>
      <c r="L3140">
        <f>1111.58</f>
        <v>1111.58</v>
      </c>
      <c r="M3140">
        <f>4356.21</f>
        <v>4356.21</v>
      </c>
      <c r="N3140">
        <f>170.023</f>
        <v>170.023</v>
      </c>
      <c r="O3140">
        <f>1631.61</f>
        <v>1631.61</v>
      </c>
      <c r="P3140">
        <f>83.41</f>
        <v>83.41</v>
      </c>
      <c r="Q3140">
        <f>961.89</f>
        <v>961.89</v>
      </c>
      <c r="R3140">
        <f>2157.14</f>
        <v>2157.14</v>
      </c>
      <c r="S3140">
        <f>1021.71</f>
        <v>1021.71</v>
      </c>
      <c r="T3140">
        <f>1567.786</f>
        <v>1567.7860000000001</v>
      </c>
      <c r="U3140">
        <f>30669.26</f>
        <v>30669.26</v>
      </c>
      <c r="V3140">
        <f>209.34</f>
        <v>209.34</v>
      </c>
    </row>
    <row r="3141" spans="1:22" x14ac:dyDescent="0.2">
      <c r="A3141" s="1">
        <v>40710</v>
      </c>
      <c r="B3141">
        <f>2330.76</f>
        <v>2330.7600000000002</v>
      </c>
      <c r="C3141">
        <f>8872.15</f>
        <v>8872.15</v>
      </c>
      <c r="D3141">
        <f>3792.32</f>
        <v>3792.32</v>
      </c>
      <c r="E3141">
        <f>2009.767</f>
        <v>2009.7670000000001</v>
      </c>
      <c r="F3141">
        <f>1311.02</f>
        <v>1311.02</v>
      </c>
      <c r="G3141">
        <f>6217.247</f>
        <v>6217.2470000000003</v>
      </c>
      <c r="H3141">
        <f>1814.85</f>
        <v>1814.85</v>
      </c>
      <c r="I3141">
        <f>6815.111</f>
        <v>6815.1109999999999</v>
      </c>
      <c r="J3141">
        <f>1595.99</f>
        <v>1595.99</v>
      </c>
      <c r="K3141">
        <f>4485.92</f>
        <v>4485.92</v>
      </c>
      <c r="L3141">
        <f>1101.67</f>
        <v>1101.67</v>
      </c>
      <c r="M3141">
        <f>4332.33</f>
        <v>4332.33</v>
      </c>
      <c r="N3141">
        <f>170.213</f>
        <v>170.21299999999999</v>
      </c>
      <c r="O3141">
        <f>1627.64</f>
        <v>1627.64</v>
      </c>
      <c r="P3141">
        <f>84.13</f>
        <v>84.13</v>
      </c>
      <c r="Q3141">
        <f>959.34</f>
        <v>959.34</v>
      </c>
      <c r="R3141">
        <f>2150.58</f>
        <v>2150.58</v>
      </c>
      <c r="S3141">
        <f>1030.68</f>
        <v>1030.68</v>
      </c>
      <c r="T3141" t="e">
        <f>NA()</f>
        <v>#N/A</v>
      </c>
      <c r="U3141" t="e">
        <f>NA()</f>
        <v>#N/A</v>
      </c>
      <c r="V3141" t="e">
        <f>NA()</f>
        <v>#N/A</v>
      </c>
    </row>
    <row r="3142" spans="1:22" x14ac:dyDescent="0.2">
      <c r="A3142" s="1">
        <v>40709</v>
      </c>
      <c r="B3142">
        <f>2350.92</f>
        <v>2350.92</v>
      </c>
      <c r="C3142">
        <f>9001.46</f>
        <v>9001.4599999999991</v>
      </c>
      <c r="D3142">
        <f>3821.42</f>
        <v>3821.42</v>
      </c>
      <c r="E3142">
        <f>2045.786</f>
        <v>2045.7860000000001</v>
      </c>
      <c r="F3142">
        <f>1330.81</f>
        <v>1330.81</v>
      </c>
      <c r="G3142">
        <f>6315.866</f>
        <v>6315.866</v>
      </c>
      <c r="H3142">
        <f>1845.78</f>
        <v>1845.78</v>
      </c>
      <c r="I3142">
        <f>6912.107</f>
        <v>6912.107</v>
      </c>
      <c r="J3142">
        <f>1587.23</f>
        <v>1587.23</v>
      </c>
      <c r="K3142">
        <f>4480.18</f>
        <v>4480.18</v>
      </c>
      <c r="L3142">
        <f>1110.22</f>
        <v>1110.22</v>
      </c>
      <c r="M3142">
        <f>4367.32</f>
        <v>4367.32</v>
      </c>
      <c r="N3142">
        <f>171.722</f>
        <v>171.72200000000001</v>
      </c>
      <c r="O3142">
        <f>1636.38</f>
        <v>1636.38</v>
      </c>
      <c r="P3142">
        <f>85.17</f>
        <v>85.17</v>
      </c>
      <c r="Q3142">
        <f>954.95</f>
        <v>954.95</v>
      </c>
      <c r="R3142">
        <f>2146.45</f>
        <v>2146.4499999999998</v>
      </c>
      <c r="S3142">
        <f>1046.21</f>
        <v>1046.21</v>
      </c>
      <c r="T3142">
        <f>1559.246</f>
        <v>1559.2460000000001</v>
      </c>
      <c r="U3142">
        <f>31000.52</f>
        <v>31000.52</v>
      </c>
      <c r="V3142">
        <f>210.76</f>
        <v>210.76</v>
      </c>
    </row>
    <row r="3143" spans="1:22" x14ac:dyDescent="0.2">
      <c r="A3143" s="1">
        <v>40708</v>
      </c>
      <c r="B3143">
        <f>2373.27</f>
        <v>2373.27</v>
      </c>
      <c r="C3143">
        <f>9052.04</f>
        <v>9052.0400000000009</v>
      </c>
      <c r="D3143">
        <f>3861.68</f>
        <v>3861.68</v>
      </c>
      <c r="E3143">
        <f>2057.725</f>
        <v>2057.7249999999999</v>
      </c>
      <c r="F3143">
        <f>1351.91</f>
        <v>1351.91</v>
      </c>
      <c r="G3143">
        <f>6434.66</f>
        <v>6434.66</v>
      </c>
      <c r="H3143">
        <f>1848.98</f>
        <v>1848.98</v>
      </c>
      <c r="I3143">
        <f>7095.37</f>
        <v>7095.37</v>
      </c>
      <c r="J3143">
        <f>1612.07</f>
        <v>1612.07</v>
      </c>
      <c r="K3143">
        <f>4559.54</f>
        <v>4559.54</v>
      </c>
      <c r="L3143">
        <f>1129.8</f>
        <v>1129.8</v>
      </c>
      <c r="M3143">
        <f>4441.54</f>
        <v>4441.54</v>
      </c>
      <c r="N3143">
        <f>172.298</f>
        <v>172.298</v>
      </c>
      <c r="O3143">
        <f>1652.33</f>
        <v>1652.33</v>
      </c>
      <c r="P3143">
        <f>85.2</f>
        <v>85.2</v>
      </c>
      <c r="Q3143">
        <f>969.14</f>
        <v>969.14</v>
      </c>
      <c r="R3143">
        <f>2184.48</f>
        <v>2184.48</v>
      </c>
      <c r="S3143">
        <f>1043.94</f>
        <v>1043.94</v>
      </c>
      <c r="T3143">
        <f>1572.247</f>
        <v>1572.2470000000001</v>
      </c>
      <c r="U3143">
        <f>31229.36</f>
        <v>31229.360000000001</v>
      </c>
      <c r="V3143">
        <f>211.91</f>
        <v>211.91</v>
      </c>
    </row>
    <row r="3144" spans="1:22" x14ac:dyDescent="0.2">
      <c r="A3144" s="1">
        <v>40707</v>
      </c>
      <c r="B3144">
        <f>2361.91</f>
        <v>2361.91</v>
      </c>
      <c r="C3144">
        <f>8992.67</f>
        <v>8992.67</v>
      </c>
      <c r="D3144">
        <f>3841.94</f>
        <v>3841.94</v>
      </c>
      <c r="E3144">
        <f>2039.863</f>
        <v>2039.8630000000001</v>
      </c>
      <c r="F3144">
        <f>1340.14</f>
        <v>1340.14</v>
      </c>
      <c r="G3144">
        <f>6369.744</f>
        <v>6369.7439999999997</v>
      </c>
      <c r="H3144">
        <f>1828.53</f>
        <v>1828.53</v>
      </c>
      <c r="I3144">
        <f>6977.074</f>
        <v>6977.0739999999996</v>
      </c>
      <c r="J3144">
        <f>1593.47</f>
        <v>1593.47</v>
      </c>
      <c r="K3144">
        <f>4502.35</f>
        <v>4502.3500000000004</v>
      </c>
      <c r="L3144">
        <f>1115.23</f>
        <v>1115.23</v>
      </c>
      <c r="M3144">
        <f>4382.39</f>
        <v>4382.3900000000003</v>
      </c>
      <c r="N3144">
        <f>171.814</f>
        <v>171.81399999999999</v>
      </c>
      <c r="O3144">
        <f>1639.64</f>
        <v>1639.64</v>
      </c>
      <c r="P3144">
        <f>84.3</f>
        <v>84.3</v>
      </c>
      <c r="Q3144">
        <f>956.02</f>
        <v>956.02</v>
      </c>
      <c r="R3144">
        <f>2157.15</f>
        <v>2157.15</v>
      </c>
      <c r="S3144">
        <f>1030.49</f>
        <v>1030.49</v>
      </c>
      <c r="T3144">
        <f>1572.988</f>
        <v>1572.9880000000001</v>
      </c>
      <c r="U3144">
        <f>31176.58</f>
        <v>31176.58</v>
      </c>
      <c r="V3144">
        <f>211.63</f>
        <v>211.63</v>
      </c>
    </row>
    <row r="3145" spans="1:22" x14ac:dyDescent="0.2">
      <c r="A3145" s="1">
        <v>40704</v>
      </c>
      <c r="B3145">
        <f>2359.86</f>
        <v>2359.86</v>
      </c>
      <c r="C3145">
        <f>9015.95</f>
        <v>9015.9500000000007</v>
      </c>
      <c r="D3145">
        <f>3836.84</f>
        <v>3836.84</v>
      </c>
      <c r="E3145">
        <f>2047.37</f>
        <v>2047.37</v>
      </c>
      <c r="F3145">
        <f>1330.13</f>
        <v>1330.13</v>
      </c>
      <c r="G3145">
        <f>6330.486</f>
        <v>6330.4859999999999</v>
      </c>
      <c r="H3145">
        <f>1838.98</f>
        <v>1838.98</v>
      </c>
      <c r="I3145">
        <f>6960.518</f>
        <v>6960.518</v>
      </c>
      <c r="J3145">
        <f>1588.68</f>
        <v>1588.68</v>
      </c>
      <c r="K3145">
        <f>4499.54</f>
        <v>4499.54</v>
      </c>
      <c r="L3145">
        <f>1111.97</f>
        <v>1111.97</v>
      </c>
      <c r="M3145">
        <f>4381.41</f>
        <v>4381.41</v>
      </c>
      <c r="N3145">
        <f>171.055</f>
        <v>171.05500000000001</v>
      </c>
      <c r="O3145">
        <f>1635.93</f>
        <v>1635.93</v>
      </c>
      <c r="P3145">
        <f>84.78</f>
        <v>84.78</v>
      </c>
      <c r="Q3145">
        <f>952.35</f>
        <v>952.35</v>
      </c>
      <c r="R3145">
        <f>2155</f>
        <v>2155</v>
      </c>
      <c r="S3145">
        <f>1036.98</f>
        <v>1036.98</v>
      </c>
      <c r="T3145">
        <f>1584.807</f>
        <v>1584.807</v>
      </c>
      <c r="U3145">
        <f>31164.35</f>
        <v>31164.35</v>
      </c>
      <c r="V3145">
        <f>212.49</f>
        <v>212.49</v>
      </c>
    </row>
    <row r="3146" spans="1:22" x14ac:dyDescent="0.2">
      <c r="A3146" s="1">
        <v>40703</v>
      </c>
      <c r="B3146">
        <f>2395.52</f>
        <v>2395.52</v>
      </c>
      <c r="C3146">
        <f>9110.98</f>
        <v>9110.98</v>
      </c>
      <c r="D3146">
        <f>3897.09</f>
        <v>3897.09</v>
      </c>
      <c r="E3146">
        <f>2071.481</f>
        <v>2071.4810000000002</v>
      </c>
      <c r="F3146">
        <f>1361.71</f>
        <v>1361.71</v>
      </c>
      <c r="G3146">
        <f>6485.55</f>
        <v>6485.55</v>
      </c>
      <c r="H3146">
        <f>1830.06</f>
        <v>1830.06</v>
      </c>
      <c r="I3146">
        <f>7123.327</f>
        <v>7123.3270000000002</v>
      </c>
      <c r="J3146">
        <f>1610.02</f>
        <v>1610.02</v>
      </c>
      <c r="K3146">
        <f>4563.7</f>
        <v>4563.7</v>
      </c>
      <c r="L3146">
        <f>1129.79</f>
        <v>1129.79</v>
      </c>
      <c r="M3146">
        <f>4447.03</f>
        <v>4447.03</v>
      </c>
      <c r="N3146">
        <f>172.499</f>
        <v>172.499</v>
      </c>
      <c r="O3146">
        <f>1656.31</f>
        <v>1656.31</v>
      </c>
      <c r="P3146">
        <f>84.21</f>
        <v>84.21</v>
      </c>
      <c r="Q3146">
        <f>965.22</f>
        <v>965.22</v>
      </c>
      <c r="R3146">
        <f>2185.52</f>
        <v>2185.52</v>
      </c>
      <c r="S3146">
        <f>1031.36</f>
        <v>1031.3599999999999</v>
      </c>
      <c r="T3146">
        <f>1583.894</f>
        <v>1583.894</v>
      </c>
      <c r="U3146">
        <f>31634.17</f>
        <v>31634.17</v>
      </c>
      <c r="V3146">
        <f>213.15</f>
        <v>213.15</v>
      </c>
    </row>
    <row r="3147" spans="1:22" x14ac:dyDescent="0.2">
      <c r="A3147" s="1">
        <v>40702</v>
      </c>
      <c r="B3147">
        <f>2391.35</f>
        <v>2391.35</v>
      </c>
      <c r="C3147">
        <f>9142.09</f>
        <v>9142.09</v>
      </c>
      <c r="D3147">
        <f>3865.51</f>
        <v>3865.51</v>
      </c>
      <c r="E3147">
        <f>2077.066</f>
        <v>2077.0659999999998</v>
      </c>
      <c r="F3147">
        <f>1353.54</f>
        <v>1353.54</v>
      </c>
      <c r="G3147">
        <f>6435.352</f>
        <v>6435.3519999999999</v>
      </c>
      <c r="H3147">
        <f>1840.83</f>
        <v>1840.83</v>
      </c>
      <c r="I3147">
        <f>7111.377</f>
        <v>7111.3770000000004</v>
      </c>
      <c r="J3147">
        <f>1601.93</f>
        <v>1601.93</v>
      </c>
      <c r="K3147">
        <f>4530.96</f>
        <v>4530.96</v>
      </c>
      <c r="L3147">
        <f>1126.56</f>
        <v>1126.56</v>
      </c>
      <c r="M3147">
        <f>4426.31</f>
        <v>4426.3100000000004</v>
      </c>
      <c r="N3147">
        <f>171.064</f>
        <v>171.06399999999999</v>
      </c>
      <c r="O3147">
        <f>1641.9</f>
        <v>1641.9</v>
      </c>
      <c r="P3147">
        <f>84.12</f>
        <v>84.12</v>
      </c>
      <c r="Q3147">
        <f>957.71</f>
        <v>957.71</v>
      </c>
      <c r="R3147">
        <f>2169.5</f>
        <v>2169.5</v>
      </c>
      <c r="S3147">
        <f>1033.27</f>
        <v>1033.27</v>
      </c>
      <c r="T3147">
        <f>1590.362</f>
        <v>1590.3620000000001</v>
      </c>
      <c r="U3147">
        <f>31521.33</f>
        <v>31521.33</v>
      </c>
      <c r="V3147">
        <f>213.07</f>
        <v>213.07</v>
      </c>
    </row>
    <row r="3148" spans="1:22" x14ac:dyDescent="0.2">
      <c r="A3148" s="1">
        <v>40701</v>
      </c>
      <c r="B3148">
        <f>2416.83</f>
        <v>2416.83</v>
      </c>
      <c r="C3148">
        <f>9193.02</f>
        <v>9193.02</v>
      </c>
      <c r="D3148">
        <f>3902.35</f>
        <v>3902.35</v>
      </c>
      <c r="E3148">
        <f>2089.838</f>
        <v>2089.8380000000002</v>
      </c>
      <c r="F3148">
        <f>1367.56</f>
        <v>1367.56</v>
      </c>
      <c r="G3148">
        <f>6527.733</f>
        <v>6527.7330000000002</v>
      </c>
      <c r="H3148">
        <f>1825.21</f>
        <v>1825.21</v>
      </c>
      <c r="I3148">
        <f>7225.138</f>
        <v>7225.1379999999999</v>
      </c>
      <c r="J3148">
        <f>1602.72</f>
        <v>1602.72</v>
      </c>
      <c r="K3148">
        <f>4549.6</f>
        <v>4549.6000000000004</v>
      </c>
      <c r="L3148">
        <f>1134.16</f>
        <v>1134.1600000000001</v>
      </c>
      <c r="M3148">
        <f>4459.98</f>
        <v>4459.9799999999996</v>
      </c>
      <c r="N3148">
        <f>172.349</f>
        <v>172.34899999999999</v>
      </c>
      <c r="O3148">
        <f>1656.49</f>
        <v>1656.49</v>
      </c>
      <c r="P3148">
        <f>83.78</f>
        <v>83.78</v>
      </c>
      <c r="Q3148">
        <f>960.58</f>
        <v>960.58</v>
      </c>
      <c r="R3148">
        <f>2178.15</f>
        <v>2178.15</v>
      </c>
      <c r="S3148">
        <f>1032.39</f>
        <v>1032.3900000000001</v>
      </c>
      <c r="T3148">
        <f>1592.152</f>
        <v>1592.152</v>
      </c>
      <c r="U3148">
        <f>31818.3</f>
        <v>31818.3</v>
      </c>
      <c r="V3148">
        <f>213.9</f>
        <v>213.9</v>
      </c>
    </row>
    <row r="3149" spans="1:22" x14ac:dyDescent="0.2">
      <c r="A3149" s="1">
        <v>40700</v>
      </c>
      <c r="B3149">
        <f>2410.96</f>
        <v>2410.96</v>
      </c>
      <c r="C3149">
        <f>9156.33</f>
        <v>9156.33</v>
      </c>
      <c r="D3149">
        <f>3901.36</f>
        <v>3901.36</v>
      </c>
      <c r="E3149">
        <f>2082.443</f>
        <v>2082.4430000000002</v>
      </c>
      <c r="F3149">
        <f>1358.14</f>
        <v>1358.14</v>
      </c>
      <c r="G3149">
        <f>6485.768</f>
        <v>6485.768</v>
      </c>
      <c r="H3149">
        <f>1815.84</f>
        <v>1815.84</v>
      </c>
      <c r="I3149">
        <f>7201.704</f>
        <v>7201.7039999999997</v>
      </c>
      <c r="J3149">
        <f>1603.5</f>
        <v>1603.5</v>
      </c>
      <c r="K3149">
        <f>4553</f>
        <v>4553</v>
      </c>
      <c r="L3149">
        <f>1131.41</f>
        <v>1131.4100000000001</v>
      </c>
      <c r="M3149">
        <f>4452.61</f>
        <v>4452.6099999999997</v>
      </c>
      <c r="N3149">
        <f>172.567</f>
        <v>172.56700000000001</v>
      </c>
      <c r="O3149">
        <f>1657.96</f>
        <v>1657.96</v>
      </c>
      <c r="P3149">
        <f>83.33</f>
        <v>83.33</v>
      </c>
      <c r="Q3149">
        <f>958.39</f>
        <v>958.39</v>
      </c>
      <c r="R3149">
        <f>2180.14</f>
        <v>2180.14</v>
      </c>
      <c r="S3149">
        <f>1024.96</f>
        <v>1024.96</v>
      </c>
      <c r="T3149">
        <f>1577.739</f>
        <v>1577.739</v>
      </c>
      <c r="U3149">
        <f>31578.03</f>
        <v>31578.03</v>
      </c>
      <c r="V3149">
        <f>212.09</f>
        <v>212.09</v>
      </c>
    </row>
    <row r="3150" spans="1:22" x14ac:dyDescent="0.2">
      <c r="A3150" s="1">
        <v>40697</v>
      </c>
      <c r="B3150">
        <f>2408.26</f>
        <v>2408.2600000000002</v>
      </c>
      <c r="C3150">
        <f>9210.18</f>
        <v>9210.18</v>
      </c>
      <c r="D3150">
        <f>3895.94</f>
        <v>3895.94</v>
      </c>
      <c r="E3150">
        <f>2094.091</f>
        <v>2094.0909999999999</v>
      </c>
      <c r="F3150">
        <f>1356.53</f>
        <v>1356.53</v>
      </c>
      <c r="G3150">
        <f>6482.686</f>
        <v>6482.6859999999997</v>
      </c>
      <c r="H3150">
        <f>1833.56</f>
        <v>1833.56</v>
      </c>
      <c r="I3150">
        <f>7233.586</f>
        <v>7233.5860000000002</v>
      </c>
      <c r="J3150">
        <f>1612.06</f>
        <v>1612.06</v>
      </c>
      <c r="K3150">
        <f>4603.25</f>
        <v>4603.25</v>
      </c>
      <c r="L3150">
        <f>1136.81</f>
        <v>1136.81</v>
      </c>
      <c r="M3150">
        <f>4487.47</f>
        <v>4487.47</v>
      </c>
      <c r="N3150">
        <f>172.689</f>
        <v>172.68899999999999</v>
      </c>
      <c r="O3150">
        <f>1666.56</f>
        <v>1666.56</v>
      </c>
      <c r="P3150">
        <f>83.87</f>
        <v>83.87</v>
      </c>
      <c r="Q3150">
        <f>962.4</f>
        <v>962.4</v>
      </c>
      <c r="R3150">
        <f>2203.81</f>
        <v>2203.81</v>
      </c>
      <c r="S3150">
        <f>1035.85</f>
        <v>1035.8499999999999</v>
      </c>
      <c r="T3150">
        <f>1579.359</f>
        <v>1579.3589999999999</v>
      </c>
      <c r="U3150">
        <f>31575.65</f>
        <v>31575.65</v>
      </c>
      <c r="V3150">
        <f>212.61</f>
        <v>212.61</v>
      </c>
    </row>
    <row r="3151" spans="1:22" x14ac:dyDescent="0.2">
      <c r="A3151" s="1">
        <v>40696</v>
      </c>
      <c r="B3151">
        <f>2408.77</f>
        <v>2408.77</v>
      </c>
      <c r="C3151">
        <f>9226.95</f>
        <v>9226.9500000000007</v>
      </c>
      <c r="D3151">
        <f>3891.22</f>
        <v>3891.22</v>
      </c>
      <c r="E3151">
        <f>2099.972</f>
        <v>2099.9720000000002</v>
      </c>
      <c r="F3151">
        <f>1345.47</f>
        <v>1345.47</v>
      </c>
      <c r="G3151">
        <f>6462.443</f>
        <v>6462.4430000000002</v>
      </c>
      <c r="H3151">
        <f>1844.69</f>
        <v>1844.69</v>
      </c>
      <c r="I3151">
        <f>7191.301</f>
        <v>7191.3010000000004</v>
      </c>
      <c r="J3151">
        <f>1625.48</f>
        <v>1625.48</v>
      </c>
      <c r="K3151">
        <f>4648.58</f>
        <v>4648.58</v>
      </c>
      <c r="L3151">
        <f>1137.31</f>
        <v>1137.31</v>
      </c>
      <c r="M3151">
        <f>4505.17</f>
        <v>4505.17</v>
      </c>
      <c r="N3151">
        <f>173.638</f>
        <v>173.63800000000001</v>
      </c>
      <c r="O3151">
        <f>1673.53</f>
        <v>1673.53</v>
      </c>
      <c r="P3151">
        <f>84.61</f>
        <v>84.61</v>
      </c>
      <c r="Q3151">
        <f>972.93</f>
        <v>972.93</v>
      </c>
      <c r="R3151">
        <f>2225.36</f>
        <v>2225.36</v>
      </c>
      <c r="S3151">
        <f>1047.51</f>
        <v>1047.51</v>
      </c>
      <c r="T3151">
        <f>1588.86</f>
        <v>1588.86</v>
      </c>
      <c r="U3151">
        <f>31877.77</f>
        <v>31877.77</v>
      </c>
      <c r="V3151">
        <f>213.18</f>
        <v>213.18</v>
      </c>
    </row>
    <row r="3152" spans="1:22" x14ac:dyDescent="0.2">
      <c r="A3152" s="1">
        <v>40695</v>
      </c>
      <c r="B3152">
        <f>2424.6</f>
        <v>2424.6</v>
      </c>
      <c r="C3152">
        <f>9264.71</f>
        <v>9264.7099999999991</v>
      </c>
      <c r="D3152">
        <f>3944.91</f>
        <v>3944.91</v>
      </c>
      <c r="E3152">
        <f>2112.896</f>
        <v>2112.8960000000002</v>
      </c>
      <c r="F3152">
        <f>1368.18</f>
        <v>1368.18</v>
      </c>
      <c r="G3152">
        <f>6578.815</f>
        <v>6578.8149999999996</v>
      </c>
      <c r="H3152">
        <f>1870.9</f>
        <v>1870.9</v>
      </c>
      <c r="I3152">
        <f>7266.896</f>
        <v>7266.8959999999997</v>
      </c>
      <c r="J3152">
        <f>1635.11</f>
        <v>1635.11</v>
      </c>
      <c r="K3152">
        <f>4653.56</f>
        <v>4653.5600000000004</v>
      </c>
      <c r="L3152">
        <f>1148.85</f>
        <v>1148.8499999999999</v>
      </c>
      <c r="M3152">
        <f>4539.34</f>
        <v>4539.34</v>
      </c>
      <c r="N3152">
        <f>174.727</f>
        <v>174.727</v>
      </c>
      <c r="O3152">
        <f>1696.42</f>
        <v>1696.42</v>
      </c>
      <c r="P3152">
        <f>85.14</f>
        <v>85.14</v>
      </c>
      <c r="Q3152">
        <f>978.78</f>
        <v>978.78</v>
      </c>
      <c r="R3152">
        <f>2227.96</f>
        <v>2227.96</v>
      </c>
      <c r="S3152">
        <f>1064.82</f>
        <v>1064.82</v>
      </c>
      <c r="T3152">
        <f>1593.836</f>
        <v>1593.836</v>
      </c>
      <c r="U3152">
        <f>32322.1</f>
        <v>32322.1</v>
      </c>
      <c r="V3152">
        <f>214.03</f>
        <v>214.03</v>
      </c>
    </row>
    <row r="3153" spans="1:22" x14ac:dyDescent="0.2">
      <c r="A3153" s="1">
        <v>40694</v>
      </c>
      <c r="B3153">
        <f>2442.21</f>
        <v>2442.21</v>
      </c>
      <c r="C3153">
        <f>9281.46</f>
        <v>9281.4599999999991</v>
      </c>
      <c r="D3153">
        <f>3974.56</f>
        <v>3974.56</v>
      </c>
      <c r="E3153">
        <f>2114.956</f>
        <v>2114.9560000000001</v>
      </c>
      <c r="F3153">
        <f>1383.71</f>
        <v>1383.71</v>
      </c>
      <c r="G3153">
        <f>6651.9</f>
        <v>6651.9</v>
      </c>
      <c r="H3153">
        <f>1861.65</f>
        <v>1861.65</v>
      </c>
      <c r="I3153">
        <f>7290.195</f>
        <v>7290.1949999999997</v>
      </c>
      <c r="J3153">
        <f>1662.39</f>
        <v>1662.39</v>
      </c>
      <c r="K3153">
        <f>4760.62</f>
        <v>4760.62</v>
      </c>
      <c r="L3153">
        <f>1159.62</f>
        <v>1159.6199999999999</v>
      </c>
      <c r="M3153">
        <f>4602.24</f>
        <v>4602.24</v>
      </c>
      <c r="N3153">
        <f>176.05</f>
        <v>176.05</v>
      </c>
      <c r="O3153">
        <f>1712.47</f>
        <v>1712.47</v>
      </c>
      <c r="P3153">
        <f>85.32</f>
        <v>85.32</v>
      </c>
      <c r="Q3153">
        <f>997.71</f>
        <v>997.71</v>
      </c>
      <c r="R3153">
        <f>2279.66</f>
        <v>2279.66</v>
      </c>
      <c r="S3153">
        <f>1063.64</f>
        <v>1063.6400000000001</v>
      </c>
      <c r="T3153">
        <f>1596.385</f>
        <v>1596.385</v>
      </c>
      <c r="U3153">
        <f>32565.73</f>
        <v>32565.73</v>
      </c>
      <c r="V3153">
        <f>214.26</f>
        <v>214.26</v>
      </c>
    </row>
    <row r="3154" spans="1:22" x14ac:dyDescent="0.2">
      <c r="A3154" s="1">
        <v>40693</v>
      </c>
      <c r="B3154">
        <f>2426.33</f>
        <v>2426.33</v>
      </c>
      <c r="C3154">
        <f>9121.62</f>
        <v>9121.6200000000008</v>
      </c>
      <c r="D3154">
        <f>3940.64</f>
        <v>3940.64</v>
      </c>
      <c r="E3154">
        <f>2079.007</f>
        <v>2079.0070000000001</v>
      </c>
      <c r="F3154">
        <f>1371.11</f>
        <v>1371.11</v>
      </c>
      <c r="G3154">
        <f>6594.264</f>
        <v>6594.2640000000001</v>
      </c>
      <c r="H3154">
        <f>1840.31</f>
        <v>1840.31</v>
      </c>
      <c r="I3154">
        <f>7148.036</f>
        <v>7148.0360000000001</v>
      </c>
      <c r="J3154">
        <f>1644.84</f>
        <v>1644.84</v>
      </c>
      <c r="K3154">
        <f>4711.04</f>
        <v>4711.04</v>
      </c>
      <c r="L3154">
        <f>1145.52</f>
        <v>1145.52</v>
      </c>
      <c r="M3154">
        <f>4546.29</f>
        <v>4546.29</v>
      </c>
      <c r="N3154">
        <f>174.942</f>
        <v>174.94200000000001</v>
      </c>
      <c r="O3154">
        <f>1697.41</f>
        <v>1697.41</v>
      </c>
      <c r="P3154">
        <f>83.92</f>
        <v>83.92</v>
      </c>
      <c r="Q3154" t="e">
        <f>NA()</f>
        <v>#N/A</v>
      </c>
      <c r="R3154" t="e">
        <f>NA()</f>
        <v>#N/A</v>
      </c>
      <c r="S3154">
        <f>1044.87</f>
        <v>1044.8699999999999</v>
      </c>
      <c r="T3154">
        <f>1581.035</f>
        <v>1581.0350000000001</v>
      </c>
      <c r="U3154">
        <f>32389.91</f>
        <v>32389.91</v>
      </c>
      <c r="V3154">
        <f>212.6</f>
        <v>212.6</v>
      </c>
    </row>
    <row r="3155" spans="1:22" x14ac:dyDescent="0.2">
      <c r="A3155" s="1">
        <v>40690</v>
      </c>
      <c r="B3155">
        <f>2426.33</f>
        <v>2426.33</v>
      </c>
      <c r="C3155">
        <f>9114.09</f>
        <v>9114.09</v>
      </c>
      <c r="D3155">
        <f>3940.64</f>
        <v>3940.64</v>
      </c>
      <c r="E3155">
        <f>2078.02</f>
        <v>2078.02</v>
      </c>
      <c r="F3155">
        <f>1371.61</f>
        <v>1371.61</v>
      </c>
      <c r="G3155">
        <f>6596.668</f>
        <v>6596.6679999999997</v>
      </c>
      <c r="H3155">
        <f>1842.05</f>
        <v>1842.05</v>
      </c>
      <c r="I3155">
        <f>7149.399</f>
        <v>7149.3990000000003</v>
      </c>
      <c r="J3155">
        <f>1644.84</f>
        <v>1644.84</v>
      </c>
      <c r="K3155">
        <f>4711.04</f>
        <v>4711.04</v>
      </c>
      <c r="L3155">
        <f>1146.47</f>
        <v>1146.47</v>
      </c>
      <c r="M3155">
        <f>4546.85</f>
        <v>4546.8500000000004</v>
      </c>
      <c r="N3155">
        <f>175.123</f>
        <v>175.12299999999999</v>
      </c>
      <c r="O3155">
        <f>1699.76</f>
        <v>1699.76</v>
      </c>
      <c r="P3155">
        <f>83.84</f>
        <v>83.84</v>
      </c>
      <c r="Q3155">
        <f>989.21</f>
        <v>989.21</v>
      </c>
      <c r="R3155">
        <f>2255.74</f>
        <v>2255.7399999999998</v>
      </c>
      <c r="S3155">
        <f>1046.41</f>
        <v>1046.4100000000001</v>
      </c>
      <c r="T3155">
        <f>1572.983</f>
        <v>1572.9829999999999</v>
      </c>
      <c r="U3155">
        <f>32384.41</f>
        <v>32384.41</v>
      </c>
      <c r="V3155">
        <f>212.26</f>
        <v>212.26</v>
      </c>
    </row>
    <row r="3156" spans="1:22" x14ac:dyDescent="0.2">
      <c r="A3156" s="1">
        <v>40689</v>
      </c>
      <c r="B3156">
        <f>2406.84</f>
        <v>2406.84</v>
      </c>
      <c r="C3156">
        <f>9000.41</f>
        <v>9000.41</v>
      </c>
      <c r="D3156">
        <f>3902.24</f>
        <v>3902.24</v>
      </c>
      <c r="E3156">
        <f>2051.782</f>
        <v>2051.7820000000002</v>
      </c>
      <c r="F3156">
        <f>1355.56</f>
        <v>1355.56</v>
      </c>
      <c r="G3156">
        <f>6486.244</f>
        <v>6486.2439999999997</v>
      </c>
      <c r="H3156">
        <f>1837.78</f>
        <v>1837.78</v>
      </c>
      <c r="I3156">
        <f>7015.805</f>
        <v>7015.8050000000003</v>
      </c>
      <c r="J3156">
        <f>1640.84</f>
        <v>1640.84</v>
      </c>
      <c r="K3156">
        <f>4690.2</f>
        <v>4690.2</v>
      </c>
      <c r="L3156">
        <f>1136.08</f>
        <v>1136.08</v>
      </c>
      <c r="M3156">
        <f>4507.04</f>
        <v>4507.04</v>
      </c>
      <c r="N3156">
        <f>174.353</f>
        <v>174.35300000000001</v>
      </c>
      <c r="O3156">
        <f>1689.24</f>
        <v>1689.24</v>
      </c>
      <c r="P3156">
        <f>83.93</f>
        <v>83.93</v>
      </c>
      <c r="Q3156">
        <f>985.54</f>
        <v>985.54</v>
      </c>
      <c r="R3156">
        <f>2246.13</f>
        <v>2246.13</v>
      </c>
      <c r="S3156">
        <f>1049.12</f>
        <v>1049.1199999999999</v>
      </c>
      <c r="T3156">
        <f>1562.164</f>
        <v>1562.164</v>
      </c>
      <c r="U3156">
        <f>31980.11</f>
        <v>31980.11</v>
      </c>
      <c r="V3156">
        <f>210.69</f>
        <v>210.69</v>
      </c>
    </row>
    <row r="3157" spans="1:22" x14ac:dyDescent="0.2">
      <c r="A3157" s="1">
        <v>40688</v>
      </c>
      <c r="B3157">
        <f>2404.1</f>
        <v>2404.1</v>
      </c>
      <c r="C3157">
        <f>8913.12</f>
        <v>8913.1200000000008</v>
      </c>
      <c r="D3157">
        <f>3895.04</f>
        <v>3895.04</v>
      </c>
      <c r="E3157">
        <f>2023.821</f>
        <v>2023.8209999999999</v>
      </c>
      <c r="F3157">
        <f>1346.87</f>
        <v>1346.87</v>
      </c>
      <c r="G3157">
        <f>6443.763</f>
        <v>6443.7629999999999</v>
      </c>
      <c r="H3157">
        <f>1812.93</f>
        <v>1812.93</v>
      </c>
      <c r="I3157">
        <f>7021.737</f>
        <v>7021.7370000000001</v>
      </c>
      <c r="J3157">
        <f>1639.15</f>
        <v>1639.15</v>
      </c>
      <c r="K3157">
        <f>4669.61</f>
        <v>4669.6099999999997</v>
      </c>
      <c r="L3157">
        <f>1133.67</f>
        <v>1133.67</v>
      </c>
      <c r="M3157">
        <f>4483.32</f>
        <v>4483.32</v>
      </c>
      <c r="N3157">
        <f>173.778</f>
        <v>173.77799999999999</v>
      </c>
      <c r="O3157">
        <f>1688.21</f>
        <v>1688.21</v>
      </c>
      <c r="P3157">
        <f>83.33</f>
        <v>83.33</v>
      </c>
      <c r="Q3157">
        <f>982.45</f>
        <v>982.45</v>
      </c>
      <c r="R3157">
        <f>2236.75</f>
        <v>2236.75</v>
      </c>
      <c r="S3157">
        <f>1037.29</f>
        <v>1037.29</v>
      </c>
      <c r="T3157">
        <f>1557.891</f>
        <v>1557.8910000000001</v>
      </c>
      <c r="U3157">
        <f>31793.59</f>
        <v>31793.59</v>
      </c>
      <c r="V3157">
        <f>209.61</f>
        <v>209.61</v>
      </c>
    </row>
    <row r="3158" spans="1:22" x14ac:dyDescent="0.2">
      <c r="A3158" s="1">
        <v>40687</v>
      </c>
      <c r="B3158">
        <f>2405.1</f>
        <v>2405.1</v>
      </c>
      <c r="C3158">
        <f>8944.81</f>
        <v>8944.81</v>
      </c>
      <c r="D3158">
        <f>3886.59</f>
        <v>3886.59</v>
      </c>
      <c r="E3158">
        <f>2035.67</f>
        <v>2035.67</v>
      </c>
      <c r="F3158">
        <f>1343.19</f>
        <v>1343.19</v>
      </c>
      <c r="G3158">
        <f>6395.05</f>
        <v>6395.05</v>
      </c>
      <c r="H3158">
        <f>1804.16</f>
        <v>1804.16</v>
      </c>
      <c r="I3158">
        <f>6994.354</f>
        <v>6994.3540000000003</v>
      </c>
      <c r="J3158">
        <f>1637.46</f>
        <v>1637.46</v>
      </c>
      <c r="K3158">
        <f>4653.17</f>
        <v>4653.17</v>
      </c>
      <c r="L3158">
        <f>1131.64</f>
        <v>1131.6400000000001</v>
      </c>
      <c r="M3158">
        <f>4467.74</f>
        <v>4467.74</v>
      </c>
      <c r="N3158">
        <f>173.066</f>
        <v>173.066</v>
      </c>
      <c r="O3158">
        <f>1675.73</f>
        <v>1675.73</v>
      </c>
      <c r="P3158">
        <f>83.49</f>
        <v>83.49</v>
      </c>
      <c r="Q3158">
        <f>982.87</f>
        <v>982.87</v>
      </c>
      <c r="R3158">
        <f>2229.49</f>
        <v>2229.4899999999998</v>
      </c>
      <c r="S3158">
        <f>1039.09</f>
        <v>1039.0899999999999</v>
      </c>
      <c r="T3158">
        <f>1561.999</f>
        <v>1561.999</v>
      </c>
      <c r="U3158">
        <f>31731.05</f>
        <v>31731.05</v>
      </c>
      <c r="V3158">
        <f>210</f>
        <v>210</v>
      </c>
    </row>
    <row r="3159" spans="1:22" x14ac:dyDescent="0.2">
      <c r="A3159" s="1">
        <v>40686</v>
      </c>
      <c r="B3159">
        <f>2404.55</f>
        <v>2404.5500000000002</v>
      </c>
      <c r="C3159">
        <f>8854.75</f>
        <v>8854.75</v>
      </c>
      <c r="D3159">
        <f>3871.65</f>
        <v>3871.65</v>
      </c>
      <c r="E3159">
        <f>2015.564</f>
        <v>2015.5640000000001</v>
      </c>
      <c r="F3159">
        <f>1335.77</f>
        <v>1335.77</v>
      </c>
      <c r="G3159">
        <f>6346.419</f>
        <v>6346.4189999999999</v>
      </c>
      <c r="H3159">
        <f>1808.85</f>
        <v>1808.85</v>
      </c>
      <c r="I3159">
        <f>6937.347</f>
        <v>6937.3469999999998</v>
      </c>
      <c r="J3159">
        <f>1637.38</f>
        <v>1637.38</v>
      </c>
      <c r="K3159">
        <f>4657.42</f>
        <v>4657.42</v>
      </c>
      <c r="L3159">
        <f>1128.29</f>
        <v>1128.29</v>
      </c>
      <c r="M3159">
        <f>4460.61</f>
        <v>4460.6099999999997</v>
      </c>
      <c r="N3159">
        <f>172.702</f>
        <v>172.702</v>
      </c>
      <c r="O3159">
        <f>1672.38</f>
        <v>1672.38</v>
      </c>
      <c r="P3159">
        <f>83.24</f>
        <v>83.24</v>
      </c>
      <c r="Q3159">
        <f>985.63</f>
        <v>985.63</v>
      </c>
      <c r="R3159">
        <f>2231.31</f>
        <v>2231.31</v>
      </c>
      <c r="S3159">
        <f>1037.2</f>
        <v>1037.2</v>
      </c>
      <c r="T3159">
        <f>1546.613</f>
        <v>1546.6130000000001</v>
      </c>
      <c r="U3159">
        <f>31344.53</f>
        <v>31344.53</v>
      </c>
      <c r="V3159">
        <f>207.11</f>
        <v>207.11</v>
      </c>
    </row>
    <row r="3160" spans="1:22" x14ac:dyDescent="0.2">
      <c r="A3160" s="1">
        <v>40683</v>
      </c>
      <c r="B3160">
        <f>2448.43</f>
        <v>2448.4299999999998</v>
      </c>
      <c r="C3160">
        <f>9024.19</f>
        <v>9024.19</v>
      </c>
      <c r="D3160">
        <f>3946.36</f>
        <v>3946.36</v>
      </c>
      <c r="E3160">
        <f>2063.897</f>
        <v>2063.8969999999999</v>
      </c>
      <c r="F3160">
        <f>1364.1</f>
        <v>1364.1</v>
      </c>
      <c r="G3160">
        <f>6497.154</f>
        <v>6497.1540000000005</v>
      </c>
      <c r="H3160">
        <f>1821.96</f>
        <v>1821.96</v>
      </c>
      <c r="I3160">
        <f>7122.001</f>
        <v>7122.0010000000002</v>
      </c>
      <c r="J3160">
        <f>1653.25</f>
        <v>1653.25</v>
      </c>
      <c r="K3160">
        <f>4714.41</f>
        <v>4714.41</v>
      </c>
      <c r="L3160">
        <f>1146.43</f>
        <v>1146.43</v>
      </c>
      <c r="M3160">
        <f>4536.49</f>
        <v>4536.49</v>
      </c>
      <c r="N3160">
        <f>174.333</f>
        <v>174.333</v>
      </c>
      <c r="O3160">
        <f>1699.29</f>
        <v>1699.29</v>
      </c>
      <c r="P3160">
        <f>83.6</f>
        <v>83.6</v>
      </c>
      <c r="Q3160">
        <f>993.41</f>
        <v>993.41</v>
      </c>
      <c r="R3160">
        <f>2258.21</f>
        <v>2258.21</v>
      </c>
      <c r="S3160">
        <f>1050.01</f>
        <v>1050.01</v>
      </c>
      <c r="T3160">
        <f>1563.62</f>
        <v>1563.62</v>
      </c>
      <c r="U3160">
        <f>31794.13</f>
        <v>31794.13</v>
      </c>
      <c r="V3160">
        <f>210.42</f>
        <v>210.42</v>
      </c>
    </row>
    <row r="3161" spans="1:22" x14ac:dyDescent="0.2">
      <c r="A3161" s="1">
        <v>40682</v>
      </c>
      <c r="B3161">
        <f>2442.9</f>
        <v>2442.9</v>
      </c>
      <c r="C3161">
        <f>9041.36</f>
        <v>9041.36</v>
      </c>
      <c r="D3161">
        <f>3951.33</f>
        <v>3951.33</v>
      </c>
      <c r="E3161">
        <f>2063.176</f>
        <v>2063.1759999999999</v>
      </c>
      <c r="F3161">
        <f>1362.61</f>
        <v>1362.61</v>
      </c>
      <c r="G3161">
        <f>6494.005</f>
        <v>6494.0050000000001</v>
      </c>
      <c r="H3161">
        <f>1833.64</f>
        <v>1833.64</v>
      </c>
      <c r="I3161">
        <f>7203.45</f>
        <v>7203.45</v>
      </c>
      <c r="J3161">
        <f>1664.35</f>
        <v>1664.35</v>
      </c>
      <c r="K3161">
        <f>4749.59</f>
        <v>4749.59</v>
      </c>
      <c r="L3161">
        <f>1153.62</f>
        <v>1153.6199999999999</v>
      </c>
      <c r="M3161">
        <f>4566.2</f>
        <v>4566.2</v>
      </c>
      <c r="N3161">
        <f>173.904</f>
        <v>173.904</v>
      </c>
      <c r="O3161">
        <f>1701.12</f>
        <v>1701.12</v>
      </c>
      <c r="P3161">
        <f>83.56</f>
        <v>83.56</v>
      </c>
      <c r="Q3161">
        <f>1001.16</f>
        <v>1001.16</v>
      </c>
      <c r="R3161">
        <f>2275.71</f>
        <v>2275.71</v>
      </c>
      <c r="S3161">
        <f>1055.23</f>
        <v>1055.23</v>
      </c>
      <c r="T3161">
        <f>1576.494</f>
        <v>1576.4939999999999</v>
      </c>
      <c r="U3161">
        <f>31918.93</f>
        <v>31918.93</v>
      </c>
      <c r="V3161">
        <f>211.43</f>
        <v>211.43</v>
      </c>
    </row>
    <row r="3162" spans="1:22" x14ac:dyDescent="0.2">
      <c r="A3162" s="1">
        <v>40681</v>
      </c>
      <c r="B3162">
        <f>2426.63</f>
        <v>2426.63</v>
      </c>
      <c r="C3162">
        <f>9031.7</f>
        <v>9031.7000000000007</v>
      </c>
      <c r="D3162">
        <f>3929.77</f>
        <v>3929.77</v>
      </c>
      <c r="E3162">
        <f>2066.529</f>
        <v>2066.529</v>
      </c>
      <c r="F3162">
        <f>1352.34</f>
        <v>1352.34</v>
      </c>
      <c r="G3162">
        <f>6450.84</f>
        <v>6450.84</v>
      </c>
      <c r="H3162">
        <f>1859.1</f>
        <v>1859.1</v>
      </c>
      <c r="I3162">
        <f>7157.219</f>
        <v>7157.2190000000001</v>
      </c>
      <c r="J3162">
        <f>1659.29</f>
        <v>1659.29</v>
      </c>
      <c r="K3162">
        <f>4739.01</f>
        <v>4739.01</v>
      </c>
      <c r="L3162">
        <f>1148.1</f>
        <v>1148.0999999999999</v>
      </c>
      <c r="M3162">
        <f>4553.23</f>
        <v>4553.2299999999996</v>
      </c>
      <c r="N3162">
        <f>172.018</f>
        <v>172.018</v>
      </c>
      <c r="O3162">
        <f>1688.66</f>
        <v>1688.66</v>
      </c>
      <c r="P3162">
        <f>83.95</f>
        <v>83.95</v>
      </c>
      <c r="Q3162">
        <f>998.46</f>
        <v>998.46</v>
      </c>
      <c r="R3162">
        <f>2270.57</f>
        <v>2270.5700000000002</v>
      </c>
      <c r="S3162">
        <f>1062.93</f>
        <v>1062.93</v>
      </c>
      <c r="T3162" t="e">
        <f>NA()</f>
        <v>#N/A</v>
      </c>
      <c r="U3162" t="e">
        <f>NA()</f>
        <v>#N/A</v>
      </c>
      <c r="V3162" t="e">
        <f>NA()</f>
        <v>#N/A</v>
      </c>
    </row>
    <row r="3163" spans="1:22" x14ac:dyDescent="0.2">
      <c r="A3163" s="1">
        <v>40680</v>
      </c>
      <c r="B3163">
        <f>2421.97</f>
        <v>2421.9699999999998</v>
      </c>
      <c r="C3163">
        <f>8987.47</f>
        <v>8987.4699999999993</v>
      </c>
      <c r="D3163">
        <f>3885.11</f>
        <v>3885.11</v>
      </c>
      <c r="E3163">
        <f>2049.697</f>
        <v>2049.6970000000001</v>
      </c>
      <c r="F3163">
        <f>1343.32</f>
        <v>1343.32</v>
      </c>
      <c r="G3163">
        <f>6404.258</f>
        <v>6404.2579999999998</v>
      </c>
      <c r="H3163">
        <f>1834.29</f>
        <v>1834.29</v>
      </c>
      <c r="I3163">
        <f>7079.566</f>
        <v>7079.5659999999998</v>
      </c>
      <c r="J3163">
        <f>1644.9</f>
        <v>1644.9</v>
      </c>
      <c r="K3163">
        <f>4695.98</f>
        <v>4695.9799999999996</v>
      </c>
      <c r="L3163">
        <f>1138.38</f>
        <v>1138.3800000000001</v>
      </c>
      <c r="M3163">
        <f>4509.33</f>
        <v>4509.33</v>
      </c>
      <c r="N3163">
        <f>172.05</f>
        <v>172.05</v>
      </c>
      <c r="O3163">
        <f>1683.38</f>
        <v>1683.38</v>
      </c>
      <c r="P3163">
        <f>83.12</f>
        <v>83.12</v>
      </c>
      <c r="Q3163">
        <f>991.02</f>
        <v>991.02</v>
      </c>
      <c r="R3163">
        <f>2250.35</f>
        <v>2250.35</v>
      </c>
      <c r="S3163">
        <f>1051.37</f>
        <v>1051.3699999999999</v>
      </c>
      <c r="T3163">
        <f>1567.884</f>
        <v>1567.884</v>
      </c>
      <c r="U3163">
        <f>31843.91</f>
        <v>31843.91</v>
      </c>
      <c r="V3163">
        <f>210.17</f>
        <v>210.17</v>
      </c>
    </row>
    <row r="3164" spans="1:22" x14ac:dyDescent="0.2">
      <c r="A3164" s="1">
        <v>40679</v>
      </c>
      <c r="B3164">
        <f>2439.44</f>
        <v>2439.44</v>
      </c>
      <c r="C3164">
        <f>9004.81</f>
        <v>9004.81</v>
      </c>
      <c r="D3164">
        <f>3926.66</f>
        <v>3926.66</v>
      </c>
      <c r="E3164">
        <f>2055.327</f>
        <v>2055.3270000000002</v>
      </c>
      <c r="F3164">
        <f>1355.76</f>
        <v>1355.76</v>
      </c>
      <c r="G3164">
        <f>6480.014</f>
        <v>6480.0140000000001</v>
      </c>
      <c r="H3164">
        <f>1857.39</f>
        <v>1857.39</v>
      </c>
      <c r="I3164">
        <f>7197.565</f>
        <v>7197.5649999999996</v>
      </c>
      <c r="J3164">
        <f>1645.19</f>
        <v>1645.19</v>
      </c>
      <c r="K3164">
        <f>4697.22</f>
        <v>4697.22</v>
      </c>
      <c r="L3164">
        <f>1144.85</f>
        <v>1144.8499999999999</v>
      </c>
      <c r="M3164">
        <f>4533.4</f>
        <v>4533.3999999999996</v>
      </c>
      <c r="N3164">
        <f>173.653</f>
        <v>173.65299999999999</v>
      </c>
      <c r="O3164">
        <f>1701.03</f>
        <v>1701.03</v>
      </c>
      <c r="P3164">
        <f>83.41</f>
        <v>83.41</v>
      </c>
      <c r="Q3164">
        <f>992.24</f>
        <v>992.24</v>
      </c>
      <c r="R3164">
        <f>2250.61</f>
        <v>2250.61</v>
      </c>
      <c r="S3164">
        <f>1052.26</f>
        <v>1052.26</v>
      </c>
      <c r="T3164">
        <f>1573.657</f>
        <v>1573.6569999999999</v>
      </c>
      <c r="U3164">
        <f>32156.01</f>
        <v>32156.01</v>
      </c>
      <c r="V3164">
        <f>211.09</f>
        <v>211.09</v>
      </c>
    </row>
    <row r="3165" spans="1:22" x14ac:dyDescent="0.2">
      <c r="A3165" s="1">
        <v>40676</v>
      </c>
      <c r="B3165">
        <f>2449.75</f>
        <v>2449.75</v>
      </c>
      <c r="C3165">
        <f>9048.97</f>
        <v>9048.9699999999993</v>
      </c>
      <c r="D3165">
        <f>3928.11</f>
        <v>3928.11</v>
      </c>
      <c r="E3165">
        <f>2069.54</f>
        <v>2069.54</v>
      </c>
      <c r="F3165">
        <f>1356.16</f>
        <v>1356.16</v>
      </c>
      <c r="G3165">
        <f>6472.586</f>
        <v>6472.5860000000002</v>
      </c>
      <c r="H3165">
        <f>1887.3</f>
        <v>1887.3</v>
      </c>
      <c r="I3165">
        <f>7184.449</f>
        <v>7184.4489999999996</v>
      </c>
      <c r="J3165">
        <f>1649.56</f>
        <v>1649.56</v>
      </c>
      <c r="K3165">
        <f>4727.18</f>
        <v>4727.18</v>
      </c>
      <c r="L3165">
        <f>1145.91</f>
        <v>1145.9100000000001</v>
      </c>
      <c r="M3165">
        <f>4554.07</f>
        <v>4554.07</v>
      </c>
      <c r="N3165">
        <f>174.233</f>
        <v>174.233</v>
      </c>
      <c r="O3165">
        <f>1702.91</f>
        <v>1702.91</v>
      </c>
      <c r="P3165">
        <f>84.47</f>
        <v>84.47</v>
      </c>
      <c r="Q3165">
        <f>994.44</f>
        <v>994.44</v>
      </c>
      <c r="R3165">
        <f>2264.52</f>
        <v>2264.52</v>
      </c>
      <c r="S3165">
        <f>1065.43</f>
        <v>1065.43</v>
      </c>
      <c r="T3165">
        <f>1572.081</f>
        <v>1572.0809999999999</v>
      </c>
      <c r="U3165">
        <f>31959.93</f>
        <v>31959.93</v>
      </c>
      <c r="V3165">
        <f>210.65</f>
        <v>210.65</v>
      </c>
    </row>
    <row r="3166" spans="1:22" x14ac:dyDescent="0.2">
      <c r="A3166" s="1">
        <v>40675</v>
      </c>
      <c r="B3166">
        <f>2453.46</f>
        <v>2453.46</v>
      </c>
      <c r="C3166">
        <f>9087.46</f>
        <v>9087.4599999999991</v>
      </c>
      <c r="D3166">
        <f>3940.76</f>
        <v>3940.76</v>
      </c>
      <c r="E3166">
        <f>2073.38</f>
        <v>2073.38</v>
      </c>
      <c r="F3166">
        <f>1364.95</f>
        <v>1364.95</v>
      </c>
      <c r="G3166">
        <f>6516.192</f>
        <v>6516.192</v>
      </c>
      <c r="H3166">
        <f>1921.28</f>
        <v>1921.28</v>
      </c>
      <c r="I3166">
        <f>7200.358</f>
        <v>7200.3580000000002</v>
      </c>
      <c r="J3166">
        <f>1657.33</f>
        <v>1657.33</v>
      </c>
      <c r="K3166">
        <f>4765.59</f>
        <v>4765.59</v>
      </c>
      <c r="L3166">
        <f>1149.4</f>
        <v>1149.4000000000001</v>
      </c>
      <c r="M3166">
        <f>4579.97</f>
        <v>4579.97</v>
      </c>
      <c r="N3166">
        <f>173.657</f>
        <v>173.65700000000001</v>
      </c>
      <c r="O3166">
        <f>1708.59</f>
        <v>1708.59</v>
      </c>
      <c r="P3166">
        <f>85.31</f>
        <v>85.31</v>
      </c>
      <c r="Q3166">
        <f>1000.38</f>
        <v>1000.38</v>
      </c>
      <c r="R3166">
        <f>2282.84</f>
        <v>2282.84</v>
      </c>
      <c r="S3166">
        <f>1077.36</f>
        <v>1077.3599999999999</v>
      </c>
      <c r="T3166">
        <f>1566.474</f>
        <v>1566.4739999999999</v>
      </c>
      <c r="U3166">
        <f>31681.83</f>
        <v>31681.83</v>
      </c>
      <c r="V3166">
        <f>210.21</f>
        <v>210.21</v>
      </c>
    </row>
    <row r="3167" spans="1:22" x14ac:dyDescent="0.2">
      <c r="A3167" s="1">
        <v>40674</v>
      </c>
      <c r="B3167">
        <f>2451.51</f>
        <v>2451.5100000000002</v>
      </c>
      <c r="C3167">
        <f>9181.32</f>
        <v>9181.32</v>
      </c>
      <c r="D3167">
        <f>3961.33</f>
        <v>3961.33</v>
      </c>
      <c r="E3167">
        <f>2105.894</f>
        <v>2105.8939999999998</v>
      </c>
      <c r="F3167">
        <f>1383.44</f>
        <v>1383.44</v>
      </c>
      <c r="G3167">
        <f>6624.959</f>
        <v>6624.9589999999998</v>
      </c>
      <c r="H3167">
        <f>1933.93</f>
        <v>1933.93</v>
      </c>
      <c r="I3167">
        <f>7290.784</f>
        <v>7290.7839999999997</v>
      </c>
      <c r="J3167">
        <f>1645.26</f>
        <v>1645.26</v>
      </c>
      <c r="K3167">
        <f>4742.41</f>
        <v>4742.41</v>
      </c>
      <c r="L3167">
        <f>1155.62</f>
        <v>1155.6199999999999</v>
      </c>
      <c r="M3167">
        <f>4600.23</f>
        <v>4600.2299999999996</v>
      </c>
      <c r="N3167">
        <f>174.215</f>
        <v>174.215</v>
      </c>
      <c r="O3167">
        <f>1719.79</f>
        <v>1719.79</v>
      </c>
      <c r="P3167">
        <f>86.29</f>
        <v>86.29</v>
      </c>
      <c r="Q3167">
        <f>990.8</f>
        <v>990.8</v>
      </c>
      <c r="R3167">
        <f>2271.47</f>
        <v>2271.4699999999998</v>
      </c>
      <c r="S3167">
        <f>1087.87</f>
        <v>1087.8699999999999</v>
      </c>
      <c r="T3167">
        <f>1576.398</f>
        <v>1576.3979999999999</v>
      </c>
      <c r="U3167">
        <f>32051.35</f>
        <v>32051.35</v>
      </c>
      <c r="V3167">
        <f>211.91</f>
        <v>211.91</v>
      </c>
    </row>
    <row r="3168" spans="1:22" x14ac:dyDescent="0.2">
      <c r="A3168" s="1">
        <v>40673</v>
      </c>
      <c r="B3168">
        <f>2451.22</f>
        <v>2451.2199999999998</v>
      </c>
      <c r="C3168">
        <f>9214.55</f>
        <v>9214.5499999999993</v>
      </c>
      <c r="D3168">
        <f>3982.1</f>
        <v>3982.1</v>
      </c>
      <c r="E3168">
        <f>2107.136</f>
        <v>2107.136</v>
      </c>
      <c r="F3168">
        <f>1374.66</f>
        <v>1374.66</v>
      </c>
      <c r="G3168">
        <f>6613.478</f>
        <v>6613.4780000000001</v>
      </c>
      <c r="H3168">
        <f>1945.56</f>
        <v>1945.56</v>
      </c>
      <c r="I3168">
        <f>7301.953</f>
        <v>7301.9530000000004</v>
      </c>
      <c r="J3168">
        <f>1655.36</f>
        <v>1655.36</v>
      </c>
      <c r="K3168">
        <f>4792.83</f>
        <v>4792.83</v>
      </c>
      <c r="L3168">
        <f>1156.38</f>
        <v>1156.3800000000001</v>
      </c>
      <c r="M3168">
        <f>4627.97</f>
        <v>4627.97</v>
      </c>
      <c r="N3168">
        <f>172.054</f>
        <v>172.054</v>
      </c>
      <c r="O3168">
        <f>1712.44</f>
        <v>1712.44</v>
      </c>
      <c r="P3168">
        <f>86.2</f>
        <v>86.2</v>
      </c>
      <c r="Q3168">
        <f>996.49</f>
        <v>996.49</v>
      </c>
      <c r="R3168">
        <f>2295.72</f>
        <v>2295.7199999999998</v>
      </c>
      <c r="S3168">
        <f>1086.39</f>
        <v>1086.3900000000001</v>
      </c>
      <c r="T3168">
        <f>1581.52</f>
        <v>1581.52</v>
      </c>
      <c r="U3168">
        <f>32085.56</f>
        <v>32085.56</v>
      </c>
      <c r="V3168">
        <f>212.6</f>
        <v>212.6</v>
      </c>
    </row>
    <row r="3169" spans="1:22" x14ac:dyDescent="0.2">
      <c r="A3169" s="1">
        <v>40672</v>
      </c>
      <c r="B3169">
        <f>2422.83</f>
        <v>2422.83</v>
      </c>
      <c r="C3169">
        <f>9162.1</f>
        <v>9162.1</v>
      </c>
      <c r="D3169">
        <f>3931.69</f>
        <v>3931.69</v>
      </c>
      <c r="E3169">
        <f>2097.994</f>
        <v>2097.9940000000001</v>
      </c>
      <c r="F3169">
        <f>1354.34</f>
        <v>1354.34</v>
      </c>
      <c r="G3169">
        <f>6511.796</f>
        <v>6511.7960000000003</v>
      </c>
      <c r="H3169">
        <f>1941.33</f>
        <v>1941.33</v>
      </c>
      <c r="I3169">
        <f>7190.486</f>
        <v>7190.4859999999999</v>
      </c>
      <c r="J3169">
        <f>1644.39</f>
        <v>1644.39</v>
      </c>
      <c r="K3169">
        <f>4754.18</f>
        <v>4754.18</v>
      </c>
      <c r="L3169">
        <f>1145.06</f>
        <v>1145.06</v>
      </c>
      <c r="M3169">
        <f>4584.94</f>
        <v>4584.9399999999996</v>
      </c>
      <c r="N3169">
        <f>171.161</f>
        <v>171.161</v>
      </c>
      <c r="O3169">
        <f>1697.8</f>
        <v>1697.8</v>
      </c>
      <c r="P3169">
        <f>86.12</f>
        <v>86.12</v>
      </c>
      <c r="Q3169">
        <f>988.76</f>
        <v>988.76</v>
      </c>
      <c r="R3169">
        <f>2277.3</f>
        <v>2277.3000000000002</v>
      </c>
      <c r="S3169">
        <f>1082.27</f>
        <v>1082.27</v>
      </c>
      <c r="T3169">
        <f>1576.102</f>
        <v>1576.1020000000001</v>
      </c>
      <c r="U3169">
        <f>31609.78</f>
        <v>31609.78</v>
      </c>
      <c r="V3169">
        <f>210.01</f>
        <v>210.01</v>
      </c>
    </row>
    <row r="3170" spans="1:22" x14ac:dyDescent="0.2">
      <c r="A3170" s="1">
        <v>40669</v>
      </c>
      <c r="B3170">
        <f>2433.48</f>
        <v>2433.48</v>
      </c>
      <c r="C3170">
        <f>9178.81</f>
        <v>9178.81</v>
      </c>
      <c r="D3170">
        <f>3954.24</f>
        <v>3954.24</v>
      </c>
      <c r="E3170">
        <f>2100.262</f>
        <v>2100.2620000000002</v>
      </c>
      <c r="F3170">
        <f>1371.19</f>
        <v>1371.19</v>
      </c>
      <c r="G3170">
        <f>6598.089</f>
        <v>6598.0889999999999</v>
      </c>
      <c r="H3170">
        <f>1946.05</f>
        <v>1946.05</v>
      </c>
      <c r="I3170">
        <f>7357.479</f>
        <v>7357.4790000000003</v>
      </c>
      <c r="J3170">
        <f>1638.31</f>
        <v>1638.31</v>
      </c>
      <c r="K3170">
        <f>4731.58</f>
        <v>4731.58</v>
      </c>
      <c r="L3170">
        <f>1153.97</f>
        <v>1153.97</v>
      </c>
      <c r="M3170">
        <f>4602.76</f>
        <v>4602.76</v>
      </c>
      <c r="N3170">
        <f>170.906</f>
        <v>170.90600000000001</v>
      </c>
      <c r="O3170">
        <f>1704.42</f>
        <v>1704.42</v>
      </c>
      <c r="P3170">
        <f>86.68</f>
        <v>86.68</v>
      </c>
      <c r="Q3170">
        <f>984.11</f>
        <v>984.11</v>
      </c>
      <c r="R3170">
        <f>2266.97</f>
        <v>2266.9699999999998</v>
      </c>
      <c r="S3170">
        <f>1086.44</f>
        <v>1086.44</v>
      </c>
      <c r="T3170">
        <f>1583.359</f>
        <v>1583.3589999999999</v>
      </c>
      <c r="U3170">
        <f>31878.83</f>
        <v>31878.83</v>
      </c>
      <c r="V3170">
        <f>211.21</f>
        <v>211.21</v>
      </c>
    </row>
    <row r="3171" spans="1:22" x14ac:dyDescent="0.2">
      <c r="A3171" s="1">
        <v>40668</v>
      </c>
      <c r="B3171">
        <f>2421.79</f>
        <v>2421.79</v>
      </c>
      <c r="C3171">
        <f>9149.01</f>
        <v>9149.01</v>
      </c>
      <c r="D3171">
        <f>3916.66</f>
        <v>3916.66</v>
      </c>
      <c r="E3171">
        <f>2096.76</f>
        <v>2096.7600000000002</v>
      </c>
      <c r="F3171">
        <f>1372.41</f>
        <v>1372.41</v>
      </c>
      <c r="G3171">
        <f>6532.839</f>
        <v>6532.8389999999999</v>
      </c>
      <c r="H3171">
        <f>1968.86</f>
        <v>1968.86</v>
      </c>
      <c r="I3171">
        <f>7321.301</f>
        <v>7321.3010000000004</v>
      </c>
      <c r="J3171">
        <f>1632.12</f>
        <v>1632.12</v>
      </c>
      <c r="K3171">
        <f>4712.47</f>
        <v>4712.47</v>
      </c>
      <c r="L3171">
        <f>1149.59</f>
        <v>1149.5899999999999</v>
      </c>
      <c r="M3171">
        <f>4587.78</f>
        <v>4587.78</v>
      </c>
      <c r="N3171">
        <f>168.618</f>
        <v>168.61799999999999</v>
      </c>
      <c r="O3171">
        <f>1681.9</f>
        <v>1681.9</v>
      </c>
      <c r="P3171" t="e">
        <f>NA()</f>
        <v>#N/A</v>
      </c>
      <c r="Q3171">
        <f>981.38</f>
        <v>981.38</v>
      </c>
      <c r="R3171">
        <f>2258.08</f>
        <v>2258.08</v>
      </c>
      <c r="S3171" t="e">
        <f>NA()</f>
        <v>#N/A</v>
      </c>
      <c r="T3171">
        <f>1581.542</f>
        <v>1581.5419999999999</v>
      </c>
      <c r="U3171">
        <f>31582.14</f>
        <v>31582.14</v>
      </c>
      <c r="V3171">
        <f>210</f>
        <v>210</v>
      </c>
    </row>
    <row r="3172" spans="1:22" x14ac:dyDescent="0.2">
      <c r="A3172" s="1">
        <v>40667</v>
      </c>
      <c r="B3172">
        <f>2432.06</f>
        <v>2432.06</v>
      </c>
      <c r="C3172">
        <f>9217.59</f>
        <v>9217.59</v>
      </c>
      <c r="D3172">
        <f>3959.07</f>
        <v>3959.07</v>
      </c>
      <c r="E3172">
        <f>2113.197</f>
        <v>2113.1970000000001</v>
      </c>
      <c r="F3172">
        <f>1388.69</f>
        <v>1388.69</v>
      </c>
      <c r="G3172">
        <f>6653.486</f>
        <v>6653.4859999999999</v>
      </c>
      <c r="H3172">
        <f>1952.38</f>
        <v>1952.38</v>
      </c>
      <c r="I3172">
        <f>7477.356</f>
        <v>7477.3559999999998</v>
      </c>
      <c r="J3172">
        <f>1650.94</f>
        <v>1650.94</v>
      </c>
      <c r="K3172">
        <f>4754.58</f>
        <v>4754.58</v>
      </c>
      <c r="L3172">
        <f>1165.49</f>
        <v>1165.49</v>
      </c>
      <c r="M3172">
        <f>4640.15</f>
        <v>4640.1499999999996</v>
      </c>
      <c r="N3172">
        <f>167.568</f>
        <v>167.56800000000001</v>
      </c>
      <c r="O3172">
        <f>1684.11</f>
        <v>1684.11</v>
      </c>
      <c r="P3172" t="e">
        <f>NA()</f>
        <v>#N/A</v>
      </c>
      <c r="Q3172">
        <f>986.25</f>
        <v>986.25</v>
      </c>
      <c r="R3172">
        <f>2278.63</f>
        <v>2278.63</v>
      </c>
      <c r="S3172" t="e">
        <f>NA()</f>
        <v>#N/A</v>
      </c>
      <c r="T3172">
        <f>1588.131</f>
        <v>1588.1310000000001</v>
      </c>
      <c r="U3172">
        <f>31856.64</f>
        <v>31856.639999999999</v>
      </c>
      <c r="V3172">
        <f>211.81</f>
        <v>211.81</v>
      </c>
    </row>
    <row r="3173" spans="1:22" x14ac:dyDescent="0.2">
      <c r="A3173" s="1">
        <v>40666</v>
      </c>
      <c r="B3173">
        <f>2441.98</f>
        <v>2441.98</v>
      </c>
      <c r="C3173">
        <f>9307.12</f>
        <v>9307.1200000000008</v>
      </c>
      <c r="D3173">
        <f>4021.35</f>
        <v>4021.35</v>
      </c>
      <c r="E3173">
        <f>2139.903</f>
        <v>2139.9029999999998</v>
      </c>
      <c r="F3173">
        <f>1399.27</f>
        <v>1399.27</v>
      </c>
      <c r="G3173">
        <f>6735.618</f>
        <v>6735.6180000000004</v>
      </c>
      <c r="H3173">
        <f>1947.91</f>
        <v>1947.91</v>
      </c>
      <c r="I3173">
        <f>7552.02</f>
        <v>7552.02</v>
      </c>
      <c r="J3173">
        <f>1657.53</f>
        <v>1657.53</v>
      </c>
      <c r="K3173">
        <f>4786.76</f>
        <v>4786.76</v>
      </c>
      <c r="L3173">
        <f>1173.6</f>
        <v>1173.5999999999999</v>
      </c>
      <c r="M3173">
        <f>4677.67</f>
        <v>4677.67</v>
      </c>
      <c r="N3173">
        <f>169.321</f>
        <v>169.321</v>
      </c>
      <c r="O3173">
        <f>1705.69</f>
        <v>1705.69</v>
      </c>
      <c r="P3173" t="e">
        <f>NA()</f>
        <v>#N/A</v>
      </c>
      <c r="Q3173">
        <f>989.8</f>
        <v>989.8</v>
      </c>
      <c r="R3173">
        <f>2293.95</f>
        <v>2293.9499999999998</v>
      </c>
      <c r="S3173" t="e">
        <f>NA()</f>
        <v>#N/A</v>
      </c>
      <c r="T3173">
        <f>1597.222</f>
        <v>1597.222</v>
      </c>
      <c r="U3173">
        <f>32325.83</f>
        <v>32325.83</v>
      </c>
      <c r="V3173">
        <f>212.82</f>
        <v>212.82</v>
      </c>
    </row>
    <row r="3174" spans="1:22" x14ac:dyDescent="0.2">
      <c r="A3174" s="1">
        <v>40665</v>
      </c>
      <c r="B3174">
        <f>2433.33</f>
        <v>2433.33</v>
      </c>
      <c r="C3174">
        <f>9427.35</f>
        <v>9427.35</v>
      </c>
      <c r="D3174">
        <f>4012.77</f>
        <v>4012.77</v>
      </c>
      <c r="E3174">
        <f>2176.575</f>
        <v>2176.5749999999998</v>
      </c>
      <c r="F3174">
        <f>1406.97</f>
        <v>1406.97</v>
      </c>
      <c r="G3174">
        <f>6809.611</f>
        <v>6809.6109999999999</v>
      </c>
      <c r="H3174">
        <f>1942.39</f>
        <v>1942.39</v>
      </c>
      <c r="I3174">
        <f>7604.543</f>
        <v>7604.5429999999997</v>
      </c>
      <c r="J3174">
        <f>1661.82</f>
        <v>1661.82</v>
      </c>
      <c r="K3174">
        <f>4805.16</f>
        <v>4805.16</v>
      </c>
      <c r="L3174">
        <f>1179.09</f>
        <v>1179.0899999999999</v>
      </c>
      <c r="M3174">
        <f>4706.93</f>
        <v>4706.93</v>
      </c>
      <c r="N3174">
        <f>169.907</f>
        <v>169.90700000000001</v>
      </c>
      <c r="O3174">
        <f>1713.81</f>
        <v>1713.81</v>
      </c>
      <c r="P3174">
        <f>87.02</f>
        <v>87.02</v>
      </c>
      <c r="Q3174">
        <f>994.6</f>
        <v>994.6</v>
      </c>
      <c r="R3174">
        <f>2301.72</f>
        <v>2301.7199999999998</v>
      </c>
      <c r="S3174">
        <f>1097.91</f>
        <v>1097.9100000000001</v>
      </c>
      <c r="T3174" t="e">
        <f>NA()</f>
        <v>#N/A</v>
      </c>
      <c r="U3174" t="e">
        <f>NA()</f>
        <v>#N/A</v>
      </c>
      <c r="V3174" t="e">
        <f>NA()</f>
        <v>#N/A</v>
      </c>
    </row>
    <row r="3175" spans="1:22" x14ac:dyDescent="0.2">
      <c r="A3175" s="1">
        <v>40662</v>
      </c>
      <c r="B3175">
        <f>2433.33</f>
        <v>2433.33</v>
      </c>
      <c r="C3175">
        <f>9415.81</f>
        <v>9415.81</v>
      </c>
      <c r="D3175">
        <f>4012.77</f>
        <v>4012.77</v>
      </c>
      <c r="E3175">
        <f>2171.038</f>
        <v>2171.038</v>
      </c>
      <c r="F3175">
        <f>1404.91</f>
        <v>1404.91</v>
      </c>
      <c r="G3175">
        <f>6799.624</f>
        <v>6799.6239999999998</v>
      </c>
      <c r="H3175">
        <f>1917.38</f>
        <v>1917.38</v>
      </c>
      <c r="I3175">
        <f>7555.748</f>
        <v>7555.7479999999996</v>
      </c>
      <c r="J3175">
        <f>1663.08</f>
        <v>1663.08</v>
      </c>
      <c r="K3175">
        <f>4812.79</f>
        <v>4812.79</v>
      </c>
      <c r="L3175">
        <f>1174.09</f>
        <v>1174.0899999999999</v>
      </c>
      <c r="M3175">
        <f>4694.88</f>
        <v>4694.88</v>
      </c>
      <c r="N3175">
        <f>169.902</f>
        <v>169.90199999999999</v>
      </c>
      <c r="O3175">
        <f>1713.38</f>
        <v>1713.38</v>
      </c>
      <c r="P3175" t="e">
        <f>NA()</f>
        <v>#N/A</v>
      </c>
      <c r="Q3175">
        <f>995.03</f>
        <v>995.03</v>
      </c>
      <c r="R3175">
        <f>2305.76</f>
        <v>2305.7600000000002</v>
      </c>
      <c r="S3175" t="e">
        <f>NA()</f>
        <v>#N/A</v>
      </c>
      <c r="T3175">
        <f>1609.601</f>
        <v>1609.6010000000001</v>
      </c>
      <c r="U3175">
        <f>32836.23</f>
        <v>32836.230000000003</v>
      </c>
      <c r="V3175">
        <f>214.96</f>
        <v>214.96</v>
      </c>
    </row>
    <row r="3176" spans="1:22" x14ac:dyDescent="0.2">
      <c r="A3176" s="1">
        <v>40661</v>
      </c>
      <c r="B3176">
        <f>2433.33</f>
        <v>2433.33</v>
      </c>
      <c r="C3176">
        <f>9371.82</f>
        <v>9371.82</v>
      </c>
      <c r="D3176">
        <f>4012.77</f>
        <v>4012.77</v>
      </c>
      <c r="E3176">
        <f>2164.67</f>
        <v>2164.67</v>
      </c>
      <c r="F3176">
        <f>1402.17</f>
        <v>1402.17</v>
      </c>
      <c r="G3176">
        <f>6786.374</f>
        <v>6786.3739999999998</v>
      </c>
      <c r="H3176">
        <f>1909.85</f>
        <v>1909.85</v>
      </c>
      <c r="I3176">
        <f>7511.625</f>
        <v>7511.625</v>
      </c>
      <c r="J3176">
        <f>1656.8</f>
        <v>1656.8</v>
      </c>
      <c r="K3176">
        <f>4801.15</f>
        <v>4801.1499999999996</v>
      </c>
      <c r="L3176">
        <f>1171.02</f>
        <v>1171.02</v>
      </c>
      <c r="M3176">
        <f>4681.07</f>
        <v>4681.07</v>
      </c>
      <c r="N3176">
        <f>169.52</f>
        <v>169.52</v>
      </c>
      <c r="O3176">
        <f>1707.14</f>
        <v>1707.14</v>
      </c>
      <c r="P3176">
        <f>85.96</f>
        <v>85.96</v>
      </c>
      <c r="Q3176">
        <f>996.14</f>
        <v>996.14</v>
      </c>
      <c r="R3176">
        <f>2300.46</f>
        <v>2300.46</v>
      </c>
      <c r="S3176">
        <f>1080.54</f>
        <v>1080.54</v>
      </c>
      <c r="T3176">
        <f>1599.424</f>
        <v>1599.424</v>
      </c>
      <c r="U3176">
        <f>32659.95</f>
        <v>32659.95</v>
      </c>
      <c r="V3176">
        <f>213.56</f>
        <v>213.56</v>
      </c>
    </row>
    <row r="3177" spans="1:22" x14ac:dyDescent="0.2">
      <c r="A3177" s="1">
        <v>40660</v>
      </c>
      <c r="B3177">
        <f>2415.39</f>
        <v>2415.39</v>
      </c>
      <c r="C3177">
        <f>9398.41</f>
        <v>9398.41</v>
      </c>
      <c r="D3177">
        <f>4011.62</f>
        <v>4011.62</v>
      </c>
      <c r="E3177">
        <f>2167.148</f>
        <v>2167.1480000000001</v>
      </c>
      <c r="F3177">
        <f>1393.74</f>
        <v>1393.74</v>
      </c>
      <c r="G3177">
        <f>6733.028</f>
        <v>6733.0280000000002</v>
      </c>
      <c r="H3177">
        <f>1856.83</f>
        <v>1856.83</v>
      </c>
      <c r="I3177">
        <f>7370.831</f>
        <v>7370.8310000000001</v>
      </c>
      <c r="J3177">
        <f>1649.99</f>
        <v>1649.99</v>
      </c>
      <c r="K3177">
        <f>4783.92</f>
        <v>4783.92</v>
      </c>
      <c r="L3177">
        <f>1158.53</f>
        <v>1158.53</v>
      </c>
      <c r="M3177">
        <f>4634.85</f>
        <v>4634.8500000000004</v>
      </c>
      <c r="N3177">
        <f>169.02</f>
        <v>169.02</v>
      </c>
      <c r="O3177">
        <f>1700.23</f>
        <v>1700.23</v>
      </c>
      <c r="P3177">
        <f>84.6</f>
        <v>84.6</v>
      </c>
      <c r="Q3177">
        <f>991.46</f>
        <v>991.46</v>
      </c>
      <c r="R3177">
        <f>2292.13</f>
        <v>2292.13</v>
      </c>
      <c r="S3177">
        <f>1065.34</f>
        <v>1065.3399999999999</v>
      </c>
      <c r="T3177" t="e">
        <f>NA()</f>
        <v>#N/A</v>
      </c>
      <c r="U3177" t="e">
        <f>NA()</f>
        <v>#N/A</v>
      </c>
      <c r="V3177" t="e">
        <f>NA()</f>
        <v>#N/A</v>
      </c>
    </row>
    <row r="3178" spans="1:22" x14ac:dyDescent="0.2">
      <c r="A3178" s="1">
        <v>40659</v>
      </c>
      <c r="B3178">
        <f>2405.13</f>
        <v>2405.13</v>
      </c>
      <c r="C3178">
        <f>9390.19</f>
        <v>9390.19</v>
      </c>
      <c r="D3178">
        <f>4008.69</f>
        <v>4008.69</v>
      </c>
      <c r="E3178">
        <f>2168.63</f>
        <v>2168.63</v>
      </c>
      <c r="F3178">
        <f>1376.89</f>
        <v>1376.89</v>
      </c>
      <c r="G3178">
        <f>6699.632</f>
        <v>6699.6319999999996</v>
      </c>
      <c r="H3178">
        <f>1871.18</f>
        <v>1871.18</v>
      </c>
      <c r="I3178">
        <f>7335.818</f>
        <v>7335.8180000000002</v>
      </c>
      <c r="J3178">
        <f>1640.31</f>
        <v>1640.31</v>
      </c>
      <c r="K3178">
        <f>4753.07</f>
        <v>4753.07</v>
      </c>
      <c r="L3178">
        <f>1152.59</f>
        <v>1152.5899999999999</v>
      </c>
      <c r="M3178">
        <f>4617.89</f>
        <v>4617.8900000000003</v>
      </c>
      <c r="N3178">
        <f>168.744</f>
        <v>168.744</v>
      </c>
      <c r="O3178">
        <f>1694.15</f>
        <v>1694.15</v>
      </c>
      <c r="P3178">
        <f>84</f>
        <v>84</v>
      </c>
      <c r="Q3178">
        <f>985.79</f>
        <v>985.79</v>
      </c>
      <c r="R3178">
        <f>2277.51</f>
        <v>2277.5100000000002</v>
      </c>
      <c r="S3178">
        <f>1057.43</f>
        <v>1057.43</v>
      </c>
      <c r="T3178">
        <f>1584.725</f>
        <v>1584.7249999999999</v>
      </c>
      <c r="U3178">
        <f>32668.15</f>
        <v>32668.15</v>
      </c>
      <c r="V3178">
        <f>211.66</f>
        <v>211.66</v>
      </c>
    </row>
    <row r="3179" spans="1:22" x14ac:dyDescent="0.2">
      <c r="A3179" s="1">
        <v>40658</v>
      </c>
      <c r="B3179">
        <f>2380.46</f>
        <v>2380.46</v>
      </c>
      <c r="C3179">
        <f>9363.93</f>
        <v>9363.93</v>
      </c>
      <c r="D3179">
        <f>3974.97</f>
        <v>3974.97</v>
      </c>
      <c r="E3179">
        <f>2169.116</f>
        <v>2169.116</v>
      </c>
      <c r="F3179">
        <f>1358.62</f>
        <v>1358.62</v>
      </c>
      <c r="G3179">
        <f>6652.27</f>
        <v>6652.27</v>
      </c>
      <c r="H3179">
        <f>1873.89</f>
        <v>1873.89</v>
      </c>
      <c r="I3179">
        <f>7261.697</f>
        <v>7261.6970000000001</v>
      </c>
      <c r="J3179">
        <f>1622.96</f>
        <v>1622.96</v>
      </c>
      <c r="K3179">
        <f>4710.83</f>
        <v>4710.83</v>
      </c>
      <c r="L3179">
        <f>1142.95</f>
        <v>1142.95</v>
      </c>
      <c r="M3179">
        <f>4586.34</f>
        <v>4586.34</v>
      </c>
      <c r="N3179">
        <f>168.347</f>
        <v>168.34700000000001</v>
      </c>
      <c r="O3179" t="e">
        <f>NA()</f>
        <v>#N/A</v>
      </c>
      <c r="P3179">
        <f>84.37</f>
        <v>84.37</v>
      </c>
      <c r="Q3179">
        <f>976.82</f>
        <v>976.82</v>
      </c>
      <c r="R3179">
        <f>2257.24</f>
        <v>2257.2399999999998</v>
      </c>
      <c r="S3179">
        <f>1066.34</f>
        <v>1066.3399999999999</v>
      </c>
      <c r="T3179" t="e">
        <f>NA()</f>
        <v>#N/A</v>
      </c>
      <c r="U3179" t="e">
        <f>NA()</f>
        <v>#N/A</v>
      </c>
      <c r="V3179" t="e">
        <f>NA()</f>
        <v>#N/A</v>
      </c>
    </row>
    <row r="3180" spans="1:22" x14ac:dyDescent="0.2">
      <c r="A3180" s="1">
        <v>40655</v>
      </c>
      <c r="B3180">
        <f>2380.46</f>
        <v>2380.46</v>
      </c>
      <c r="C3180">
        <f>9379.06</f>
        <v>9379.06</v>
      </c>
      <c r="D3180">
        <f>3974.97</f>
        <v>3974.97</v>
      </c>
      <c r="E3180">
        <f>2173.028</f>
        <v>2173.0279999999998</v>
      </c>
      <c r="F3180">
        <f>1366.83</f>
        <v>1366.83</v>
      </c>
      <c r="G3180">
        <f>6692.457</f>
        <v>6692.4570000000003</v>
      </c>
      <c r="H3180">
        <f>1882.79</f>
        <v>1882.79</v>
      </c>
      <c r="I3180">
        <f>7265.187</f>
        <v>7265.1869999999999</v>
      </c>
      <c r="J3180">
        <f>1623.9</f>
        <v>1623.9</v>
      </c>
      <c r="K3180">
        <f>4718.55</f>
        <v>4718.55</v>
      </c>
      <c r="L3180">
        <f>1145.41</f>
        <v>1145.4100000000001</v>
      </c>
      <c r="M3180">
        <f>4598.22</f>
        <v>4598.22</v>
      </c>
      <c r="N3180">
        <f>168.347</f>
        <v>168.34700000000001</v>
      </c>
      <c r="O3180" t="e">
        <f>NA()</f>
        <v>#N/A</v>
      </c>
      <c r="P3180">
        <f>84.49</f>
        <v>84.49</v>
      </c>
      <c r="Q3180" t="e">
        <f>NA()</f>
        <v>#N/A</v>
      </c>
      <c r="R3180" t="e">
        <f>NA()</f>
        <v>#N/A</v>
      </c>
      <c r="S3180">
        <f>1068.24</f>
        <v>1068.24</v>
      </c>
      <c r="T3180" t="e">
        <f>NA()</f>
        <v>#N/A</v>
      </c>
      <c r="U3180" t="e">
        <f>NA()</f>
        <v>#N/A</v>
      </c>
      <c r="V3180" t="e">
        <f>NA()</f>
        <v>#N/A</v>
      </c>
    </row>
    <row r="3181" spans="1:22" x14ac:dyDescent="0.2">
      <c r="A3181" s="1">
        <v>40654</v>
      </c>
      <c r="B3181">
        <f>2380.46</f>
        <v>2380.46</v>
      </c>
      <c r="C3181">
        <f>9375.91</f>
        <v>9375.91</v>
      </c>
      <c r="D3181">
        <f>3974.97</f>
        <v>3974.97</v>
      </c>
      <c r="E3181">
        <f>2172.909</f>
        <v>2172.9090000000001</v>
      </c>
      <c r="F3181">
        <f>1366.83</f>
        <v>1366.83</v>
      </c>
      <c r="G3181">
        <f>6692.457</f>
        <v>6692.4570000000003</v>
      </c>
      <c r="H3181">
        <f>1894.63</f>
        <v>1894.63</v>
      </c>
      <c r="I3181">
        <f>7265.187</f>
        <v>7265.1869999999999</v>
      </c>
      <c r="J3181">
        <f>1623.9</f>
        <v>1623.9</v>
      </c>
      <c r="K3181">
        <f>4718.55</f>
        <v>4718.55</v>
      </c>
      <c r="L3181">
        <f>1145.68</f>
        <v>1145.68</v>
      </c>
      <c r="M3181">
        <f>4597.97</f>
        <v>4597.97</v>
      </c>
      <c r="N3181">
        <f>168.347</f>
        <v>168.34700000000001</v>
      </c>
      <c r="O3181">
        <f>1687.78</f>
        <v>1687.78</v>
      </c>
      <c r="P3181">
        <f>84.93</f>
        <v>84.93</v>
      </c>
      <c r="Q3181">
        <f>980.42</f>
        <v>980.42</v>
      </c>
      <c r="R3181">
        <f>2260.84</f>
        <v>2260.84</v>
      </c>
      <c r="S3181">
        <f>1067.66</f>
        <v>1067.6600000000001</v>
      </c>
      <c r="T3181">
        <f>1579.866</f>
        <v>1579.866</v>
      </c>
      <c r="U3181">
        <f>32658.86</f>
        <v>32658.86</v>
      </c>
      <c r="V3181">
        <f>211.21</f>
        <v>211.21</v>
      </c>
    </row>
    <row r="3182" spans="1:22" x14ac:dyDescent="0.2">
      <c r="A3182" s="1">
        <v>40653</v>
      </c>
      <c r="B3182">
        <f>2374.72</f>
        <v>2374.7199999999998</v>
      </c>
      <c r="C3182">
        <f>9293.82</f>
        <v>9293.82</v>
      </c>
      <c r="D3182">
        <f>3977.58</f>
        <v>3977.58</v>
      </c>
      <c r="E3182">
        <f>2152.866</f>
        <v>2152.866</v>
      </c>
      <c r="F3182">
        <f>1367.35</f>
        <v>1367.35</v>
      </c>
      <c r="G3182">
        <f>6632.764</f>
        <v>6632.7640000000001</v>
      </c>
      <c r="H3182">
        <f>1879.5</f>
        <v>1879.5</v>
      </c>
      <c r="I3182">
        <f>7193.896</f>
        <v>7193.8959999999997</v>
      </c>
      <c r="J3182">
        <f>1619.07</f>
        <v>1619.07</v>
      </c>
      <c r="K3182">
        <f>4693.7</f>
        <v>4693.7</v>
      </c>
      <c r="L3182">
        <f>1139.82</f>
        <v>1139.82</v>
      </c>
      <c r="M3182">
        <f>4560.36</f>
        <v>4560.3599999999997</v>
      </c>
      <c r="N3182">
        <f>168.111</f>
        <v>168.11099999999999</v>
      </c>
      <c r="O3182">
        <f>1679.02</f>
        <v>1679.02</v>
      </c>
      <c r="P3182">
        <f>84.62</f>
        <v>84.62</v>
      </c>
      <c r="Q3182">
        <f>978.99</f>
        <v>978.99</v>
      </c>
      <c r="R3182">
        <f>2248.9</f>
        <v>2248.9</v>
      </c>
      <c r="S3182">
        <f>1061.89</f>
        <v>1061.8900000000001</v>
      </c>
      <c r="T3182">
        <f>1569.193</f>
        <v>1569.193</v>
      </c>
      <c r="U3182">
        <f>32526.3</f>
        <v>32526.3</v>
      </c>
      <c r="V3182">
        <f>210.51</f>
        <v>210.51</v>
      </c>
    </row>
    <row r="3183" spans="1:22" x14ac:dyDescent="0.2">
      <c r="A3183" s="1">
        <v>40652</v>
      </c>
      <c r="B3183">
        <f>2336.86</f>
        <v>2336.86</v>
      </c>
      <c r="C3183">
        <f>9092.88</f>
        <v>9092.8799999999992</v>
      </c>
      <c r="D3183">
        <f>3891.4</f>
        <v>3891.4</v>
      </c>
      <c r="E3183">
        <f>2100.889</f>
        <v>2100.8890000000001</v>
      </c>
      <c r="F3183">
        <f>1329.65</f>
        <v>1329.65</v>
      </c>
      <c r="G3183">
        <f>6453.168</f>
        <v>6453.1679999999997</v>
      </c>
      <c r="H3183">
        <f>1865.69</f>
        <v>1865.69</v>
      </c>
      <c r="I3183">
        <f>6959.805</f>
        <v>6959.8050000000003</v>
      </c>
      <c r="J3183">
        <f>1596.17</f>
        <v>1596.17</v>
      </c>
      <c r="K3183">
        <f>4630.1</f>
        <v>4630.1000000000004</v>
      </c>
      <c r="L3183">
        <f>1116.12</f>
        <v>1116.1199999999999</v>
      </c>
      <c r="M3183">
        <f>4472.78</f>
        <v>4472.78</v>
      </c>
      <c r="N3183">
        <f>165.959</f>
        <v>165.959</v>
      </c>
      <c r="O3183">
        <f>1649.65</f>
        <v>1649.65</v>
      </c>
      <c r="P3183">
        <f>83.95</f>
        <v>83.95</v>
      </c>
      <c r="Q3183">
        <f>966.56</f>
        <v>966.56</v>
      </c>
      <c r="R3183">
        <f>2218.86</f>
        <v>2218.86</v>
      </c>
      <c r="S3183">
        <f>1049.71</f>
        <v>1049.71</v>
      </c>
      <c r="T3183">
        <f>1542.668</f>
        <v>1542.6679999999999</v>
      </c>
      <c r="U3183">
        <f>31837.06</f>
        <v>31837.06</v>
      </c>
      <c r="V3183">
        <f>207.2</f>
        <v>207.2</v>
      </c>
    </row>
    <row r="3184" spans="1:22" x14ac:dyDescent="0.2">
      <c r="A3184" s="1">
        <v>40651</v>
      </c>
      <c r="B3184">
        <f>2328.56</f>
        <v>2328.56</v>
      </c>
      <c r="C3184">
        <f>9063.14</f>
        <v>9063.14</v>
      </c>
      <c r="D3184">
        <f>3873.72</f>
        <v>3873.72</v>
      </c>
      <c r="E3184">
        <f>2092.97</f>
        <v>2092.9699999999998</v>
      </c>
      <c r="F3184">
        <f>1314.66</f>
        <v>1314.66</v>
      </c>
      <c r="G3184">
        <f>6379.743</f>
        <v>6379.7430000000004</v>
      </c>
      <c r="H3184">
        <f>1884.89</f>
        <v>1884.89</v>
      </c>
      <c r="I3184">
        <f>6868.801</f>
        <v>6868.8010000000004</v>
      </c>
      <c r="J3184">
        <f>1589.11</f>
        <v>1589.11</v>
      </c>
      <c r="K3184">
        <f>4603.86</f>
        <v>4603.8599999999997</v>
      </c>
      <c r="L3184">
        <f>1108.46</f>
        <v>1108.46</v>
      </c>
      <c r="M3184">
        <f>4446.97</f>
        <v>4446.97</v>
      </c>
      <c r="N3184">
        <f>165.363</f>
        <v>165.363</v>
      </c>
      <c r="O3184">
        <f>1642.75</f>
        <v>1642.75</v>
      </c>
      <c r="P3184">
        <f>84.49</f>
        <v>84.49</v>
      </c>
      <c r="Q3184">
        <f>961.26</f>
        <v>961.26</v>
      </c>
      <c r="R3184">
        <f>2206.15</f>
        <v>2206.15</v>
      </c>
      <c r="S3184">
        <f>1060.84</f>
        <v>1060.8399999999999</v>
      </c>
      <c r="T3184">
        <f>1542.629</f>
        <v>1542.6289999999999</v>
      </c>
      <c r="U3184">
        <f>31388.63</f>
        <v>31388.63</v>
      </c>
      <c r="V3184">
        <f>207.04</f>
        <v>207.04</v>
      </c>
    </row>
    <row r="3185" spans="1:22" x14ac:dyDescent="0.2">
      <c r="A3185" s="1">
        <v>40648</v>
      </c>
      <c r="B3185">
        <f>2368.01</f>
        <v>2368.0100000000002</v>
      </c>
      <c r="C3185">
        <f>9198.95</f>
        <v>9198.9500000000007</v>
      </c>
      <c r="D3185">
        <f>3956.82</f>
        <v>3956.82</v>
      </c>
      <c r="E3185">
        <f>2127.547</f>
        <v>2127.547</v>
      </c>
      <c r="F3185">
        <f>1352.17</f>
        <v>1352.17</v>
      </c>
      <c r="G3185">
        <f>6558.151</f>
        <v>6558.1509999999998</v>
      </c>
      <c r="H3185">
        <f>1880.16</f>
        <v>1880.16</v>
      </c>
      <c r="I3185">
        <f>7098.973</f>
        <v>7098.973</v>
      </c>
      <c r="J3185">
        <f>1606.32</f>
        <v>1606.32</v>
      </c>
      <c r="K3185">
        <f>4655.2</f>
        <v>4655.2</v>
      </c>
      <c r="L3185">
        <f>1129.75</f>
        <v>1129.75</v>
      </c>
      <c r="M3185">
        <f>4516.66</f>
        <v>4516.66</v>
      </c>
      <c r="N3185">
        <f>166.597</f>
        <v>166.59700000000001</v>
      </c>
      <c r="O3185">
        <f>1669.42</f>
        <v>1669.42</v>
      </c>
      <c r="P3185">
        <f>84.41</f>
        <v>84.41</v>
      </c>
      <c r="Q3185">
        <f>970.35</f>
        <v>970.35</v>
      </c>
      <c r="R3185">
        <f>2230.71</f>
        <v>2230.71</v>
      </c>
      <c r="S3185">
        <f>1067.12</f>
        <v>1067.1199999999999</v>
      </c>
      <c r="T3185">
        <f>1573.578</f>
        <v>1573.578</v>
      </c>
      <c r="U3185">
        <f>32227.66</f>
        <v>32227.66</v>
      </c>
      <c r="V3185">
        <f>210.35</f>
        <v>210.35</v>
      </c>
    </row>
    <row r="3186" spans="1:22" x14ac:dyDescent="0.2">
      <c r="A3186" s="1">
        <v>40647</v>
      </c>
      <c r="B3186">
        <f>2347.42</f>
        <v>2347.42</v>
      </c>
      <c r="C3186">
        <f>9197.9</f>
        <v>9197.9</v>
      </c>
      <c r="D3186">
        <f>3935.56</f>
        <v>3935.56</v>
      </c>
      <c r="E3186">
        <f>2128.561</f>
        <v>2128.5610000000001</v>
      </c>
      <c r="F3186">
        <f>1342.9</f>
        <v>1342.9</v>
      </c>
      <c r="G3186">
        <f>6544.972</f>
        <v>6544.9719999999998</v>
      </c>
      <c r="H3186">
        <f>1896.21</f>
        <v>1896.21</v>
      </c>
      <c r="I3186">
        <f>7105.853</f>
        <v>7105.8530000000001</v>
      </c>
      <c r="J3186">
        <f>1593.5</f>
        <v>1593.5</v>
      </c>
      <c r="K3186">
        <f>4636.35</f>
        <v>4636.3500000000004</v>
      </c>
      <c r="L3186">
        <f>1126</f>
        <v>1126</v>
      </c>
      <c r="M3186">
        <f>4511.38</f>
        <v>4511.38</v>
      </c>
      <c r="N3186">
        <f>164.967</f>
        <v>164.96700000000001</v>
      </c>
      <c r="O3186">
        <f>1664.16</f>
        <v>1664.16</v>
      </c>
      <c r="P3186">
        <f>84.76</f>
        <v>84.76</v>
      </c>
      <c r="Q3186">
        <f>962.9</f>
        <v>962.9</v>
      </c>
      <c r="R3186">
        <f>2221.99</f>
        <v>2221.9899999999998</v>
      </c>
      <c r="S3186">
        <f>1074</f>
        <v>1074</v>
      </c>
      <c r="T3186">
        <f>1569.378</f>
        <v>1569.3779999999999</v>
      </c>
      <c r="U3186">
        <f>32418.33</f>
        <v>32418.33</v>
      </c>
      <c r="V3186">
        <f>210.56</f>
        <v>210.56</v>
      </c>
    </row>
    <row r="3187" spans="1:22" x14ac:dyDescent="0.2">
      <c r="A3187" s="1">
        <v>40646</v>
      </c>
      <c r="B3187">
        <f>2352.6</f>
        <v>2352.6</v>
      </c>
      <c r="C3187">
        <f>9241.81</f>
        <v>9241.81</v>
      </c>
      <c r="D3187">
        <f>3966.35</f>
        <v>3966.35</v>
      </c>
      <c r="E3187">
        <f>2133.368</f>
        <v>2133.3679999999999</v>
      </c>
      <c r="F3187">
        <f>1344.96</f>
        <v>1344.96</v>
      </c>
      <c r="G3187">
        <f>6566.235</f>
        <v>6566.2349999999997</v>
      </c>
      <c r="H3187">
        <f>1883.03</f>
        <v>1883.03</v>
      </c>
      <c r="I3187">
        <f>7169.452</f>
        <v>7169.4520000000002</v>
      </c>
      <c r="J3187">
        <f>1587.07</f>
        <v>1587.07</v>
      </c>
      <c r="K3187">
        <f>4635.96</f>
        <v>4635.96</v>
      </c>
      <c r="L3187">
        <f>1126.74</f>
        <v>1126.74</v>
      </c>
      <c r="M3187">
        <f>4518.08</f>
        <v>4518.08</v>
      </c>
      <c r="N3187">
        <f>165.316</f>
        <v>165.316</v>
      </c>
      <c r="O3187">
        <f>1672.65</f>
        <v>1672.65</v>
      </c>
      <c r="P3187">
        <f>84.55</f>
        <v>84.55</v>
      </c>
      <c r="Q3187">
        <f>960.73</f>
        <v>960.73</v>
      </c>
      <c r="R3187">
        <f>2221.77</f>
        <v>2221.77</v>
      </c>
      <c r="S3187">
        <f>1071.31</f>
        <v>1071.31</v>
      </c>
      <c r="T3187">
        <f>1567.712</f>
        <v>1567.712</v>
      </c>
      <c r="U3187">
        <f>32353.79</f>
        <v>32353.79</v>
      </c>
      <c r="V3187">
        <f>210.71</f>
        <v>210.71</v>
      </c>
    </row>
    <row r="3188" spans="1:22" x14ac:dyDescent="0.2">
      <c r="A3188" s="1">
        <v>40645</v>
      </c>
      <c r="B3188">
        <f>2337.05</f>
        <v>2337.0500000000002</v>
      </c>
      <c r="C3188">
        <f>9222</f>
        <v>9222</v>
      </c>
      <c r="D3188">
        <f>3934.41</f>
        <v>3934.41</v>
      </c>
      <c r="E3188">
        <f>2118.939</f>
        <v>2118.9389999999999</v>
      </c>
      <c r="F3188">
        <f>1330.49</f>
        <v>1330.49</v>
      </c>
      <c r="G3188">
        <f>6503.816</f>
        <v>6503.8159999999998</v>
      </c>
      <c r="H3188">
        <f>1887.69</f>
        <v>1887.69</v>
      </c>
      <c r="I3188">
        <f>7117.601</f>
        <v>7117.6009999999997</v>
      </c>
      <c r="J3188">
        <f>1588.22</f>
        <v>1588.22</v>
      </c>
      <c r="K3188">
        <f>4632.62</f>
        <v>4632.62</v>
      </c>
      <c r="L3188">
        <f>1122.04</f>
        <v>1122.04</v>
      </c>
      <c r="M3188">
        <f>4500.95</f>
        <v>4500.95</v>
      </c>
      <c r="N3188">
        <f>163.319</f>
        <v>163.31899999999999</v>
      </c>
      <c r="O3188">
        <f>1660.7</f>
        <v>1660.7</v>
      </c>
      <c r="P3188">
        <f>84.23</f>
        <v>84.23</v>
      </c>
      <c r="Q3188">
        <f>961.22</f>
        <v>961.22</v>
      </c>
      <c r="R3188">
        <f>2221.12</f>
        <v>2221.12</v>
      </c>
      <c r="S3188">
        <f>1063.6</f>
        <v>1063.5999999999999</v>
      </c>
      <c r="T3188">
        <f>1569.693</f>
        <v>1569.693</v>
      </c>
      <c r="U3188">
        <f>32239.87</f>
        <v>32239.87</v>
      </c>
      <c r="V3188">
        <f>210.42</f>
        <v>210.42</v>
      </c>
    </row>
    <row r="3189" spans="1:22" x14ac:dyDescent="0.2">
      <c r="A3189" s="1">
        <v>40644</v>
      </c>
      <c r="B3189">
        <f>2351.34</f>
        <v>2351.34</v>
      </c>
      <c r="C3189">
        <f>9403.06</f>
        <v>9403.06</v>
      </c>
      <c r="D3189">
        <f>3993.1</f>
        <v>3993.1</v>
      </c>
      <c r="E3189">
        <f>2159.835</f>
        <v>2159.835</v>
      </c>
      <c r="F3189">
        <f>1355.15</f>
        <v>1355.15</v>
      </c>
      <c r="G3189">
        <f>6662.379</f>
        <v>6662.3789999999999</v>
      </c>
      <c r="H3189">
        <f>1886.01</f>
        <v>1886.01</v>
      </c>
      <c r="I3189">
        <f>7187.777</f>
        <v>7187.777</v>
      </c>
      <c r="J3189">
        <f>1601.97</f>
        <v>1601.97</v>
      </c>
      <c r="K3189">
        <f>4669.38</f>
        <v>4669.38</v>
      </c>
      <c r="L3189">
        <f>1133.53</f>
        <v>1133.53</v>
      </c>
      <c r="M3189">
        <f>4550.76</f>
        <v>4550.76</v>
      </c>
      <c r="N3189">
        <f>165.393</f>
        <v>165.393</v>
      </c>
      <c r="O3189">
        <f>1687.29</f>
        <v>1687.29</v>
      </c>
      <c r="P3189">
        <f>85.51</f>
        <v>85.51</v>
      </c>
      <c r="Q3189">
        <f>964.46</f>
        <v>964.46</v>
      </c>
      <c r="R3189">
        <f>2238.51</f>
        <v>2238.5100000000002</v>
      </c>
      <c r="S3189">
        <f>1081.13</f>
        <v>1081.1300000000001</v>
      </c>
      <c r="T3189">
        <f>1583.234</f>
        <v>1583.2339999999999</v>
      </c>
      <c r="U3189">
        <f>32814.43</f>
        <v>32814.43</v>
      </c>
      <c r="V3189">
        <f>212.15</f>
        <v>212.15</v>
      </c>
    </row>
    <row r="3190" spans="1:22" x14ac:dyDescent="0.2">
      <c r="A3190" s="1">
        <v>40641</v>
      </c>
      <c r="B3190">
        <f>2351.66</f>
        <v>2351.66</v>
      </c>
      <c r="C3190">
        <f>9452.38</f>
        <v>9452.3799999999992</v>
      </c>
      <c r="D3190">
        <f>3994.62</f>
        <v>3994.62</v>
      </c>
      <c r="E3190">
        <f>2170.096</f>
        <v>2170.096</v>
      </c>
      <c r="F3190">
        <f>1352.58</f>
        <v>1352.58</v>
      </c>
      <c r="G3190">
        <f>6652.452</f>
        <v>6652.4520000000002</v>
      </c>
      <c r="H3190">
        <f>1872.54</f>
        <v>1872.54</v>
      </c>
      <c r="I3190">
        <f>7204.431</f>
        <v>7204.4309999999996</v>
      </c>
      <c r="J3190">
        <f>1603.84</f>
        <v>1603.84</v>
      </c>
      <c r="K3190">
        <f>4682.37</f>
        <v>4682.37</v>
      </c>
      <c r="L3190">
        <f>1133.77</f>
        <v>1133.77</v>
      </c>
      <c r="M3190">
        <f>4560.02</f>
        <v>4560.0200000000004</v>
      </c>
      <c r="N3190">
        <f>165.346</f>
        <v>165.346</v>
      </c>
      <c r="O3190">
        <f>1690.15</f>
        <v>1690.15</v>
      </c>
      <c r="P3190">
        <f>85.4</f>
        <v>85.4</v>
      </c>
      <c r="Q3190">
        <f>963.45</f>
        <v>963.45</v>
      </c>
      <c r="R3190">
        <f>2244.74</f>
        <v>2244.7399999999998</v>
      </c>
      <c r="S3190">
        <f>1082.14</f>
        <v>1082.1400000000001</v>
      </c>
      <c r="T3190">
        <f>1591.978</f>
        <v>1591.9780000000001</v>
      </c>
      <c r="U3190">
        <f>32806.27</f>
        <v>32806.269999999997</v>
      </c>
      <c r="V3190">
        <f>213.33</f>
        <v>213.33</v>
      </c>
    </row>
    <row r="3191" spans="1:22" x14ac:dyDescent="0.2">
      <c r="A3191" s="1">
        <v>40640</v>
      </c>
      <c r="B3191">
        <f>2338.57</f>
        <v>2338.5700000000002</v>
      </c>
      <c r="C3191">
        <f>9433.93</f>
        <v>9433.93</v>
      </c>
      <c r="D3191">
        <f>3962.71</f>
        <v>3962.71</v>
      </c>
      <c r="E3191">
        <f>2163.213</f>
        <v>2163.2130000000002</v>
      </c>
      <c r="F3191">
        <f>1338.41</f>
        <v>1338.41</v>
      </c>
      <c r="G3191">
        <f>6570.11</f>
        <v>6570.11</v>
      </c>
      <c r="H3191">
        <f>1840.85</f>
        <v>1840.85</v>
      </c>
      <c r="I3191">
        <f>7102.934</f>
        <v>7102.9340000000002</v>
      </c>
      <c r="J3191">
        <f>1604.97</f>
        <v>1604.97</v>
      </c>
      <c r="K3191">
        <f>4700.87</f>
        <v>4700.87</v>
      </c>
      <c r="L3191">
        <f>1124.88</f>
        <v>1124.8800000000001</v>
      </c>
      <c r="M3191">
        <f>4538.61</f>
        <v>4538.6099999999997</v>
      </c>
      <c r="N3191">
        <f>165.676</f>
        <v>165.67599999999999</v>
      </c>
      <c r="O3191">
        <f>1685.05</f>
        <v>1685.05</v>
      </c>
      <c r="P3191">
        <f>84.25</f>
        <v>84.25</v>
      </c>
      <c r="Q3191">
        <f>969.35</f>
        <v>969.35</v>
      </c>
      <c r="R3191">
        <f>2253.76</f>
        <v>2253.7600000000002</v>
      </c>
      <c r="S3191">
        <f>1066.88</f>
        <v>1066.8800000000001</v>
      </c>
      <c r="T3191">
        <f>1591.99</f>
        <v>1591.99</v>
      </c>
      <c r="U3191">
        <f>32633.25</f>
        <v>32633.25</v>
      </c>
      <c r="V3191">
        <f>213.25</f>
        <v>213.25</v>
      </c>
    </row>
    <row r="3192" spans="1:22" x14ac:dyDescent="0.2">
      <c r="A3192" s="1">
        <v>40639</v>
      </c>
      <c r="B3192">
        <f>2361.65</f>
        <v>2361.65</v>
      </c>
      <c r="C3192">
        <f>9430.52</f>
        <v>9430.52</v>
      </c>
      <c r="D3192">
        <f>3984.98</f>
        <v>3984.98</v>
      </c>
      <c r="E3192">
        <f>2165.194</f>
        <v>2165.194</v>
      </c>
      <c r="F3192">
        <f>1345.9</f>
        <v>1345.9</v>
      </c>
      <c r="G3192">
        <f>6609.21</f>
        <v>6609.21</v>
      </c>
      <c r="H3192">
        <f>1821.94</f>
        <v>1821.94</v>
      </c>
      <c r="I3192">
        <f>7150.812</f>
        <v>7150.8119999999999</v>
      </c>
      <c r="J3192">
        <f>1605.6</f>
        <v>1605.6</v>
      </c>
      <c r="K3192">
        <f>4707.93</f>
        <v>4707.93</v>
      </c>
      <c r="L3192">
        <f>1128</f>
        <v>1128</v>
      </c>
      <c r="M3192">
        <f>4550.59</f>
        <v>4550.59</v>
      </c>
      <c r="N3192">
        <f>166.295</f>
        <v>166.29499999999999</v>
      </c>
      <c r="O3192">
        <f>1689.44</f>
        <v>1689.44</v>
      </c>
      <c r="P3192">
        <f>83.96</f>
        <v>83.96</v>
      </c>
      <c r="Q3192">
        <f>972.68</f>
        <v>972.68</v>
      </c>
      <c r="R3192">
        <f>2257.11</f>
        <v>2257.11</v>
      </c>
      <c r="S3192">
        <f>1064.98</f>
        <v>1064.98</v>
      </c>
      <c r="T3192">
        <f>1593.395</f>
        <v>1593.395</v>
      </c>
      <c r="U3192">
        <f>32887.47</f>
        <v>32887.47</v>
      </c>
      <c r="V3192">
        <f>213.18</f>
        <v>213.18</v>
      </c>
    </row>
    <row r="3193" spans="1:22" x14ac:dyDescent="0.2">
      <c r="A3193" s="1">
        <v>40638</v>
      </c>
      <c r="B3193">
        <f>2348.4</f>
        <v>2348.4</v>
      </c>
      <c r="C3193">
        <f>9355.14</f>
        <v>9355.14</v>
      </c>
      <c r="D3193">
        <f>3961.87</f>
        <v>3961.87</v>
      </c>
      <c r="E3193">
        <f>2149.63</f>
        <v>2149.63</v>
      </c>
      <c r="F3193">
        <f>1337.65</f>
        <v>1337.65</v>
      </c>
      <c r="G3193">
        <f>6553.97</f>
        <v>6553.97</v>
      </c>
      <c r="H3193">
        <f>1860.44</f>
        <v>1860.44</v>
      </c>
      <c r="I3193">
        <f>7049.851</f>
        <v>7049.8509999999997</v>
      </c>
      <c r="J3193">
        <f>1601.68</f>
        <v>1601.68</v>
      </c>
      <c r="K3193">
        <f>4696.56</f>
        <v>4696.5600000000004</v>
      </c>
      <c r="L3193">
        <f>1120.01</f>
        <v>1120.01</v>
      </c>
      <c r="M3193">
        <f>4531.84</f>
        <v>4531.84</v>
      </c>
      <c r="N3193">
        <f>166.432</f>
        <v>166.43199999999999</v>
      </c>
      <c r="O3193">
        <f>1682.94</f>
        <v>1682.94</v>
      </c>
      <c r="P3193">
        <f>84.4</f>
        <v>84.4</v>
      </c>
      <c r="Q3193">
        <f>969.73</f>
        <v>969.73</v>
      </c>
      <c r="R3193">
        <f>2251.26</f>
        <v>2251.2600000000002</v>
      </c>
      <c r="S3193">
        <f>1074.57</f>
        <v>1074.57</v>
      </c>
      <c r="T3193">
        <f>1579.325</f>
        <v>1579.325</v>
      </c>
      <c r="U3193">
        <f>32630.86</f>
        <v>32630.86</v>
      </c>
      <c r="V3193">
        <f>211.95</f>
        <v>211.95</v>
      </c>
    </row>
    <row r="3194" spans="1:22" x14ac:dyDescent="0.2">
      <c r="A3194" s="1">
        <v>40637</v>
      </c>
      <c r="B3194">
        <f>2347.79</f>
        <v>2347.79</v>
      </c>
      <c r="C3194">
        <f>9344.12</f>
        <v>9344.1200000000008</v>
      </c>
      <c r="D3194">
        <f>3968.41</f>
        <v>3968.41</v>
      </c>
      <c r="E3194">
        <f>2146.443</f>
        <v>2146.4430000000002</v>
      </c>
      <c r="F3194">
        <f>1334.62</f>
        <v>1334.62</v>
      </c>
      <c r="G3194">
        <f>6510.695</f>
        <v>6510.6949999999997</v>
      </c>
      <c r="H3194">
        <f>1892.89</f>
        <v>1892.89</v>
      </c>
      <c r="I3194">
        <f>7069.206</f>
        <v>7069.2060000000001</v>
      </c>
      <c r="J3194">
        <f>1600.13</f>
        <v>1600.13</v>
      </c>
      <c r="K3194">
        <f>4696.98</f>
        <v>4696.9799999999996</v>
      </c>
      <c r="L3194">
        <f>1120.86</f>
        <v>1120.8599999999999</v>
      </c>
      <c r="M3194">
        <f>4538.43</f>
        <v>4538.43</v>
      </c>
      <c r="N3194">
        <f>165.662</f>
        <v>165.66200000000001</v>
      </c>
      <c r="O3194">
        <f>1680.33</f>
        <v>1680.33</v>
      </c>
      <c r="P3194">
        <f>85.04</f>
        <v>85.04</v>
      </c>
      <c r="Q3194">
        <f>969.91</f>
        <v>969.91</v>
      </c>
      <c r="R3194">
        <f>2251.64</f>
        <v>2251.64</v>
      </c>
      <c r="S3194">
        <f>1090.54</f>
        <v>1090.54</v>
      </c>
      <c r="T3194">
        <f>1573.406</f>
        <v>1573.4059999999999</v>
      </c>
      <c r="U3194">
        <f>32437.77</f>
        <v>32437.77</v>
      </c>
      <c r="V3194">
        <f>211.07</f>
        <v>211.07</v>
      </c>
    </row>
    <row r="3195" spans="1:22" x14ac:dyDescent="0.2">
      <c r="A3195" s="1">
        <v>40634</v>
      </c>
      <c r="B3195">
        <f>2337.96</f>
        <v>2337.96</v>
      </c>
      <c r="C3195">
        <f>9281.1</f>
        <v>9281.1</v>
      </c>
      <c r="D3195">
        <f>3963.76</f>
        <v>3963.76</v>
      </c>
      <c r="E3195">
        <f>2131.321</f>
        <v>2131.3209999999999</v>
      </c>
      <c r="F3195">
        <f>1322.02</f>
        <v>1322.02</v>
      </c>
      <c r="G3195">
        <f>6458.375</f>
        <v>6458.375</v>
      </c>
      <c r="H3195">
        <f>1883.6</f>
        <v>1883.6</v>
      </c>
      <c r="I3195">
        <f>7019.806</f>
        <v>7019.8059999999996</v>
      </c>
      <c r="J3195">
        <f>1597.21</f>
        <v>1597.21</v>
      </c>
      <c r="K3195">
        <f>4694.56</f>
        <v>4694.5600000000004</v>
      </c>
      <c r="L3195">
        <f>1115.07</f>
        <v>1115.07</v>
      </c>
      <c r="M3195">
        <f>4523.38</f>
        <v>4523.38</v>
      </c>
      <c r="N3195">
        <f>165.232</f>
        <v>165.232</v>
      </c>
      <c r="O3195">
        <f>1679.95</f>
        <v>1679.95</v>
      </c>
      <c r="P3195">
        <f>85.09</f>
        <v>85.09</v>
      </c>
      <c r="Q3195">
        <f>967.85</f>
        <v>967.85</v>
      </c>
      <c r="R3195">
        <f>2250.58</f>
        <v>2250.58</v>
      </c>
      <c r="S3195">
        <f>1094.18</f>
        <v>1094.18</v>
      </c>
      <c r="T3195">
        <f>1571.832</f>
        <v>1571.8320000000001</v>
      </c>
      <c r="U3195">
        <f>32385.32</f>
        <v>32385.32</v>
      </c>
      <c r="V3195">
        <f>210.98</f>
        <v>210.98</v>
      </c>
    </row>
    <row r="3196" spans="1:22" x14ac:dyDescent="0.2">
      <c r="A3196" s="1">
        <v>40633</v>
      </c>
      <c r="B3196">
        <f>2316.08</f>
        <v>2316.08</v>
      </c>
      <c r="C3196">
        <f>9165.65</f>
        <v>9165.65</v>
      </c>
      <c r="D3196">
        <f>3897.04</f>
        <v>3897.04</v>
      </c>
      <c r="E3196">
        <f>2105.275</f>
        <v>2105.2750000000001</v>
      </c>
      <c r="F3196">
        <f>1306.84</f>
        <v>1306.8399999999999</v>
      </c>
      <c r="G3196">
        <f>6350.08</f>
        <v>6350.08</v>
      </c>
      <c r="H3196">
        <f>1925.43</f>
        <v>1925.43</v>
      </c>
      <c r="I3196">
        <f>6952.647</f>
        <v>6952.6469999999999</v>
      </c>
      <c r="J3196">
        <f>1590.48</f>
        <v>1590.48</v>
      </c>
      <c r="K3196">
        <f>4669.89</f>
        <v>4669.8900000000003</v>
      </c>
      <c r="L3196">
        <f>1107.56</f>
        <v>1107.56</v>
      </c>
      <c r="M3196">
        <f>4500.83</f>
        <v>4500.83</v>
      </c>
      <c r="N3196">
        <f>163.445</f>
        <v>163.44499999999999</v>
      </c>
      <c r="O3196">
        <f>1654.46</f>
        <v>1654.46</v>
      </c>
      <c r="P3196">
        <f>86.09</f>
        <v>86.09</v>
      </c>
      <c r="Q3196">
        <f>961.55</f>
        <v>961.55</v>
      </c>
      <c r="R3196">
        <f>2239.44</f>
        <v>2239.44</v>
      </c>
      <c r="S3196">
        <f>1102.75</f>
        <v>1102.75</v>
      </c>
      <c r="T3196">
        <f>1551.438</f>
        <v>1551.4380000000001</v>
      </c>
      <c r="U3196">
        <f>32204.06</f>
        <v>32204.06</v>
      </c>
      <c r="V3196">
        <f>208.79</f>
        <v>208.79</v>
      </c>
    </row>
    <row r="3197" spans="1:22" x14ac:dyDescent="0.2">
      <c r="A3197" s="1">
        <v>40632</v>
      </c>
      <c r="B3197">
        <f>2330.41</f>
        <v>2330.41</v>
      </c>
      <c r="C3197">
        <f>9080.75</f>
        <v>9080.75</v>
      </c>
      <c r="D3197">
        <f>3923.11</f>
        <v>3923.11</v>
      </c>
      <c r="E3197">
        <f>2084.859</f>
        <v>2084.8589999999999</v>
      </c>
      <c r="F3197">
        <f>1317.09</f>
        <v>1317.09</v>
      </c>
      <c r="G3197">
        <f>6405.936</f>
        <v>6405.9359999999997</v>
      </c>
      <c r="H3197">
        <f>1918.17</f>
        <v>1918.17</v>
      </c>
      <c r="I3197">
        <f>6951.498</f>
        <v>6951.4979999999996</v>
      </c>
      <c r="J3197">
        <f>1594.09</f>
        <v>1594.09</v>
      </c>
      <c r="K3197">
        <f>4676.9</f>
        <v>4676.8999999999996</v>
      </c>
      <c r="L3197">
        <f>1109.57</f>
        <v>1109.57</v>
      </c>
      <c r="M3197">
        <f>4504.31</f>
        <v>4504.3100000000004</v>
      </c>
      <c r="N3197">
        <f>164.543</f>
        <v>164.54300000000001</v>
      </c>
      <c r="O3197">
        <f>1669.8</f>
        <v>1669.8</v>
      </c>
      <c r="P3197">
        <f>85.61</f>
        <v>85.61</v>
      </c>
      <c r="Q3197">
        <f>961.63</f>
        <v>961.63</v>
      </c>
      <c r="R3197">
        <f>2243.55</f>
        <v>2243.5500000000002</v>
      </c>
      <c r="S3197">
        <f>1098.57</f>
        <v>1098.57</v>
      </c>
      <c r="T3197">
        <f>1560.593</f>
        <v>1560.5930000000001</v>
      </c>
      <c r="U3197">
        <f>32274.61</f>
        <v>32274.61</v>
      </c>
      <c r="V3197">
        <f>207.88</f>
        <v>207.88</v>
      </c>
    </row>
    <row r="3198" spans="1:22" x14ac:dyDescent="0.2">
      <c r="A3198" s="1">
        <v>40631</v>
      </c>
      <c r="B3198">
        <f>2327.71</f>
        <v>2327.71</v>
      </c>
      <c r="C3198">
        <f>8949.66</f>
        <v>8949.66</v>
      </c>
      <c r="D3198">
        <f>3909.87</f>
        <v>3909.87</v>
      </c>
      <c r="E3198">
        <f>2054.285</f>
        <v>2054.2849999999999</v>
      </c>
      <c r="F3198">
        <f>1304.63</f>
        <v>1304.6300000000001</v>
      </c>
      <c r="G3198">
        <f>6349.665</f>
        <v>6349.665</v>
      </c>
      <c r="H3198">
        <f>1924.66</f>
        <v>1924.66</v>
      </c>
      <c r="I3198">
        <f>6883.104</f>
        <v>6883.1040000000003</v>
      </c>
      <c r="J3198">
        <f>1580.59</f>
        <v>1580.59</v>
      </c>
      <c r="K3198">
        <f>4643.92</f>
        <v>4643.92</v>
      </c>
      <c r="L3198">
        <f>1099.26</f>
        <v>1099.26</v>
      </c>
      <c r="M3198">
        <f>4462.73</f>
        <v>4462.7299999999996</v>
      </c>
      <c r="N3198">
        <f>162.871</f>
        <v>162.87100000000001</v>
      </c>
      <c r="O3198">
        <f>1656.98</f>
        <v>1656.98</v>
      </c>
      <c r="P3198">
        <f>84.06</f>
        <v>84.06</v>
      </c>
      <c r="Q3198">
        <f>955.06</f>
        <v>955.06</v>
      </c>
      <c r="R3198">
        <f>2228.41</f>
        <v>2228.41</v>
      </c>
      <c r="S3198">
        <f>1078.43</f>
        <v>1078.43</v>
      </c>
      <c r="T3198">
        <f>1538.528</f>
        <v>1538.528</v>
      </c>
      <c r="U3198">
        <f>31718.01</f>
        <v>31718.01</v>
      </c>
      <c r="V3198">
        <f>204.61</f>
        <v>204.61</v>
      </c>
    </row>
    <row r="3199" spans="1:22" x14ac:dyDescent="0.2">
      <c r="A3199" s="1">
        <v>40630</v>
      </c>
      <c r="B3199">
        <f>2328.14</f>
        <v>2328.14</v>
      </c>
      <c r="C3199">
        <f>8909.42</f>
        <v>8909.42</v>
      </c>
      <c r="D3199">
        <f>3891.63</f>
        <v>3891.63</v>
      </c>
      <c r="E3199">
        <f>2046.696</f>
        <v>2046.6959999999999</v>
      </c>
      <c r="F3199">
        <f>1297.28</f>
        <v>1297.28</v>
      </c>
      <c r="G3199">
        <f>6335.219</f>
        <v>6335.2190000000001</v>
      </c>
      <c r="H3199">
        <f>1946.4</f>
        <v>1946.4</v>
      </c>
      <c r="I3199">
        <f>6904.922</f>
        <v>6904.9219999999996</v>
      </c>
      <c r="J3199">
        <f>1571.19</f>
        <v>1571.19</v>
      </c>
      <c r="K3199">
        <f>4609.93</f>
        <v>4609.93</v>
      </c>
      <c r="L3199">
        <f>1096.61</f>
        <v>1096.6099999999999</v>
      </c>
      <c r="M3199">
        <f>4450.37</f>
        <v>4450.37</v>
      </c>
      <c r="N3199">
        <f>162.367</f>
        <v>162.36699999999999</v>
      </c>
      <c r="O3199">
        <f>1656.57</f>
        <v>1656.57</v>
      </c>
      <c r="P3199">
        <f>83.85</f>
        <v>83.85</v>
      </c>
      <c r="Q3199">
        <f>948.77</f>
        <v>948.77</v>
      </c>
      <c r="R3199">
        <f>2212.32</f>
        <v>2212.3200000000002</v>
      </c>
      <c r="S3199">
        <f>1076.44</f>
        <v>1076.44</v>
      </c>
      <c r="T3199">
        <f>1529.27</f>
        <v>1529.27</v>
      </c>
      <c r="U3199">
        <f>31377.12</f>
        <v>31377.119999999999</v>
      </c>
      <c r="V3199">
        <f>203.98</f>
        <v>203.98</v>
      </c>
    </row>
    <row r="3200" spans="1:22" x14ac:dyDescent="0.2">
      <c r="A3200" s="1">
        <v>40627</v>
      </c>
      <c r="B3200">
        <f>2324.66</f>
        <v>2324.66</v>
      </c>
      <c r="C3200">
        <f>8966.2</f>
        <v>8966.2000000000007</v>
      </c>
      <c r="D3200">
        <f>3889.17</f>
        <v>3889.17</v>
      </c>
      <c r="E3200">
        <f>2055.999</f>
        <v>2055.9989999999998</v>
      </c>
      <c r="F3200">
        <f>1302.88</f>
        <v>1302.8800000000001</v>
      </c>
      <c r="G3200">
        <f>6360.078</f>
        <v>6360.0780000000004</v>
      </c>
      <c r="H3200">
        <f>1957.23</f>
        <v>1957.23</v>
      </c>
      <c r="I3200">
        <f>6910.669</f>
        <v>6910.6689999999999</v>
      </c>
      <c r="J3200">
        <f>1572.6</f>
        <v>1572.6</v>
      </c>
      <c r="K3200">
        <f>4622.98</f>
        <v>4622.9799999999996</v>
      </c>
      <c r="L3200">
        <f>1098.58</f>
        <v>1098.58</v>
      </c>
      <c r="M3200">
        <f>4464.59</f>
        <v>4464.59</v>
      </c>
      <c r="N3200">
        <f>162.11</f>
        <v>162.11000000000001</v>
      </c>
      <c r="O3200">
        <f>1655.57</f>
        <v>1655.57</v>
      </c>
      <c r="P3200">
        <f>83.92</f>
        <v>83.92</v>
      </c>
      <c r="Q3200">
        <f>951.46</f>
        <v>951.46</v>
      </c>
      <c r="R3200">
        <f>2218.42</f>
        <v>2218.42</v>
      </c>
      <c r="S3200">
        <f>1075.85</f>
        <v>1075.8499999999999</v>
      </c>
      <c r="T3200">
        <f>1529.452</f>
        <v>1529.452</v>
      </c>
      <c r="U3200">
        <f>31595.89</f>
        <v>31595.89</v>
      </c>
      <c r="V3200">
        <f>203.31</f>
        <v>203.31</v>
      </c>
    </row>
    <row r="3201" spans="1:22" x14ac:dyDescent="0.2">
      <c r="A3201" s="1">
        <v>40626</v>
      </c>
      <c r="B3201">
        <f>2320.44</f>
        <v>2320.44</v>
      </c>
      <c r="C3201">
        <f>8897.68</f>
        <v>8897.68</v>
      </c>
      <c r="D3201">
        <f>3876.06</f>
        <v>3876.06</v>
      </c>
      <c r="E3201">
        <f>2039.365</f>
        <v>2039.365</v>
      </c>
      <c r="F3201">
        <f>1300.31</f>
        <v>1300.31</v>
      </c>
      <c r="G3201">
        <f>6369.799</f>
        <v>6369.799</v>
      </c>
      <c r="H3201">
        <f>1951.51</f>
        <v>1951.51</v>
      </c>
      <c r="I3201">
        <f>6934.477</f>
        <v>6934.4769999999999</v>
      </c>
      <c r="J3201">
        <f>1566.65</f>
        <v>1566.65</v>
      </c>
      <c r="K3201">
        <f>4607.32</f>
        <v>4607.32</v>
      </c>
      <c r="L3201">
        <f>1097.05</f>
        <v>1097.05</v>
      </c>
      <c r="M3201">
        <f>4458.18</f>
        <v>4458.18</v>
      </c>
      <c r="N3201">
        <f>161.465</f>
        <v>161.465</v>
      </c>
      <c r="O3201">
        <f>1652.23</f>
        <v>1652.23</v>
      </c>
      <c r="P3201">
        <f>83.5</f>
        <v>83.5</v>
      </c>
      <c r="Q3201">
        <f>949.83</f>
        <v>949.83</v>
      </c>
      <c r="R3201">
        <f>2211.42</f>
        <v>2211.42</v>
      </c>
      <c r="S3201">
        <f>1071.54</f>
        <v>1071.54</v>
      </c>
      <c r="T3201">
        <f>1526.128</f>
        <v>1526.1279999999999</v>
      </c>
      <c r="U3201">
        <f>31647.69</f>
        <v>31647.69</v>
      </c>
      <c r="V3201">
        <f>202.81</f>
        <v>202.81</v>
      </c>
    </row>
    <row r="3202" spans="1:22" x14ac:dyDescent="0.2">
      <c r="A3202" s="1">
        <v>40625</v>
      </c>
      <c r="B3202">
        <f>2306.78</f>
        <v>2306.7800000000002</v>
      </c>
      <c r="C3202">
        <f>8826.6</f>
        <v>8826.6</v>
      </c>
      <c r="D3202">
        <f>3820.04</f>
        <v>3820.04</v>
      </c>
      <c r="E3202">
        <f>2019.424</f>
        <v>2019.424</v>
      </c>
      <c r="F3202">
        <f>1294.02</f>
        <v>1294.02</v>
      </c>
      <c r="G3202">
        <f>6312.886</f>
        <v>6312.8860000000004</v>
      </c>
      <c r="H3202">
        <f>1960.4</f>
        <v>1960.4</v>
      </c>
      <c r="I3202">
        <f>6809.708</f>
        <v>6809.7079999999996</v>
      </c>
      <c r="J3202">
        <f>1556.52</f>
        <v>1556.52</v>
      </c>
      <c r="K3202">
        <f>4563.9</f>
        <v>4563.8999999999996</v>
      </c>
      <c r="L3202">
        <f>1087.08</f>
        <v>1087.08</v>
      </c>
      <c r="M3202">
        <f>4415.94</f>
        <v>4415.9399999999996</v>
      </c>
      <c r="N3202">
        <f>161.148</f>
        <v>161.148</v>
      </c>
      <c r="O3202">
        <f>1636.82</f>
        <v>1636.82</v>
      </c>
      <c r="P3202">
        <f>83.9</f>
        <v>83.9</v>
      </c>
      <c r="Q3202">
        <f>944.54</f>
        <v>944.54</v>
      </c>
      <c r="R3202">
        <f>2190.96</f>
        <v>2190.96</v>
      </c>
      <c r="S3202">
        <f>1080.51</f>
        <v>1080.51</v>
      </c>
      <c r="T3202">
        <f>1515.546</f>
        <v>1515.546</v>
      </c>
      <c r="U3202">
        <f>31215.55</f>
        <v>31215.55</v>
      </c>
      <c r="V3202">
        <f>201.36</f>
        <v>201.36</v>
      </c>
    </row>
    <row r="3203" spans="1:22" x14ac:dyDescent="0.2">
      <c r="A3203" s="1">
        <v>40624</v>
      </c>
      <c r="B3203">
        <f>2313.53</f>
        <v>2313.5300000000002</v>
      </c>
      <c r="C3203">
        <f>8795.17</f>
        <v>8795.17</v>
      </c>
      <c r="D3203">
        <f>3796.73</f>
        <v>3796.73</v>
      </c>
      <c r="E3203">
        <f>2012.948</f>
        <v>2012.9480000000001</v>
      </c>
      <c r="F3203">
        <f>1302.99</f>
        <v>1302.99</v>
      </c>
      <c r="G3203">
        <f>6328.306</f>
        <v>6328.3059999999996</v>
      </c>
      <c r="H3203">
        <f>1966.59</f>
        <v>1966.59</v>
      </c>
      <c r="I3203">
        <f>6812.414</f>
        <v>6812.4139999999998</v>
      </c>
      <c r="J3203">
        <f>1552.45</f>
        <v>1552.45</v>
      </c>
      <c r="K3203">
        <f>4550.68</f>
        <v>4550.68</v>
      </c>
      <c r="L3203">
        <f>1087.22</f>
        <v>1087.22</v>
      </c>
      <c r="M3203">
        <f>4413.7</f>
        <v>4413.7</v>
      </c>
      <c r="N3203">
        <f>160.273</f>
        <v>160.273</v>
      </c>
      <c r="O3203">
        <f>1628.86</f>
        <v>1628.86</v>
      </c>
      <c r="P3203">
        <f>84.71</f>
        <v>84.71</v>
      </c>
      <c r="Q3203">
        <f>941.32</f>
        <v>941.32</v>
      </c>
      <c r="R3203">
        <f>2184.57</f>
        <v>2184.5700000000002</v>
      </c>
      <c r="S3203">
        <f>1089.34</f>
        <v>1089.3399999999999</v>
      </c>
      <c r="T3203">
        <f>1496.1</f>
        <v>1496.1</v>
      </c>
      <c r="U3203">
        <f>30868.31</f>
        <v>30868.31</v>
      </c>
      <c r="V3203">
        <f>200.2</f>
        <v>200.2</v>
      </c>
    </row>
    <row r="3204" spans="1:22" x14ac:dyDescent="0.2">
      <c r="A3204" s="1">
        <v>40623</v>
      </c>
      <c r="B3204">
        <f>2326.3</f>
        <v>2326.3000000000002</v>
      </c>
      <c r="C3204">
        <f>8725.58</f>
        <v>8725.58</v>
      </c>
      <c r="D3204">
        <f>3812.13</f>
        <v>3812.13</v>
      </c>
      <c r="E3204">
        <f>1994.61</f>
        <v>1994.61</v>
      </c>
      <c r="F3204">
        <f>1295.28</f>
        <v>1295.28</v>
      </c>
      <c r="G3204">
        <f>6310.924</f>
        <v>6310.924</v>
      </c>
      <c r="H3204">
        <f>1879.88</f>
        <v>1879.88</v>
      </c>
      <c r="I3204">
        <f>6820.096</f>
        <v>6820.0959999999995</v>
      </c>
      <c r="J3204">
        <f>1555.42</f>
        <v>1555.42</v>
      </c>
      <c r="K3204">
        <f>4566.58</f>
        <v>4566.58</v>
      </c>
      <c r="L3204">
        <f>1083.57</f>
        <v>1083.57</v>
      </c>
      <c r="M3204">
        <f>4401.33</f>
        <v>4401.33</v>
      </c>
      <c r="N3204">
        <f>160.441</f>
        <v>160.441</v>
      </c>
      <c r="O3204">
        <f>1631.61</f>
        <v>1631.61</v>
      </c>
      <c r="P3204" t="e">
        <f>NA()</f>
        <v>#N/A</v>
      </c>
      <c r="Q3204">
        <f>945.54</f>
        <v>945.54</v>
      </c>
      <c r="R3204">
        <f>2192.09</f>
        <v>2192.09</v>
      </c>
      <c r="S3204" t="e">
        <f>NA()</f>
        <v>#N/A</v>
      </c>
      <c r="T3204" t="e">
        <f>NA()</f>
        <v>#N/A</v>
      </c>
      <c r="U3204" t="e">
        <f>NA()</f>
        <v>#N/A</v>
      </c>
      <c r="V3204" t="e">
        <f>NA()</f>
        <v>#N/A</v>
      </c>
    </row>
    <row r="3205" spans="1:22" x14ac:dyDescent="0.2">
      <c r="A3205" s="1">
        <v>40620</v>
      </c>
      <c r="B3205">
        <f>2299.92</f>
        <v>2299.92</v>
      </c>
      <c r="C3205">
        <f>8633.78</f>
        <v>8633.7800000000007</v>
      </c>
      <c r="D3205">
        <f>3767.36</f>
        <v>3767.36</v>
      </c>
      <c r="E3205">
        <f>1973.788</f>
        <v>1973.788</v>
      </c>
      <c r="F3205">
        <f>1268.7</f>
        <v>1268.7</v>
      </c>
      <c r="G3205">
        <f>6201.784</f>
        <v>6201.7839999999997</v>
      </c>
      <c r="H3205">
        <f>1879.65</f>
        <v>1879.65</v>
      </c>
      <c r="I3205">
        <f>6670.966</f>
        <v>6670.9660000000003</v>
      </c>
      <c r="J3205">
        <f>1533.03</f>
        <v>1533.03</v>
      </c>
      <c r="K3205">
        <f>4499.51</f>
        <v>4499.51</v>
      </c>
      <c r="L3205">
        <f>1065.44</f>
        <v>1065.44</v>
      </c>
      <c r="M3205">
        <f>4332.84</f>
        <v>4332.84</v>
      </c>
      <c r="N3205">
        <f>158.36</f>
        <v>158.36000000000001</v>
      </c>
      <c r="O3205">
        <f>1603.02</f>
        <v>1603.02</v>
      </c>
      <c r="P3205">
        <f>81.62</f>
        <v>81.62</v>
      </c>
      <c r="Q3205">
        <f>932.76</f>
        <v>932.76</v>
      </c>
      <c r="R3205">
        <f>2159.69</f>
        <v>2159.69</v>
      </c>
      <c r="S3205">
        <f>1041.98</f>
        <v>1041.98</v>
      </c>
      <c r="T3205">
        <f>1491.456</f>
        <v>1491.4559999999999</v>
      </c>
      <c r="U3205">
        <f>30677.08</f>
        <v>30677.08</v>
      </c>
      <c r="V3205">
        <f>198.28</f>
        <v>198.28</v>
      </c>
    </row>
    <row r="3206" spans="1:22" x14ac:dyDescent="0.2">
      <c r="A3206" s="1">
        <v>40619</v>
      </c>
      <c r="B3206">
        <f>2280.37</f>
        <v>2280.37</v>
      </c>
      <c r="C3206">
        <f>8576.36</f>
        <v>8576.36</v>
      </c>
      <c r="D3206">
        <f>3752.85</f>
        <v>3752.85</v>
      </c>
      <c r="E3206">
        <f>1960.874</f>
        <v>1960.874</v>
      </c>
      <c r="F3206">
        <f>1260.59</f>
        <v>1260.5899999999999</v>
      </c>
      <c r="G3206">
        <f>6161.87</f>
        <v>6161.87</v>
      </c>
      <c r="H3206">
        <f>1906.68</f>
        <v>1906.68</v>
      </c>
      <c r="I3206">
        <f>6591.133</f>
        <v>6591.1329999999998</v>
      </c>
      <c r="J3206">
        <f>1525.43</f>
        <v>1525.43</v>
      </c>
      <c r="K3206">
        <f>4480.41</f>
        <v>4480.41</v>
      </c>
      <c r="L3206">
        <f>1058.46</f>
        <v>1058.46</v>
      </c>
      <c r="M3206">
        <f>4307.77</f>
        <v>4307.7700000000004</v>
      </c>
      <c r="N3206">
        <f>158.27</f>
        <v>158.27000000000001</v>
      </c>
      <c r="O3206">
        <f>1600.35</f>
        <v>1600.35</v>
      </c>
      <c r="P3206">
        <f>80.23</f>
        <v>80.23</v>
      </c>
      <c r="Q3206">
        <f>926.82</f>
        <v>926.82</v>
      </c>
      <c r="R3206">
        <f>2150.43</f>
        <v>2150.4299999999998</v>
      </c>
      <c r="S3206">
        <f>1017.4</f>
        <v>1017.4</v>
      </c>
      <c r="T3206">
        <f>1491.359</f>
        <v>1491.3589999999999</v>
      </c>
      <c r="U3206">
        <f>30718.55</f>
        <v>30718.55</v>
      </c>
      <c r="V3206">
        <f>198.28</f>
        <v>198.28</v>
      </c>
    </row>
    <row r="3207" spans="1:22" x14ac:dyDescent="0.2">
      <c r="A3207" s="1">
        <v>40618</v>
      </c>
      <c r="B3207">
        <f>2248.87</f>
        <v>2248.87</v>
      </c>
      <c r="C3207">
        <f>8591.29</f>
        <v>8591.2900000000009</v>
      </c>
      <c r="D3207">
        <f>3688.36</f>
        <v>3688.36</v>
      </c>
      <c r="E3207">
        <f>1969.615</f>
        <v>1969.615</v>
      </c>
      <c r="F3207">
        <f>1228.21</f>
        <v>1228.21</v>
      </c>
      <c r="G3207">
        <f>6013.173</f>
        <v>6013.1729999999998</v>
      </c>
      <c r="H3207">
        <f>1883.46</f>
        <v>1883.46</v>
      </c>
      <c r="I3207">
        <f>6419.623</f>
        <v>6419.6229999999996</v>
      </c>
      <c r="J3207">
        <f>1505.74</f>
        <v>1505.74</v>
      </c>
      <c r="K3207">
        <f>4422.28</f>
        <v>4422.28</v>
      </c>
      <c r="L3207">
        <f>1040.15</f>
        <v>1040.1500000000001</v>
      </c>
      <c r="M3207">
        <f>4241.8</f>
        <v>4241.8</v>
      </c>
      <c r="N3207">
        <f>156.162</f>
        <v>156.16200000000001</v>
      </c>
      <c r="O3207">
        <f>1570.39</f>
        <v>1570.39</v>
      </c>
      <c r="P3207">
        <f>80.18</f>
        <v>80.180000000000007</v>
      </c>
      <c r="Q3207">
        <f>919.23</f>
        <v>919.23</v>
      </c>
      <c r="R3207">
        <f>2121.94</f>
        <v>2121.94</v>
      </c>
      <c r="S3207">
        <f>1025.96</f>
        <v>1025.96</v>
      </c>
      <c r="T3207">
        <f>1493.273</f>
        <v>1493.2729999999999</v>
      </c>
      <c r="U3207">
        <f>30612.41</f>
        <v>30612.41</v>
      </c>
      <c r="V3207">
        <f>198.37</f>
        <v>198.37</v>
      </c>
    </row>
    <row r="3208" spans="1:22" x14ac:dyDescent="0.2">
      <c r="A3208" s="1">
        <v>40617</v>
      </c>
      <c r="B3208">
        <f>2285.09</f>
        <v>2285.09</v>
      </c>
      <c r="C3208">
        <f>8594.04</f>
        <v>8594.0400000000009</v>
      </c>
      <c r="D3208">
        <f>3748.32</f>
        <v>3748.32</v>
      </c>
      <c r="E3208">
        <f>1962.937</f>
        <v>1962.9369999999999</v>
      </c>
      <c r="F3208">
        <f>1250.24</f>
        <v>1250.24</v>
      </c>
      <c r="G3208">
        <f>6123.709</f>
        <v>6123.7089999999998</v>
      </c>
      <c r="H3208">
        <f>1761.5</f>
        <v>1761.5</v>
      </c>
      <c r="I3208">
        <f>6541.69</f>
        <v>6541.69</v>
      </c>
      <c r="J3208">
        <f>1532.5</f>
        <v>1532.5</v>
      </c>
      <c r="K3208">
        <f>4508.32</f>
        <v>4508.32</v>
      </c>
      <c r="L3208">
        <f>1054.2</f>
        <v>1054.2</v>
      </c>
      <c r="M3208">
        <f>4280.63</f>
        <v>4280.63</v>
      </c>
      <c r="N3208">
        <f>158.272</f>
        <v>158.27199999999999</v>
      </c>
      <c r="O3208">
        <f>1596.69</f>
        <v>1596.69</v>
      </c>
      <c r="P3208">
        <f>75.09</f>
        <v>75.09</v>
      </c>
      <c r="Q3208">
        <f>932.53</f>
        <v>932.53</v>
      </c>
      <c r="R3208">
        <f>2164.06</f>
        <v>2164.06</v>
      </c>
      <c r="S3208">
        <f>962.08</f>
        <v>962.08</v>
      </c>
      <c r="T3208">
        <f>1484.095</f>
        <v>1484.095</v>
      </c>
      <c r="U3208">
        <f>30193.95</f>
        <v>30193.95</v>
      </c>
      <c r="V3208">
        <f>195.45</f>
        <v>195.45</v>
      </c>
    </row>
    <row r="3209" spans="1:22" x14ac:dyDescent="0.2">
      <c r="A3209" s="1">
        <v>40616</v>
      </c>
      <c r="B3209">
        <f>2327.7</f>
        <v>2327.6999999999998</v>
      </c>
      <c r="C3209">
        <f>8782.84</f>
        <v>8782.84</v>
      </c>
      <c r="D3209">
        <f>3800.95</f>
        <v>3800.95</v>
      </c>
      <c r="E3209">
        <f>2006.245</f>
        <v>2006.2449999999999</v>
      </c>
      <c r="F3209">
        <f>1277.84</f>
        <v>1277.8399999999999</v>
      </c>
      <c r="G3209">
        <f>6254.015</f>
        <v>6254.0150000000003</v>
      </c>
      <c r="H3209">
        <f>1922.18</f>
        <v>1922.18</v>
      </c>
      <c r="I3209">
        <f>6704.676</f>
        <v>6704.6760000000004</v>
      </c>
      <c r="J3209">
        <f>1550.89</f>
        <v>1550.89</v>
      </c>
      <c r="K3209">
        <f>4558.59</f>
        <v>4558.59</v>
      </c>
      <c r="L3209">
        <f>1075.17</f>
        <v>1075.17</v>
      </c>
      <c r="M3209">
        <f>4379.66</f>
        <v>4379.66</v>
      </c>
      <c r="N3209">
        <f>161.046</f>
        <v>161.04599999999999</v>
      </c>
      <c r="O3209">
        <f>1631.4</f>
        <v>1631.4</v>
      </c>
      <c r="P3209">
        <f>83.94</f>
        <v>83.94</v>
      </c>
      <c r="Q3209">
        <f>942.27</f>
        <v>942.27</v>
      </c>
      <c r="R3209">
        <f>2188.56</f>
        <v>2188.56</v>
      </c>
      <c r="S3209">
        <f>1062.76</f>
        <v>1062.76</v>
      </c>
      <c r="T3209">
        <f>1514.237</f>
        <v>1514.2370000000001</v>
      </c>
      <c r="U3209">
        <f>30878.58</f>
        <v>30878.58</v>
      </c>
      <c r="V3209">
        <f>199.77</f>
        <v>199.77</v>
      </c>
    </row>
    <row r="3210" spans="1:22" x14ac:dyDescent="0.2">
      <c r="A3210" s="1">
        <v>40613</v>
      </c>
      <c r="B3210">
        <f>2351.97</f>
        <v>2351.9699999999998</v>
      </c>
      <c r="C3210">
        <f>8726.52</f>
        <v>8726.52</v>
      </c>
      <c r="D3210">
        <f>3836.11</f>
        <v>3836.11</v>
      </c>
      <c r="E3210">
        <f>1990.742</f>
        <v>1990.742</v>
      </c>
      <c r="F3210">
        <f>1280.63</f>
        <v>1280.6300000000001</v>
      </c>
      <c r="G3210">
        <f>6248.134</f>
        <v>6248.134</v>
      </c>
      <c r="H3210">
        <f>2033.39</f>
        <v>2033.39</v>
      </c>
      <c r="I3210">
        <f>6718.641</f>
        <v>6718.6409999999996</v>
      </c>
      <c r="J3210">
        <f>1557.32</f>
        <v>1557.32</v>
      </c>
      <c r="K3210">
        <f>4585.09</f>
        <v>4585.09</v>
      </c>
      <c r="L3210">
        <f>1080.84</f>
        <v>1080.8399999999999</v>
      </c>
      <c r="M3210">
        <f>4425.87</f>
        <v>4425.87</v>
      </c>
      <c r="N3210">
        <f>162.799</f>
        <v>162.79900000000001</v>
      </c>
      <c r="O3210">
        <f>1649.45</f>
        <v>1649.45</v>
      </c>
      <c r="P3210">
        <f>89.45</f>
        <v>89.45</v>
      </c>
      <c r="Q3210">
        <f>948.55</f>
        <v>948.55</v>
      </c>
      <c r="R3210">
        <f>2201.81</f>
        <v>2201.81</v>
      </c>
      <c r="S3210">
        <f>1148.78</f>
        <v>1148.78</v>
      </c>
      <c r="T3210">
        <f>1529.752</f>
        <v>1529.752</v>
      </c>
      <c r="U3210">
        <f>31173.86</f>
        <v>31173.86</v>
      </c>
      <c r="V3210">
        <f>200.69</f>
        <v>200.69</v>
      </c>
    </row>
    <row r="3211" spans="1:22" x14ac:dyDescent="0.2">
      <c r="A3211" s="1">
        <v>40612</v>
      </c>
      <c r="B3211">
        <f>2378.23</f>
        <v>2378.23</v>
      </c>
      <c r="C3211">
        <f>8777.5</f>
        <v>8777.5</v>
      </c>
      <c r="D3211">
        <f>3847.06</f>
        <v>3847.06</v>
      </c>
      <c r="E3211">
        <f>2003.362</f>
        <v>2003.3620000000001</v>
      </c>
      <c r="F3211">
        <f>1288.62</f>
        <v>1288.6199999999999</v>
      </c>
      <c r="G3211">
        <f>6278.895</f>
        <v>6278.8950000000004</v>
      </c>
      <c r="H3211">
        <f>2034.8</f>
        <v>2034.8</v>
      </c>
      <c r="I3211">
        <f>6759.268</f>
        <v>6759.268</v>
      </c>
      <c r="J3211">
        <f>1549.34</f>
        <v>1549.34</v>
      </c>
      <c r="K3211">
        <f>4551.93</f>
        <v>4551.93</v>
      </c>
      <c r="L3211">
        <f>1082.37</f>
        <v>1082.3699999999999</v>
      </c>
      <c r="M3211">
        <f>4419.93</f>
        <v>4419.93</v>
      </c>
      <c r="N3211">
        <f>164.335</f>
        <v>164.33500000000001</v>
      </c>
      <c r="O3211">
        <f>1663.56</f>
        <v>1663.56</v>
      </c>
      <c r="P3211">
        <f>90.68</f>
        <v>90.68</v>
      </c>
      <c r="Q3211">
        <f>943.85</f>
        <v>943.85</v>
      </c>
      <c r="R3211">
        <f>2185.65</f>
        <v>2185.65</v>
      </c>
      <c r="S3211">
        <f>1168.01</f>
        <v>1168.01</v>
      </c>
      <c r="T3211">
        <f>1519.766</f>
        <v>1519.7660000000001</v>
      </c>
      <c r="U3211">
        <f>30898.94</f>
        <v>30898.94</v>
      </c>
      <c r="V3211">
        <f>200.94</f>
        <v>200.94</v>
      </c>
    </row>
    <row r="3212" spans="1:22" x14ac:dyDescent="0.2">
      <c r="A3212" s="1">
        <v>40611</v>
      </c>
      <c r="B3212">
        <f>2413.12</f>
        <v>2413.12</v>
      </c>
      <c r="C3212">
        <f>8922.32</f>
        <v>8922.32</v>
      </c>
      <c r="D3212">
        <f>3907.61</f>
        <v>3907.61</v>
      </c>
      <c r="E3212">
        <f>2039.199</f>
        <v>2039.1990000000001</v>
      </c>
      <c r="F3212">
        <f>1312.86</f>
        <v>1312.86</v>
      </c>
      <c r="G3212">
        <f>6445.1</f>
        <v>6445.1</v>
      </c>
      <c r="H3212">
        <f>2068.35</f>
        <v>2068.35</v>
      </c>
      <c r="I3212">
        <f>6881.583</f>
        <v>6881.5829999999996</v>
      </c>
      <c r="J3212">
        <f>1575.23</f>
        <v>1575.23</v>
      </c>
      <c r="K3212">
        <f>4640.08</f>
        <v>4640.08</v>
      </c>
      <c r="L3212">
        <f>1098.63</f>
        <v>1098.6300000000001</v>
      </c>
      <c r="M3212">
        <f>4507.5</f>
        <v>4507.5</v>
      </c>
      <c r="N3212">
        <f>166.335</f>
        <v>166.33500000000001</v>
      </c>
      <c r="O3212">
        <f>1682.99</f>
        <v>1682.99</v>
      </c>
      <c r="P3212">
        <f>91.49</f>
        <v>91.49</v>
      </c>
      <c r="Q3212">
        <f>956.41</f>
        <v>956.41</v>
      </c>
      <c r="R3212">
        <f>2227.7</f>
        <v>2227.6999999999998</v>
      </c>
      <c r="S3212">
        <f>1184.89</f>
        <v>1184.8900000000001</v>
      </c>
      <c r="T3212">
        <f>1546.25</f>
        <v>1546.25</v>
      </c>
      <c r="U3212">
        <f>31820.37</f>
        <v>31820.37</v>
      </c>
      <c r="V3212">
        <f>204.27</f>
        <v>204.27</v>
      </c>
    </row>
    <row r="3213" spans="1:22" x14ac:dyDescent="0.2">
      <c r="A3213" s="1">
        <v>40610</v>
      </c>
      <c r="B3213">
        <f>2415.02</f>
        <v>2415.02</v>
      </c>
      <c r="C3213">
        <f>8940.94</f>
        <v>8940.94</v>
      </c>
      <c r="D3213">
        <f>3924.54</f>
        <v>3924.54</v>
      </c>
      <c r="E3213">
        <f>2039.073</f>
        <v>2039.0730000000001</v>
      </c>
      <c r="F3213">
        <f>1313.8</f>
        <v>1313.8</v>
      </c>
      <c r="G3213">
        <f>6450.551</f>
        <v>6450.5510000000004</v>
      </c>
      <c r="H3213">
        <f>2050.42</f>
        <v>2050.42</v>
      </c>
      <c r="I3213">
        <f>6882.815</f>
        <v>6882.8149999999996</v>
      </c>
      <c r="J3213">
        <f>1574.05</f>
        <v>1574.05</v>
      </c>
      <c r="K3213">
        <f>4646.19</f>
        <v>4646.1899999999996</v>
      </c>
      <c r="L3213">
        <f>1098.08</f>
        <v>1098.08</v>
      </c>
      <c r="M3213">
        <f>4511.13</f>
        <v>4511.13</v>
      </c>
      <c r="N3213">
        <f>166.261</f>
        <v>166.261</v>
      </c>
      <c r="O3213">
        <f>1685.46</f>
        <v>1685.46</v>
      </c>
      <c r="P3213">
        <f>90.89</f>
        <v>90.89</v>
      </c>
      <c r="Q3213">
        <f>954.72</f>
        <v>954.72</v>
      </c>
      <c r="R3213">
        <f>2230.4</f>
        <v>2230.4</v>
      </c>
      <c r="S3213">
        <f>1178.45</f>
        <v>1178.45</v>
      </c>
      <c r="T3213">
        <f>1537.489</f>
        <v>1537.489</v>
      </c>
      <c r="U3213">
        <f>31827.42</f>
        <v>31827.42</v>
      </c>
      <c r="V3213">
        <f>203.82</f>
        <v>203.82</v>
      </c>
    </row>
    <row r="3214" spans="1:22" x14ac:dyDescent="0.2">
      <c r="A3214" s="1">
        <v>40609</v>
      </c>
      <c r="B3214">
        <f>2406.78</f>
        <v>2406.7800000000002</v>
      </c>
      <c r="C3214">
        <f>8910.53</f>
        <v>8910.5300000000007</v>
      </c>
      <c r="D3214">
        <f>3923.9</f>
        <v>3923.9</v>
      </c>
      <c r="E3214">
        <f>2032.288</f>
        <v>2032.288</v>
      </c>
      <c r="F3214">
        <f>1315.49</f>
        <v>1315.49</v>
      </c>
      <c r="G3214">
        <f>6477.951</f>
        <v>6477.951</v>
      </c>
      <c r="H3214">
        <f>2078.24</f>
        <v>2078.2399999999998</v>
      </c>
      <c r="I3214">
        <f>6913.171</f>
        <v>6913.1710000000003</v>
      </c>
      <c r="J3214">
        <f>1563.61</f>
        <v>1563.61</v>
      </c>
      <c r="K3214">
        <f>4605.5</f>
        <v>4605.5</v>
      </c>
      <c r="L3214">
        <f>1097.03</f>
        <v>1097.03</v>
      </c>
      <c r="M3214">
        <f>4503.31</f>
        <v>4503.3100000000004</v>
      </c>
      <c r="N3214">
        <f>165.783</f>
        <v>165.78299999999999</v>
      </c>
      <c r="O3214">
        <f>1680.31</f>
        <v>1680.31</v>
      </c>
      <c r="P3214">
        <f>90.86</f>
        <v>90.86</v>
      </c>
      <c r="Q3214">
        <f>944.5</f>
        <v>944.5</v>
      </c>
      <c r="R3214">
        <f>2210.26</f>
        <v>2210.2600000000002</v>
      </c>
      <c r="S3214">
        <f>1181.55</f>
        <v>1181.55</v>
      </c>
      <c r="T3214">
        <f>1542.269</f>
        <v>1542.269</v>
      </c>
      <c r="U3214">
        <f>32298.21</f>
        <v>32298.21</v>
      </c>
      <c r="V3214">
        <f>204.86</f>
        <v>204.86</v>
      </c>
    </row>
    <row r="3215" spans="1:22" x14ac:dyDescent="0.2">
      <c r="A3215" s="1">
        <v>40606</v>
      </c>
      <c r="B3215">
        <f>2407.63</f>
        <v>2407.63</v>
      </c>
      <c r="C3215">
        <f>8933.47</f>
        <v>8933.4699999999993</v>
      </c>
      <c r="D3215">
        <f>3934.81</f>
        <v>3934.81</v>
      </c>
      <c r="E3215">
        <f>2043.595</f>
        <v>2043.595</v>
      </c>
      <c r="F3215">
        <f>1320.36</f>
        <v>1320.36</v>
      </c>
      <c r="G3215">
        <f>6509.482</f>
        <v>6509.482</v>
      </c>
      <c r="H3215">
        <f>2090.07</f>
        <v>2090.0700000000002</v>
      </c>
      <c r="I3215">
        <f>6924.732</f>
        <v>6924.732</v>
      </c>
      <c r="J3215">
        <f>1571.64</f>
        <v>1571.64</v>
      </c>
      <c r="K3215">
        <f>4644.56</f>
        <v>4644.5600000000004</v>
      </c>
      <c r="L3215">
        <f>1101.11</f>
        <v>1101.1099999999999</v>
      </c>
      <c r="M3215">
        <f>4535.09</f>
        <v>4535.09</v>
      </c>
      <c r="N3215">
        <f>166.149</f>
        <v>166.149</v>
      </c>
      <c r="O3215">
        <f>1687.15</f>
        <v>1687.15</v>
      </c>
      <c r="P3215">
        <f>91.88</f>
        <v>91.88</v>
      </c>
      <c r="Q3215">
        <f>951.96</f>
        <v>951.96</v>
      </c>
      <c r="R3215">
        <f>2228.78</f>
        <v>2228.7800000000002</v>
      </c>
      <c r="S3215">
        <f>1199.02</f>
        <v>1199.02</v>
      </c>
      <c r="T3215">
        <f>1547.344</f>
        <v>1547.3440000000001</v>
      </c>
      <c r="U3215">
        <f>32337.06</f>
        <v>32337.06</v>
      </c>
      <c r="V3215">
        <f>205.23</f>
        <v>205.23</v>
      </c>
    </row>
    <row r="3216" spans="1:22" x14ac:dyDescent="0.2">
      <c r="A3216" s="1">
        <v>40605</v>
      </c>
      <c r="B3216">
        <f>2397.44</f>
        <v>2397.44</v>
      </c>
      <c r="C3216">
        <f>8858.93</f>
        <v>8858.93</v>
      </c>
      <c r="D3216">
        <f>3944.47</f>
        <v>3944.47</v>
      </c>
      <c r="E3216">
        <f>2023.555</f>
        <v>2023.5550000000001</v>
      </c>
      <c r="F3216">
        <f>1320.88</f>
        <v>1320.88</v>
      </c>
      <c r="G3216">
        <f>6529.119</f>
        <v>6529.1189999999997</v>
      </c>
      <c r="H3216">
        <f>2077.23</f>
        <v>2077.23</v>
      </c>
      <c r="I3216">
        <f>6939.696</f>
        <v>6939.6959999999999</v>
      </c>
      <c r="J3216">
        <f>1580.66</f>
        <v>1580.66</v>
      </c>
      <c r="K3216">
        <f>4678.92</f>
        <v>4678.92</v>
      </c>
      <c r="L3216">
        <f>1102.59</f>
        <v>1102.5899999999999</v>
      </c>
      <c r="M3216">
        <f>4547.01</f>
        <v>4547.01</v>
      </c>
      <c r="N3216">
        <f>166.402</f>
        <v>166.40199999999999</v>
      </c>
      <c r="O3216">
        <f>1697.17</f>
        <v>1697.17</v>
      </c>
      <c r="P3216">
        <f>91.46</f>
        <v>91.46</v>
      </c>
      <c r="Q3216">
        <f>958.43</f>
        <v>958.43</v>
      </c>
      <c r="R3216">
        <f>2245.33</f>
        <v>2245.33</v>
      </c>
      <c r="S3216">
        <f>1190.36</f>
        <v>1190.3599999999999</v>
      </c>
      <c r="T3216">
        <f>1541.258</f>
        <v>1541.258</v>
      </c>
      <c r="U3216">
        <f>32350.12</f>
        <v>32350.12</v>
      </c>
      <c r="V3216">
        <f>204.26</f>
        <v>204.26</v>
      </c>
    </row>
    <row r="3217" spans="1:22" x14ac:dyDescent="0.2">
      <c r="A3217" s="1">
        <v>40604</v>
      </c>
      <c r="B3217">
        <f>2373.41</f>
        <v>2373.41</v>
      </c>
      <c r="C3217">
        <f>8771.75</f>
        <v>8771.75</v>
      </c>
      <c r="D3217">
        <f>3885.22</f>
        <v>3885.22</v>
      </c>
      <c r="E3217">
        <f>1998.113</f>
        <v>1998.1130000000001</v>
      </c>
      <c r="F3217">
        <f>1303.38</f>
        <v>1303.3800000000001</v>
      </c>
      <c r="G3217">
        <f>6450.354</f>
        <v>6450.3540000000003</v>
      </c>
      <c r="H3217">
        <f>2089.25</f>
        <v>2089.25</v>
      </c>
      <c r="I3217">
        <f>6898.33</f>
        <v>6898.33</v>
      </c>
      <c r="J3217">
        <f>1558.55</f>
        <v>1558.55</v>
      </c>
      <c r="K3217">
        <f>4598.96</f>
        <v>4598.96</v>
      </c>
      <c r="L3217">
        <f>1093.56</f>
        <v>1093.56</v>
      </c>
      <c r="M3217">
        <f>4498.49</f>
        <v>4498.49</v>
      </c>
      <c r="N3217">
        <f>165.683</f>
        <v>165.68299999999999</v>
      </c>
      <c r="O3217">
        <f>1692.32</f>
        <v>1692.32</v>
      </c>
      <c r="P3217">
        <f>90.8</f>
        <v>90.8</v>
      </c>
      <c r="Q3217">
        <f>944.15</f>
        <v>944.15</v>
      </c>
      <c r="R3217">
        <f>2207.24</f>
        <v>2207.2399999999998</v>
      </c>
      <c r="S3217">
        <f>1183.06</f>
        <v>1183.06</v>
      </c>
      <c r="T3217">
        <f>1533.154</f>
        <v>1533.154</v>
      </c>
      <c r="U3217">
        <f>31973.09</f>
        <v>31973.09</v>
      </c>
      <c r="V3217">
        <f>202.92</f>
        <v>202.92</v>
      </c>
    </row>
    <row r="3218" spans="1:22" x14ac:dyDescent="0.2">
      <c r="A3218" s="1">
        <v>40603</v>
      </c>
      <c r="B3218">
        <f>2388.88</f>
        <v>2388.88</v>
      </c>
      <c r="C3218">
        <f>8761.76</f>
        <v>8761.76</v>
      </c>
      <c r="D3218">
        <f>3895.92</f>
        <v>3895.92</v>
      </c>
      <c r="E3218">
        <f>1995.958</f>
        <v>1995.9580000000001</v>
      </c>
      <c r="F3218">
        <f>1309.33</f>
        <v>1309.33</v>
      </c>
      <c r="G3218">
        <f>6462.388</f>
        <v>6462.3879999999999</v>
      </c>
      <c r="H3218">
        <f>2118.6</f>
        <v>2118.6</v>
      </c>
      <c r="I3218">
        <f>6921.437</f>
        <v>6921.4369999999999</v>
      </c>
      <c r="J3218">
        <f>1556.09</f>
        <v>1556.09</v>
      </c>
      <c r="K3218">
        <f>4590.7</f>
        <v>4590.7</v>
      </c>
      <c r="L3218">
        <f>1095.13</f>
        <v>1095.1300000000001</v>
      </c>
      <c r="M3218">
        <f>4507.52</f>
        <v>4507.5200000000004</v>
      </c>
      <c r="N3218">
        <f>166.742</f>
        <v>166.74199999999999</v>
      </c>
      <c r="O3218">
        <f>1704.31</f>
        <v>1704.31</v>
      </c>
      <c r="P3218">
        <f>92.39</f>
        <v>92.39</v>
      </c>
      <c r="Q3218">
        <f>942.24</f>
        <v>942.24</v>
      </c>
      <c r="R3218">
        <f>2203.32</f>
        <v>2203.3200000000002</v>
      </c>
      <c r="S3218">
        <f>1209.2</f>
        <v>1209.2</v>
      </c>
      <c r="T3218">
        <f>1538.374</f>
        <v>1538.374</v>
      </c>
      <c r="U3218">
        <f>32050.73</f>
        <v>32050.73</v>
      </c>
      <c r="V3218">
        <f>204.5</f>
        <v>204.5</v>
      </c>
    </row>
    <row r="3219" spans="1:22" x14ac:dyDescent="0.2">
      <c r="A3219" s="1">
        <v>40602</v>
      </c>
      <c r="B3219">
        <f>2421.19</f>
        <v>2421.19</v>
      </c>
      <c r="C3219">
        <f>8732.82</f>
        <v>8732.82</v>
      </c>
      <c r="D3219">
        <f>3934.16</f>
        <v>3934.16</v>
      </c>
      <c r="E3219">
        <f>1988.074</f>
        <v>1988.0740000000001</v>
      </c>
      <c r="F3219">
        <f>1315.46</f>
        <v>1315.46</v>
      </c>
      <c r="G3219">
        <f>6508.574</f>
        <v>6508.5739999999996</v>
      </c>
      <c r="H3219">
        <f>2089.05</f>
        <v>2089.0500000000002</v>
      </c>
      <c r="I3219">
        <f>6951.031</f>
        <v>6951.0309999999999</v>
      </c>
      <c r="J3219">
        <f>1571.66</f>
        <v>1571.66</v>
      </c>
      <c r="K3219">
        <f>4664.34</f>
        <v>4664.34</v>
      </c>
      <c r="L3219">
        <f>1100.5</f>
        <v>1100.5</v>
      </c>
      <c r="M3219">
        <f>4543.55</f>
        <v>4543.55</v>
      </c>
      <c r="N3219">
        <f>166.778</f>
        <v>166.77799999999999</v>
      </c>
      <c r="O3219">
        <f>1715.44</f>
        <v>1715.44</v>
      </c>
      <c r="P3219">
        <f>91.39</f>
        <v>91.39</v>
      </c>
      <c r="Q3219">
        <f>954.16</f>
        <v>954.16</v>
      </c>
      <c r="R3219">
        <f>2238.55</f>
        <v>2238.5500000000002</v>
      </c>
      <c r="S3219">
        <f>1193.6</f>
        <v>1193.5999999999999</v>
      </c>
      <c r="T3219">
        <f>1542.429</f>
        <v>1542.4290000000001</v>
      </c>
      <c r="U3219">
        <f>32272.09</f>
        <v>32272.09</v>
      </c>
      <c r="V3219">
        <f>205.66</f>
        <v>205.66</v>
      </c>
    </row>
    <row r="3220" spans="1:22" x14ac:dyDescent="0.2">
      <c r="A3220" s="1">
        <v>40599</v>
      </c>
      <c r="B3220">
        <f>2408.44</f>
        <v>2408.44</v>
      </c>
      <c r="C3220">
        <f>8660.9</f>
        <v>8660.9</v>
      </c>
      <c r="D3220">
        <f>3938.88</f>
        <v>3938.88</v>
      </c>
      <c r="E3220">
        <f>1973.153</f>
        <v>1973.153</v>
      </c>
      <c r="F3220">
        <f>1298.77</f>
        <v>1298.77</v>
      </c>
      <c r="G3220">
        <f>6440.19</f>
        <v>6440.19</v>
      </c>
      <c r="H3220">
        <f>2083.32</f>
        <v>2083.3200000000002</v>
      </c>
      <c r="I3220">
        <f>6855.25</f>
        <v>6855.25</v>
      </c>
      <c r="J3220">
        <f>1559.77</f>
        <v>1559.77</v>
      </c>
      <c r="K3220">
        <f>4640.02</f>
        <v>4640.0200000000004</v>
      </c>
      <c r="L3220">
        <f>1089.43</f>
        <v>1089.43</v>
      </c>
      <c r="M3220">
        <f>4508.36</f>
        <v>4508.3599999999997</v>
      </c>
      <c r="N3220">
        <f>165.569</f>
        <v>165.56899999999999</v>
      </c>
      <c r="O3220">
        <f>1701.5</f>
        <v>1701.5</v>
      </c>
      <c r="P3220">
        <f>90.91</f>
        <v>90.91</v>
      </c>
      <c r="Q3220">
        <f>945.88</f>
        <v>945.88</v>
      </c>
      <c r="R3220">
        <f>2226.05</f>
        <v>2226.0500000000002</v>
      </c>
      <c r="S3220">
        <f>1181.88</f>
        <v>1181.8800000000001</v>
      </c>
      <c r="T3220">
        <f>1530.834</f>
        <v>1530.8340000000001</v>
      </c>
      <c r="U3220">
        <f>31965.59</f>
        <v>31965.59</v>
      </c>
      <c r="V3220">
        <f>203.95</f>
        <v>203.95</v>
      </c>
    </row>
    <row r="3221" spans="1:22" x14ac:dyDescent="0.2">
      <c r="A3221" s="1">
        <v>40598</v>
      </c>
      <c r="B3221">
        <f>2377.07</f>
        <v>2377.0700000000002</v>
      </c>
      <c r="C3221">
        <f>8557.62</f>
        <v>8557.6200000000008</v>
      </c>
      <c r="D3221">
        <f>3885.57</f>
        <v>3885.57</v>
      </c>
      <c r="E3221">
        <f>1950.975</f>
        <v>1950.9749999999999</v>
      </c>
      <c r="F3221">
        <f>1291.13</f>
        <v>1291.1300000000001</v>
      </c>
      <c r="G3221">
        <f>6369.184</f>
        <v>6369.1840000000002</v>
      </c>
      <c r="H3221">
        <f>2075.07</f>
        <v>2075.0700000000002</v>
      </c>
      <c r="I3221">
        <f>6800.162</f>
        <v>6800.1620000000003</v>
      </c>
      <c r="J3221">
        <f>1552.87</f>
        <v>1552.87</v>
      </c>
      <c r="K3221">
        <f>4588.83</f>
        <v>4588.83</v>
      </c>
      <c r="L3221">
        <f>1082.88</f>
        <v>1082.8800000000001</v>
      </c>
      <c r="M3221">
        <f>4459.88</f>
        <v>4459.88</v>
      </c>
      <c r="N3221">
        <f>162.895</f>
        <v>162.89500000000001</v>
      </c>
      <c r="O3221">
        <f>1681.8</f>
        <v>1681.8</v>
      </c>
      <c r="P3221">
        <f>90.49</f>
        <v>90.49</v>
      </c>
      <c r="Q3221">
        <f>937.9</f>
        <v>937.9</v>
      </c>
      <c r="R3221">
        <f>2202.23</f>
        <v>2202.23</v>
      </c>
      <c r="S3221">
        <f>1172.21</f>
        <v>1172.21</v>
      </c>
      <c r="T3221">
        <f>1514.129</f>
        <v>1514.1289999999999</v>
      </c>
      <c r="U3221">
        <f>31706.47</f>
        <v>31706.47</v>
      </c>
      <c r="V3221">
        <f>201.63</f>
        <v>201.63</v>
      </c>
    </row>
    <row r="3222" spans="1:22" x14ac:dyDescent="0.2">
      <c r="A3222" s="1">
        <v>40597</v>
      </c>
      <c r="B3222">
        <f>2393.94</f>
        <v>2393.94</v>
      </c>
      <c r="C3222">
        <f>8607.29</f>
        <v>8607.2900000000009</v>
      </c>
      <c r="D3222">
        <f>3887.9</f>
        <v>3887.9</v>
      </c>
      <c r="E3222">
        <f>1966.883</f>
        <v>1966.883</v>
      </c>
      <c r="F3222">
        <f>1303.08</f>
        <v>1303.08</v>
      </c>
      <c r="G3222">
        <f>6421.533</f>
        <v>6421.5330000000004</v>
      </c>
      <c r="H3222">
        <f>2069.34</f>
        <v>2069.34</v>
      </c>
      <c r="I3222">
        <f>6808.628</f>
        <v>6808.6279999999997</v>
      </c>
      <c r="J3222">
        <f>1556.33</f>
        <v>1556.33</v>
      </c>
      <c r="K3222">
        <f>4592.17</f>
        <v>4592.17</v>
      </c>
      <c r="L3222">
        <f>1083.56</f>
        <v>1083.56</v>
      </c>
      <c r="M3222">
        <f>4467.8</f>
        <v>4467.8</v>
      </c>
      <c r="N3222">
        <f>163.899</f>
        <v>163.899</v>
      </c>
      <c r="O3222">
        <f>1691.06</f>
        <v>1691.06</v>
      </c>
      <c r="P3222">
        <f>91.22</f>
        <v>91.22</v>
      </c>
      <c r="Q3222">
        <f>938.73</f>
        <v>938.73</v>
      </c>
      <c r="R3222">
        <f>2203.89</f>
        <v>2203.89</v>
      </c>
      <c r="S3222">
        <f>1187.71</f>
        <v>1187.71</v>
      </c>
      <c r="T3222">
        <f>1528.304</f>
        <v>1528.3040000000001</v>
      </c>
      <c r="U3222">
        <f>31932.07</f>
        <v>31932.07</v>
      </c>
      <c r="V3222">
        <f>204.36</f>
        <v>204.36</v>
      </c>
    </row>
    <row r="3223" spans="1:22" x14ac:dyDescent="0.2">
      <c r="A3223" s="1">
        <v>40596</v>
      </c>
      <c r="B3223">
        <f>2417.81</f>
        <v>2417.81</v>
      </c>
      <c r="C3223">
        <f>8650.21</f>
        <v>8650.2099999999991</v>
      </c>
      <c r="D3223">
        <f>3934</f>
        <v>3934</v>
      </c>
      <c r="E3223">
        <f>1977.021</f>
        <v>1977.021</v>
      </c>
      <c r="F3223">
        <f>1308.29</f>
        <v>1308.29</v>
      </c>
      <c r="G3223">
        <f>6473.188</f>
        <v>6473.1880000000001</v>
      </c>
      <c r="H3223">
        <f>2080.48</f>
        <v>2080.48</v>
      </c>
      <c r="I3223">
        <f>6837.588</f>
        <v>6837.5879999999997</v>
      </c>
      <c r="J3223">
        <f>1559.18</f>
        <v>1559.18</v>
      </c>
      <c r="K3223">
        <f>4621.81</f>
        <v>4621.8100000000004</v>
      </c>
      <c r="L3223">
        <f>1086.63</f>
        <v>1086.6300000000001</v>
      </c>
      <c r="M3223">
        <f>4495.07</f>
        <v>4495.07</v>
      </c>
      <c r="N3223">
        <f>164.578</f>
        <v>164.578</v>
      </c>
      <c r="O3223">
        <f>1708.13</f>
        <v>1708.13</v>
      </c>
      <c r="P3223">
        <f>91.92</f>
        <v>91.92</v>
      </c>
      <c r="Q3223">
        <f>948.03</f>
        <v>948.03</v>
      </c>
      <c r="R3223">
        <f>2217.35</f>
        <v>2217.35</v>
      </c>
      <c r="S3223">
        <f>1200.03</f>
        <v>1200.03</v>
      </c>
      <c r="T3223">
        <f>1550.978</f>
        <v>1550.9780000000001</v>
      </c>
      <c r="U3223">
        <f>32444.2</f>
        <v>32444.2</v>
      </c>
      <c r="V3223">
        <f>207.33</f>
        <v>207.33</v>
      </c>
    </row>
    <row r="3224" spans="1:22" x14ac:dyDescent="0.2">
      <c r="A3224" s="1">
        <v>40595</v>
      </c>
      <c r="B3224">
        <f>2440.75</f>
        <v>2440.75</v>
      </c>
      <c r="C3224">
        <f>8766.24</f>
        <v>8766.24</v>
      </c>
      <c r="D3224">
        <f>3945.84</f>
        <v>3945.84</v>
      </c>
      <c r="E3224">
        <f>2010.631</f>
        <v>2010.6310000000001</v>
      </c>
      <c r="F3224">
        <f>1317</f>
        <v>1317</v>
      </c>
      <c r="G3224">
        <f>6509.065</f>
        <v>6509.0649999999996</v>
      </c>
      <c r="H3224">
        <f>2105.85</f>
        <v>2105.85</v>
      </c>
      <c r="I3224">
        <f>6862.319</f>
        <v>6862.3190000000004</v>
      </c>
      <c r="J3224">
        <f>1571.36</f>
        <v>1571.36</v>
      </c>
      <c r="K3224">
        <f>4719.55</f>
        <v>4719.55</v>
      </c>
      <c r="L3224">
        <f>1094.66</f>
        <v>1094.6600000000001</v>
      </c>
      <c r="M3224">
        <f>4561.96</f>
        <v>4561.96</v>
      </c>
      <c r="N3224">
        <f>166.173</f>
        <v>166.173</v>
      </c>
      <c r="O3224">
        <f>1719.13</f>
        <v>1719.13</v>
      </c>
      <c r="P3224">
        <f>93.07</f>
        <v>93.07</v>
      </c>
      <c r="Q3224" t="e">
        <f>NA()</f>
        <v>#N/A</v>
      </c>
      <c r="R3224" t="e">
        <f>NA()</f>
        <v>#N/A</v>
      </c>
      <c r="S3224">
        <f>1222.53</f>
        <v>1222.53</v>
      </c>
      <c r="T3224">
        <f>1572.645</f>
        <v>1572.645</v>
      </c>
      <c r="U3224">
        <f>32806.67</f>
        <v>32806.67</v>
      </c>
      <c r="V3224">
        <f>210.44</f>
        <v>210.44</v>
      </c>
    </row>
    <row r="3225" spans="1:22" x14ac:dyDescent="0.2">
      <c r="A3225" s="1">
        <v>40592</v>
      </c>
      <c r="B3225">
        <f>2466.91</f>
        <v>2466.91</v>
      </c>
      <c r="C3225">
        <f>8757.24</f>
        <v>8757.24</v>
      </c>
      <c r="D3225">
        <f>3990.57</f>
        <v>3990.57</v>
      </c>
      <c r="E3225">
        <f>2013.296</f>
        <v>2013.296</v>
      </c>
      <c r="F3225">
        <f>1326.58</f>
        <v>1326.58</v>
      </c>
      <c r="G3225">
        <f>6577.939</f>
        <v>6577.9390000000003</v>
      </c>
      <c r="H3225">
        <f>2097.98</f>
        <v>2097.98</v>
      </c>
      <c r="I3225">
        <f>6938.143</f>
        <v>6938.143</v>
      </c>
      <c r="J3225">
        <f>1571.36</f>
        <v>1571.36</v>
      </c>
      <c r="K3225">
        <f>4719.55</f>
        <v>4719.55</v>
      </c>
      <c r="L3225">
        <f>1099.22</f>
        <v>1099.22</v>
      </c>
      <c r="M3225">
        <f>4577.03</f>
        <v>4577.03</v>
      </c>
      <c r="N3225">
        <f>167.611</f>
        <v>167.61099999999999</v>
      </c>
      <c r="O3225">
        <f>1741.84</f>
        <v>1741.84</v>
      </c>
      <c r="P3225">
        <f>93.13</f>
        <v>93.13</v>
      </c>
      <c r="Q3225">
        <f>960.26</f>
        <v>960.26</v>
      </c>
      <c r="R3225">
        <f>2263.79</f>
        <v>2263.79</v>
      </c>
      <c r="S3225">
        <f>1221.24</f>
        <v>1221.24</v>
      </c>
      <c r="T3225">
        <f>1561.024</f>
        <v>1561.0239999999999</v>
      </c>
      <c r="U3225">
        <f>32514.03</f>
        <v>32514.03</v>
      </c>
      <c r="V3225">
        <f>208.63</f>
        <v>208.63</v>
      </c>
    </row>
    <row r="3226" spans="1:22" x14ac:dyDescent="0.2">
      <c r="A3226" s="1">
        <v>40591</v>
      </c>
      <c r="B3226">
        <f>2463.71</f>
        <v>2463.71</v>
      </c>
      <c r="C3226">
        <f>8681.85</f>
        <v>8681.85</v>
      </c>
      <c r="D3226">
        <f>3993.45</f>
        <v>3993.45</v>
      </c>
      <c r="E3226">
        <f>1995.17</f>
        <v>1995.17</v>
      </c>
      <c r="F3226">
        <f>1312.63</f>
        <v>1312.63</v>
      </c>
      <c r="G3226">
        <f>6559.771</f>
        <v>6559.7709999999997</v>
      </c>
      <c r="H3226">
        <f>2097.62</f>
        <v>2097.62</v>
      </c>
      <c r="I3226">
        <f>6904.987</f>
        <v>6904.9870000000001</v>
      </c>
      <c r="J3226">
        <f>1564.79</f>
        <v>1564.79</v>
      </c>
      <c r="K3226">
        <f>4711.16</f>
        <v>4711.16</v>
      </c>
      <c r="L3226">
        <f>1094.5</f>
        <v>1094.5</v>
      </c>
      <c r="M3226">
        <f>4567.04</f>
        <v>4567.04</v>
      </c>
      <c r="N3226">
        <f>167.862</f>
        <v>167.86199999999999</v>
      </c>
      <c r="O3226">
        <f>1741.62</f>
        <v>1741.62</v>
      </c>
      <c r="P3226">
        <f>92.91</f>
        <v>92.91</v>
      </c>
      <c r="Q3226">
        <f>955.29</f>
        <v>955.29</v>
      </c>
      <c r="R3226">
        <f>2259.42</f>
        <v>2259.42</v>
      </c>
      <c r="S3226">
        <f>1221.91</f>
        <v>1221.9100000000001</v>
      </c>
      <c r="T3226">
        <f>1557.001</f>
        <v>1557.001</v>
      </c>
      <c r="U3226">
        <f>32722.91</f>
        <v>32722.91</v>
      </c>
      <c r="V3226">
        <f>209.01</f>
        <v>209.01</v>
      </c>
    </row>
    <row r="3227" spans="1:22" x14ac:dyDescent="0.2">
      <c r="A3227" s="1">
        <v>40590</v>
      </c>
      <c r="B3227">
        <f>2443.44</f>
        <v>2443.44</v>
      </c>
      <c r="C3227">
        <f>8667.71</f>
        <v>8667.7099999999991</v>
      </c>
      <c r="D3227">
        <f>3992.06</f>
        <v>3992.06</v>
      </c>
      <c r="E3227">
        <f>1989.158</f>
        <v>1989.1579999999999</v>
      </c>
      <c r="F3227">
        <f>1300.81</f>
        <v>1300.81</v>
      </c>
      <c r="G3227">
        <f>6510.488</f>
        <v>6510.4880000000003</v>
      </c>
      <c r="H3227">
        <f>2063.41</f>
        <v>2063.41</v>
      </c>
      <c r="I3227">
        <f>6866.335</f>
        <v>6866.335</v>
      </c>
      <c r="J3227">
        <f>1556.49</f>
        <v>1556.49</v>
      </c>
      <c r="K3227">
        <f>4695.89</f>
        <v>4695.8900000000003</v>
      </c>
      <c r="L3227">
        <f>1086.07</f>
        <v>1086.07</v>
      </c>
      <c r="M3227">
        <f>4541.07</f>
        <v>4541.07</v>
      </c>
      <c r="N3227">
        <f>167.971</f>
        <v>167.971</v>
      </c>
      <c r="O3227">
        <f>1739.77</f>
        <v>1739.77</v>
      </c>
      <c r="P3227">
        <f>92.21</f>
        <v>92.21</v>
      </c>
      <c r="Q3227">
        <f>951.58</f>
        <v>951.58</v>
      </c>
      <c r="R3227">
        <f>2252.3</f>
        <v>2252.3000000000002</v>
      </c>
      <c r="S3227">
        <f>1213.33</f>
        <v>1213.33</v>
      </c>
      <c r="T3227">
        <f>1546.726</f>
        <v>1546.7260000000001</v>
      </c>
      <c r="U3227">
        <f>32778.12</f>
        <v>32778.120000000003</v>
      </c>
      <c r="V3227">
        <f>208.53</f>
        <v>208.53</v>
      </c>
    </row>
    <row r="3228" spans="1:22" x14ac:dyDescent="0.2">
      <c r="A3228" s="1">
        <v>40589</v>
      </c>
      <c r="B3228">
        <f>2421.81</f>
        <v>2421.81</v>
      </c>
      <c r="C3228">
        <f>8602.32</f>
        <v>8602.32</v>
      </c>
      <c r="D3228">
        <f>3960.37</f>
        <v>3960.37</v>
      </c>
      <c r="E3228">
        <f>1981.105</f>
        <v>1981.105</v>
      </c>
      <c r="F3228">
        <f>1296.16</f>
        <v>1296.1600000000001</v>
      </c>
      <c r="G3228">
        <f>6507.358</f>
        <v>6507.3580000000002</v>
      </c>
      <c r="H3228">
        <f>2056.24</f>
        <v>2056.2399999999998</v>
      </c>
      <c r="I3228">
        <f>6817.961</f>
        <v>6817.9610000000002</v>
      </c>
      <c r="J3228">
        <f>1548.67</f>
        <v>1548.67</v>
      </c>
      <c r="K3228">
        <f>4665.45</f>
        <v>4665.45</v>
      </c>
      <c r="L3228">
        <f>1081.02</f>
        <v>1081.02</v>
      </c>
      <c r="M3228">
        <f>4514.63</f>
        <v>4514.63</v>
      </c>
      <c r="N3228">
        <f>168.133</f>
        <v>168.13300000000001</v>
      </c>
      <c r="O3228">
        <f>1730.56</f>
        <v>1730.56</v>
      </c>
      <c r="P3228">
        <f>91.98</f>
        <v>91.98</v>
      </c>
      <c r="Q3228">
        <f>942.91</f>
        <v>942.91</v>
      </c>
      <c r="R3228">
        <f>2237.9</f>
        <v>2237.9</v>
      </c>
      <c r="S3228">
        <f>1207.36</f>
        <v>1207.3599999999999</v>
      </c>
      <c r="T3228">
        <f>1549.047</f>
        <v>1549.047</v>
      </c>
      <c r="U3228">
        <f>33060.28</f>
        <v>33060.28</v>
      </c>
      <c r="V3228">
        <f>208.66</f>
        <v>208.66</v>
      </c>
    </row>
    <row r="3229" spans="1:22" x14ac:dyDescent="0.2">
      <c r="A3229" s="1">
        <v>40588</v>
      </c>
      <c r="B3229">
        <f>2441.3</f>
        <v>2441.3000000000002</v>
      </c>
      <c r="C3229">
        <f>8613.36</f>
        <v>8613.36</v>
      </c>
      <c r="D3229">
        <f>3975.46</f>
        <v>3975.46</v>
      </c>
      <c r="E3229">
        <f>1983.655</f>
        <v>1983.655</v>
      </c>
      <c r="F3229">
        <f>1281.69</f>
        <v>1281.69</v>
      </c>
      <c r="G3229">
        <f>6465.645</f>
        <v>6465.6450000000004</v>
      </c>
      <c r="H3229">
        <f>2061.67</f>
        <v>2061.67</v>
      </c>
      <c r="I3229">
        <f>6784.699</f>
        <v>6784.6989999999996</v>
      </c>
      <c r="J3229">
        <f>1554.29</f>
        <v>1554.29</v>
      </c>
      <c r="K3229">
        <f>4681.21</f>
        <v>4681.21</v>
      </c>
      <c r="L3229">
        <f>1077.94</f>
        <v>1077.94</v>
      </c>
      <c r="M3229">
        <f>4516.16</f>
        <v>4516.16</v>
      </c>
      <c r="N3229">
        <f>168.372</f>
        <v>168.37200000000001</v>
      </c>
      <c r="O3229">
        <f>1726.96</f>
        <v>1726.96</v>
      </c>
      <c r="P3229">
        <f>91.81</f>
        <v>91.81</v>
      </c>
      <c r="Q3229">
        <f>945.21</f>
        <v>945.21</v>
      </c>
      <c r="R3229">
        <f>2244.89</f>
        <v>2244.89</v>
      </c>
      <c r="S3229">
        <f>1203.11</f>
        <v>1203.1099999999999</v>
      </c>
      <c r="T3229">
        <f>1548.038</f>
        <v>1548.038</v>
      </c>
      <c r="U3229">
        <f>33094.06</f>
        <v>33094.06</v>
      </c>
      <c r="V3229">
        <f>208.28</f>
        <v>208.28</v>
      </c>
    </row>
    <row r="3230" spans="1:22" x14ac:dyDescent="0.2">
      <c r="A3230" s="1">
        <v>40585</v>
      </c>
      <c r="B3230">
        <f>2445.52</f>
        <v>2445.52</v>
      </c>
      <c r="C3230">
        <f>8548.51</f>
        <v>8548.51</v>
      </c>
      <c r="D3230">
        <f>3977.31</f>
        <v>3977.31</v>
      </c>
      <c r="E3230">
        <f>1957.627</f>
        <v>1957.627</v>
      </c>
      <c r="F3230">
        <f>1289.84</f>
        <v>1289.8399999999999</v>
      </c>
      <c r="G3230">
        <f>6470.8</f>
        <v>6470.8</v>
      </c>
      <c r="H3230">
        <f>2041.44</f>
        <v>2041.44</v>
      </c>
      <c r="I3230">
        <f>6814.097</f>
        <v>6814.0969999999998</v>
      </c>
      <c r="J3230">
        <f>1549.57</f>
        <v>1549.57</v>
      </c>
      <c r="K3230">
        <f>4668.14</f>
        <v>4668.1400000000003</v>
      </c>
      <c r="L3230">
        <f>1079.11</f>
        <v>1079.1099999999999</v>
      </c>
      <c r="M3230">
        <f>4502.47</f>
        <v>4502.47</v>
      </c>
      <c r="N3230">
        <f>167.158</f>
        <v>167.15799999999999</v>
      </c>
      <c r="O3230">
        <f>1722.36</f>
        <v>1722.36</v>
      </c>
      <c r="P3230" t="e">
        <f>NA()</f>
        <v>#N/A</v>
      </c>
      <c r="Q3230">
        <f>946.9</f>
        <v>946.9</v>
      </c>
      <c r="R3230">
        <f>2239.08</f>
        <v>2239.08</v>
      </c>
      <c r="S3230" t="e">
        <f>NA()</f>
        <v>#N/A</v>
      </c>
      <c r="T3230">
        <f>1534.483</f>
        <v>1534.4829999999999</v>
      </c>
      <c r="U3230">
        <f>32954.33</f>
        <v>32954.33</v>
      </c>
      <c r="V3230">
        <f>207.34</f>
        <v>207.34</v>
      </c>
    </row>
    <row r="3231" spans="1:22" x14ac:dyDescent="0.2">
      <c r="A3231" s="1">
        <v>40584</v>
      </c>
      <c r="B3231">
        <f>2431.28</f>
        <v>2431.2800000000002</v>
      </c>
      <c r="C3231">
        <f>8531.09</f>
        <v>8531.09</v>
      </c>
      <c r="D3231">
        <f>3949.17</f>
        <v>3949.17</v>
      </c>
      <c r="E3231">
        <f>1954.123</f>
        <v>1954.123</v>
      </c>
      <c r="F3231">
        <f>1293.12</f>
        <v>1293.1199999999999</v>
      </c>
      <c r="G3231">
        <f>6455.994</f>
        <v>6455.9939999999997</v>
      </c>
      <c r="H3231">
        <f>2046.35</f>
        <v>2046.35</v>
      </c>
      <c r="I3231">
        <f>6816.217</f>
        <v>6816.2169999999996</v>
      </c>
      <c r="J3231">
        <f>1545.02</f>
        <v>1545.02</v>
      </c>
      <c r="K3231">
        <f>4641.42</f>
        <v>4641.42</v>
      </c>
      <c r="L3231">
        <f>1080.18</f>
        <v>1080.18</v>
      </c>
      <c r="M3231">
        <f>4491.58</f>
        <v>4491.58</v>
      </c>
      <c r="N3231">
        <f>166.476</f>
        <v>166.476</v>
      </c>
      <c r="O3231">
        <f>1714.89</f>
        <v>1714.89</v>
      </c>
      <c r="P3231">
        <f>91.12</f>
        <v>91.12</v>
      </c>
      <c r="Q3231">
        <f>939.55</f>
        <v>939.55</v>
      </c>
      <c r="R3231">
        <f>2226.51</f>
        <v>2226.5100000000002</v>
      </c>
      <c r="S3231">
        <f>1187.37</f>
        <v>1187.3699999999999</v>
      </c>
      <c r="T3231">
        <f>1519.784</f>
        <v>1519.7840000000001</v>
      </c>
      <c r="U3231">
        <f>32409.48</f>
        <v>32409.48</v>
      </c>
      <c r="V3231">
        <f>206.1</f>
        <v>206.1</v>
      </c>
    </row>
    <row r="3232" spans="1:22" x14ac:dyDescent="0.2">
      <c r="A3232" s="1">
        <v>40583</v>
      </c>
      <c r="B3232">
        <f>2443.73</f>
        <v>2443.73</v>
      </c>
      <c r="C3232">
        <f>8687.53</f>
        <v>8687.5300000000007</v>
      </c>
      <c r="D3232">
        <f>3970.34</f>
        <v>3970.34</v>
      </c>
      <c r="E3232">
        <f>1991.611</f>
        <v>1991.6110000000001</v>
      </c>
      <c r="F3232">
        <f>1297.37</f>
        <v>1297.3699999999999</v>
      </c>
      <c r="G3232">
        <f>6503.436</f>
        <v>6503.4359999999997</v>
      </c>
      <c r="H3232">
        <f>2057.63</f>
        <v>2057.63</v>
      </c>
      <c r="I3232">
        <f>6888.261</f>
        <v>6888.2610000000004</v>
      </c>
      <c r="J3232">
        <f>1542.86</f>
        <v>1542.86</v>
      </c>
      <c r="K3232">
        <f>4637.07</f>
        <v>4637.07</v>
      </c>
      <c r="L3232">
        <f>1084.46</f>
        <v>1084.46</v>
      </c>
      <c r="M3232">
        <f>4506.46</f>
        <v>4506.46</v>
      </c>
      <c r="N3232">
        <f>165.873</f>
        <v>165.87299999999999</v>
      </c>
      <c r="O3232">
        <f>1717.62</f>
        <v>1717.62</v>
      </c>
      <c r="P3232">
        <f>90.88</f>
        <v>90.88</v>
      </c>
      <c r="Q3232">
        <f>938.61</f>
        <v>938.61</v>
      </c>
      <c r="R3232">
        <f>2224.64</f>
        <v>2224.64</v>
      </c>
      <c r="S3232">
        <f>1184.08</f>
        <v>1184.08</v>
      </c>
      <c r="T3232">
        <f>1539.674</f>
        <v>1539.674</v>
      </c>
      <c r="U3232">
        <f>32677.56</f>
        <v>32677.56</v>
      </c>
      <c r="V3232">
        <f>208.41</f>
        <v>208.41</v>
      </c>
    </row>
    <row r="3233" spans="1:22" x14ac:dyDescent="0.2">
      <c r="A3233" s="1">
        <v>40582</v>
      </c>
      <c r="B3233">
        <f>2449.61</f>
        <v>2449.61</v>
      </c>
      <c r="C3233">
        <f>8810.4</f>
        <v>8810.4</v>
      </c>
      <c r="D3233">
        <f>3986.84</f>
        <v>3986.84</v>
      </c>
      <c r="E3233">
        <f>2021.423</f>
        <v>2021.423</v>
      </c>
      <c r="F3233">
        <f>1296.24</f>
        <v>1296.24</v>
      </c>
      <c r="G3233">
        <f>6520.61</f>
        <v>6520.61</v>
      </c>
      <c r="H3233">
        <f>2067.55</f>
        <v>2067.5500000000002</v>
      </c>
      <c r="I3233">
        <f>6890.774</f>
        <v>6890.7740000000003</v>
      </c>
      <c r="J3233">
        <f>1544.27</f>
        <v>1544.27</v>
      </c>
      <c r="K3233">
        <f>4649.44</f>
        <v>4649.4399999999996</v>
      </c>
      <c r="L3233">
        <f>1086.31</f>
        <v>1086.31</v>
      </c>
      <c r="M3233">
        <f>4521.89</f>
        <v>4521.8900000000003</v>
      </c>
      <c r="N3233">
        <f>166.51</f>
        <v>166.51</v>
      </c>
      <c r="O3233">
        <f>1722.98</f>
        <v>1722.98</v>
      </c>
      <c r="P3233">
        <f>90.53</f>
        <v>90.53</v>
      </c>
      <c r="Q3233">
        <f>940.64</f>
        <v>940.64</v>
      </c>
      <c r="R3233">
        <f>2230.59</f>
        <v>2230.59</v>
      </c>
      <c r="S3233">
        <f>1184.07</f>
        <v>1184.07</v>
      </c>
      <c r="T3233">
        <f>1534.914</f>
        <v>1534.914</v>
      </c>
      <c r="U3233">
        <f>32788.86</f>
        <v>32788.86</v>
      </c>
      <c r="V3233">
        <f>208.01</f>
        <v>208.01</v>
      </c>
    </row>
    <row r="3234" spans="1:22" x14ac:dyDescent="0.2">
      <c r="A3234" s="1">
        <v>40581</v>
      </c>
      <c r="B3234">
        <f>2439.32</f>
        <v>2439.3200000000002</v>
      </c>
      <c r="C3234">
        <f>8798.9</f>
        <v>8798.9</v>
      </c>
      <c r="D3234">
        <f>3960.46</f>
        <v>3960.46</v>
      </c>
      <c r="E3234">
        <f>2023.807</f>
        <v>2023.807</v>
      </c>
      <c r="F3234">
        <f>1289.71</f>
        <v>1289.71</v>
      </c>
      <c r="G3234">
        <f>6484.693</f>
        <v>6484.6930000000002</v>
      </c>
      <c r="H3234">
        <f>2039.71</f>
        <v>2039.71</v>
      </c>
      <c r="I3234">
        <f>6818.599</f>
        <v>6818.5990000000002</v>
      </c>
      <c r="J3234">
        <f>1539.61</f>
        <v>1539.61</v>
      </c>
      <c r="K3234">
        <f>4628.63</f>
        <v>4628.63</v>
      </c>
      <c r="L3234">
        <f>1081.4</f>
        <v>1081.4000000000001</v>
      </c>
      <c r="M3234">
        <f>4494.48</f>
        <v>4494.4799999999996</v>
      </c>
      <c r="N3234">
        <f>167.975</f>
        <v>167.97499999999999</v>
      </c>
      <c r="O3234">
        <f>1723.97</f>
        <v>1723.97</v>
      </c>
      <c r="P3234">
        <f>90.41</f>
        <v>90.41</v>
      </c>
      <c r="Q3234">
        <f>936.64</f>
        <v>936.64</v>
      </c>
      <c r="R3234">
        <f>2220.6</f>
        <v>2220.6</v>
      </c>
      <c r="S3234">
        <f>1179.59</f>
        <v>1179.5899999999999</v>
      </c>
      <c r="T3234">
        <f>1536.953</f>
        <v>1536.953</v>
      </c>
      <c r="U3234">
        <f>32800.23</f>
        <v>32800.230000000003</v>
      </c>
      <c r="V3234">
        <f>208.67</f>
        <v>208.67</v>
      </c>
    </row>
    <row r="3235" spans="1:22" x14ac:dyDescent="0.2">
      <c r="A3235" s="1">
        <v>40578</v>
      </c>
      <c r="B3235">
        <f>2420.14</f>
        <v>2420.14</v>
      </c>
      <c r="C3235">
        <f>8840.74</f>
        <v>8840.74</v>
      </c>
      <c r="D3235">
        <f>3925.35</f>
        <v>3925.35</v>
      </c>
      <c r="E3235">
        <f>2026.272</f>
        <v>2026.2719999999999</v>
      </c>
      <c r="F3235">
        <f>1276.83</f>
        <v>1276.83</v>
      </c>
      <c r="G3235">
        <f>6406</f>
        <v>6406</v>
      </c>
      <c r="H3235">
        <f>2038.16</f>
        <v>2038.16</v>
      </c>
      <c r="I3235">
        <f>6768.653</f>
        <v>6768.6530000000002</v>
      </c>
      <c r="J3235">
        <f>1534.53</f>
        <v>1534.53</v>
      </c>
      <c r="K3235">
        <f>4600.04</f>
        <v>4600.04</v>
      </c>
      <c r="L3235">
        <f>1076.92</f>
        <v>1076.92</v>
      </c>
      <c r="M3235">
        <f>4468.33</f>
        <v>4468.33</v>
      </c>
      <c r="N3235">
        <f>166.323</f>
        <v>166.32300000000001</v>
      </c>
      <c r="O3235">
        <f>1708.03</f>
        <v>1708.03</v>
      </c>
      <c r="P3235">
        <f>89.84</f>
        <v>89.84</v>
      </c>
      <c r="Q3235">
        <f>932.58</f>
        <v>932.58</v>
      </c>
      <c r="R3235">
        <f>2206.8</f>
        <v>2206.8000000000002</v>
      </c>
      <c r="S3235">
        <f>1173.23</f>
        <v>1173.23</v>
      </c>
      <c r="T3235">
        <f>1545.328</f>
        <v>1545.328</v>
      </c>
      <c r="U3235">
        <f>32902.52</f>
        <v>32902.519999999997</v>
      </c>
      <c r="V3235">
        <f>210.35</f>
        <v>210.35</v>
      </c>
    </row>
    <row r="3236" spans="1:22" x14ac:dyDescent="0.2">
      <c r="A3236" s="1">
        <v>40577</v>
      </c>
      <c r="B3236">
        <f>2396.74</f>
        <v>2396.7399999999998</v>
      </c>
      <c r="C3236">
        <f>8865.67</f>
        <v>8865.67</v>
      </c>
      <c r="D3236">
        <f>3916.16</f>
        <v>3916.16</v>
      </c>
      <c r="E3236">
        <f>2032.395</f>
        <v>2032.395</v>
      </c>
      <c r="F3236">
        <f>1285.47</f>
        <v>1285.47</v>
      </c>
      <c r="G3236">
        <f>6423.853</f>
        <v>6423.8530000000001</v>
      </c>
      <c r="H3236">
        <f>2032.11</f>
        <v>2032.11</v>
      </c>
      <c r="I3236">
        <f>6790.634</f>
        <v>6790.634</v>
      </c>
      <c r="J3236">
        <f>1531.11</f>
        <v>1531.11</v>
      </c>
      <c r="K3236">
        <f>4587.57</f>
        <v>4587.57</v>
      </c>
      <c r="L3236">
        <f>1077.52</f>
        <v>1077.52</v>
      </c>
      <c r="M3236">
        <f>4462.53</f>
        <v>4462.53</v>
      </c>
      <c r="N3236">
        <f>165.711</f>
        <v>165.71100000000001</v>
      </c>
      <c r="O3236">
        <f>1703.79</f>
        <v>1703.79</v>
      </c>
      <c r="P3236">
        <f>88.77</f>
        <v>88.77</v>
      </c>
      <c r="Q3236">
        <f>928.64</f>
        <v>928.64</v>
      </c>
      <c r="R3236">
        <f>2200.42</f>
        <v>2200.42</v>
      </c>
      <c r="S3236">
        <f>1163.45</f>
        <v>1163.45</v>
      </c>
      <c r="T3236">
        <f>1543.637</f>
        <v>1543.6369999999999</v>
      </c>
      <c r="U3236">
        <f>32794.84</f>
        <v>32794.839999999997</v>
      </c>
      <c r="V3236">
        <f>210.89</f>
        <v>210.89</v>
      </c>
    </row>
    <row r="3237" spans="1:22" x14ac:dyDescent="0.2">
      <c r="A3237" s="1">
        <v>40576</v>
      </c>
      <c r="B3237">
        <f>2400.21</f>
        <v>2400.21</v>
      </c>
      <c r="C3237">
        <f>8890.83</f>
        <v>8890.83</v>
      </c>
      <c r="D3237">
        <f>3927.11</f>
        <v>3927.11</v>
      </c>
      <c r="E3237">
        <f>2036.344</f>
        <v>2036.3440000000001</v>
      </c>
      <c r="F3237">
        <f>1293.58</f>
        <v>1293.58</v>
      </c>
      <c r="G3237">
        <f>6459.305</f>
        <v>6459.3050000000003</v>
      </c>
      <c r="H3237">
        <f>2043.13</f>
        <v>2043.13</v>
      </c>
      <c r="I3237">
        <f>6892.577</f>
        <v>6892.5770000000002</v>
      </c>
      <c r="J3237">
        <f>1526.84</f>
        <v>1526.84</v>
      </c>
      <c r="K3237">
        <f>4576.73</f>
        <v>4576.7299999999996</v>
      </c>
      <c r="L3237">
        <f>1082.11</f>
        <v>1082.1099999999999</v>
      </c>
      <c r="M3237">
        <f>4471.72</f>
        <v>4471.72</v>
      </c>
      <c r="N3237">
        <f>164.846</f>
        <v>164.846</v>
      </c>
      <c r="O3237">
        <f>1702.37</f>
        <v>1702.37</v>
      </c>
      <c r="P3237">
        <f>89.26</f>
        <v>89.26</v>
      </c>
      <c r="Q3237">
        <f>925.7</f>
        <v>925.7</v>
      </c>
      <c r="R3237">
        <f>2194.94</f>
        <v>2194.94</v>
      </c>
      <c r="S3237">
        <f>1166.05</f>
        <v>1166.05</v>
      </c>
      <c r="T3237">
        <f>1540.577</f>
        <v>1540.577</v>
      </c>
      <c r="U3237">
        <f>32487.61</f>
        <v>32487.61</v>
      </c>
      <c r="V3237">
        <f>210.86</f>
        <v>210.86</v>
      </c>
    </row>
    <row r="3238" spans="1:22" x14ac:dyDescent="0.2">
      <c r="A3238" s="1">
        <v>40575</v>
      </c>
      <c r="B3238">
        <f>2399.99</f>
        <v>2399.9899999999998</v>
      </c>
      <c r="C3238">
        <f>8859.72</f>
        <v>8859.7199999999993</v>
      </c>
      <c r="D3238">
        <f>3895.19</f>
        <v>3895.19</v>
      </c>
      <c r="E3238">
        <f>2028.109</f>
        <v>2028.1089999999999</v>
      </c>
      <c r="F3238">
        <f>1291.56</f>
        <v>1291.56</v>
      </c>
      <c r="G3238">
        <f>6393.125</f>
        <v>6393.125</v>
      </c>
      <c r="H3238">
        <f>2011.13</f>
        <v>2011.13</v>
      </c>
      <c r="I3238">
        <f>6893.217</f>
        <v>6893.2169999999996</v>
      </c>
      <c r="J3238">
        <f>1528.43</f>
        <v>1528.43</v>
      </c>
      <c r="K3238">
        <f>4587.99</f>
        <v>4587.99</v>
      </c>
      <c r="L3238">
        <f>1080.3</f>
        <v>1080.3</v>
      </c>
      <c r="M3238">
        <f>4462.43</f>
        <v>4462.43</v>
      </c>
      <c r="N3238">
        <f>163.967</f>
        <v>163.96700000000001</v>
      </c>
      <c r="O3238">
        <f>1697.57</f>
        <v>1697.57</v>
      </c>
      <c r="P3238">
        <f>88.06</f>
        <v>88.06</v>
      </c>
      <c r="Q3238">
        <f>930.99</f>
        <v>930.99</v>
      </c>
      <c r="R3238">
        <f>2200.54</f>
        <v>2200.54</v>
      </c>
      <c r="S3238">
        <f>1145.83</f>
        <v>1145.83</v>
      </c>
      <c r="T3238">
        <f>1532.284</f>
        <v>1532.2840000000001</v>
      </c>
      <c r="U3238">
        <f>31838.16</f>
        <v>31838.16</v>
      </c>
      <c r="V3238">
        <f>209.11</f>
        <v>209.11</v>
      </c>
    </row>
    <row r="3239" spans="1:22" x14ac:dyDescent="0.2">
      <c r="A3239" s="1">
        <v>40574</v>
      </c>
      <c r="B3239">
        <f>2369.26</f>
        <v>2369.2600000000002</v>
      </c>
      <c r="C3239">
        <f>8769.25</f>
        <v>8769.25</v>
      </c>
      <c r="D3239">
        <f>3833.15</f>
        <v>3833.15</v>
      </c>
      <c r="E3239">
        <f>2006.489</f>
        <v>2006.489</v>
      </c>
      <c r="F3239">
        <f>1260.12</f>
        <v>1260.1199999999999</v>
      </c>
      <c r="G3239">
        <f>6239.193</f>
        <v>6239.1930000000002</v>
      </c>
      <c r="H3239">
        <f>1995</f>
        <v>1995</v>
      </c>
      <c r="I3239">
        <f>6760.219</f>
        <v>6760.2190000000001</v>
      </c>
      <c r="J3239">
        <f>1507.1</f>
        <v>1507.1</v>
      </c>
      <c r="K3239">
        <f>4513.03</f>
        <v>4513.03</v>
      </c>
      <c r="L3239">
        <f>1062.15</f>
        <v>1062.1500000000001</v>
      </c>
      <c r="M3239">
        <f>4387.97</f>
        <v>4387.97</v>
      </c>
      <c r="N3239">
        <f>161.606</f>
        <v>161.60599999999999</v>
      </c>
      <c r="O3239">
        <f>1674.35</f>
        <v>1674.35</v>
      </c>
      <c r="P3239">
        <f>87.5</f>
        <v>87.5</v>
      </c>
      <c r="Q3239">
        <f>921.49</f>
        <v>921.49</v>
      </c>
      <c r="R3239">
        <f>2164.4</f>
        <v>2164.4</v>
      </c>
      <c r="S3239">
        <f>1141.52</f>
        <v>1141.52</v>
      </c>
      <c r="T3239">
        <f>1536.212</f>
        <v>1536.212</v>
      </c>
      <c r="U3239">
        <f>31398.75</f>
        <v>31398.75</v>
      </c>
      <c r="V3239">
        <f>208.61</f>
        <v>208.61</v>
      </c>
    </row>
    <row r="3240" spans="1:22" x14ac:dyDescent="0.2">
      <c r="A3240" s="1">
        <v>40571</v>
      </c>
      <c r="B3240">
        <f>2378.81</f>
        <v>2378.81</v>
      </c>
      <c r="C3240">
        <f>8792.05</f>
        <v>8792.0499999999993</v>
      </c>
      <c r="D3240">
        <f>3845.2</f>
        <v>3845.2</v>
      </c>
      <c r="E3240">
        <f>2019.032</f>
        <v>2019.0319999999999</v>
      </c>
      <c r="F3240">
        <f>1254.74</f>
        <v>1254.74</v>
      </c>
      <c r="G3240">
        <f>6190.826</f>
        <v>6190.826</v>
      </c>
      <c r="H3240">
        <f>2004.48</f>
        <v>2004.48</v>
      </c>
      <c r="I3240">
        <f>6736.679</f>
        <v>6736.6790000000001</v>
      </c>
      <c r="J3240">
        <f>1498.62</f>
        <v>1498.62</v>
      </c>
      <c r="K3240">
        <f>4478.84</f>
        <v>4478.84</v>
      </c>
      <c r="L3240">
        <f>1057.48</f>
        <v>1057.48</v>
      </c>
      <c r="M3240">
        <f>4367.99</f>
        <v>4367.99</v>
      </c>
      <c r="N3240">
        <f>161.842</f>
        <v>161.84200000000001</v>
      </c>
      <c r="O3240">
        <f>1674.95</f>
        <v>1674.95</v>
      </c>
      <c r="P3240">
        <f>88.02</f>
        <v>88.02</v>
      </c>
      <c r="Q3240">
        <f>917.47</f>
        <v>917.47</v>
      </c>
      <c r="R3240">
        <f>2147.95</f>
        <v>2147.9499999999998</v>
      </c>
      <c r="S3240">
        <f>1153.57</f>
        <v>1153.57</v>
      </c>
      <c r="T3240">
        <f>1563.257</f>
        <v>1563.2570000000001</v>
      </c>
      <c r="U3240">
        <f>31543.05</f>
        <v>31543.05</v>
      </c>
      <c r="V3240">
        <f>212.24</f>
        <v>212.24</v>
      </c>
    </row>
    <row r="3241" spans="1:22" x14ac:dyDescent="0.2">
      <c r="A3241" s="1">
        <v>40570</v>
      </c>
      <c r="B3241">
        <f>2396.8</f>
        <v>2396.8000000000002</v>
      </c>
      <c r="C3241">
        <f>8909.89</f>
        <v>8909.89</v>
      </c>
      <c r="D3241">
        <f>3899.94</f>
        <v>3899.94</v>
      </c>
      <c r="E3241">
        <f>2046.845</f>
        <v>2046.845</v>
      </c>
      <c r="F3241">
        <f>1274.53</f>
        <v>1274.53</v>
      </c>
      <c r="G3241">
        <f>6314.981</f>
        <v>6314.9809999999998</v>
      </c>
      <c r="H3241">
        <f>2012.76</f>
        <v>2012.76</v>
      </c>
      <c r="I3241">
        <f>6836.508</f>
        <v>6836.5079999999998</v>
      </c>
      <c r="J3241">
        <f>1518.05</f>
        <v>1518.05</v>
      </c>
      <c r="K3241">
        <f>4559.49</f>
        <v>4559.49</v>
      </c>
      <c r="L3241">
        <f>1070.79</f>
        <v>1070.79</v>
      </c>
      <c r="M3241">
        <f>4431.63</f>
        <v>4431.63</v>
      </c>
      <c r="N3241">
        <f>162.939</f>
        <v>162.93899999999999</v>
      </c>
      <c r="O3241">
        <f>1690.93</f>
        <v>1690.93</v>
      </c>
      <c r="P3241">
        <f>89.11</f>
        <v>89.11</v>
      </c>
      <c r="Q3241">
        <f>930.99</f>
        <v>930.99</v>
      </c>
      <c r="R3241">
        <f>2186.93</f>
        <v>2186.9299999999998</v>
      </c>
      <c r="S3241">
        <f>1166.07</f>
        <v>1166.07</v>
      </c>
      <c r="T3241">
        <f>1589.495</f>
        <v>1589.4949999999999</v>
      </c>
      <c r="U3241">
        <f>32138.54</f>
        <v>32138.54</v>
      </c>
      <c r="V3241">
        <f>216.33</f>
        <v>216.33</v>
      </c>
    </row>
    <row r="3242" spans="1:22" x14ac:dyDescent="0.2">
      <c r="A3242" s="1">
        <v>40569</v>
      </c>
      <c r="B3242">
        <f>2393.83</f>
        <v>2393.83</v>
      </c>
      <c r="C3242">
        <f>8899.31</f>
        <v>8899.31</v>
      </c>
      <c r="D3242">
        <f>3902.64</f>
        <v>3902.64</v>
      </c>
      <c r="E3242">
        <f>2047.963</f>
        <v>2047.963</v>
      </c>
      <c r="F3242">
        <f>1271.17</f>
        <v>1271.17</v>
      </c>
      <c r="G3242">
        <f>6296.611</f>
        <v>6296.6109999999999</v>
      </c>
      <c r="H3242">
        <f>2023.63</f>
        <v>2023.63</v>
      </c>
      <c r="I3242">
        <f>6803.638</f>
        <v>6803.6379999999999</v>
      </c>
      <c r="J3242">
        <f>1520.13</f>
        <v>1520.13</v>
      </c>
      <c r="K3242">
        <f>4549.52</f>
        <v>4549.5200000000004</v>
      </c>
      <c r="L3242">
        <f>1069.81</f>
        <v>1069.81</v>
      </c>
      <c r="M3242">
        <f>4421.99</f>
        <v>4421.99</v>
      </c>
      <c r="N3242">
        <f>163.138</f>
        <v>163.13800000000001</v>
      </c>
      <c r="O3242">
        <f>1687.64</f>
        <v>1687.64</v>
      </c>
      <c r="P3242">
        <f>88.77</f>
        <v>88.77</v>
      </c>
      <c r="Q3242">
        <f>929.48</f>
        <v>929.48</v>
      </c>
      <c r="R3242">
        <f>2181.92</f>
        <v>2181.92</v>
      </c>
      <c r="S3242">
        <f>1157.22</f>
        <v>1157.22</v>
      </c>
      <c r="T3242">
        <f>1579.656</f>
        <v>1579.6559999999999</v>
      </c>
      <c r="U3242">
        <f>31965.24</f>
        <v>31965.24</v>
      </c>
      <c r="V3242">
        <f>215.39</f>
        <v>215.39</v>
      </c>
    </row>
    <row r="3243" spans="1:22" x14ac:dyDescent="0.2">
      <c r="A3243" s="1">
        <v>40568</v>
      </c>
      <c r="B3243">
        <f>2379.33</f>
        <v>2379.33</v>
      </c>
      <c r="C3243">
        <f>8880.24</f>
        <v>8880.24</v>
      </c>
      <c r="D3243">
        <f>3867.85</f>
        <v>3867.85</v>
      </c>
      <c r="E3243">
        <f>2035.992</f>
        <v>2035.992</v>
      </c>
      <c r="F3243">
        <f>1256.95</f>
        <v>1256.95</v>
      </c>
      <c r="G3243">
        <f>6217.641</f>
        <v>6217.6409999999996</v>
      </c>
      <c r="H3243">
        <f>2038.83</f>
        <v>2038.83</v>
      </c>
      <c r="I3243">
        <f>6741.625</f>
        <v>6741.625</v>
      </c>
      <c r="J3243">
        <f>1517.5</f>
        <v>1517.5</v>
      </c>
      <c r="K3243">
        <f>4528.49</f>
        <v>4528.49</v>
      </c>
      <c r="L3243">
        <f>1066.28</f>
        <v>1066.28</v>
      </c>
      <c r="M3243">
        <f>4396.47</f>
        <v>4396.47</v>
      </c>
      <c r="N3243">
        <f>161.594</f>
        <v>161.59399999999999</v>
      </c>
      <c r="O3243">
        <f>1674.85</f>
        <v>1674.85</v>
      </c>
      <c r="P3243">
        <f>89.45</f>
        <v>89.45</v>
      </c>
      <c r="Q3243">
        <f>927.16</f>
        <v>927.16</v>
      </c>
      <c r="R3243">
        <f>2172.67</f>
        <v>2172.67</v>
      </c>
      <c r="S3243">
        <f>1165.56</f>
        <v>1165.56</v>
      </c>
      <c r="T3243">
        <f>1572.082</f>
        <v>1572.0820000000001</v>
      </c>
      <c r="U3243">
        <f>31656.63</f>
        <v>31656.63</v>
      </c>
      <c r="V3243">
        <f>214.88</f>
        <v>214.88</v>
      </c>
    </row>
    <row r="3244" spans="1:22" x14ac:dyDescent="0.2">
      <c r="A3244" s="1">
        <v>40567</v>
      </c>
      <c r="B3244">
        <f>2382.56</f>
        <v>2382.56</v>
      </c>
      <c r="C3244">
        <f>8887.86</f>
        <v>8887.86</v>
      </c>
      <c r="D3244">
        <f>3884.93</f>
        <v>3884.93</v>
      </c>
      <c r="E3244">
        <f>2037.246</f>
        <v>2037.2460000000001</v>
      </c>
      <c r="F3244">
        <f>1274.11</f>
        <v>1274.1099999999999</v>
      </c>
      <c r="G3244">
        <f>6314.896</f>
        <v>6314.8959999999997</v>
      </c>
      <c r="H3244">
        <f>2010.42</f>
        <v>2010.42</v>
      </c>
      <c r="I3244">
        <f>6760.981</f>
        <v>6760.9809999999998</v>
      </c>
      <c r="J3244">
        <f>1516.8</f>
        <v>1516.8</v>
      </c>
      <c r="K3244">
        <f>4526.5</f>
        <v>4526.5</v>
      </c>
      <c r="L3244">
        <f>1070.73</f>
        <v>1070.73</v>
      </c>
      <c r="M3244">
        <f>4400.62</f>
        <v>4400.62</v>
      </c>
      <c r="N3244">
        <f>162.701</f>
        <v>162.70099999999999</v>
      </c>
      <c r="O3244">
        <f>1686.41</f>
        <v>1686.41</v>
      </c>
      <c r="P3244">
        <f>88.74</f>
        <v>88.74</v>
      </c>
      <c r="Q3244">
        <f>926.08</f>
        <v>926.08</v>
      </c>
      <c r="R3244">
        <f>2172.03</f>
        <v>2172.0300000000002</v>
      </c>
      <c r="S3244">
        <f>1150.38</f>
        <v>1150.3800000000001</v>
      </c>
      <c r="T3244">
        <f>1583.461</f>
        <v>1583.461</v>
      </c>
      <c r="U3244">
        <f>31869.06</f>
        <v>31869.06</v>
      </c>
      <c r="V3244">
        <f>215.64</f>
        <v>215.64</v>
      </c>
    </row>
    <row r="3245" spans="1:22" x14ac:dyDescent="0.2">
      <c r="A3245" s="1">
        <v>40564</v>
      </c>
      <c r="B3245">
        <f>2364.1</f>
        <v>2364.1</v>
      </c>
      <c r="C3245">
        <f>8896.22</f>
        <v>8896.2199999999993</v>
      </c>
      <c r="D3245">
        <f>3853.82</f>
        <v>3853.82</v>
      </c>
      <c r="E3245">
        <f>2037.031</f>
        <v>2037.0309999999999</v>
      </c>
      <c r="F3245">
        <f>1251.79</f>
        <v>1251.79</v>
      </c>
      <c r="G3245">
        <f>6257.794</f>
        <v>6257.7939999999999</v>
      </c>
      <c r="H3245">
        <f>1996.7</f>
        <v>1996.7</v>
      </c>
      <c r="I3245">
        <f>6695.358</f>
        <v>6695.3580000000002</v>
      </c>
      <c r="J3245">
        <f>1510.48</f>
        <v>1510.48</v>
      </c>
      <c r="K3245">
        <f>4500.1</f>
        <v>4500.1000000000004</v>
      </c>
      <c r="L3245">
        <f>1061.34</f>
        <v>1061.3399999999999</v>
      </c>
      <c r="M3245">
        <f>4368.13</f>
        <v>4368.13</v>
      </c>
      <c r="N3245">
        <f>162.088</f>
        <v>162.08799999999999</v>
      </c>
      <c r="O3245">
        <f>1680.94</f>
        <v>1680.94</v>
      </c>
      <c r="P3245">
        <f>88.2</f>
        <v>88.2</v>
      </c>
      <c r="Q3245">
        <f>922</f>
        <v>922</v>
      </c>
      <c r="R3245">
        <f>2159.43</f>
        <v>2159.4299999999998</v>
      </c>
      <c r="S3245">
        <f>1142.44</f>
        <v>1142.44</v>
      </c>
      <c r="T3245">
        <f>1591.793</f>
        <v>1591.7929999999999</v>
      </c>
      <c r="U3245">
        <f>32140.01</f>
        <v>32140.01</v>
      </c>
      <c r="V3245">
        <f>216.21</f>
        <v>216.21</v>
      </c>
    </row>
    <row r="3246" spans="1:22" x14ac:dyDescent="0.2">
      <c r="A3246" s="1">
        <v>40563</v>
      </c>
      <c r="B3246">
        <f>2363.72</f>
        <v>2363.7199999999998</v>
      </c>
      <c r="C3246">
        <f>8924.99</f>
        <v>8924.99</v>
      </c>
      <c r="D3246">
        <f>3835.3</f>
        <v>3835.3</v>
      </c>
      <c r="E3246">
        <f>2048.518</f>
        <v>2048.518</v>
      </c>
      <c r="F3246">
        <f>1229.35</f>
        <v>1229.3499999999999</v>
      </c>
      <c r="G3246">
        <f>6170.135</f>
        <v>6170.1350000000002</v>
      </c>
      <c r="H3246">
        <f>2014</f>
        <v>2014</v>
      </c>
      <c r="I3246">
        <f>6547.85</f>
        <v>6547.85</v>
      </c>
      <c r="J3246">
        <f>1506.52</f>
        <v>1506.52</v>
      </c>
      <c r="K3246">
        <f>4490.16</f>
        <v>4490.16</v>
      </c>
      <c r="L3246">
        <f>1049.96</f>
        <v>1049.96</v>
      </c>
      <c r="M3246">
        <f>4343.08</f>
        <v>4343.08</v>
      </c>
      <c r="N3246">
        <f>162.256</f>
        <v>162.256</v>
      </c>
      <c r="O3246">
        <f>1668.33</f>
        <v>1668.33</v>
      </c>
      <c r="P3246">
        <f>88.76</f>
        <v>88.76</v>
      </c>
      <c r="Q3246">
        <f>922.73</f>
        <v>922.73</v>
      </c>
      <c r="R3246">
        <f>2154.18</f>
        <v>2154.1799999999998</v>
      </c>
      <c r="S3246">
        <f>1162.94</f>
        <v>1162.94</v>
      </c>
      <c r="T3246">
        <f>1581.016</f>
        <v>1581.0160000000001</v>
      </c>
      <c r="U3246">
        <f>31837.14</f>
        <v>31837.14</v>
      </c>
      <c r="V3246">
        <f>214.78</f>
        <v>214.78</v>
      </c>
    </row>
    <row r="3247" spans="1:22" x14ac:dyDescent="0.2">
      <c r="A3247" s="1">
        <v>40562</v>
      </c>
      <c r="B3247">
        <f>2406.57</f>
        <v>2406.5700000000002</v>
      </c>
      <c r="C3247">
        <f>9068.43</f>
        <v>9068.43</v>
      </c>
      <c r="D3247">
        <f>3906.4</f>
        <v>3906.4</v>
      </c>
      <c r="E3247">
        <f>2080.809</f>
        <v>2080.8090000000002</v>
      </c>
      <c r="F3247">
        <f>1261.42</f>
        <v>1261.42</v>
      </c>
      <c r="G3247">
        <f>6339.353</f>
        <v>6339.3530000000001</v>
      </c>
      <c r="H3247">
        <f>2049.69</f>
        <v>2049.69</v>
      </c>
      <c r="I3247">
        <f>6634.953</f>
        <v>6634.9530000000004</v>
      </c>
      <c r="J3247">
        <f>1506.01</f>
        <v>1506.01</v>
      </c>
      <c r="K3247">
        <f>4496.76</f>
        <v>4496.76</v>
      </c>
      <c r="L3247">
        <f>1059.12</f>
        <v>1059.1199999999999</v>
      </c>
      <c r="M3247">
        <f>4389.08</f>
        <v>4389.08</v>
      </c>
      <c r="N3247">
        <f>164.993</f>
        <v>164.99299999999999</v>
      </c>
      <c r="O3247">
        <f>1687.18</f>
        <v>1687.18</v>
      </c>
      <c r="P3247">
        <f>89.33</f>
        <v>89.33</v>
      </c>
      <c r="Q3247">
        <f>921.98</f>
        <v>921.98</v>
      </c>
      <c r="R3247">
        <f>2156.97</f>
        <v>2156.9699999999998</v>
      </c>
      <c r="S3247">
        <f>1175.07</f>
        <v>1175.07</v>
      </c>
      <c r="T3247">
        <f>1603.669</f>
        <v>1603.6690000000001</v>
      </c>
      <c r="U3247">
        <f>32363.75</f>
        <v>32363.75</v>
      </c>
      <c r="V3247">
        <f>217.38</f>
        <v>217.38</v>
      </c>
    </row>
    <row r="3248" spans="1:22" x14ac:dyDescent="0.2">
      <c r="A3248" s="1">
        <v>40561</v>
      </c>
      <c r="B3248">
        <f>2429.05</f>
        <v>2429.0500000000002</v>
      </c>
      <c r="C3248">
        <f>9040.62</f>
        <v>9040.6200000000008</v>
      </c>
      <c r="D3248">
        <f>3956.98</f>
        <v>3956.98</v>
      </c>
      <c r="E3248">
        <f>2076.873</f>
        <v>2076.873</v>
      </c>
      <c r="F3248">
        <f>1269.05</f>
        <v>1269.05</v>
      </c>
      <c r="G3248">
        <f>6420.517</f>
        <v>6420.5169999999998</v>
      </c>
      <c r="H3248">
        <f>2028.58</f>
        <v>2028.58</v>
      </c>
      <c r="I3248">
        <f>6653.127</f>
        <v>6653.1270000000004</v>
      </c>
      <c r="J3248">
        <f>1510.87</f>
        <v>1510.87</v>
      </c>
      <c r="K3248">
        <f>4543.48</f>
        <v>4543.4799999999996</v>
      </c>
      <c r="L3248">
        <f>1060.4</f>
        <v>1060.4000000000001</v>
      </c>
      <c r="M3248">
        <f>4413.32</f>
        <v>4413.32</v>
      </c>
      <c r="N3248">
        <f>167.529</f>
        <v>167.529</v>
      </c>
      <c r="O3248">
        <f>1709.75</f>
        <v>1709.75</v>
      </c>
      <c r="P3248">
        <f>89.12</f>
        <v>89.12</v>
      </c>
      <c r="Q3248">
        <f>927.09</f>
        <v>927.09</v>
      </c>
      <c r="R3248">
        <f>2178.72</f>
        <v>2178.7199999999998</v>
      </c>
      <c r="S3248">
        <f>1168.44</f>
        <v>1168.44</v>
      </c>
      <c r="T3248">
        <f>1616.038</f>
        <v>1616.038</v>
      </c>
      <c r="U3248">
        <f>32559.72</f>
        <v>32559.72</v>
      </c>
      <c r="V3248">
        <f>218.63</f>
        <v>218.63</v>
      </c>
    </row>
    <row r="3249" spans="1:22" x14ac:dyDescent="0.2">
      <c r="A3249" s="1">
        <v>40560</v>
      </c>
      <c r="B3249">
        <f>2410.93</f>
        <v>2410.9299999999998</v>
      </c>
      <c r="C3249">
        <f>9012.19</f>
        <v>9012.19</v>
      </c>
      <c r="D3249">
        <f>3910.77</f>
        <v>3910.77</v>
      </c>
      <c r="E3249">
        <f>2068.871</f>
        <v>2068.8710000000001</v>
      </c>
      <c r="F3249">
        <f>1249.87</f>
        <v>1249.8699999999999</v>
      </c>
      <c r="G3249">
        <f>6314.677</f>
        <v>6314.6769999999997</v>
      </c>
      <c r="H3249">
        <f>2026.73</f>
        <v>2026.73</v>
      </c>
      <c r="I3249">
        <f>6538.722</f>
        <v>6538.7219999999998</v>
      </c>
      <c r="J3249">
        <f>1506.39</f>
        <v>1506.39</v>
      </c>
      <c r="K3249">
        <f>4535.92</f>
        <v>4535.92</v>
      </c>
      <c r="L3249">
        <f>1050.99</f>
        <v>1050.99</v>
      </c>
      <c r="M3249">
        <f>4383.91</f>
        <v>4383.91</v>
      </c>
      <c r="N3249">
        <f>166.144</f>
        <v>166.14400000000001</v>
      </c>
      <c r="O3249">
        <f>1693.17</f>
        <v>1693.17</v>
      </c>
      <c r="P3249">
        <f>89.27</f>
        <v>89.27</v>
      </c>
      <c r="Q3249" t="e">
        <f>NA()</f>
        <v>#N/A</v>
      </c>
      <c r="R3249" t="e">
        <f>NA()</f>
        <v>#N/A</v>
      </c>
      <c r="S3249">
        <f>1164.87</f>
        <v>1164.8699999999999</v>
      </c>
      <c r="T3249">
        <f>1633.852</f>
        <v>1633.8520000000001</v>
      </c>
      <c r="U3249">
        <f>32316.2</f>
        <v>32316.2</v>
      </c>
      <c r="V3249">
        <f>218.97</f>
        <v>218.97</v>
      </c>
    </row>
    <row r="3250" spans="1:22" x14ac:dyDescent="0.2">
      <c r="A3250" s="1">
        <v>40557</v>
      </c>
      <c r="B3250">
        <f>2408.5</f>
        <v>2408.5</v>
      </c>
      <c r="C3250">
        <f>9047.01</f>
        <v>9047.01</v>
      </c>
      <c r="D3250">
        <f>3921.46</f>
        <v>3921.46</v>
      </c>
      <c r="E3250">
        <f>2078.053</f>
        <v>2078.0529999999999</v>
      </c>
      <c r="F3250">
        <f>1248.33</f>
        <v>1248.33</v>
      </c>
      <c r="G3250">
        <f>6321.26</f>
        <v>6321.26</v>
      </c>
      <c r="H3250">
        <f>2025.63</f>
        <v>2025.63</v>
      </c>
      <c r="I3250">
        <f>6577.314</f>
        <v>6577.3140000000003</v>
      </c>
      <c r="J3250">
        <f>1506.39</f>
        <v>1506.39</v>
      </c>
      <c r="K3250">
        <f>4535.92</f>
        <v>4535.92</v>
      </c>
      <c r="L3250">
        <f>1051.91</f>
        <v>1051.9100000000001</v>
      </c>
      <c r="M3250">
        <f>4388.93</f>
        <v>4388.93</v>
      </c>
      <c r="N3250">
        <f>165.341</f>
        <v>165.34100000000001</v>
      </c>
      <c r="O3250">
        <f>1692.79</f>
        <v>1692.79</v>
      </c>
      <c r="P3250">
        <f>89.33</f>
        <v>89.33</v>
      </c>
      <c r="Q3250">
        <f>924.11</f>
        <v>924.11</v>
      </c>
      <c r="R3250">
        <f>2175.68</f>
        <v>2175.6799999999998</v>
      </c>
      <c r="S3250">
        <f>1166.85</f>
        <v>1166.8499999999999</v>
      </c>
      <c r="T3250">
        <f>1640.684</f>
        <v>1640.684</v>
      </c>
      <c r="U3250">
        <f>32661.06</f>
        <v>32661.06</v>
      </c>
      <c r="V3250">
        <f>220.19</f>
        <v>220.19</v>
      </c>
    </row>
    <row r="3251" spans="1:22" x14ac:dyDescent="0.2">
      <c r="A3251" s="1">
        <v>40556</v>
      </c>
      <c r="B3251">
        <f>2410.75</f>
        <v>2410.75</v>
      </c>
      <c r="C3251">
        <f>9075.53</f>
        <v>9075.5300000000007</v>
      </c>
      <c r="D3251">
        <f>3935.71</f>
        <v>3935.71</v>
      </c>
      <c r="E3251">
        <f>2083.413</f>
        <v>2083.413</v>
      </c>
      <c r="F3251">
        <f>1246.56</f>
        <v>1246.56</v>
      </c>
      <c r="G3251">
        <f>6332.125</f>
        <v>6332.125</v>
      </c>
      <c r="H3251">
        <f>2039.07</f>
        <v>2039.07</v>
      </c>
      <c r="I3251">
        <f>6561.818</f>
        <v>6561.8180000000002</v>
      </c>
      <c r="J3251">
        <f>1501.44</f>
        <v>1501.44</v>
      </c>
      <c r="K3251">
        <f>4502.93</f>
        <v>4502.93</v>
      </c>
      <c r="L3251">
        <f>1049.39</f>
        <v>1049.3900000000001</v>
      </c>
      <c r="M3251">
        <f>4376.6</f>
        <v>4376.6000000000004</v>
      </c>
      <c r="N3251">
        <f>165.052</f>
        <v>165.05199999999999</v>
      </c>
      <c r="O3251">
        <f>1691.84</f>
        <v>1691.84</v>
      </c>
      <c r="P3251">
        <f>90.17</f>
        <v>90.17</v>
      </c>
      <c r="Q3251">
        <f>921.35</f>
        <v>921.35</v>
      </c>
      <c r="R3251">
        <f>2159.66</f>
        <v>2159.66</v>
      </c>
      <c r="S3251">
        <f>1176.17</f>
        <v>1176.17</v>
      </c>
      <c r="T3251">
        <f>1630.41</f>
        <v>1630.41</v>
      </c>
      <c r="U3251">
        <f>32632.15</f>
        <v>32632.15</v>
      </c>
      <c r="V3251">
        <f>219.92</f>
        <v>219.92</v>
      </c>
    </row>
    <row r="3252" spans="1:22" x14ac:dyDescent="0.2">
      <c r="A3252" s="1">
        <v>40555</v>
      </c>
      <c r="B3252">
        <f>2409.87</f>
        <v>2409.87</v>
      </c>
      <c r="C3252">
        <f>9051.5</f>
        <v>9051.5</v>
      </c>
      <c r="D3252">
        <f>3953.25</f>
        <v>3953.25</v>
      </c>
      <c r="E3252">
        <f>2083.451</f>
        <v>2083.451</v>
      </c>
      <c r="F3252">
        <f>1240.56</f>
        <v>1240.56</v>
      </c>
      <c r="G3252">
        <f>6296.536</f>
        <v>6296.5360000000001</v>
      </c>
      <c r="H3252">
        <f>2007.87</f>
        <v>2007.87</v>
      </c>
      <c r="I3252">
        <f>6439.217</f>
        <v>6439.2169999999996</v>
      </c>
      <c r="J3252">
        <f>1504.26</f>
        <v>1504.26</v>
      </c>
      <c r="K3252">
        <f>4510.04</f>
        <v>4510.04</v>
      </c>
      <c r="L3252">
        <f>1042.23</f>
        <v>1042.23</v>
      </c>
      <c r="M3252">
        <f>4353.46</f>
        <v>4353.46</v>
      </c>
      <c r="N3252">
        <f>167.29</f>
        <v>167.29</v>
      </c>
      <c r="O3252">
        <f>1702.09</f>
        <v>1702.09</v>
      </c>
      <c r="P3252">
        <f>89.26</f>
        <v>89.26</v>
      </c>
      <c r="Q3252">
        <f>921.78</f>
        <v>921.78</v>
      </c>
      <c r="R3252">
        <f>2163.36</f>
        <v>2163.36</v>
      </c>
      <c r="S3252">
        <f>1166.01</f>
        <v>1166.01</v>
      </c>
      <c r="T3252">
        <f>1636.066</f>
        <v>1636.066</v>
      </c>
      <c r="U3252">
        <f>32483.94</f>
        <v>32483.94</v>
      </c>
      <c r="V3252">
        <f>219.88</f>
        <v>219.88</v>
      </c>
    </row>
    <row r="3253" spans="1:22" x14ac:dyDescent="0.2">
      <c r="A3253" s="1">
        <v>40554</v>
      </c>
      <c r="B3253">
        <f>2405.69</f>
        <v>2405.69</v>
      </c>
      <c r="C3253">
        <f>8901.76</f>
        <v>8901.76</v>
      </c>
      <c r="D3253">
        <f>3929.09</f>
        <v>3929.09</v>
      </c>
      <c r="E3253">
        <f>2047.762</f>
        <v>2047.7619999999999</v>
      </c>
      <c r="F3253">
        <f>1234.58</f>
        <v>1234.58</v>
      </c>
      <c r="G3253">
        <f>6205.261</f>
        <v>6205.2610000000004</v>
      </c>
      <c r="H3253">
        <f>1988.81</f>
        <v>1988.81</v>
      </c>
      <c r="I3253">
        <f>6262.121</f>
        <v>6262.1210000000001</v>
      </c>
      <c r="J3253">
        <f>1492.97</f>
        <v>1492.97</v>
      </c>
      <c r="K3253">
        <f>4470.07</f>
        <v>4470.07</v>
      </c>
      <c r="L3253">
        <f>1028.61</f>
        <v>1028.6099999999999</v>
      </c>
      <c r="M3253">
        <f>4298.78</f>
        <v>4298.78</v>
      </c>
      <c r="N3253">
        <f>167.268</f>
        <v>167.268</v>
      </c>
      <c r="O3253">
        <f>1678.39</f>
        <v>1678.39</v>
      </c>
      <c r="P3253">
        <f>89.3</f>
        <v>89.3</v>
      </c>
      <c r="Q3253">
        <f>915.33</f>
        <v>915.33</v>
      </c>
      <c r="R3253">
        <f>2143.82</f>
        <v>2143.8200000000002</v>
      </c>
      <c r="S3253">
        <f>1162.62</f>
        <v>1162.6199999999999</v>
      </c>
      <c r="T3253">
        <f>1635.317</f>
        <v>1635.317</v>
      </c>
      <c r="U3253">
        <f>32162.15</f>
        <v>32162.15</v>
      </c>
      <c r="V3253">
        <f>219.32</f>
        <v>219.32</v>
      </c>
    </row>
    <row r="3254" spans="1:22" x14ac:dyDescent="0.2">
      <c r="A3254" s="1">
        <v>40553</v>
      </c>
      <c r="B3254">
        <f>2394.34</f>
        <v>2394.34</v>
      </c>
      <c r="C3254">
        <f>8832.58</f>
        <v>8832.58</v>
      </c>
      <c r="D3254">
        <f>3891.37</f>
        <v>3891.37</v>
      </c>
      <c r="E3254">
        <f>2035.332</f>
        <v>2035.3320000000001</v>
      </c>
      <c r="F3254">
        <f>1239.6</f>
        <v>1239.5999999999999</v>
      </c>
      <c r="G3254">
        <f>6146.188</f>
        <v>6146.1880000000001</v>
      </c>
      <c r="H3254">
        <f>2007.22</f>
        <v>2007.22</v>
      </c>
      <c r="I3254">
        <f>6182.259</f>
        <v>6182.259</v>
      </c>
      <c r="J3254">
        <f>1490.09</f>
        <v>1490.09</v>
      </c>
      <c r="K3254">
        <f>4452.45</f>
        <v>4452.45</v>
      </c>
      <c r="L3254">
        <f>1025.73</f>
        <v>1025.73</v>
      </c>
      <c r="M3254">
        <f>4276.54</f>
        <v>4276.54</v>
      </c>
      <c r="N3254">
        <f>165.949</f>
        <v>165.94900000000001</v>
      </c>
      <c r="O3254">
        <f>1659.32</f>
        <v>1659.32</v>
      </c>
      <c r="P3254" t="e">
        <f>NA()</f>
        <v>#N/A</v>
      </c>
      <c r="Q3254">
        <f>913.69</f>
        <v>913.69</v>
      </c>
      <c r="R3254">
        <f>2135.86</f>
        <v>2135.86</v>
      </c>
      <c r="S3254" t="e">
        <f>NA()</f>
        <v>#N/A</v>
      </c>
      <c r="T3254">
        <f>1629.8</f>
        <v>1629.8</v>
      </c>
      <c r="U3254">
        <f>31698.49</f>
        <v>31698.49</v>
      </c>
      <c r="V3254">
        <f>218.21</f>
        <v>218.21</v>
      </c>
    </row>
    <row r="3255" spans="1:22" x14ac:dyDescent="0.2">
      <c r="A3255" s="1">
        <v>40550</v>
      </c>
      <c r="B3255">
        <f>2408.09</f>
        <v>2408.09</v>
      </c>
      <c r="C3255">
        <f>8866.33</f>
        <v>8866.33</v>
      </c>
      <c r="D3255">
        <f>3909.68</f>
        <v>3909.68</v>
      </c>
      <c r="E3255">
        <f>2054.779</f>
        <v>2054.779</v>
      </c>
      <c r="F3255">
        <f>1238.16</f>
        <v>1238.1600000000001</v>
      </c>
      <c r="G3255">
        <f>6175.455</f>
        <v>6175.4549999999999</v>
      </c>
      <c r="H3255">
        <f>2001.06</f>
        <v>2001.06</v>
      </c>
      <c r="I3255">
        <f>6281.516</f>
        <v>6281.5159999999996</v>
      </c>
      <c r="J3255">
        <f>1495.77</f>
        <v>1495.77</v>
      </c>
      <c r="K3255">
        <f>4457.76</f>
        <v>4457.76</v>
      </c>
      <c r="L3255">
        <f>1033.69</f>
        <v>1033.69</v>
      </c>
      <c r="M3255">
        <f>4295.86</f>
        <v>4295.8599999999997</v>
      </c>
      <c r="N3255">
        <f>166.429</f>
        <v>166.429</v>
      </c>
      <c r="O3255">
        <f>1675.32</f>
        <v>1675.32</v>
      </c>
      <c r="P3255">
        <f>89.14</f>
        <v>89.14</v>
      </c>
      <c r="Q3255">
        <f>913.11</f>
        <v>913.11</v>
      </c>
      <c r="R3255">
        <f>2138.81</f>
        <v>2138.81</v>
      </c>
      <c r="S3255">
        <f>1161.98</f>
        <v>1161.98</v>
      </c>
      <c r="T3255">
        <f>1642.208</f>
        <v>1642.2080000000001</v>
      </c>
      <c r="U3255">
        <f>31929.72</f>
        <v>31929.72</v>
      </c>
      <c r="V3255">
        <f>220.41</f>
        <v>220.41</v>
      </c>
    </row>
    <row r="3256" spans="1:22" x14ac:dyDescent="0.2">
      <c r="A3256" s="1">
        <v>40549</v>
      </c>
      <c r="B3256">
        <f>2412.93</f>
        <v>2412.9299999999998</v>
      </c>
      <c r="C3256">
        <f>8923.83</f>
        <v>8923.83</v>
      </c>
      <c r="D3256">
        <f>3932.66</f>
        <v>3932.66</v>
      </c>
      <c r="E3256">
        <f>2068.836</f>
        <v>2068.8359999999998</v>
      </c>
      <c r="F3256">
        <f>1238.72</f>
        <v>1238.72</v>
      </c>
      <c r="G3256">
        <f>6176.567</f>
        <v>6176.567</v>
      </c>
      <c r="H3256">
        <f>2002.9</f>
        <v>2002.9</v>
      </c>
      <c r="I3256">
        <f>6333.606</f>
        <v>6333.6059999999998</v>
      </c>
      <c r="J3256">
        <f>1497.38</f>
        <v>1497.38</v>
      </c>
      <c r="K3256">
        <f>4464.9</f>
        <v>4464.8999999999996</v>
      </c>
      <c r="L3256">
        <f>1036.39</f>
        <v>1036.3900000000001</v>
      </c>
      <c r="M3256">
        <f>4303.38</f>
        <v>4303.38</v>
      </c>
      <c r="N3256">
        <f>165.932</f>
        <v>165.93199999999999</v>
      </c>
      <c r="O3256">
        <f>1677.68</f>
        <v>1677.68</v>
      </c>
      <c r="P3256">
        <f>89.2</f>
        <v>89.2</v>
      </c>
      <c r="Q3256">
        <f>917.41</f>
        <v>917.41</v>
      </c>
      <c r="R3256">
        <f>2142.76</f>
        <v>2142.7600000000002</v>
      </c>
      <c r="S3256">
        <f>1159.58</f>
        <v>1159.58</v>
      </c>
      <c r="T3256">
        <f>1648.847</f>
        <v>1648.847</v>
      </c>
      <c r="U3256">
        <f>32115.88</f>
        <v>32115.88</v>
      </c>
      <c r="V3256">
        <f>221.38</f>
        <v>221.38</v>
      </c>
    </row>
    <row r="3257" spans="1:22" x14ac:dyDescent="0.2">
      <c r="A3257" s="1">
        <v>40548</v>
      </c>
      <c r="B3257">
        <f>2407.77</f>
        <v>2407.77</v>
      </c>
      <c r="C3257">
        <f>8976.11</f>
        <v>8976.11</v>
      </c>
      <c r="D3257">
        <f>3948.57</f>
        <v>3948.57</v>
      </c>
      <c r="E3257">
        <f>2079.567</f>
        <v>2079.567</v>
      </c>
      <c r="F3257">
        <f>1239.93</f>
        <v>1239.93</v>
      </c>
      <c r="G3257">
        <f>6194.225</f>
        <v>6194.2250000000004</v>
      </c>
      <c r="H3257">
        <f>1982.21</f>
        <v>1982.21</v>
      </c>
      <c r="I3257">
        <f>6369.726</f>
        <v>6369.7259999999997</v>
      </c>
      <c r="J3257">
        <f>1500.15</f>
        <v>1500.15</v>
      </c>
      <c r="K3257">
        <f>4472.37</f>
        <v>4472.37</v>
      </c>
      <c r="L3257">
        <f>1039.86</f>
        <v>1039.8599999999999</v>
      </c>
      <c r="M3257">
        <f>4307.56</f>
        <v>4307.5600000000004</v>
      </c>
      <c r="N3257">
        <f>164.931</f>
        <v>164.93100000000001</v>
      </c>
      <c r="O3257">
        <f>1670.4</f>
        <v>1670.4</v>
      </c>
      <c r="P3257">
        <f>88.23</f>
        <v>88.23</v>
      </c>
      <c r="Q3257">
        <f>921.97</f>
        <v>921.97</v>
      </c>
      <c r="R3257">
        <f>2146.5</f>
        <v>2146.5</v>
      </c>
      <c r="S3257">
        <f>1143.49</f>
        <v>1143.49</v>
      </c>
      <c r="T3257">
        <f>1645.227</f>
        <v>1645.2270000000001</v>
      </c>
      <c r="U3257">
        <f>32010.53</f>
        <v>32010.53</v>
      </c>
      <c r="V3257">
        <f>221.32</f>
        <v>221.32</v>
      </c>
    </row>
    <row r="3258" spans="1:22" x14ac:dyDescent="0.2">
      <c r="A3258" s="1">
        <v>40547</v>
      </c>
      <c r="B3258">
        <f>2401.55</f>
        <v>2401.5500000000002</v>
      </c>
      <c r="C3258">
        <f>9013.52</f>
        <v>9013.52</v>
      </c>
      <c r="D3258">
        <f>3928.89</f>
        <v>3928.89</v>
      </c>
      <c r="E3258">
        <f>2086.849</f>
        <v>2086.8490000000002</v>
      </c>
      <c r="F3258">
        <f>1246.01</f>
        <v>1246.01</v>
      </c>
      <c r="G3258">
        <f>6214.81</f>
        <v>6214.81</v>
      </c>
      <c r="H3258">
        <f>2017.21</f>
        <v>2017.21</v>
      </c>
      <c r="I3258">
        <f>6481.016</f>
        <v>6481.0159999999996</v>
      </c>
      <c r="J3258">
        <f>1499.28</f>
        <v>1499.28</v>
      </c>
      <c r="K3258">
        <f>4450.14</f>
        <v>4450.1400000000003</v>
      </c>
      <c r="L3258">
        <f>1046.94</f>
        <v>1046.94</v>
      </c>
      <c r="M3258">
        <f>4321.1</f>
        <v>4321.1000000000004</v>
      </c>
      <c r="N3258">
        <f>163.836</f>
        <v>163.83600000000001</v>
      </c>
      <c r="O3258">
        <f>1669.25</f>
        <v>1669.25</v>
      </c>
      <c r="P3258">
        <f>88.51</f>
        <v>88.51</v>
      </c>
      <c r="Q3258">
        <f>923.97</f>
        <v>923.97</v>
      </c>
      <c r="R3258">
        <f>2135.53</f>
        <v>2135.5300000000002</v>
      </c>
      <c r="S3258">
        <f>1143.64</f>
        <v>1143.6400000000001</v>
      </c>
      <c r="T3258">
        <f>1654.552</f>
        <v>1654.5519999999999</v>
      </c>
      <c r="U3258">
        <f>32427.4</f>
        <v>32427.4</v>
      </c>
      <c r="V3258">
        <f>221.22</f>
        <v>221.22</v>
      </c>
    </row>
    <row r="3259" spans="1:22" x14ac:dyDescent="0.2">
      <c r="A3259" s="1">
        <v>40546</v>
      </c>
      <c r="B3259">
        <f>2352.99</f>
        <v>2352.9899999999998</v>
      </c>
      <c r="C3259">
        <f>9015.87</f>
        <v>9015.8700000000008</v>
      </c>
      <c r="D3259">
        <f>3854.46</f>
        <v>3854.46</v>
      </c>
      <c r="E3259">
        <f>2084.039</f>
        <v>2084.0390000000002</v>
      </c>
      <c r="F3259">
        <f>1212.41</f>
        <v>1212.4100000000001</v>
      </c>
      <c r="G3259">
        <f>6044</f>
        <v>6044</v>
      </c>
      <c r="H3259">
        <f>2000.91</f>
        <v>2000.91</v>
      </c>
      <c r="I3259">
        <f>6515.154</f>
        <v>6515.1540000000005</v>
      </c>
      <c r="J3259">
        <f>1498.95</f>
        <v>1498.95</v>
      </c>
      <c r="K3259">
        <f>4456.74</f>
        <v>4456.74</v>
      </c>
      <c r="L3259">
        <f>1046.5</f>
        <v>1046.5</v>
      </c>
      <c r="M3259">
        <f>4316.52</f>
        <v>4316.5200000000004</v>
      </c>
      <c r="N3259">
        <f>161.619</f>
        <v>161.619</v>
      </c>
      <c r="O3259">
        <f>1654.04</f>
        <v>1654.04</v>
      </c>
      <c r="P3259" t="e">
        <f>NA()</f>
        <v>#N/A</v>
      </c>
      <c r="Q3259">
        <f>929.78</f>
        <v>929.78</v>
      </c>
      <c r="R3259">
        <f>2138.3</f>
        <v>2138.3000000000002</v>
      </c>
      <c r="S3259" t="e">
        <f>NA()</f>
        <v>#N/A</v>
      </c>
      <c r="T3259">
        <f>1648.498</f>
        <v>1648.498</v>
      </c>
      <c r="U3259">
        <f>32308.11</f>
        <v>32308.11</v>
      </c>
      <c r="V3259">
        <f>219.86</f>
        <v>219.86</v>
      </c>
    </row>
    <row r="3260" spans="1:22" x14ac:dyDescent="0.2">
      <c r="A3260" s="1">
        <v>40543</v>
      </c>
      <c r="B3260">
        <f>2352.99</f>
        <v>2352.9899999999998</v>
      </c>
      <c r="C3260">
        <f>8924.94</f>
        <v>8924.94</v>
      </c>
      <c r="D3260">
        <f>3854.46</f>
        <v>3854.46</v>
      </c>
      <c r="E3260">
        <f>2062.042</f>
        <v>2062.0419999999999</v>
      </c>
      <c r="F3260">
        <f>1227.35</f>
        <v>1227.3499999999999</v>
      </c>
      <c r="G3260">
        <f>6118.445</f>
        <v>6118.4449999999997</v>
      </c>
      <c r="H3260">
        <f>2015.46</f>
        <v>2015.46</v>
      </c>
      <c r="I3260">
        <f>6440.743</f>
        <v>6440.7430000000004</v>
      </c>
      <c r="J3260">
        <f>1489.29</f>
        <v>1489.29</v>
      </c>
      <c r="K3260">
        <f>4407.36</f>
        <v>4407.3599999999997</v>
      </c>
      <c r="L3260">
        <f>1043.8</f>
        <v>1043.8</v>
      </c>
      <c r="M3260">
        <f>4290.05</f>
        <v>4290.05</v>
      </c>
      <c r="N3260">
        <f>161.696</f>
        <v>161.696</v>
      </c>
      <c r="O3260">
        <f>1639.77</f>
        <v>1639.77</v>
      </c>
      <c r="P3260" t="e">
        <f>NA()</f>
        <v>#N/A</v>
      </c>
      <c r="Q3260">
        <f>924.63</f>
        <v>924.63</v>
      </c>
      <c r="R3260">
        <f>2114.29</f>
        <v>2114.29</v>
      </c>
      <c r="S3260" t="e">
        <f>NA()</f>
        <v>#N/A</v>
      </c>
      <c r="T3260">
        <f>1646.038</f>
        <v>1646.038</v>
      </c>
      <c r="U3260">
        <f>32118.89</f>
        <v>32118.89</v>
      </c>
      <c r="V3260">
        <f>218.9</f>
        <v>218.9</v>
      </c>
    </row>
    <row r="3261" spans="1:22" x14ac:dyDescent="0.2">
      <c r="A3261" s="1">
        <v>40542</v>
      </c>
      <c r="B3261">
        <f>2374.05</f>
        <v>2374.0500000000002</v>
      </c>
      <c r="C3261">
        <f>8877.47</f>
        <v>8877.4699999999993</v>
      </c>
      <c r="D3261">
        <f>3900.89</f>
        <v>3900.89</v>
      </c>
      <c r="E3261">
        <f>2052.019</f>
        <v>2052.0189999999998</v>
      </c>
      <c r="F3261">
        <f>1219.56</f>
        <v>1219.56</v>
      </c>
      <c r="G3261">
        <f>6087.852</f>
        <v>6087.8519999999999</v>
      </c>
      <c r="H3261">
        <f>1999.68</f>
        <v>1999.68</v>
      </c>
      <c r="I3261">
        <f>6404.458</f>
        <v>6404.4579999999996</v>
      </c>
      <c r="J3261">
        <f>1489.21</f>
        <v>1489.21</v>
      </c>
      <c r="K3261">
        <f>4408.43</f>
        <v>4408.43</v>
      </c>
      <c r="L3261">
        <f>1040.11</f>
        <v>1040.1099999999999</v>
      </c>
      <c r="M3261">
        <f>4278.72</f>
        <v>4278.72</v>
      </c>
      <c r="N3261">
        <f>162.792</f>
        <v>162.792</v>
      </c>
      <c r="O3261">
        <f>1649.68</f>
        <v>1649.68</v>
      </c>
      <c r="P3261">
        <f>87.39</f>
        <v>87.39</v>
      </c>
      <c r="Q3261">
        <f>926.43</f>
        <v>926.43</v>
      </c>
      <c r="R3261">
        <f>2114.7</f>
        <v>2114.6999999999998</v>
      </c>
      <c r="S3261">
        <f>1127.33</f>
        <v>1127.33</v>
      </c>
      <c r="T3261">
        <f>1643.17</f>
        <v>1643.17</v>
      </c>
      <c r="U3261">
        <f>32210.04</f>
        <v>32210.04</v>
      </c>
      <c r="V3261">
        <f>218.23</f>
        <v>218.23</v>
      </c>
    </row>
    <row r="3262" spans="1:22" x14ac:dyDescent="0.2">
      <c r="A3262" s="1">
        <v>40541</v>
      </c>
      <c r="B3262">
        <f>2386.93</f>
        <v>2386.9299999999998</v>
      </c>
      <c r="C3262">
        <f>8809.29</f>
        <v>8809.2900000000009</v>
      </c>
      <c r="D3262">
        <f>3917.46</f>
        <v>3917.46</v>
      </c>
      <c r="E3262">
        <f>2035.989</f>
        <v>2035.989</v>
      </c>
      <c r="F3262">
        <f>1227.84</f>
        <v>1227.8399999999999</v>
      </c>
      <c r="G3262">
        <f>6127.317</f>
        <v>6127.317</v>
      </c>
      <c r="H3262">
        <f>2012.76</f>
        <v>2012.76</v>
      </c>
      <c r="I3262">
        <f>6404.209</f>
        <v>6404.2089999999998</v>
      </c>
      <c r="J3262">
        <f>1490.92</f>
        <v>1490.92</v>
      </c>
      <c r="K3262">
        <f>4414.39</f>
        <v>4414.3900000000003</v>
      </c>
      <c r="L3262">
        <f>1042.55</f>
        <v>1042.55</v>
      </c>
      <c r="M3262">
        <f>4286.58</f>
        <v>4286.58</v>
      </c>
      <c r="N3262">
        <f>165.117</f>
        <v>165.11699999999999</v>
      </c>
      <c r="O3262">
        <f>1669.81</f>
        <v>1669.81</v>
      </c>
      <c r="P3262">
        <f>88.13</f>
        <v>88.13</v>
      </c>
      <c r="Q3262">
        <f>927.85</f>
        <v>927.85</v>
      </c>
      <c r="R3262">
        <f>2117.83</f>
        <v>2117.83</v>
      </c>
      <c r="S3262">
        <f>1138.87</f>
        <v>1138.8699999999999</v>
      </c>
      <c r="T3262">
        <f>1643.183</f>
        <v>1643.183</v>
      </c>
      <c r="U3262">
        <f>32123.4</f>
        <v>32123.4</v>
      </c>
      <c r="V3262">
        <f>217.77</f>
        <v>217.77</v>
      </c>
    </row>
    <row r="3263" spans="1:22" x14ac:dyDescent="0.2">
      <c r="A3263" s="1">
        <v>40540</v>
      </c>
      <c r="B3263">
        <f>2383.15</f>
        <v>2383.15</v>
      </c>
      <c r="C3263">
        <f>8716.58</f>
        <v>8716.58</v>
      </c>
      <c r="D3263">
        <f>3924.96</f>
        <v>3924.96</v>
      </c>
      <c r="E3263">
        <f>2016.253</f>
        <v>2016.2529999999999</v>
      </c>
      <c r="F3263">
        <f>1227.52</f>
        <v>1227.52</v>
      </c>
      <c r="G3263">
        <f>6121.32</f>
        <v>6121.32</v>
      </c>
      <c r="H3263">
        <f>2000.85</f>
        <v>2000.85</v>
      </c>
      <c r="I3263">
        <f>6374.484</f>
        <v>6374.4840000000004</v>
      </c>
      <c r="J3263">
        <f>1490.26</f>
        <v>1490.26</v>
      </c>
      <c r="K3263">
        <f>4407.59</f>
        <v>4407.59</v>
      </c>
      <c r="L3263">
        <f>1039.74</f>
        <v>1039.74</v>
      </c>
      <c r="M3263">
        <f>4274.1</f>
        <v>4274.1000000000004</v>
      </c>
      <c r="N3263">
        <f>165.247</f>
        <v>165.24700000000001</v>
      </c>
      <c r="O3263">
        <f>1666.25</f>
        <v>1666.25</v>
      </c>
      <c r="P3263">
        <f>87.41</f>
        <v>87.41</v>
      </c>
      <c r="Q3263">
        <f>927.75</f>
        <v>927.75</v>
      </c>
      <c r="R3263">
        <f>2115.32</f>
        <v>2115.3200000000002</v>
      </c>
      <c r="S3263">
        <f>1132.38</f>
        <v>1132.3800000000001</v>
      </c>
      <c r="T3263">
        <f>1640.683</f>
        <v>1640.683</v>
      </c>
      <c r="U3263">
        <f>32012.31</f>
        <v>32012.31</v>
      </c>
      <c r="V3263">
        <f>217.24</f>
        <v>217.24</v>
      </c>
    </row>
    <row r="3264" spans="1:22" x14ac:dyDescent="0.2">
      <c r="A3264" s="1">
        <v>40539</v>
      </c>
      <c r="B3264">
        <f>2383.15</f>
        <v>2383.15</v>
      </c>
      <c r="C3264">
        <f>8716.8</f>
        <v>8716.7999999999993</v>
      </c>
      <c r="D3264">
        <f>3924.96</f>
        <v>3924.96</v>
      </c>
      <c r="E3264">
        <f>2014.484</f>
        <v>2014.4839999999999</v>
      </c>
      <c r="F3264">
        <f>1228.12</f>
        <v>1228.1199999999999</v>
      </c>
      <c r="G3264">
        <f>6124.305</f>
        <v>6124.3050000000003</v>
      </c>
      <c r="H3264">
        <f>1984.72</f>
        <v>1984.72</v>
      </c>
      <c r="I3264">
        <f>6366.588</f>
        <v>6366.5879999999997</v>
      </c>
      <c r="J3264">
        <f>1487.28</f>
        <v>1487.28</v>
      </c>
      <c r="K3264">
        <f>4404.6</f>
        <v>4404.6000000000004</v>
      </c>
      <c r="L3264">
        <f>1036.71</f>
        <v>1036.71</v>
      </c>
      <c r="M3264">
        <f>4264.97</f>
        <v>4264.97</v>
      </c>
      <c r="N3264">
        <f>164.881</f>
        <v>164.881</v>
      </c>
      <c r="O3264">
        <f>1663.07</f>
        <v>1663.07</v>
      </c>
      <c r="P3264">
        <f>87.61</f>
        <v>87.61</v>
      </c>
      <c r="Q3264">
        <f>927.17</f>
        <v>927.17</v>
      </c>
      <c r="R3264">
        <f>2113.67</f>
        <v>2113.67</v>
      </c>
      <c r="S3264">
        <f>1133.76</f>
        <v>1133.76</v>
      </c>
      <c r="T3264" t="e">
        <f>NA()</f>
        <v>#N/A</v>
      </c>
      <c r="U3264" t="e">
        <f>NA()</f>
        <v>#N/A</v>
      </c>
      <c r="V3264" t="e">
        <f>NA()</f>
        <v>#N/A</v>
      </c>
    </row>
    <row r="3265" spans="1:22" x14ac:dyDescent="0.2">
      <c r="A3265" s="1">
        <v>40536</v>
      </c>
      <c r="B3265">
        <f>2383.15</f>
        <v>2383.15</v>
      </c>
      <c r="C3265">
        <f>8721.21</f>
        <v>8721.2099999999991</v>
      </c>
      <c r="D3265">
        <f>3924.96</f>
        <v>3924.96</v>
      </c>
      <c r="E3265">
        <f>2017.809</f>
        <v>2017.809</v>
      </c>
      <c r="F3265">
        <f>1233.06</f>
        <v>1233.06</v>
      </c>
      <c r="G3265">
        <f>6148.984</f>
        <v>6148.9840000000004</v>
      </c>
      <c r="H3265">
        <f>1981.59</f>
        <v>1981.59</v>
      </c>
      <c r="I3265">
        <f>6411.394</f>
        <v>6411.3940000000002</v>
      </c>
      <c r="J3265">
        <f>1490.42</f>
        <v>1490.42</v>
      </c>
      <c r="K3265">
        <f>4402.52</f>
        <v>4402.5200000000004</v>
      </c>
      <c r="L3265">
        <f>1040.4</f>
        <v>1040.4000000000001</v>
      </c>
      <c r="M3265">
        <f>4269.91</f>
        <v>4269.91</v>
      </c>
      <c r="N3265">
        <f>166.109</f>
        <v>166.10900000000001</v>
      </c>
      <c r="O3265">
        <f>1676.33</f>
        <v>1676.33</v>
      </c>
      <c r="P3265">
        <f>87.4</f>
        <v>87.4</v>
      </c>
      <c r="Q3265" t="e">
        <f>NA()</f>
        <v>#N/A</v>
      </c>
      <c r="R3265" t="e">
        <f>NA()</f>
        <v>#N/A</v>
      </c>
      <c r="S3265">
        <f>1129.98</f>
        <v>1129.98</v>
      </c>
      <c r="T3265">
        <f>1635.699</f>
        <v>1635.6990000000001</v>
      </c>
      <c r="U3265">
        <f>32037.06</f>
        <v>32037.06</v>
      </c>
      <c r="V3265">
        <f>216.34</f>
        <v>216.34</v>
      </c>
    </row>
    <row r="3266" spans="1:22" x14ac:dyDescent="0.2">
      <c r="A3266" s="1">
        <v>40535</v>
      </c>
      <c r="B3266">
        <f>2386.62</f>
        <v>2386.62</v>
      </c>
      <c r="C3266">
        <f>8718.72</f>
        <v>8718.7199999999993</v>
      </c>
      <c r="D3266">
        <f>3916.56</f>
        <v>3916.56</v>
      </c>
      <c r="E3266">
        <f>2019.513</f>
        <v>2019.5129999999999</v>
      </c>
      <c r="F3266">
        <f>1227.05</f>
        <v>1227.05</v>
      </c>
      <c r="G3266">
        <f>6118.585</f>
        <v>6118.585</v>
      </c>
      <c r="H3266">
        <f>1985.26</f>
        <v>1985.26</v>
      </c>
      <c r="I3266">
        <f>6398.807</f>
        <v>6398.8069999999998</v>
      </c>
      <c r="J3266">
        <f>1490.42</f>
        <v>1490.42</v>
      </c>
      <c r="K3266">
        <f>4402.52</f>
        <v>4402.5200000000004</v>
      </c>
      <c r="L3266">
        <f>1038.66</f>
        <v>1038.6600000000001</v>
      </c>
      <c r="M3266">
        <f>4266.76</f>
        <v>4266.76</v>
      </c>
      <c r="N3266">
        <f>165.705</f>
        <v>165.70500000000001</v>
      </c>
      <c r="O3266">
        <f>1675.72</f>
        <v>1675.72</v>
      </c>
      <c r="P3266" t="e">
        <f>NA()</f>
        <v>#N/A</v>
      </c>
      <c r="Q3266">
        <f>928.77</f>
        <v>928.77</v>
      </c>
      <c r="R3266">
        <f>2112.37</f>
        <v>2112.37</v>
      </c>
      <c r="S3266" t="e">
        <f>NA()</f>
        <v>#N/A</v>
      </c>
      <c r="T3266">
        <f>1638.047</f>
        <v>1638.047</v>
      </c>
      <c r="U3266">
        <f>32127.31</f>
        <v>32127.31</v>
      </c>
      <c r="V3266">
        <f>216.52</f>
        <v>216.52</v>
      </c>
    </row>
    <row r="3267" spans="1:22" x14ac:dyDescent="0.2">
      <c r="A3267" s="1">
        <v>40534</v>
      </c>
      <c r="B3267">
        <f>2383.43</f>
        <v>2383.4299999999998</v>
      </c>
      <c r="C3267">
        <f>8712.95</f>
        <v>8712.9500000000007</v>
      </c>
      <c r="D3267">
        <f>3908.35</f>
        <v>3908.35</v>
      </c>
      <c r="E3267">
        <f>2017.027</f>
        <v>2017.027</v>
      </c>
      <c r="F3267">
        <f>1219.36</f>
        <v>1219.3599999999999</v>
      </c>
      <c r="G3267">
        <f>6102.181</f>
        <v>6102.1809999999996</v>
      </c>
      <c r="H3267">
        <f>1975.51</f>
        <v>1975.51</v>
      </c>
      <c r="I3267">
        <f>6417.401</f>
        <v>6417.4009999999998</v>
      </c>
      <c r="J3267">
        <f>1489.1</f>
        <v>1489.1</v>
      </c>
      <c r="K3267">
        <f>4409.05</f>
        <v>4409.05</v>
      </c>
      <c r="L3267">
        <f>1037.74</f>
        <v>1037.74</v>
      </c>
      <c r="M3267">
        <f>4267.17</f>
        <v>4267.17</v>
      </c>
      <c r="N3267">
        <f>165.674</f>
        <v>165.67400000000001</v>
      </c>
      <c r="O3267">
        <f>1677.14</f>
        <v>1677.14</v>
      </c>
      <c r="P3267">
        <f>87.75</f>
        <v>87.75</v>
      </c>
      <c r="Q3267">
        <f>929.53</f>
        <v>929.53</v>
      </c>
      <c r="R3267">
        <f>2115.69</f>
        <v>2115.69</v>
      </c>
      <c r="S3267">
        <f>1135.14</f>
        <v>1135.1400000000001</v>
      </c>
      <c r="T3267">
        <f>1634.859</f>
        <v>1634.8589999999999</v>
      </c>
      <c r="U3267">
        <f>32058.97</f>
        <v>32058.97</v>
      </c>
      <c r="V3267">
        <f>216.04</f>
        <v>216.04</v>
      </c>
    </row>
    <row r="3268" spans="1:22" x14ac:dyDescent="0.2">
      <c r="A3268" s="1">
        <v>40533</v>
      </c>
      <c r="B3268">
        <f>2370.28</f>
        <v>2370.2800000000002</v>
      </c>
      <c r="C3268">
        <f>8692.34</f>
        <v>8692.34</v>
      </c>
      <c r="D3268">
        <f>3887.64</f>
        <v>3887.64</v>
      </c>
      <c r="E3268">
        <f>2012.65</f>
        <v>2012.65</v>
      </c>
      <c r="F3268">
        <f>1220.16</f>
        <v>1220.1600000000001</v>
      </c>
      <c r="G3268">
        <f>6102.162</f>
        <v>6102.1620000000003</v>
      </c>
      <c r="H3268">
        <f>1965.5</f>
        <v>1965.5</v>
      </c>
      <c r="I3268">
        <f>6432.841</f>
        <v>6432.8410000000003</v>
      </c>
      <c r="J3268">
        <f>1485.48</f>
        <v>1485.48</v>
      </c>
      <c r="K3268">
        <f>4394.25</f>
        <v>4394.25</v>
      </c>
      <c r="L3268">
        <f>1036.61</f>
        <v>1036.6099999999999</v>
      </c>
      <c r="M3268">
        <f>4258.65</f>
        <v>4258.6499999999996</v>
      </c>
      <c r="N3268">
        <f>164.49</f>
        <v>164.49</v>
      </c>
      <c r="O3268">
        <f>1673.8</f>
        <v>1673.8</v>
      </c>
      <c r="P3268">
        <f>87.89</f>
        <v>87.89</v>
      </c>
      <c r="Q3268">
        <f>926.61</f>
        <v>926.61</v>
      </c>
      <c r="R3268">
        <f>2108.26</f>
        <v>2108.2600000000002</v>
      </c>
      <c r="S3268">
        <f>1135.68</f>
        <v>1135.68</v>
      </c>
      <c r="T3268">
        <f>1630.767</f>
        <v>1630.7670000000001</v>
      </c>
      <c r="U3268">
        <f>32063.81</f>
        <v>32063.81</v>
      </c>
      <c r="V3268">
        <f>216</f>
        <v>216</v>
      </c>
    </row>
    <row r="3269" spans="1:22" x14ac:dyDescent="0.2">
      <c r="A3269" s="1">
        <v>40532</v>
      </c>
      <c r="B3269">
        <f>2361.33</f>
        <v>2361.33</v>
      </c>
      <c r="C3269">
        <f>8581.02</f>
        <v>8581.02</v>
      </c>
      <c r="D3269">
        <f>3848.33</f>
        <v>3848.33</v>
      </c>
      <c r="E3269">
        <f>1988.736</f>
        <v>1988.7360000000001</v>
      </c>
      <c r="F3269">
        <f>1214.84</f>
        <v>1214.8399999999999</v>
      </c>
      <c r="G3269">
        <f>6049.737</f>
        <v>6049.7370000000001</v>
      </c>
      <c r="H3269">
        <f>1950.4</f>
        <v>1950.4</v>
      </c>
      <c r="I3269">
        <f>6340.983</f>
        <v>6340.9830000000002</v>
      </c>
      <c r="J3269">
        <f>1484.21</f>
        <v>1484.21</v>
      </c>
      <c r="K3269">
        <f>4367.73</f>
        <v>4367.7299999999996</v>
      </c>
      <c r="L3269">
        <f>1029.01</f>
        <v>1029.01</v>
      </c>
      <c r="M3269">
        <f>4219.86</f>
        <v>4219.8599999999997</v>
      </c>
      <c r="N3269">
        <f>163.897</f>
        <v>163.89699999999999</v>
      </c>
      <c r="O3269">
        <f>1657.13</f>
        <v>1657.13</v>
      </c>
      <c r="P3269">
        <f>87.16</f>
        <v>87.16</v>
      </c>
      <c r="Q3269">
        <f>925.75</f>
        <v>925.75</v>
      </c>
      <c r="R3269">
        <f>2095.32</f>
        <v>2095.3200000000002</v>
      </c>
      <c r="S3269">
        <f>1126.08</f>
        <v>1126.08</v>
      </c>
      <c r="T3269">
        <f>1614.555</f>
        <v>1614.5550000000001</v>
      </c>
      <c r="U3269">
        <f>31732.52</f>
        <v>31732.52</v>
      </c>
      <c r="V3269">
        <f>214.03</f>
        <v>214.03</v>
      </c>
    </row>
    <row r="3270" spans="1:22" x14ac:dyDescent="0.2">
      <c r="A3270" s="1">
        <v>40529</v>
      </c>
      <c r="B3270">
        <f>2350.73</f>
        <v>2350.73</v>
      </c>
      <c r="C3270">
        <f>8622.41</f>
        <v>8622.41</v>
      </c>
      <c r="D3270">
        <f>3835.36</f>
        <v>3835.36</v>
      </c>
      <c r="E3270">
        <f>1996.473</f>
        <v>1996.473</v>
      </c>
      <c r="F3270">
        <f>1210.44</f>
        <v>1210.44</v>
      </c>
      <c r="G3270">
        <f>6017.88</f>
        <v>6017.88</v>
      </c>
      <c r="H3270">
        <f>1946.67</f>
        <v>1946.67</v>
      </c>
      <c r="I3270">
        <f>6326.894</f>
        <v>6326.8940000000002</v>
      </c>
      <c r="J3270">
        <f>1483.13</f>
        <v>1483.13</v>
      </c>
      <c r="K3270">
        <f>4356.39</f>
        <v>4356.3900000000003</v>
      </c>
      <c r="L3270">
        <f>1028.4</f>
        <v>1028.4000000000001</v>
      </c>
      <c r="M3270">
        <f>4213.18</f>
        <v>4213.18</v>
      </c>
      <c r="N3270">
        <f>162.663</f>
        <v>162.66300000000001</v>
      </c>
      <c r="O3270">
        <f>1646.42</f>
        <v>1646.42</v>
      </c>
      <c r="P3270">
        <f>87.28</f>
        <v>87.28</v>
      </c>
      <c r="Q3270">
        <f>923.7</f>
        <v>923.7</v>
      </c>
      <c r="R3270">
        <f>2089.95</f>
        <v>2089.9499999999998</v>
      </c>
      <c r="S3270">
        <f>1131.83</f>
        <v>1131.83</v>
      </c>
      <c r="T3270">
        <f>1612.288</f>
        <v>1612.288</v>
      </c>
      <c r="U3270">
        <f>31631.07</f>
        <v>31631.07</v>
      </c>
      <c r="V3270">
        <f>214.35</f>
        <v>214.35</v>
      </c>
    </row>
    <row r="3271" spans="1:22" x14ac:dyDescent="0.2">
      <c r="A3271" s="1">
        <v>40528</v>
      </c>
      <c r="B3271">
        <f>2351.75</f>
        <v>2351.75</v>
      </c>
      <c r="C3271">
        <f>8598.23</f>
        <v>8598.23</v>
      </c>
      <c r="D3271">
        <f>3841.47</f>
        <v>3841.47</v>
      </c>
      <c r="E3271">
        <f>1989.893</f>
        <v>1989.893</v>
      </c>
      <c r="F3271">
        <f>1224.24</f>
        <v>1224.24</v>
      </c>
      <c r="G3271">
        <f>6075.011</f>
        <v>6075.0110000000004</v>
      </c>
      <c r="H3271">
        <f>1940.74</f>
        <v>1940.74</v>
      </c>
      <c r="I3271">
        <f>6372.315</f>
        <v>6372.3149999999996</v>
      </c>
      <c r="J3271">
        <f>1483.23</f>
        <v>1483.23</v>
      </c>
      <c r="K3271">
        <f>4350.91</f>
        <v>4350.91</v>
      </c>
      <c r="L3271">
        <f>1033.54</f>
        <v>1033.54</v>
      </c>
      <c r="M3271">
        <f>4220.52</f>
        <v>4220.5200000000004</v>
      </c>
      <c r="N3271">
        <f>163.493</f>
        <v>163.49299999999999</v>
      </c>
      <c r="O3271">
        <f>1655.24</f>
        <v>1655.24</v>
      </c>
      <c r="P3271">
        <f>87.34</f>
        <v>87.34</v>
      </c>
      <c r="Q3271">
        <f>923.79</f>
        <v>923.79</v>
      </c>
      <c r="R3271">
        <f>2088.19</f>
        <v>2088.19</v>
      </c>
      <c r="S3271">
        <f>1132.7</f>
        <v>1132.7</v>
      </c>
      <c r="T3271" t="e">
        <f>NA()</f>
        <v>#N/A</v>
      </c>
      <c r="U3271" t="e">
        <f>NA()</f>
        <v>#N/A</v>
      </c>
      <c r="V3271" t="e">
        <f>NA()</f>
        <v>#N/A</v>
      </c>
    </row>
    <row r="3272" spans="1:22" x14ac:dyDescent="0.2">
      <c r="A3272" s="1">
        <v>40527</v>
      </c>
      <c r="B3272">
        <f>2354.61</f>
        <v>2354.61</v>
      </c>
      <c r="C3272">
        <f>8660.23</f>
        <v>8660.23</v>
      </c>
      <c r="D3272">
        <f>3842.17</f>
        <v>3842.17</v>
      </c>
      <c r="E3272">
        <f>2004.99</f>
        <v>2004.99</v>
      </c>
      <c r="F3272">
        <f>1228.62</f>
        <v>1228.6199999999999</v>
      </c>
      <c r="G3272">
        <f>6087.903</f>
        <v>6087.9030000000002</v>
      </c>
      <c r="H3272">
        <f>1941.6</f>
        <v>1941.6</v>
      </c>
      <c r="I3272">
        <f>6426.715</f>
        <v>6426.7150000000001</v>
      </c>
      <c r="J3272">
        <f>1473.65</f>
        <v>1473.65</v>
      </c>
      <c r="K3272">
        <f>4323.39</f>
        <v>4323.3900000000003</v>
      </c>
      <c r="L3272">
        <f>1034.52</f>
        <v>1034.52</v>
      </c>
      <c r="M3272">
        <f>4219.01</f>
        <v>4219.01</v>
      </c>
      <c r="N3272">
        <f>162.605</f>
        <v>162.60499999999999</v>
      </c>
      <c r="O3272">
        <f>1648</f>
        <v>1648</v>
      </c>
      <c r="P3272">
        <f>87.17</f>
        <v>87.17</v>
      </c>
      <c r="Q3272">
        <f>916.62</f>
        <v>916.62</v>
      </c>
      <c r="R3272">
        <f>2075.29</f>
        <v>2075.29</v>
      </c>
      <c r="S3272">
        <f>1130.92</f>
        <v>1130.92</v>
      </c>
      <c r="T3272">
        <f>1618.718</f>
        <v>1618.7180000000001</v>
      </c>
      <c r="U3272">
        <f>31703.61</f>
        <v>31703.61</v>
      </c>
      <c r="V3272">
        <f>215.82</f>
        <v>215.82</v>
      </c>
    </row>
    <row r="3273" spans="1:22" x14ac:dyDescent="0.2">
      <c r="A3273" s="1">
        <v>40526</v>
      </c>
      <c r="B3273">
        <f>2355.4</f>
        <v>2355.4</v>
      </c>
      <c r="C3273">
        <f>8700.71</f>
        <v>8700.7099999999991</v>
      </c>
      <c r="D3273">
        <f>3847.9</f>
        <v>3847.9</v>
      </c>
      <c r="E3273">
        <f>2020.385</f>
        <v>2020.385</v>
      </c>
      <c r="F3273">
        <f>1240.54</f>
        <v>1240.54</v>
      </c>
      <c r="G3273">
        <f>6161.789</f>
        <v>6161.7889999999998</v>
      </c>
      <c r="H3273">
        <f>1953.98</f>
        <v>1953.98</v>
      </c>
      <c r="I3273">
        <f>6468.822</f>
        <v>6468.8220000000001</v>
      </c>
      <c r="J3273">
        <f>1477.61</f>
        <v>1477.61</v>
      </c>
      <c r="K3273">
        <f>4345.54</f>
        <v>4345.54</v>
      </c>
      <c r="L3273">
        <f>1039.61</f>
        <v>1039.6099999999999</v>
      </c>
      <c r="M3273">
        <f>4245.77</f>
        <v>4245.7700000000004</v>
      </c>
      <c r="N3273">
        <f>162.937</f>
        <v>162.93700000000001</v>
      </c>
      <c r="O3273">
        <f>1654.19</f>
        <v>1654.19</v>
      </c>
      <c r="P3273">
        <f>87.31</f>
        <v>87.31</v>
      </c>
      <c r="Q3273">
        <f>916.19</f>
        <v>916.19</v>
      </c>
      <c r="R3273">
        <f>2085.93</f>
        <v>2085.9299999999998</v>
      </c>
      <c r="S3273">
        <f>1130.26</f>
        <v>1130.26</v>
      </c>
      <c r="T3273">
        <f>1620.573</f>
        <v>1620.5730000000001</v>
      </c>
      <c r="U3273">
        <f>31666.64</f>
        <v>31666.639999999999</v>
      </c>
      <c r="V3273">
        <f>216.51</f>
        <v>216.51</v>
      </c>
    </row>
    <row r="3274" spans="1:22" x14ac:dyDescent="0.2">
      <c r="A3274" s="1">
        <v>40525</v>
      </c>
      <c r="B3274">
        <f>2344.08</f>
        <v>2344.08</v>
      </c>
      <c r="C3274">
        <f>8673.83</f>
        <v>8673.83</v>
      </c>
      <c r="D3274">
        <f>3828</f>
        <v>3828</v>
      </c>
      <c r="E3274">
        <f>2009.481</f>
        <v>2009.481</v>
      </c>
      <c r="F3274">
        <f>1235.29</f>
        <v>1235.29</v>
      </c>
      <c r="G3274">
        <f>6157.937</f>
        <v>6157.9369999999999</v>
      </c>
      <c r="H3274">
        <f>1940.26</f>
        <v>1940.26</v>
      </c>
      <c r="I3274">
        <f>6449.565</f>
        <v>6449.5649999999996</v>
      </c>
      <c r="J3274">
        <f>1471.51</f>
        <v>1471.51</v>
      </c>
      <c r="K3274">
        <f>4341.03</f>
        <v>4341.03</v>
      </c>
      <c r="L3274">
        <f>1035.2</f>
        <v>1035.2</v>
      </c>
      <c r="M3274">
        <f>4237.73</f>
        <v>4237.7299999999996</v>
      </c>
      <c r="N3274">
        <f>162.743</f>
        <v>162.74299999999999</v>
      </c>
      <c r="O3274">
        <f>1650.56</f>
        <v>1650.56</v>
      </c>
      <c r="P3274">
        <f>86.77</f>
        <v>86.77</v>
      </c>
      <c r="Q3274">
        <f>911.54</f>
        <v>911.54</v>
      </c>
      <c r="R3274">
        <f>2084</f>
        <v>2084</v>
      </c>
      <c r="S3274">
        <f>1124.63</f>
        <v>1124.6300000000001</v>
      </c>
      <c r="T3274">
        <f>1621.523</f>
        <v>1621.5229999999999</v>
      </c>
      <c r="U3274">
        <f>31565.18</f>
        <v>31565.18</v>
      </c>
      <c r="V3274">
        <f>215.95</f>
        <v>215.95</v>
      </c>
    </row>
    <row r="3275" spans="1:22" x14ac:dyDescent="0.2">
      <c r="A3275" s="1">
        <v>40522</v>
      </c>
      <c r="B3275">
        <f>2331.9</f>
        <v>2331.9</v>
      </c>
      <c r="C3275">
        <f>8605.01</f>
        <v>8605.01</v>
      </c>
      <c r="D3275">
        <f>3796.78</f>
        <v>3796.78</v>
      </c>
      <c r="E3275">
        <f>1994.99</f>
        <v>1994.99</v>
      </c>
      <c r="F3275">
        <f>1219.71</f>
        <v>1219.71</v>
      </c>
      <c r="G3275">
        <f>6083.083</f>
        <v>6083.0829999999996</v>
      </c>
      <c r="H3275">
        <f>1918.5</f>
        <v>1918.5</v>
      </c>
      <c r="I3275">
        <f>6341.123</f>
        <v>6341.1229999999996</v>
      </c>
      <c r="J3275">
        <f>1467.74</f>
        <v>1467.74</v>
      </c>
      <c r="K3275">
        <f>4340.34</f>
        <v>4340.34</v>
      </c>
      <c r="L3275">
        <f>1025.15</f>
        <v>1025.1500000000001</v>
      </c>
      <c r="M3275">
        <f>4207.75</f>
        <v>4207.75</v>
      </c>
      <c r="N3275">
        <f>162.215</f>
        <v>162.215</v>
      </c>
      <c r="O3275">
        <f>1645.22</f>
        <v>1645.22</v>
      </c>
      <c r="P3275">
        <f>86.06</f>
        <v>86.06</v>
      </c>
      <c r="Q3275">
        <f>910.86</f>
        <v>910.86</v>
      </c>
      <c r="R3275">
        <f>2083.57</f>
        <v>2083.5700000000002</v>
      </c>
      <c r="S3275">
        <f>1113.12</f>
        <v>1113.1199999999999</v>
      </c>
      <c r="T3275">
        <f>1628.234</f>
        <v>1628.2339999999999</v>
      </c>
      <c r="U3275">
        <f>31488.81</f>
        <v>31488.81</v>
      </c>
      <c r="V3275">
        <f>216.16</f>
        <v>216.16</v>
      </c>
    </row>
    <row r="3276" spans="1:22" x14ac:dyDescent="0.2">
      <c r="A3276" s="1">
        <v>40521</v>
      </c>
      <c r="B3276">
        <f>2325.08</f>
        <v>2325.08</v>
      </c>
      <c r="C3276">
        <f>8625.14</f>
        <v>8625.14</v>
      </c>
      <c r="D3276">
        <f>3793.52</f>
        <v>3793.52</v>
      </c>
      <c r="E3276">
        <f>1998.072</f>
        <v>1998.0719999999999</v>
      </c>
      <c r="F3276">
        <f>1207.17</f>
        <v>1207.17</v>
      </c>
      <c r="G3276">
        <f>6053.239</f>
        <v>6053.2389999999996</v>
      </c>
      <c r="H3276">
        <f>1915.83</f>
        <v>1915.83</v>
      </c>
      <c r="I3276">
        <f>6314.547</f>
        <v>6314.5469999999996</v>
      </c>
      <c r="J3276">
        <f>1462.7</f>
        <v>1462.7</v>
      </c>
      <c r="K3276">
        <f>4314.5</f>
        <v>4314.5</v>
      </c>
      <c r="L3276">
        <f>1021.45</f>
        <v>1021.45</v>
      </c>
      <c r="M3276">
        <f>4189.97</f>
        <v>4189.97</v>
      </c>
      <c r="N3276">
        <f>161.795</f>
        <v>161.79499999999999</v>
      </c>
      <c r="O3276">
        <f>1642.58</f>
        <v>1642.58</v>
      </c>
      <c r="P3276">
        <f>86.17</f>
        <v>86.17</v>
      </c>
      <c r="Q3276">
        <f>906.95</f>
        <v>906.95</v>
      </c>
      <c r="R3276">
        <f>2071.12</f>
        <v>2071.12</v>
      </c>
      <c r="S3276">
        <f>1117.36</f>
        <v>1117.3599999999999</v>
      </c>
      <c r="T3276">
        <f>1635.349</f>
        <v>1635.3489999999999</v>
      </c>
      <c r="U3276">
        <f>31617.66</f>
        <v>31617.66</v>
      </c>
      <c r="V3276">
        <f>217.91</f>
        <v>217.91</v>
      </c>
    </row>
    <row r="3277" spans="1:22" x14ac:dyDescent="0.2">
      <c r="A3277" s="1">
        <v>40520</v>
      </c>
      <c r="B3277">
        <f>2309.79</f>
        <v>2309.79</v>
      </c>
      <c r="C3277">
        <f>8598.29</f>
        <v>8598.2900000000009</v>
      </c>
      <c r="D3277">
        <f>3784.75</f>
        <v>3784.75</v>
      </c>
      <c r="E3277">
        <f>1995.692</f>
        <v>1995.692</v>
      </c>
      <c r="F3277">
        <f>1212.36</f>
        <v>1212.3599999999999</v>
      </c>
      <c r="G3277">
        <f>6056.347</f>
        <v>6056.3469999999998</v>
      </c>
      <c r="H3277">
        <f>1892.52</f>
        <v>1892.52</v>
      </c>
      <c r="I3277">
        <f>6307.636</f>
        <v>6307.6360000000004</v>
      </c>
      <c r="J3277">
        <f>1459.44</f>
        <v>1459.44</v>
      </c>
      <c r="K3277">
        <f>4298.57</f>
        <v>4298.57</v>
      </c>
      <c r="L3277">
        <f>1017.9</f>
        <v>1017.9</v>
      </c>
      <c r="M3277">
        <f>4174.11</f>
        <v>4174.1099999999997</v>
      </c>
      <c r="N3277">
        <f>161.379</f>
        <v>161.37899999999999</v>
      </c>
      <c r="O3277">
        <f>1636.4</f>
        <v>1636.4</v>
      </c>
      <c r="P3277">
        <f>85.87</f>
        <v>85.87</v>
      </c>
      <c r="Q3277">
        <f>904.68</f>
        <v>904.68</v>
      </c>
      <c r="R3277">
        <f>2063.03</f>
        <v>2063.0300000000002</v>
      </c>
      <c r="S3277">
        <f>1112.08</f>
        <v>1112.08</v>
      </c>
      <c r="T3277">
        <f>1627.611</f>
        <v>1627.6110000000001</v>
      </c>
      <c r="U3277">
        <f>31769.88</f>
        <v>31769.88</v>
      </c>
      <c r="V3277">
        <f>217.57</f>
        <v>217.57</v>
      </c>
    </row>
    <row r="3278" spans="1:22" x14ac:dyDescent="0.2">
      <c r="A3278" s="1">
        <v>40519</v>
      </c>
      <c r="B3278">
        <f>2311.14</f>
        <v>2311.14</v>
      </c>
      <c r="C3278">
        <f>8706.52</f>
        <v>8706.52</v>
      </c>
      <c r="D3278">
        <f>3793.5</f>
        <v>3793.5</v>
      </c>
      <c r="E3278">
        <f>2022.918</f>
        <v>2022.9179999999999</v>
      </c>
      <c r="F3278">
        <f>1215.16</f>
        <v>1215.1600000000001</v>
      </c>
      <c r="G3278">
        <f>6086.283</f>
        <v>6086.2830000000004</v>
      </c>
      <c r="H3278">
        <f>1901.6</f>
        <v>1901.6</v>
      </c>
      <c r="I3278">
        <f>6346.281</f>
        <v>6346.2809999999999</v>
      </c>
      <c r="J3278">
        <f>1457.06</f>
        <v>1457.06</v>
      </c>
      <c r="K3278">
        <f>4283.62</f>
        <v>4283.62</v>
      </c>
      <c r="L3278">
        <f>1020.19</f>
        <v>1020.19</v>
      </c>
      <c r="M3278">
        <f>4182.84</f>
        <v>4182.84</v>
      </c>
      <c r="N3278">
        <f>160.513</f>
        <v>160.51300000000001</v>
      </c>
      <c r="O3278">
        <f>1629.65</f>
        <v>1629.65</v>
      </c>
      <c r="P3278">
        <f>85</f>
        <v>85</v>
      </c>
      <c r="Q3278">
        <f>902.19</f>
        <v>902.19</v>
      </c>
      <c r="R3278">
        <f>2054.89</f>
        <v>2054.89</v>
      </c>
      <c r="S3278">
        <f>1101.7</f>
        <v>1101.7</v>
      </c>
      <c r="T3278">
        <f>1625.342</f>
        <v>1625.3420000000001</v>
      </c>
      <c r="U3278">
        <f>31764.37</f>
        <v>31764.37</v>
      </c>
      <c r="V3278">
        <f>217.79</f>
        <v>217.79</v>
      </c>
    </row>
    <row r="3279" spans="1:22" x14ac:dyDescent="0.2">
      <c r="A3279" s="1">
        <v>40518</v>
      </c>
      <c r="B3279">
        <f>2290.78</f>
        <v>2290.7800000000002</v>
      </c>
      <c r="C3279">
        <f>8681.44</f>
        <v>8681.44</v>
      </c>
      <c r="D3279">
        <f>3768.57</f>
        <v>3768.57</v>
      </c>
      <c r="E3279">
        <f>2015.348</f>
        <v>2015.348</v>
      </c>
      <c r="F3279">
        <f>1200.64</f>
        <v>1200.6400000000001</v>
      </c>
      <c r="G3279">
        <f>5995.795</f>
        <v>5995.7950000000001</v>
      </c>
      <c r="H3279">
        <f>1916.49</f>
        <v>1916.49</v>
      </c>
      <c r="I3279">
        <f>6266.913</f>
        <v>6266.9129999999996</v>
      </c>
      <c r="J3279">
        <f>1454</f>
        <v>1454</v>
      </c>
      <c r="K3279">
        <f>4281.66</f>
        <v>4281.66</v>
      </c>
      <c r="L3279">
        <f>1012.84</f>
        <v>1012.84</v>
      </c>
      <c r="M3279">
        <f>4167.35</f>
        <v>4167.3500000000004</v>
      </c>
      <c r="N3279">
        <f>158.815</f>
        <v>158.815</v>
      </c>
      <c r="O3279">
        <f>1614.55</f>
        <v>1614.55</v>
      </c>
      <c r="P3279">
        <f>85.12</f>
        <v>85.12</v>
      </c>
      <c r="Q3279">
        <f>901.36</f>
        <v>901.36</v>
      </c>
      <c r="R3279">
        <f>2053.8</f>
        <v>2053.8000000000002</v>
      </c>
      <c r="S3279">
        <f>1104.46</f>
        <v>1104.46</v>
      </c>
      <c r="T3279">
        <f>1633.144</f>
        <v>1633.144</v>
      </c>
      <c r="U3279">
        <f>31655.93</f>
        <v>31655.93</v>
      </c>
      <c r="V3279">
        <f>219.04</f>
        <v>219.04</v>
      </c>
    </row>
    <row r="3280" spans="1:22" x14ac:dyDescent="0.2">
      <c r="A3280" s="1">
        <v>40515</v>
      </c>
      <c r="B3280">
        <f>2285.42</f>
        <v>2285.42</v>
      </c>
      <c r="C3280">
        <f>8653.7</f>
        <v>8653.7000000000007</v>
      </c>
      <c r="D3280">
        <f>3752.27</f>
        <v>3752.27</v>
      </c>
      <c r="E3280">
        <f>2006.965</f>
        <v>2006.9649999999999</v>
      </c>
      <c r="F3280">
        <f>1201.96</f>
        <v>1201.96</v>
      </c>
      <c r="G3280">
        <f>5982.719</f>
        <v>5982.7190000000001</v>
      </c>
      <c r="H3280">
        <f>1918.14</f>
        <v>1918.14</v>
      </c>
      <c r="I3280">
        <f>6326.902</f>
        <v>6326.902</v>
      </c>
      <c r="J3280">
        <f>1456.91</f>
        <v>1456.91</v>
      </c>
      <c r="K3280">
        <f>4286.22</f>
        <v>4286.22</v>
      </c>
      <c r="L3280">
        <f>1018.07</f>
        <v>1018.07</v>
      </c>
      <c r="M3280">
        <f>4175.31</f>
        <v>4175.3100000000004</v>
      </c>
      <c r="N3280">
        <f>158.428</f>
        <v>158.428</v>
      </c>
      <c r="O3280">
        <f>1613.25</f>
        <v>1613.25</v>
      </c>
      <c r="P3280">
        <f>85.09</f>
        <v>85.09</v>
      </c>
      <c r="Q3280">
        <f>904.07</f>
        <v>904.07</v>
      </c>
      <c r="R3280">
        <f>2056.4</f>
        <v>2056.4</v>
      </c>
      <c r="S3280">
        <f>1101.71</f>
        <v>1101.71</v>
      </c>
      <c r="T3280">
        <f>1617.489</f>
        <v>1617.489</v>
      </c>
      <c r="U3280">
        <f>31376.93</f>
        <v>31376.93</v>
      </c>
      <c r="V3280">
        <f>216.1</f>
        <v>216.1</v>
      </c>
    </row>
    <row r="3281" spans="1:22" x14ac:dyDescent="0.2">
      <c r="A3281" s="1">
        <v>40514</v>
      </c>
      <c r="B3281">
        <f>2288.6</f>
        <v>2288.6</v>
      </c>
      <c r="C3281">
        <f>8592.54</f>
        <v>8592.5400000000009</v>
      </c>
      <c r="D3281">
        <f>3766.79</f>
        <v>3766.79</v>
      </c>
      <c r="E3281">
        <f>1992.992</f>
        <v>1992.992</v>
      </c>
      <c r="F3281">
        <f>1194.64</f>
        <v>1194.6400000000001</v>
      </c>
      <c r="G3281">
        <f>5942.553</f>
        <v>5942.5529999999999</v>
      </c>
      <c r="H3281">
        <f>1884.53</f>
        <v>1884.53</v>
      </c>
      <c r="I3281">
        <f>6221.412</f>
        <v>6221.4120000000003</v>
      </c>
      <c r="J3281">
        <f>1455.49</f>
        <v>1455.49</v>
      </c>
      <c r="K3281">
        <f>4273.91</f>
        <v>4273.91</v>
      </c>
      <c r="L3281">
        <f>1011</f>
        <v>1011</v>
      </c>
      <c r="M3281">
        <f>4142.47</f>
        <v>4142.47</v>
      </c>
      <c r="N3281">
        <f>159.104</f>
        <v>159.10400000000001</v>
      </c>
      <c r="O3281">
        <f>1616.65</f>
        <v>1616.65</v>
      </c>
      <c r="P3281">
        <f>84.86</f>
        <v>84.86</v>
      </c>
      <c r="Q3281">
        <f>902.82</f>
        <v>902.82</v>
      </c>
      <c r="R3281">
        <f>2050.96</f>
        <v>2050.96</v>
      </c>
      <c r="S3281">
        <f>1099.19</f>
        <v>1099.19</v>
      </c>
      <c r="T3281">
        <f>1609.053</f>
        <v>1609.0530000000001</v>
      </c>
      <c r="U3281">
        <f>31145.18</f>
        <v>31145.18</v>
      </c>
      <c r="V3281">
        <f>216.39</f>
        <v>216.39</v>
      </c>
    </row>
    <row r="3282" spans="1:22" x14ac:dyDescent="0.2">
      <c r="A3282" s="1">
        <v>40513</v>
      </c>
      <c r="B3282">
        <f>2237.35</f>
        <v>2237.35</v>
      </c>
      <c r="C3282">
        <f>8461.45</f>
        <v>8461.4500000000007</v>
      </c>
      <c r="D3282">
        <f>3685.12</f>
        <v>3685.12</v>
      </c>
      <c r="E3282">
        <f>1963.404</f>
        <v>1963.404</v>
      </c>
      <c r="F3282">
        <f>1182.97</f>
        <v>1182.97</v>
      </c>
      <c r="G3282">
        <f>5820.711</f>
        <v>5820.7110000000002</v>
      </c>
      <c r="H3282">
        <f>1863.88</f>
        <v>1863.88</v>
      </c>
      <c r="I3282">
        <f>6060.642</f>
        <v>6060.6419999999998</v>
      </c>
      <c r="J3282">
        <f>1444.94</f>
        <v>1444.94</v>
      </c>
      <c r="K3282">
        <f>4220.75</f>
        <v>4220.75</v>
      </c>
      <c r="L3282">
        <f>997.2</f>
        <v>997.2</v>
      </c>
      <c r="M3282">
        <f>4072.98</f>
        <v>4072.98</v>
      </c>
      <c r="N3282">
        <f>156.945</f>
        <v>156.94499999999999</v>
      </c>
      <c r="O3282">
        <f>1588.18</f>
        <v>1588.18</v>
      </c>
      <c r="P3282">
        <f>84.29</f>
        <v>84.29</v>
      </c>
      <c r="Q3282">
        <f>893.32</f>
        <v>893.32</v>
      </c>
      <c r="R3282">
        <f>2024.97</f>
        <v>2024.97</v>
      </c>
      <c r="S3282">
        <f>1085.23</f>
        <v>1085.23</v>
      </c>
      <c r="T3282">
        <f>1593.251</f>
        <v>1593.251</v>
      </c>
      <c r="U3282">
        <f>30787.32</f>
        <v>30787.32</v>
      </c>
      <c r="V3282">
        <f>214.21</f>
        <v>214.21</v>
      </c>
    </row>
    <row r="3283" spans="1:22" x14ac:dyDescent="0.2">
      <c r="A3283" s="1">
        <v>40512</v>
      </c>
      <c r="B3283">
        <f>2209.58</f>
        <v>2209.58</v>
      </c>
      <c r="C3283">
        <f>8305.4</f>
        <v>8305.4</v>
      </c>
      <c r="D3283">
        <f>3608.67</f>
        <v>3608.67</v>
      </c>
      <c r="E3283">
        <f>1924.485</f>
        <v>1924.4849999999999</v>
      </c>
      <c r="F3283">
        <f>1162.77</f>
        <v>1162.77</v>
      </c>
      <c r="G3283">
        <f>5702.252</f>
        <v>5702.2520000000004</v>
      </c>
      <c r="H3283">
        <f>1865.13</f>
        <v>1865.13</v>
      </c>
      <c r="I3283">
        <f>5910.919</f>
        <v>5910.9189999999999</v>
      </c>
      <c r="J3283">
        <f>1416.67</f>
        <v>1416.67</v>
      </c>
      <c r="K3283">
        <f>4131.08</f>
        <v>4131.08</v>
      </c>
      <c r="L3283">
        <f>979.86</f>
        <v>979.86</v>
      </c>
      <c r="M3283">
        <f>3994.99</f>
        <v>3994.99</v>
      </c>
      <c r="N3283">
        <f>154.67</f>
        <v>154.66999999999999</v>
      </c>
      <c r="O3283">
        <f>1558.33</f>
        <v>1558.33</v>
      </c>
      <c r="P3283">
        <f>84.06</f>
        <v>84.06</v>
      </c>
      <c r="Q3283">
        <f>876.48</f>
        <v>876.48</v>
      </c>
      <c r="R3283">
        <f>1981.84</f>
        <v>1981.84</v>
      </c>
      <c r="S3283">
        <f>1078.8</f>
        <v>1078.8</v>
      </c>
      <c r="T3283">
        <f>1576.223</f>
        <v>1576.223</v>
      </c>
      <c r="U3283">
        <f>30266.4</f>
        <v>30266.400000000001</v>
      </c>
      <c r="V3283">
        <f>211.02</f>
        <v>211.02</v>
      </c>
    </row>
    <row r="3284" spans="1:22" x14ac:dyDescent="0.2">
      <c r="A3284" s="1">
        <v>40511</v>
      </c>
      <c r="B3284">
        <f>2227</f>
        <v>2227</v>
      </c>
      <c r="C3284">
        <f>8359</f>
        <v>8359</v>
      </c>
      <c r="D3284">
        <f>3623.48</f>
        <v>3623.48</v>
      </c>
      <c r="E3284">
        <f>1933.11</f>
        <v>1933.11</v>
      </c>
      <c r="F3284">
        <f>1163.43</f>
        <v>1163.43</v>
      </c>
      <c r="G3284">
        <f>5710.718</f>
        <v>5710.7179999999998</v>
      </c>
      <c r="H3284">
        <f>1867.33</f>
        <v>1867.33</v>
      </c>
      <c r="I3284">
        <f>5964.981</f>
        <v>5964.9809999999998</v>
      </c>
      <c r="J3284">
        <f>1422.52</f>
        <v>1422.52</v>
      </c>
      <c r="K3284">
        <f>4156.95</f>
        <v>4156.95</v>
      </c>
      <c r="L3284">
        <f>985.14</f>
        <v>985.14</v>
      </c>
      <c r="M3284">
        <f>4019.34</f>
        <v>4019.34</v>
      </c>
      <c r="N3284">
        <f>154.741</f>
        <v>154.74100000000001</v>
      </c>
      <c r="O3284">
        <f>1562.5</f>
        <v>1562.5</v>
      </c>
      <c r="P3284">
        <f>85.01</f>
        <v>85.01</v>
      </c>
      <c r="Q3284">
        <f>877.05</f>
        <v>877.05</v>
      </c>
      <c r="R3284">
        <f>1993.83</f>
        <v>1993.83</v>
      </c>
      <c r="S3284">
        <f>1095.91</f>
        <v>1095.9100000000001</v>
      </c>
      <c r="T3284">
        <f>1584.701</f>
        <v>1584.701</v>
      </c>
      <c r="U3284">
        <f>30716.24</f>
        <v>30716.240000000002</v>
      </c>
      <c r="V3284">
        <f>212.85</f>
        <v>212.85</v>
      </c>
    </row>
    <row r="3285" spans="1:22" x14ac:dyDescent="0.2">
      <c r="A3285" s="1">
        <v>40508</v>
      </c>
      <c r="B3285">
        <f>2268.79</f>
        <v>2268.79</v>
      </c>
      <c r="C3285">
        <f>8371.88</f>
        <v>8371.8799999999992</v>
      </c>
      <c r="D3285">
        <f>3700.34</f>
        <v>3700.34</v>
      </c>
      <c r="E3285">
        <f>1933.665</f>
        <v>1933.665</v>
      </c>
      <c r="F3285">
        <f>1198.08</f>
        <v>1198.08</v>
      </c>
      <c r="G3285">
        <f>5861.965</f>
        <v>5861.9650000000001</v>
      </c>
      <c r="H3285">
        <f>1863.47</f>
        <v>1863.47</v>
      </c>
      <c r="I3285">
        <f>6125.783</f>
        <v>6125.7830000000004</v>
      </c>
      <c r="J3285">
        <f>1426.95</f>
        <v>1426.95</v>
      </c>
      <c r="K3285">
        <f>4161.68</f>
        <v>4161.68</v>
      </c>
      <c r="L3285">
        <f>999.24</f>
        <v>999.24</v>
      </c>
      <c r="M3285">
        <f>4050.5</f>
        <v>4050.5</v>
      </c>
      <c r="N3285">
        <f>157.046</f>
        <v>157.04599999999999</v>
      </c>
      <c r="O3285">
        <f>1587.48</f>
        <v>1587.48</v>
      </c>
      <c r="P3285">
        <f>84.43</f>
        <v>84.43</v>
      </c>
      <c r="Q3285">
        <f>877.87</f>
        <v>877.87</v>
      </c>
      <c r="R3285">
        <f>1996.03</f>
        <v>1996.03</v>
      </c>
      <c r="S3285">
        <f>1086.16</f>
        <v>1086.1600000000001</v>
      </c>
      <c r="T3285">
        <f>1600.628</f>
        <v>1600.6279999999999</v>
      </c>
      <c r="U3285">
        <f>31181.38</f>
        <v>31181.38</v>
      </c>
      <c r="V3285">
        <f>214.38</f>
        <v>214.38</v>
      </c>
    </row>
    <row r="3286" spans="1:22" x14ac:dyDescent="0.2">
      <c r="A3286" s="1">
        <v>40507</v>
      </c>
      <c r="B3286">
        <f>2269.31</f>
        <v>2269.31</v>
      </c>
      <c r="C3286">
        <f>8477.61</f>
        <v>8477.61</v>
      </c>
      <c r="D3286">
        <f>3720.07</f>
        <v>3720.07</v>
      </c>
      <c r="E3286">
        <f>1965.838</f>
        <v>1965.838</v>
      </c>
      <c r="F3286">
        <f>1208.02</f>
        <v>1208.02</v>
      </c>
      <c r="G3286">
        <f>5949.909</f>
        <v>5949.9089999999997</v>
      </c>
      <c r="H3286">
        <f>1871.35</f>
        <v>1871.35</v>
      </c>
      <c r="I3286">
        <f>6228.777</f>
        <v>6228.777</v>
      </c>
      <c r="J3286">
        <f>1435.93</f>
        <v>1435.93</v>
      </c>
      <c r="K3286">
        <f>4191.9</f>
        <v>4191.8999999999996</v>
      </c>
      <c r="L3286">
        <f>1010.04</f>
        <v>1010.04</v>
      </c>
      <c r="M3286">
        <f>4094.7</f>
        <v>4094.7</v>
      </c>
      <c r="N3286">
        <f>157.357</f>
        <v>157.357</v>
      </c>
      <c r="O3286">
        <f>1595.76</f>
        <v>1595.76</v>
      </c>
      <c r="P3286">
        <f>84.83</f>
        <v>84.83</v>
      </c>
      <c r="Q3286" t="e">
        <f>NA()</f>
        <v>#N/A</v>
      </c>
      <c r="R3286" t="e">
        <f>NA()</f>
        <v>#N/A</v>
      </c>
      <c r="S3286">
        <f>1089.88</f>
        <v>1089.8800000000001</v>
      </c>
      <c r="T3286">
        <f>1604.491</f>
        <v>1604.491</v>
      </c>
      <c r="U3286">
        <f>31298.22</f>
        <v>31298.22</v>
      </c>
      <c r="V3286">
        <f>215.41</f>
        <v>215.41</v>
      </c>
    </row>
    <row r="3287" spans="1:22" x14ac:dyDescent="0.2">
      <c r="A3287" s="1">
        <v>40506</v>
      </c>
      <c r="B3287">
        <f>2257.95</f>
        <v>2257.9499999999998</v>
      </c>
      <c r="C3287">
        <f>8455.21</f>
        <v>8455.2099999999991</v>
      </c>
      <c r="D3287">
        <f>3692.76</f>
        <v>3692.76</v>
      </c>
      <c r="E3287">
        <f>1961.647</f>
        <v>1961.6469999999999</v>
      </c>
      <c r="F3287">
        <f>1206.15</f>
        <v>1206.1500000000001</v>
      </c>
      <c r="G3287">
        <f>5914.269</f>
        <v>5914.2690000000002</v>
      </c>
      <c r="H3287">
        <f>1884.15</f>
        <v>1884.15</v>
      </c>
      <c r="I3287">
        <f>6213.243</f>
        <v>6213.2430000000004</v>
      </c>
      <c r="J3287">
        <f>1435.93</f>
        <v>1435.93</v>
      </c>
      <c r="K3287">
        <f>4191.9</f>
        <v>4191.8999999999996</v>
      </c>
      <c r="L3287">
        <f>1009.19</f>
        <v>1009.19</v>
      </c>
      <c r="M3287">
        <f>4088.59</f>
        <v>4088.59</v>
      </c>
      <c r="N3287">
        <f>157.248</f>
        <v>157.24799999999999</v>
      </c>
      <c r="O3287">
        <f>1589.08</f>
        <v>1589.08</v>
      </c>
      <c r="P3287">
        <f>84.95</f>
        <v>84.95</v>
      </c>
      <c r="Q3287">
        <f>884.57</f>
        <v>884.57</v>
      </c>
      <c r="R3287">
        <f>2010.56</f>
        <v>2010.56</v>
      </c>
      <c r="S3287">
        <f>1085.82</f>
        <v>1085.82</v>
      </c>
      <c r="T3287">
        <f>1598.146</f>
        <v>1598.146</v>
      </c>
      <c r="U3287">
        <f>31112.49</f>
        <v>31112.49</v>
      </c>
      <c r="V3287">
        <f>213.83</f>
        <v>213.83</v>
      </c>
    </row>
    <row r="3288" spans="1:22" x14ac:dyDescent="0.2">
      <c r="A3288" s="1">
        <v>40505</v>
      </c>
      <c r="B3288">
        <f>2245.3</f>
        <v>2245.3000000000002</v>
      </c>
      <c r="C3288">
        <f>8382.38</f>
        <v>8382.3799999999992</v>
      </c>
      <c r="D3288">
        <f>3642.84</f>
        <v>3642.84</v>
      </c>
      <c r="E3288">
        <f>1949.63</f>
        <v>1949.63</v>
      </c>
      <c r="F3288">
        <f>1201.03</f>
        <v>1201.03</v>
      </c>
      <c r="G3288">
        <f>5870.107</f>
        <v>5870.107</v>
      </c>
      <c r="H3288">
        <f>1911.17</f>
        <v>1911.17</v>
      </c>
      <c r="I3288">
        <f>6169.956</f>
        <v>6169.9560000000001</v>
      </c>
      <c r="J3288">
        <f>1421.35</f>
        <v>1421.35</v>
      </c>
      <c r="K3288">
        <f>4129.61</f>
        <v>4129.6099999999997</v>
      </c>
      <c r="L3288">
        <f>1002.38</f>
        <v>1002.38</v>
      </c>
      <c r="M3288">
        <f>4050.76</f>
        <v>4050.76</v>
      </c>
      <c r="N3288">
        <f>156.016</f>
        <v>156.01599999999999</v>
      </c>
      <c r="O3288">
        <f>1572.29</f>
        <v>1572.29</v>
      </c>
      <c r="P3288" t="e">
        <f>NA()</f>
        <v>#N/A</v>
      </c>
      <c r="Q3288">
        <f>872.08</f>
        <v>872.08</v>
      </c>
      <c r="R3288">
        <f>1980.89</f>
        <v>1980.89</v>
      </c>
      <c r="S3288" t="e">
        <f>NA()</f>
        <v>#N/A</v>
      </c>
      <c r="T3288">
        <f>1594.629</f>
        <v>1594.6289999999999</v>
      </c>
      <c r="U3288">
        <f>30895.07</f>
        <v>30895.07</v>
      </c>
      <c r="V3288">
        <f>213.37</f>
        <v>213.37</v>
      </c>
    </row>
    <row r="3289" spans="1:22" x14ac:dyDescent="0.2">
      <c r="A3289" s="1">
        <v>40504</v>
      </c>
      <c r="B3289">
        <f>2282.13</f>
        <v>2282.13</v>
      </c>
      <c r="C3289">
        <f>8567.01</f>
        <v>8567.01</v>
      </c>
      <c r="D3289">
        <f>3707.82</f>
        <v>3707.82</v>
      </c>
      <c r="E3289">
        <f>1991.888</f>
        <v>1991.8879999999999</v>
      </c>
      <c r="F3289">
        <f>1226.34</f>
        <v>1226.3399999999999</v>
      </c>
      <c r="G3289">
        <f>6000.084</f>
        <v>6000.0839999999998</v>
      </c>
      <c r="H3289">
        <f>1899.38</f>
        <v>1899.38</v>
      </c>
      <c r="I3289">
        <f>6368.377</f>
        <v>6368.3770000000004</v>
      </c>
      <c r="J3289">
        <f>1438.74</f>
        <v>1438.74</v>
      </c>
      <c r="K3289">
        <f>4189.51</f>
        <v>4189.51</v>
      </c>
      <c r="L3289">
        <f>1022.41</f>
        <v>1022.41</v>
      </c>
      <c r="M3289">
        <f>4120.12</f>
        <v>4120.12</v>
      </c>
      <c r="N3289">
        <f>157.724</f>
        <v>157.72399999999999</v>
      </c>
      <c r="O3289">
        <f>1596.03</f>
        <v>1596.03</v>
      </c>
      <c r="P3289">
        <f>85.69</f>
        <v>85.69</v>
      </c>
      <c r="Q3289">
        <f>883.76</f>
        <v>883.76</v>
      </c>
      <c r="R3289">
        <f>2009.52</f>
        <v>2009.52</v>
      </c>
      <c r="S3289">
        <f>1096.98</f>
        <v>1096.98</v>
      </c>
      <c r="T3289">
        <f>1610.258</f>
        <v>1610.258</v>
      </c>
      <c r="U3289">
        <f>31403.81</f>
        <v>31403.81</v>
      </c>
      <c r="V3289">
        <f>215.59</f>
        <v>215.59</v>
      </c>
    </row>
    <row r="3290" spans="1:22" x14ac:dyDescent="0.2">
      <c r="A3290" s="1">
        <v>40501</v>
      </c>
      <c r="B3290">
        <f>2295.88</f>
        <v>2295.88</v>
      </c>
      <c r="C3290">
        <f>8582.75</f>
        <v>8582.75</v>
      </c>
      <c r="D3290">
        <f>3741.76</f>
        <v>3741.76</v>
      </c>
      <c r="E3290">
        <f>1988.87</f>
        <v>1988.87</v>
      </c>
      <c r="F3290">
        <f>1236.38</f>
        <v>1236.3800000000001</v>
      </c>
      <c r="G3290">
        <f>6057.709</f>
        <v>6057.7089999999998</v>
      </c>
      <c r="H3290">
        <f>1902.84</f>
        <v>1902.84</v>
      </c>
      <c r="I3290">
        <f>6439.118</f>
        <v>6439.1180000000004</v>
      </c>
      <c r="J3290">
        <f>1441.41</f>
        <v>1441.41</v>
      </c>
      <c r="K3290">
        <f>4194.39</f>
        <v>4194.3900000000003</v>
      </c>
      <c r="L3290">
        <f>1028.08</f>
        <v>1028.08</v>
      </c>
      <c r="M3290">
        <f>4132.81</f>
        <v>4132.8100000000004</v>
      </c>
      <c r="N3290">
        <f>159.103</f>
        <v>159.10300000000001</v>
      </c>
      <c r="O3290">
        <f>1608.51</f>
        <v>1608.51</v>
      </c>
      <c r="P3290">
        <f>85.09</f>
        <v>85.09</v>
      </c>
      <c r="Q3290">
        <f>883.06</f>
        <v>883.06</v>
      </c>
      <c r="R3290">
        <f>2012.59</f>
        <v>2012.59</v>
      </c>
      <c r="S3290">
        <f>1089.52</f>
        <v>1089.52</v>
      </c>
      <c r="T3290">
        <f>1612.667</f>
        <v>1612.6669999999999</v>
      </c>
      <c r="U3290">
        <f>31398.82</f>
        <v>31398.82</v>
      </c>
      <c r="V3290">
        <f>215.7</f>
        <v>215.7</v>
      </c>
    </row>
    <row r="3291" spans="1:22" x14ac:dyDescent="0.2">
      <c r="A3291" s="1">
        <v>40500</v>
      </c>
      <c r="B3291">
        <f>2299.51</f>
        <v>2299.5100000000002</v>
      </c>
      <c r="C3291">
        <f>8573.47</f>
        <v>8573.4699999999993</v>
      </c>
      <c r="D3291">
        <f>3765.17</f>
        <v>3765.17</v>
      </c>
      <c r="E3291">
        <f>1987.017</f>
        <v>1987.0170000000001</v>
      </c>
      <c r="F3291">
        <f>1243.48</f>
        <v>1243.48</v>
      </c>
      <c r="G3291">
        <f>6110.998</f>
        <v>6110.9979999999996</v>
      </c>
      <c r="H3291">
        <f>1897.33</f>
        <v>1897.33</v>
      </c>
      <c r="I3291">
        <f>6429.675</f>
        <v>6429.6750000000002</v>
      </c>
      <c r="J3291">
        <f>1439.85</f>
        <v>1439.85</v>
      </c>
      <c r="K3291">
        <f>4182.29</f>
        <v>4182.29</v>
      </c>
      <c r="L3291">
        <f>1028.39</f>
        <v>1028.3900000000001</v>
      </c>
      <c r="M3291">
        <f>4128.63</f>
        <v>4128.63</v>
      </c>
      <c r="N3291">
        <f>159.607</f>
        <v>159.607</v>
      </c>
      <c r="O3291">
        <f>1617.77</f>
        <v>1617.77</v>
      </c>
      <c r="P3291">
        <f>85.02</f>
        <v>85.02</v>
      </c>
      <c r="Q3291">
        <f>880.26</f>
        <v>880.26</v>
      </c>
      <c r="R3291">
        <f>2007.38</f>
        <v>2007.38</v>
      </c>
      <c r="S3291">
        <f>1088.62</f>
        <v>1088.6199999999999</v>
      </c>
      <c r="T3291">
        <f>1612.699</f>
        <v>1612.6990000000001</v>
      </c>
      <c r="U3291">
        <f>31574</f>
        <v>31574</v>
      </c>
      <c r="V3291">
        <f>216.27</f>
        <v>216.27</v>
      </c>
    </row>
    <row r="3292" spans="1:22" x14ac:dyDescent="0.2">
      <c r="A3292" s="1">
        <v>40499</v>
      </c>
      <c r="B3292">
        <f>2286.93</f>
        <v>2286.9299999999998</v>
      </c>
      <c r="C3292">
        <f>8455.56</f>
        <v>8455.56</v>
      </c>
      <c r="D3292">
        <f>3715.47</f>
        <v>3715.47</v>
      </c>
      <c r="E3292">
        <f>1956.138</f>
        <v>1956.1379999999999</v>
      </c>
      <c r="F3292">
        <f>1226.42</f>
        <v>1226.42</v>
      </c>
      <c r="G3292">
        <f>6006.084</f>
        <v>6006.0839999999998</v>
      </c>
      <c r="H3292">
        <f>1876.89</f>
        <v>1876.89</v>
      </c>
      <c r="I3292">
        <f>6306.957</f>
        <v>6306.9570000000003</v>
      </c>
      <c r="J3292">
        <f>1420.37</f>
        <v>1420.37</v>
      </c>
      <c r="K3292">
        <f>4119.27</f>
        <v>4119.2700000000004</v>
      </c>
      <c r="L3292">
        <f>1012.91</f>
        <v>1012.91</v>
      </c>
      <c r="M3292">
        <f>4063.19</f>
        <v>4063.19</v>
      </c>
      <c r="N3292">
        <f>158.216</f>
        <v>158.21600000000001</v>
      </c>
      <c r="O3292">
        <f>1594.88</f>
        <v>1594.88</v>
      </c>
      <c r="P3292">
        <f>83.32</f>
        <v>83.32</v>
      </c>
      <c r="Q3292">
        <f>871.46</f>
        <v>871.46</v>
      </c>
      <c r="R3292">
        <f>1977</f>
        <v>1977</v>
      </c>
      <c r="S3292">
        <f>1065.44</f>
        <v>1065.44</v>
      </c>
      <c r="T3292">
        <f>1599.319</f>
        <v>1599.319</v>
      </c>
      <c r="U3292">
        <f>31345.17</f>
        <v>31345.17</v>
      </c>
      <c r="V3292">
        <f>214.84</f>
        <v>214.84</v>
      </c>
    </row>
    <row r="3293" spans="1:22" x14ac:dyDescent="0.2">
      <c r="A3293" s="1">
        <v>40498</v>
      </c>
      <c r="B3293">
        <f>2289.79</f>
        <v>2289.79</v>
      </c>
      <c r="C3293">
        <f>8499.1</f>
        <v>8499.1</v>
      </c>
      <c r="D3293">
        <f>3701.72</f>
        <v>3701.72</v>
      </c>
      <c r="E3293">
        <f>1968.152</f>
        <v>1968.152</v>
      </c>
      <c r="F3293">
        <f>1221.56</f>
        <v>1221.56</v>
      </c>
      <c r="G3293">
        <f>5981.167</f>
        <v>5981.1670000000004</v>
      </c>
      <c r="H3293">
        <f>1864.03</f>
        <v>1864.03</v>
      </c>
      <c r="I3293">
        <f>6275.771</f>
        <v>6275.7709999999997</v>
      </c>
      <c r="J3293">
        <f>1420.34</f>
        <v>1420.34</v>
      </c>
      <c r="K3293">
        <f>4116.38</f>
        <v>4116.38</v>
      </c>
      <c r="L3293">
        <f>1010.81</f>
        <v>1010.81</v>
      </c>
      <c r="M3293">
        <f>4055.31</f>
        <v>4055.31</v>
      </c>
      <c r="N3293">
        <f>157.623</f>
        <v>157.62299999999999</v>
      </c>
      <c r="O3293">
        <f>1586.31</f>
        <v>1586.31</v>
      </c>
      <c r="P3293">
        <f>83.15</f>
        <v>83.15</v>
      </c>
      <c r="Q3293">
        <f>869.67</f>
        <v>869.67</v>
      </c>
      <c r="R3293">
        <f>1976.26</f>
        <v>1976.26</v>
      </c>
      <c r="S3293">
        <f>1062.26</f>
        <v>1062.26</v>
      </c>
      <c r="T3293">
        <f>1606.222</f>
        <v>1606.222</v>
      </c>
      <c r="U3293">
        <f>31419.68</f>
        <v>31419.68</v>
      </c>
      <c r="V3293">
        <f>215.02</f>
        <v>215.02</v>
      </c>
    </row>
    <row r="3294" spans="1:22" x14ac:dyDescent="0.2">
      <c r="A3294" s="1">
        <v>40497</v>
      </c>
      <c r="B3294">
        <f>2323.72</f>
        <v>2323.7199999999998</v>
      </c>
      <c r="C3294">
        <f>8604</f>
        <v>8604</v>
      </c>
      <c r="D3294">
        <f>3791.96</f>
        <v>3791.96</v>
      </c>
      <c r="E3294">
        <f>1993.886</f>
        <v>1993.886</v>
      </c>
      <c r="F3294">
        <f>1254.68</f>
        <v>1254.68</v>
      </c>
      <c r="G3294">
        <f>6187.448</f>
        <v>6187.4480000000003</v>
      </c>
      <c r="H3294">
        <f>1883.59</f>
        <v>1883.59</v>
      </c>
      <c r="I3294">
        <f>6423.16</f>
        <v>6423.16</v>
      </c>
      <c r="J3294">
        <f>1440.57</f>
        <v>1440.57</v>
      </c>
      <c r="K3294">
        <f>4183.52</f>
        <v>4183.5200000000004</v>
      </c>
      <c r="L3294">
        <f>1029.03</f>
        <v>1029.03</v>
      </c>
      <c r="M3294">
        <f>4130.95</f>
        <v>4130.95</v>
      </c>
      <c r="N3294">
        <f>160.525</f>
        <v>160.52500000000001</v>
      </c>
      <c r="O3294">
        <f>1623.33</f>
        <v>1623.33</v>
      </c>
      <c r="P3294">
        <f>83.82</f>
        <v>83.82</v>
      </c>
      <c r="Q3294">
        <f>881.98</f>
        <v>881.98</v>
      </c>
      <c r="R3294">
        <f>2008.25</f>
        <v>2008.25</v>
      </c>
      <c r="S3294">
        <f>1067.01</f>
        <v>1067.01</v>
      </c>
      <c r="T3294">
        <f>1615.881</f>
        <v>1615.8810000000001</v>
      </c>
      <c r="U3294">
        <f>31816.61</f>
        <v>31816.61</v>
      </c>
      <c r="V3294">
        <f>216.11</f>
        <v>216.11</v>
      </c>
    </row>
    <row r="3295" spans="1:22" x14ac:dyDescent="0.2">
      <c r="A3295" s="1">
        <v>40494</v>
      </c>
      <c r="B3295">
        <f>2310.05</f>
        <v>2310.0500000000002</v>
      </c>
      <c r="C3295">
        <f>8655.53</f>
        <v>8655.5300000000007</v>
      </c>
      <c r="D3295">
        <f>3776.63</f>
        <v>3776.63</v>
      </c>
      <c r="E3295">
        <f>2004.822</f>
        <v>2004.8219999999999</v>
      </c>
      <c r="F3295">
        <f>1259</f>
        <v>1259</v>
      </c>
      <c r="G3295">
        <f>6194.764</f>
        <v>6194.7640000000001</v>
      </c>
      <c r="H3295">
        <f>1895.1</f>
        <v>1895.1</v>
      </c>
      <c r="I3295">
        <f>6419.658</f>
        <v>6419.6580000000004</v>
      </c>
      <c r="J3295">
        <f>1440.63</f>
        <v>1440.63</v>
      </c>
      <c r="K3295">
        <f>4187.74</f>
        <v>4187.74</v>
      </c>
      <c r="L3295">
        <f>1028.81</f>
        <v>1028.81</v>
      </c>
      <c r="M3295">
        <f>4134.1</f>
        <v>4134.1000000000004</v>
      </c>
      <c r="N3295">
        <f>159.486</f>
        <v>159.48599999999999</v>
      </c>
      <c r="O3295">
        <f>1612.57</f>
        <v>1612.57</v>
      </c>
      <c r="P3295">
        <f>83.57</f>
        <v>83.57</v>
      </c>
      <c r="Q3295">
        <f>881.3</f>
        <v>881.3</v>
      </c>
      <c r="R3295">
        <f>2010.57</f>
        <v>2010.57</v>
      </c>
      <c r="S3295">
        <f>1061.27</f>
        <v>1061.27</v>
      </c>
      <c r="T3295">
        <f>1604.937</f>
        <v>1604.9369999999999</v>
      </c>
      <c r="U3295">
        <f>31692.8</f>
        <v>31692.799999999999</v>
      </c>
      <c r="V3295">
        <f>215.02</f>
        <v>215.02</v>
      </c>
    </row>
    <row r="3296" spans="1:22" x14ac:dyDescent="0.2">
      <c r="A3296" s="1">
        <v>40493</v>
      </c>
      <c r="B3296">
        <f>2312.63</f>
        <v>2312.63</v>
      </c>
      <c r="C3296">
        <f>8767.17</f>
        <v>8767.17</v>
      </c>
      <c r="D3296">
        <f>3788.59</f>
        <v>3788.59</v>
      </c>
      <c r="E3296">
        <f>2036.292</f>
        <v>2036.2919999999999</v>
      </c>
      <c r="F3296">
        <f>1257.98</f>
        <v>1257.98</v>
      </c>
      <c r="G3296">
        <f>6214.336</f>
        <v>6214.3360000000002</v>
      </c>
      <c r="H3296">
        <f>1900.85</f>
        <v>1900.85</v>
      </c>
      <c r="I3296">
        <f>6424.04</f>
        <v>6424.04</v>
      </c>
      <c r="J3296">
        <f>1450.89</f>
        <v>1450.89</v>
      </c>
      <c r="K3296">
        <f>4238.69</f>
        <v>4238.6899999999996</v>
      </c>
      <c r="L3296">
        <f>1033.7</f>
        <v>1033.7</v>
      </c>
      <c r="M3296">
        <f>4172.41</f>
        <v>4172.41</v>
      </c>
      <c r="N3296">
        <f>159.829</f>
        <v>159.82900000000001</v>
      </c>
      <c r="O3296">
        <f>1617.03</f>
        <v>1617.03</v>
      </c>
      <c r="P3296">
        <f>83.82</f>
        <v>83.82</v>
      </c>
      <c r="Q3296">
        <f>889.99</f>
        <v>889.99</v>
      </c>
      <c r="R3296">
        <f>2034.48</f>
        <v>2034.48</v>
      </c>
      <c r="S3296">
        <f>1073.03</f>
        <v>1073.03</v>
      </c>
      <c r="T3296">
        <f>1602.802</f>
        <v>1602.8019999999999</v>
      </c>
      <c r="U3296">
        <f>31560.07</f>
        <v>31560.07</v>
      </c>
      <c r="V3296">
        <f>215.21</f>
        <v>215.21</v>
      </c>
    </row>
    <row r="3297" spans="1:22" x14ac:dyDescent="0.2">
      <c r="A3297" s="1">
        <v>40492</v>
      </c>
      <c r="B3297">
        <f>2328.48</f>
        <v>2328.48</v>
      </c>
      <c r="C3297">
        <f>8815.12</f>
        <v>8815.1200000000008</v>
      </c>
      <c r="D3297">
        <f>3789.71</f>
        <v>3789.71</v>
      </c>
      <c r="E3297">
        <f>2052.523</f>
        <v>2052.5230000000001</v>
      </c>
      <c r="F3297">
        <f>1251.12</f>
        <v>1251.1199999999999</v>
      </c>
      <c r="G3297">
        <f>6167.425</f>
        <v>6167.4250000000002</v>
      </c>
      <c r="H3297">
        <f>1898.09</f>
        <v>1898.09</v>
      </c>
      <c r="I3297">
        <f>6468.474</f>
        <v>6468.4740000000002</v>
      </c>
      <c r="J3297">
        <f>1451.15</f>
        <v>1451.15</v>
      </c>
      <c r="K3297">
        <f>4255.92</f>
        <v>4255.92</v>
      </c>
      <c r="L3297">
        <f>1035.89</f>
        <v>1035.8900000000001</v>
      </c>
      <c r="M3297">
        <f>4179.94</f>
        <v>4179.9399999999996</v>
      </c>
      <c r="N3297">
        <f>160.024</f>
        <v>160.024</v>
      </c>
      <c r="O3297">
        <f>1618.04</f>
        <v>1618.04</v>
      </c>
      <c r="P3297">
        <f>83.38</f>
        <v>83.38</v>
      </c>
      <c r="Q3297">
        <f>891.29</f>
        <v>891.29</v>
      </c>
      <c r="R3297">
        <f>2043.16</f>
        <v>2043.16</v>
      </c>
      <c r="S3297">
        <f>1068.79</f>
        <v>1068.79</v>
      </c>
      <c r="T3297">
        <f>1617.635</f>
        <v>1617.635</v>
      </c>
      <c r="U3297">
        <f>31517.83</f>
        <v>31517.83</v>
      </c>
      <c r="V3297">
        <f>216.84</f>
        <v>216.84</v>
      </c>
    </row>
    <row r="3298" spans="1:22" x14ac:dyDescent="0.2">
      <c r="A3298" s="1">
        <v>40491</v>
      </c>
      <c r="B3298">
        <f>2345.45</f>
        <v>2345.4499999999998</v>
      </c>
      <c r="C3298">
        <f>8891.91</f>
        <v>8891.91</v>
      </c>
      <c r="D3298">
        <f>3826.98</f>
        <v>3826.98</v>
      </c>
      <c r="E3298">
        <f>2064.45</f>
        <v>2064.4499999999998</v>
      </c>
      <c r="F3298">
        <f>1265.75</f>
        <v>1265.75</v>
      </c>
      <c r="G3298">
        <f>6262.082</f>
        <v>6262.0820000000003</v>
      </c>
      <c r="H3298">
        <f>1921.97</f>
        <v>1921.97</v>
      </c>
      <c r="I3298">
        <f>6636.922</f>
        <v>6636.9219999999996</v>
      </c>
      <c r="J3298">
        <f>1450.12</f>
        <v>1450.12</v>
      </c>
      <c r="K3298">
        <f>4235.8</f>
        <v>4235.8</v>
      </c>
      <c r="L3298">
        <f>1047.91</f>
        <v>1047.9100000000001</v>
      </c>
      <c r="M3298">
        <f>4207.03</f>
        <v>4207.03</v>
      </c>
      <c r="N3298">
        <f>160.338</f>
        <v>160.33799999999999</v>
      </c>
      <c r="O3298">
        <f>1628.4</f>
        <v>1628.4</v>
      </c>
      <c r="P3298">
        <f>82.56</f>
        <v>82.56</v>
      </c>
      <c r="Q3298">
        <f>890.24</f>
        <v>890.24</v>
      </c>
      <c r="R3298">
        <f>2033.85</f>
        <v>2033.85</v>
      </c>
      <c r="S3298">
        <f>1052.45</f>
        <v>1052.45</v>
      </c>
      <c r="T3298">
        <f>1610.917</f>
        <v>1610.9169999999999</v>
      </c>
      <c r="U3298">
        <f>31662.14</f>
        <v>31662.14</v>
      </c>
      <c r="V3298">
        <f>216.45</f>
        <v>216.45</v>
      </c>
    </row>
    <row r="3299" spans="1:22" x14ac:dyDescent="0.2">
      <c r="A3299" s="1">
        <v>40490</v>
      </c>
      <c r="B3299">
        <f>2336.77</f>
        <v>2336.77</v>
      </c>
      <c r="C3299">
        <f>8905.58</f>
        <v>8905.58</v>
      </c>
      <c r="D3299">
        <f>3810.54</f>
        <v>3810.54</v>
      </c>
      <c r="E3299">
        <f>2063.616</f>
        <v>2063.616</v>
      </c>
      <c r="F3299">
        <f>1266.77</f>
        <v>1266.77</v>
      </c>
      <c r="G3299">
        <f>6245.849</f>
        <v>6245.8490000000002</v>
      </c>
      <c r="H3299">
        <f>1909.29</f>
        <v>1909.29</v>
      </c>
      <c r="I3299">
        <f>6581.478</f>
        <v>6581.4780000000001</v>
      </c>
      <c r="J3299">
        <f>1456.14</f>
        <v>1456.14</v>
      </c>
      <c r="K3299">
        <f>4267.43</f>
        <v>4267.43</v>
      </c>
      <c r="L3299">
        <f>1048.42</f>
        <v>1048.42</v>
      </c>
      <c r="M3299">
        <f>4215.02</f>
        <v>4215.0200000000004</v>
      </c>
      <c r="N3299">
        <f>159.341</f>
        <v>159.34100000000001</v>
      </c>
      <c r="O3299">
        <f>1619.19</f>
        <v>1619.19</v>
      </c>
      <c r="P3299">
        <f>82.39</f>
        <v>82.39</v>
      </c>
      <c r="Q3299">
        <f>895.05</f>
        <v>895.05</v>
      </c>
      <c r="R3299">
        <f>2049.69</f>
        <v>2049.69</v>
      </c>
      <c r="S3299">
        <f>1054.7</f>
        <v>1054.7</v>
      </c>
      <c r="T3299">
        <f>1606.58</f>
        <v>1606.58</v>
      </c>
      <c r="U3299">
        <f>31388.98</f>
        <v>31388.98</v>
      </c>
      <c r="V3299">
        <f>215.55</f>
        <v>215.55</v>
      </c>
    </row>
    <row r="3300" spans="1:22" x14ac:dyDescent="0.2">
      <c r="A3300" s="1">
        <v>40487</v>
      </c>
      <c r="B3300">
        <f>2345.64</f>
        <v>2345.64</v>
      </c>
      <c r="C3300">
        <f>8910.75</f>
        <v>8910.75</v>
      </c>
      <c r="D3300">
        <f>3827.08</f>
        <v>3827.08</v>
      </c>
      <c r="E3300">
        <f>2066.73</f>
        <v>2066.73</v>
      </c>
      <c r="F3300">
        <f>1277.29</f>
        <v>1277.29</v>
      </c>
      <c r="G3300">
        <f>6298.97</f>
        <v>6298.97</v>
      </c>
      <c r="H3300">
        <f>1895.89</f>
        <v>1895.89</v>
      </c>
      <c r="I3300">
        <f>6645.921</f>
        <v>6645.9210000000003</v>
      </c>
      <c r="J3300">
        <f>1460.36</f>
        <v>1460.36</v>
      </c>
      <c r="K3300">
        <f>4274.38</f>
        <v>4274.38</v>
      </c>
      <c r="L3300">
        <f>1054.95</f>
        <v>1054.95</v>
      </c>
      <c r="M3300">
        <f>4224.87</f>
        <v>4224.87</v>
      </c>
      <c r="N3300">
        <f>159.383</f>
        <v>159.38300000000001</v>
      </c>
      <c r="O3300">
        <f>1619.63</f>
        <v>1619.63</v>
      </c>
      <c r="P3300">
        <f>82.04</f>
        <v>82.04</v>
      </c>
      <c r="Q3300">
        <f>898.93</f>
        <v>898.93</v>
      </c>
      <c r="R3300">
        <f>2053.77</f>
        <v>2053.77</v>
      </c>
      <c r="S3300">
        <f>1046.23</f>
        <v>1046.23</v>
      </c>
      <c r="T3300">
        <f>1609.788</f>
        <v>1609.788</v>
      </c>
      <c r="U3300">
        <f>31456.46</f>
        <v>31456.46</v>
      </c>
      <c r="V3300">
        <f>215.25</f>
        <v>215.25</v>
      </c>
    </row>
    <row r="3301" spans="1:22" x14ac:dyDescent="0.2">
      <c r="A3301" s="1">
        <v>40486</v>
      </c>
      <c r="B3301">
        <f>2334.1</f>
        <v>2334.1</v>
      </c>
      <c r="C3301">
        <f>8886.18</f>
        <v>8886.18</v>
      </c>
      <c r="D3301">
        <f>3818.9</f>
        <v>3818.9</v>
      </c>
      <c r="E3301">
        <f>2058.037</f>
        <v>2058.0369999999998</v>
      </c>
      <c r="F3301">
        <f>1277.06</f>
        <v>1277.06</v>
      </c>
      <c r="G3301">
        <f>6314.084</f>
        <v>6314.0839999999998</v>
      </c>
      <c r="H3301">
        <f>1888.96</f>
        <v>1888.96</v>
      </c>
      <c r="I3301">
        <f>6732.074</f>
        <v>6732.0739999999996</v>
      </c>
      <c r="J3301">
        <f>1461.36</f>
        <v>1461.36</v>
      </c>
      <c r="K3301">
        <f>4258.42</f>
        <v>4258.42</v>
      </c>
      <c r="L3301">
        <f>1059.71</f>
        <v>1059.71</v>
      </c>
      <c r="M3301">
        <f>4220.34</f>
        <v>4220.34</v>
      </c>
      <c r="N3301">
        <f>159.098</f>
        <v>159.09800000000001</v>
      </c>
      <c r="O3301">
        <f>1613.68</f>
        <v>1613.68</v>
      </c>
      <c r="P3301">
        <f>81.07</f>
        <v>81.069999999999993</v>
      </c>
      <c r="Q3301">
        <f>898.9</f>
        <v>898.9</v>
      </c>
      <c r="R3301">
        <f>2045.62</f>
        <v>2045.62</v>
      </c>
      <c r="S3301">
        <f>1022.86</f>
        <v>1022.86</v>
      </c>
      <c r="T3301">
        <f>1615.186</f>
        <v>1615.1859999999999</v>
      </c>
      <c r="U3301">
        <f>31327.9</f>
        <v>31327.9</v>
      </c>
      <c r="V3301">
        <f>215.6</f>
        <v>215.6</v>
      </c>
    </row>
    <row r="3302" spans="1:22" x14ac:dyDescent="0.2">
      <c r="A3302" s="1">
        <v>40485</v>
      </c>
      <c r="B3302">
        <f>2310.5</f>
        <v>2310.5</v>
      </c>
      <c r="C3302">
        <f>8735.79</f>
        <v>8735.7900000000009</v>
      </c>
      <c r="D3302">
        <f>3744.76</f>
        <v>3744.76</v>
      </c>
      <c r="E3302">
        <f>2024.711</f>
        <v>2024.711</v>
      </c>
      <c r="F3302">
        <f>1252.47</f>
        <v>1252.47</v>
      </c>
      <c r="G3302">
        <f>6115.821</f>
        <v>6115.8209999999999</v>
      </c>
      <c r="H3302">
        <f>1849.49</f>
        <v>1849.49</v>
      </c>
      <c r="I3302">
        <f>6528.221</f>
        <v>6528.2209999999995</v>
      </c>
      <c r="J3302">
        <f>1440.18</f>
        <v>1440.18</v>
      </c>
      <c r="K3302">
        <f>4177.7</f>
        <v>4177.7</v>
      </c>
      <c r="L3302">
        <f>1039.72</f>
        <v>1039.72</v>
      </c>
      <c r="M3302">
        <f>4121.21</f>
        <v>4121.21</v>
      </c>
      <c r="N3302">
        <f>157.512</f>
        <v>157.512</v>
      </c>
      <c r="O3302">
        <f>1587.28</f>
        <v>1587.28</v>
      </c>
      <c r="P3302" t="e">
        <f>NA()</f>
        <v>#N/A</v>
      </c>
      <c r="Q3302">
        <f>885.71</f>
        <v>885.71</v>
      </c>
      <c r="R3302">
        <f>2006.58</f>
        <v>2006.58</v>
      </c>
      <c r="S3302" t="e">
        <f>NA()</f>
        <v>#N/A</v>
      </c>
      <c r="T3302">
        <f>1604.408</f>
        <v>1604.4079999999999</v>
      </c>
      <c r="U3302">
        <f>30817.97</f>
        <v>30817.97</v>
      </c>
      <c r="V3302">
        <f>214.65</f>
        <v>214.65</v>
      </c>
    </row>
    <row r="3303" spans="1:22" x14ac:dyDescent="0.2">
      <c r="A3303" s="1">
        <v>40484</v>
      </c>
      <c r="B3303">
        <f>2319.04</f>
        <v>2319.04</v>
      </c>
      <c r="C3303">
        <f>8646.43</f>
        <v>8646.43</v>
      </c>
      <c r="D3303">
        <f>3746.45</f>
        <v>3746.45</v>
      </c>
      <c r="E3303">
        <f>2009.636</f>
        <v>2009.636</v>
      </c>
      <c r="F3303">
        <f>1249.88</f>
        <v>1249.8800000000001</v>
      </c>
      <c r="G3303">
        <f>6091.65</f>
        <v>6091.65</v>
      </c>
      <c r="H3303">
        <f>1863.34</f>
        <v>1863.34</v>
      </c>
      <c r="I3303">
        <f>6582.433</f>
        <v>6582.433</v>
      </c>
      <c r="J3303">
        <f>1437.5</f>
        <v>1437.5</v>
      </c>
      <c r="K3303">
        <f>4162.79</f>
        <v>4162.79</v>
      </c>
      <c r="L3303">
        <f>1042.11</f>
        <v>1042.1099999999999</v>
      </c>
      <c r="M3303">
        <f>4120.53</f>
        <v>4120.53</v>
      </c>
      <c r="N3303">
        <f>158.561</f>
        <v>158.56100000000001</v>
      </c>
      <c r="O3303">
        <f>1593.63</f>
        <v>1593.63</v>
      </c>
      <c r="P3303">
        <f>79.74</f>
        <v>79.739999999999995</v>
      </c>
      <c r="Q3303">
        <f>883.94</f>
        <v>883.94</v>
      </c>
      <c r="R3303">
        <f>1998.86</f>
        <v>1998.86</v>
      </c>
      <c r="S3303">
        <f>1006.31</f>
        <v>1006.31</v>
      </c>
      <c r="T3303">
        <f>1584.166</f>
        <v>1584.1659999999999</v>
      </c>
      <c r="U3303">
        <f>30609.63</f>
        <v>30609.63</v>
      </c>
      <c r="V3303">
        <f>212.38</f>
        <v>212.38</v>
      </c>
    </row>
    <row r="3304" spans="1:22" x14ac:dyDescent="0.2">
      <c r="A3304" s="1">
        <v>40483</v>
      </c>
      <c r="B3304">
        <f>2308.31</f>
        <v>2308.31</v>
      </c>
      <c r="C3304">
        <f>8621.8</f>
        <v>8621.7999999999993</v>
      </c>
      <c r="D3304">
        <f>3705.59</f>
        <v>3705.59</v>
      </c>
      <c r="E3304">
        <f>2003.67</f>
        <v>2003.67</v>
      </c>
      <c r="F3304">
        <f>1235.1</f>
        <v>1235.0999999999999</v>
      </c>
      <c r="G3304">
        <f>6038.95</f>
        <v>6038.95</v>
      </c>
      <c r="H3304">
        <f>1867.53</f>
        <v>1867.53</v>
      </c>
      <c r="I3304">
        <f>6471.017</f>
        <v>6471.0169999999998</v>
      </c>
      <c r="J3304">
        <f>1429.15</f>
        <v>1429.15</v>
      </c>
      <c r="K3304">
        <f>4130.6</f>
        <v>4130.6000000000004</v>
      </c>
      <c r="L3304">
        <f>1031.29</f>
        <v>1031.29</v>
      </c>
      <c r="M3304">
        <f>4084.82</f>
        <v>4084.82</v>
      </c>
      <c r="N3304">
        <f>158.209</f>
        <v>158.209</v>
      </c>
      <c r="O3304">
        <f>1586.46</f>
        <v>1586.46</v>
      </c>
      <c r="P3304">
        <f>79.62</f>
        <v>79.62</v>
      </c>
      <c r="Q3304">
        <f>879.54</f>
        <v>879.54</v>
      </c>
      <c r="R3304">
        <f>1983.47</f>
        <v>1983.47</v>
      </c>
      <c r="S3304">
        <f>1006.54</f>
        <v>1006.54</v>
      </c>
      <c r="T3304">
        <f>1577.55</f>
        <v>1577.55</v>
      </c>
      <c r="U3304">
        <f>30637.96</f>
        <v>30637.96</v>
      </c>
      <c r="V3304">
        <f>211.69</f>
        <v>211.69</v>
      </c>
    </row>
    <row r="3305" spans="1:22" x14ac:dyDescent="0.2">
      <c r="A3305" s="1">
        <v>40480</v>
      </c>
      <c r="B3305">
        <f>2303.44</f>
        <v>2303.44</v>
      </c>
      <c r="C3305">
        <f>8513.58</f>
        <v>8513.58</v>
      </c>
      <c r="D3305">
        <f>3692.92</f>
        <v>3692.92</v>
      </c>
      <c r="E3305">
        <f>1976.583</f>
        <v>1976.5830000000001</v>
      </c>
      <c r="F3305">
        <f>1227.76</f>
        <v>1227.76</v>
      </c>
      <c r="G3305">
        <f>5996.792</f>
        <v>5996.7920000000004</v>
      </c>
      <c r="H3305">
        <f>1877.16</f>
        <v>1877.16</v>
      </c>
      <c r="I3305">
        <f>6485.683</f>
        <v>6485.683</v>
      </c>
      <c r="J3305">
        <f>1428.54</f>
        <v>1428.54</v>
      </c>
      <c r="K3305">
        <f>4126.48</f>
        <v>4126.4799999999996</v>
      </c>
      <c r="L3305">
        <f>1030.98</f>
        <v>1030.98</v>
      </c>
      <c r="M3305">
        <f>4081.19</f>
        <v>4081.19</v>
      </c>
      <c r="N3305">
        <f>158.396</f>
        <v>158.39599999999999</v>
      </c>
      <c r="O3305">
        <f>1585</f>
        <v>1585</v>
      </c>
      <c r="P3305">
        <f>80.41</f>
        <v>80.41</v>
      </c>
      <c r="Q3305">
        <f>879.47</f>
        <v>879.47</v>
      </c>
      <c r="R3305">
        <f>1981.59</f>
        <v>1981.59</v>
      </c>
      <c r="S3305">
        <f>1016.07</f>
        <v>1016.07</v>
      </c>
      <c r="T3305">
        <f>1563.503</f>
        <v>1563.5029999999999</v>
      </c>
      <c r="U3305">
        <f>30430.9</f>
        <v>30430.9</v>
      </c>
      <c r="V3305">
        <f>210.21</f>
        <v>210.21</v>
      </c>
    </row>
    <row r="3306" spans="1:22" x14ac:dyDescent="0.2">
      <c r="A3306" s="1">
        <v>40479</v>
      </c>
      <c r="B3306">
        <f>2296.67</f>
        <v>2296.67</v>
      </c>
      <c r="C3306">
        <f>8472.3</f>
        <v>8472.2999999999993</v>
      </c>
      <c r="D3306">
        <f>3694.7</f>
        <v>3694.7</v>
      </c>
      <c r="E3306">
        <f>1971.345</f>
        <v>1971.345</v>
      </c>
      <c r="F3306">
        <f>1218.79</f>
        <v>1218.79</v>
      </c>
      <c r="G3306">
        <f>5981.775</f>
        <v>5981.7749999999996</v>
      </c>
      <c r="H3306">
        <f>1858.71</f>
        <v>1858.71</v>
      </c>
      <c r="I3306">
        <f>6491.818</f>
        <v>6491.8180000000002</v>
      </c>
      <c r="J3306">
        <f>1430.46</f>
        <v>1430.46</v>
      </c>
      <c r="K3306">
        <f>4126.65</f>
        <v>4126.6499999999996</v>
      </c>
      <c r="L3306">
        <f>1029.32</f>
        <v>1029.32</v>
      </c>
      <c r="M3306">
        <f>4078.18</f>
        <v>4078.18</v>
      </c>
      <c r="N3306">
        <f>157.341</f>
        <v>157.34100000000001</v>
      </c>
      <c r="O3306">
        <f>1581.99</f>
        <v>1581.99</v>
      </c>
      <c r="P3306">
        <f>80.27</f>
        <v>80.27</v>
      </c>
      <c r="Q3306">
        <f>877.51</f>
        <v>877.51</v>
      </c>
      <c r="R3306">
        <f>1982.45</f>
        <v>1982.45</v>
      </c>
      <c r="S3306">
        <f>1020.35</f>
        <v>1020.35</v>
      </c>
      <c r="T3306">
        <f>1548.354</f>
        <v>1548.354</v>
      </c>
      <c r="U3306">
        <f>30186.58</f>
        <v>30186.58</v>
      </c>
      <c r="V3306">
        <f>207.57</f>
        <v>207.57</v>
      </c>
    </row>
    <row r="3307" spans="1:22" x14ac:dyDescent="0.2">
      <c r="A3307" s="1">
        <v>40478</v>
      </c>
      <c r="B3307">
        <f>2285.03</f>
        <v>2285.0300000000002</v>
      </c>
      <c r="C3307">
        <f>8427.12</f>
        <v>8427.1200000000008</v>
      </c>
      <c r="D3307">
        <f>3673.96</f>
        <v>3673.96</v>
      </c>
      <c r="E3307">
        <f>1964.274</f>
        <v>1964.2739999999999</v>
      </c>
      <c r="F3307">
        <f>1201.14</f>
        <v>1201.1400000000001</v>
      </c>
      <c r="G3307">
        <f>5888.459</f>
        <v>5888.4589999999998</v>
      </c>
      <c r="H3307">
        <f>1846.98</f>
        <v>1846.98</v>
      </c>
      <c r="I3307">
        <f>6418.074</f>
        <v>6418.0739999999996</v>
      </c>
      <c r="J3307">
        <f>1426.69</f>
        <v>1426.69</v>
      </c>
      <c r="K3307">
        <f>4121.23</f>
        <v>4121.2299999999996</v>
      </c>
      <c r="L3307">
        <f>1019.56</f>
        <v>1019.56</v>
      </c>
      <c r="M3307">
        <f>4053.02</f>
        <v>4053.02</v>
      </c>
      <c r="N3307">
        <f>156.91</f>
        <v>156.91</v>
      </c>
      <c r="O3307">
        <f>1577.18</f>
        <v>1577.18</v>
      </c>
      <c r="P3307">
        <f>80.94</f>
        <v>80.94</v>
      </c>
      <c r="Q3307">
        <f>878.02</f>
        <v>878.02</v>
      </c>
      <c r="R3307">
        <f>1980.05</f>
        <v>1980.05</v>
      </c>
      <c r="S3307">
        <f>1024.66</f>
        <v>1024.6600000000001</v>
      </c>
      <c r="T3307">
        <f>1536.677</f>
        <v>1536.6769999999999</v>
      </c>
      <c r="U3307">
        <f>29955.84</f>
        <v>29955.84</v>
      </c>
      <c r="V3307">
        <f>206.53</f>
        <v>206.53</v>
      </c>
    </row>
    <row r="3308" spans="1:22" x14ac:dyDescent="0.2">
      <c r="A3308" s="1">
        <v>40477</v>
      </c>
      <c r="B3308">
        <f>2304.78</f>
        <v>2304.7800000000002</v>
      </c>
      <c r="C3308">
        <f>8553.28</f>
        <v>8553.2800000000007</v>
      </c>
      <c r="D3308">
        <f>3711.68</f>
        <v>3711.68</v>
      </c>
      <c r="E3308">
        <f>1995.875</f>
        <v>1995.875</v>
      </c>
      <c r="F3308">
        <f>1218.85</f>
        <v>1218.8499999999999</v>
      </c>
      <c r="G3308">
        <f>5979.899</f>
        <v>5979.8990000000003</v>
      </c>
      <c r="H3308">
        <f>1860.65</f>
        <v>1860.65</v>
      </c>
      <c r="I3308">
        <f>6501.441</f>
        <v>6501.4409999999998</v>
      </c>
      <c r="J3308">
        <f>1435.53</f>
        <v>1435.53</v>
      </c>
      <c r="K3308">
        <f>4130.19</f>
        <v>4130.1899999999996</v>
      </c>
      <c r="L3308">
        <f>1031.15</f>
        <v>1031.1500000000001</v>
      </c>
      <c r="M3308">
        <f>4085.57</f>
        <v>4085.57</v>
      </c>
      <c r="N3308">
        <f>158.276</f>
        <v>158.27600000000001</v>
      </c>
      <c r="O3308">
        <f>1589.33</f>
        <v>1589.33</v>
      </c>
      <c r="P3308">
        <f>81.1</f>
        <v>81.099999999999994</v>
      </c>
      <c r="Q3308">
        <f>882.29</f>
        <v>882.29</v>
      </c>
      <c r="R3308">
        <f>1985.13</f>
        <v>1985.13</v>
      </c>
      <c r="S3308">
        <f>1024.85</f>
        <v>1024.8499999999999</v>
      </c>
      <c r="T3308">
        <f>1534.378</f>
        <v>1534.3779999999999</v>
      </c>
      <c r="U3308">
        <f>30133.78</f>
        <v>30133.78</v>
      </c>
      <c r="V3308">
        <f>206.74</f>
        <v>206.74</v>
      </c>
    </row>
    <row r="3309" spans="1:22" x14ac:dyDescent="0.2">
      <c r="A3309" s="1">
        <v>40476</v>
      </c>
      <c r="B3309">
        <f>2310.76</f>
        <v>2310.7600000000002</v>
      </c>
      <c r="C3309">
        <f>8513.86</f>
        <v>8513.86</v>
      </c>
      <c r="D3309">
        <f>3740.74</f>
        <v>3740.74</v>
      </c>
      <c r="E3309">
        <f>1993.528</f>
        <v>1993.528</v>
      </c>
      <c r="F3309">
        <f>1211.74</f>
        <v>1211.74</v>
      </c>
      <c r="G3309">
        <f>5971.594</f>
        <v>5971.5940000000001</v>
      </c>
      <c r="H3309">
        <f>1874.47</f>
        <v>1874.47</v>
      </c>
      <c r="I3309">
        <f>6601.353</f>
        <v>6601.3530000000001</v>
      </c>
      <c r="J3309">
        <f>1437.88</f>
        <v>1437.88</v>
      </c>
      <c r="K3309">
        <f>4128.31</f>
        <v>4128.3100000000004</v>
      </c>
      <c r="L3309">
        <f>1036.99</f>
        <v>1036.99</v>
      </c>
      <c r="M3309">
        <f>4105.19</f>
        <v>4105.1899999999996</v>
      </c>
      <c r="N3309">
        <f>158.494</f>
        <v>158.494</v>
      </c>
      <c r="O3309">
        <f>1593.53</f>
        <v>1593.53</v>
      </c>
      <c r="P3309">
        <f>81.25</f>
        <v>81.25</v>
      </c>
      <c r="Q3309">
        <f>886.23</f>
        <v>886.23</v>
      </c>
      <c r="R3309">
        <f>1985.11</f>
        <v>1985.11</v>
      </c>
      <c r="S3309">
        <f>1028.97</f>
        <v>1028.97</v>
      </c>
      <c r="T3309">
        <f>1527.167</f>
        <v>1527.1669999999999</v>
      </c>
      <c r="U3309">
        <f>30262.64</f>
        <v>30262.639999999999</v>
      </c>
      <c r="V3309">
        <f>206.65</f>
        <v>206.65</v>
      </c>
    </row>
    <row r="3310" spans="1:22" x14ac:dyDescent="0.2">
      <c r="A3310" s="1">
        <v>40473</v>
      </c>
      <c r="B3310">
        <f>2308.22</f>
        <v>2308.2199999999998</v>
      </c>
      <c r="C3310">
        <f>8459.49</f>
        <v>8459.49</v>
      </c>
      <c r="D3310">
        <f>3733.84</f>
        <v>3733.84</v>
      </c>
      <c r="E3310">
        <f>1975.453</f>
        <v>1975.453</v>
      </c>
      <c r="F3310">
        <f>1208.8</f>
        <v>1208.8</v>
      </c>
      <c r="G3310">
        <f>5940.957</f>
        <v>5940.9570000000003</v>
      </c>
      <c r="H3310">
        <f>1858.93</f>
        <v>1858.93</v>
      </c>
      <c r="I3310">
        <f>6554.857</f>
        <v>6554.857</v>
      </c>
      <c r="J3310">
        <f>1434.74</f>
        <v>1434.74</v>
      </c>
      <c r="K3310">
        <f>4118.52</f>
        <v>4118.5200000000004</v>
      </c>
      <c r="L3310">
        <f>1031.36</f>
        <v>1031.3599999999999</v>
      </c>
      <c r="M3310">
        <f>4082.67</f>
        <v>4082.67</v>
      </c>
      <c r="N3310">
        <f>157.345</f>
        <v>157.345</v>
      </c>
      <c r="O3310">
        <f>1589.13</f>
        <v>1589.13</v>
      </c>
      <c r="P3310">
        <f>81.54</f>
        <v>81.540000000000006</v>
      </c>
      <c r="Q3310">
        <f>885.6</f>
        <v>885.6</v>
      </c>
      <c r="R3310">
        <f>1980.83</f>
        <v>1980.83</v>
      </c>
      <c r="S3310">
        <f>1033.54</f>
        <v>1033.54</v>
      </c>
      <c r="T3310">
        <f>1530.203</f>
        <v>1530.203</v>
      </c>
      <c r="U3310">
        <f>30118.16</f>
        <v>30118.16</v>
      </c>
      <c r="V3310">
        <f>206.75</f>
        <v>206.75</v>
      </c>
    </row>
    <row r="3311" spans="1:22" x14ac:dyDescent="0.2">
      <c r="A3311" s="1">
        <v>40472</v>
      </c>
      <c r="B3311">
        <f>2313.12</f>
        <v>2313.12</v>
      </c>
      <c r="C3311">
        <f>8478.64</f>
        <v>8478.64</v>
      </c>
      <c r="D3311">
        <f>3744.56</f>
        <v>3744.56</v>
      </c>
      <c r="E3311">
        <f>1977.298</f>
        <v>1977.298</v>
      </c>
      <c r="F3311">
        <f>1218.05</f>
        <v>1218.05</v>
      </c>
      <c r="G3311">
        <f>5994.66</f>
        <v>5994.66</v>
      </c>
      <c r="H3311">
        <f>1862.51</f>
        <v>1862.51</v>
      </c>
      <c r="I3311">
        <f>6611.378</f>
        <v>6611.3779999999997</v>
      </c>
      <c r="J3311">
        <f>1435.48</f>
        <v>1435.48</v>
      </c>
      <c r="K3311">
        <f>4108.56</f>
        <v>4108.5600000000004</v>
      </c>
      <c r="L3311">
        <f>1037.1</f>
        <v>1037.0999999999999</v>
      </c>
      <c r="M3311">
        <f>4089.1</f>
        <v>4089.1</v>
      </c>
      <c r="N3311">
        <f>158.014</f>
        <v>158.01400000000001</v>
      </c>
      <c r="O3311">
        <f>1594.6</f>
        <v>1594.6</v>
      </c>
      <c r="P3311">
        <f>81.15</f>
        <v>81.150000000000006</v>
      </c>
      <c r="Q3311">
        <f>887.93</f>
        <v>887.93</v>
      </c>
      <c r="R3311">
        <f>1976.12</f>
        <v>1976.12</v>
      </c>
      <c r="S3311">
        <f>1027.93</f>
        <v>1027.93</v>
      </c>
      <c r="T3311">
        <f>1538.933</f>
        <v>1538.933</v>
      </c>
      <c r="U3311">
        <f>30439.46</f>
        <v>30439.46</v>
      </c>
      <c r="V3311">
        <f>208.37</f>
        <v>208.37</v>
      </c>
    </row>
    <row r="3312" spans="1:22" x14ac:dyDescent="0.2">
      <c r="A3312" s="1">
        <v>40471</v>
      </c>
      <c r="B3312">
        <f>2299.03</f>
        <v>2299.0300000000002</v>
      </c>
      <c r="C3312">
        <f>8489.62</f>
        <v>8489.6200000000008</v>
      </c>
      <c r="D3312">
        <f>3725.74</f>
        <v>3725.74</v>
      </c>
      <c r="E3312">
        <f>1968.23</f>
        <v>1968.23</v>
      </c>
      <c r="F3312">
        <f>1226.89</f>
        <v>1226.8900000000001</v>
      </c>
      <c r="G3312">
        <f>5998.264</f>
        <v>5998.2640000000001</v>
      </c>
      <c r="H3312">
        <f>1873.73</f>
        <v>1873.73</v>
      </c>
      <c r="I3312">
        <f>6535.068</f>
        <v>6535.0680000000002</v>
      </c>
      <c r="J3312">
        <f>1432.29</f>
        <v>1432.29</v>
      </c>
      <c r="K3312">
        <f>4100.92</f>
        <v>4100.92</v>
      </c>
      <c r="L3312">
        <f>1034.45</f>
        <v>1034.45</v>
      </c>
      <c r="M3312">
        <f>4078.74</f>
        <v>4078.74</v>
      </c>
      <c r="N3312">
        <f>157.159</f>
        <v>157.15899999999999</v>
      </c>
      <c r="O3312">
        <f>1586.08</f>
        <v>1586.08</v>
      </c>
      <c r="P3312">
        <f>81.28</f>
        <v>81.28</v>
      </c>
      <c r="Q3312">
        <f>884.98</f>
        <v>884.98</v>
      </c>
      <c r="R3312">
        <f>1972.51</f>
        <v>1972.51</v>
      </c>
      <c r="S3312">
        <f>1032.06</f>
        <v>1032.06</v>
      </c>
      <c r="T3312">
        <f>1520.375</f>
        <v>1520.375</v>
      </c>
      <c r="U3312">
        <f>30080.5</f>
        <v>30080.5</v>
      </c>
      <c r="V3312">
        <f>207.67</f>
        <v>207.67</v>
      </c>
    </row>
    <row r="3313" spans="1:22" x14ac:dyDescent="0.2">
      <c r="A3313" s="1">
        <v>40470</v>
      </c>
      <c r="B3313">
        <f>2297.06</f>
        <v>2297.06</v>
      </c>
      <c r="C3313">
        <f>8470.54</f>
        <v>8470.5400000000009</v>
      </c>
      <c r="D3313">
        <f>3708.25</f>
        <v>3708.25</v>
      </c>
      <c r="E3313">
        <f>1961.525</f>
        <v>1961.5250000000001</v>
      </c>
      <c r="F3313">
        <f>1213.2</f>
        <v>1213.2</v>
      </c>
      <c r="G3313">
        <f>5922.141</f>
        <v>5922.1409999999996</v>
      </c>
      <c r="H3313">
        <f>1872.88</f>
        <v>1872.88</v>
      </c>
      <c r="I3313">
        <f>6418.136</f>
        <v>6418.1360000000004</v>
      </c>
      <c r="J3313">
        <f>1416.88</f>
        <v>1416.88</v>
      </c>
      <c r="K3313">
        <f>4057.29</f>
        <v>4057.29</v>
      </c>
      <c r="L3313">
        <f>1022.48</f>
        <v>1022.48</v>
      </c>
      <c r="M3313">
        <f>4034.91</f>
        <v>4034.91</v>
      </c>
      <c r="N3313">
        <f>156.508</f>
        <v>156.50800000000001</v>
      </c>
      <c r="O3313">
        <f>1579.65</f>
        <v>1579.65</v>
      </c>
      <c r="P3313">
        <f>82.04</f>
        <v>82.04</v>
      </c>
      <c r="Q3313">
        <f>877.18</f>
        <v>877.18</v>
      </c>
      <c r="R3313">
        <f>1951.67</f>
        <v>1951.67</v>
      </c>
      <c r="S3313">
        <f>1044.64</f>
        <v>1044.6400000000001</v>
      </c>
      <c r="T3313">
        <f>1520.104</f>
        <v>1520.104</v>
      </c>
      <c r="U3313">
        <f>30003.08</f>
        <v>30003.08</v>
      </c>
      <c r="V3313">
        <f>206.82</f>
        <v>206.82</v>
      </c>
    </row>
    <row r="3314" spans="1:22" x14ac:dyDescent="0.2">
      <c r="A3314" s="1">
        <v>40469</v>
      </c>
      <c r="B3314">
        <f>2304.93</f>
        <v>2304.9299999999998</v>
      </c>
      <c r="C3314">
        <f>8581.38</f>
        <v>8581.3799999999992</v>
      </c>
      <c r="D3314">
        <f>3733.37</f>
        <v>3733.37</v>
      </c>
      <c r="E3314">
        <f>1987.912</f>
        <v>1987.912</v>
      </c>
      <c r="F3314">
        <f>1233.51</f>
        <v>1233.51</v>
      </c>
      <c r="G3314">
        <f>6028.104</f>
        <v>6028.1040000000003</v>
      </c>
      <c r="H3314">
        <f>1877.96</f>
        <v>1877.96</v>
      </c>
      <c r="I3314">
        <f>6537.332</f>
        <v>6537.3320000000003</v>
      </c>
      <c r="J3314">
        <f>1434.63</f>
        <v>1434.63</v>
      </c>
      <c r="K3314">
        <f>4123.5</f>
        <v>4123.5</v>
      </c>
      <c r="L3314">
        <f>1037.15</f>
        <v>1037.1500000000001</v>
      </c>
      <c r="M3314">
        <f>4098.35</f>
        <v>4098.3500000000004</v>
      </c>
      <c r="N3314">
        <f>157.306</f>
        <v>157.30600000000001</v>
      </c>
      <c r="O3314">
        <f>1587.75</f>
        <v>1587.75</v>
      </c>
      <c r="P3314">
        <f>81.45</f>
        <v>81.45</v>
      </c>
      <c r="Q3314">
        <f>889.84</f>
        <v>889.84</v>
      </c>
      <c r="R3314">
        <f>1983.17</f>
        <v>1983.17</v>
      </c>
      <c r="S3314">
        <f>1040.61</f>
        <v>1040.6099999999999</v>
      </c>
      <c r="T3314">
        <f>1519.297</f>
        <v>1519.297</v>
      </c>
      <c r="U3314">
        <f>30177.05</f>
        <v>30177.05</v>
      </c>
      <c r="V3314">
        <f>206.4</f>
        <v>206.4</v>
      </c>
    </row>
    <row r="3315" spans="1:22" x14ac:dyDescent="0.2">
      <c r="A3315" s="1">
        <v>40466</v>
      </c>
      <c r="B3315">
        <f>2292.33</f>
        <v>2292.33</v>
      </c>
      <c r="C3315">
        <f>8660.95</f>
        <v>8660.9500000000007</v>
      </c>
      <c r="D3315">
        <f>3707.92</f>
        <v>3707.92</v>
      </c>
      <c r="E3315">
        <f>2004.011</f>
        <v>2004.011</v>
      </c>
      <c r="F3315">
        <f>1228.61</f>
        <v>1228.6099999999999</v>
      </c>
      <c r="G3315">
        <f>6028.639</f>
        <v>6028.6390000000001</v>
      </c>
      <c r="H3315">
        <f>1854.5</f>
        <v>1854.5</v>
      </c>
      <c r="I3315">
        <f>6537.377</f>
        <v>6537.3770000000004</v>
      </c>
      <c r="J3315">
        <f>1426.3</f>
        <v>1426.3</v>
      </c>
      <c r="K3315">
        <f>4095.3</f>
        <v>4095.3</v>
      </c>
      <c r="L3315">
        <f>1034.14</f>
        <v>1034.1400000000001</v>
      </c>
      <c r="M3315">
        <f>4083.52</f>
        <v>4083.52</v>
      </c>
      <c r="N3315">
        <f>157.475</f>
        <v>157.47499999999999</v>
      </c>
      <c r="O3315">
        <f>1584.34</f>
        <v>1584.34</v>
      </c>
      <c r="P3315">
        <f>80.69</f>
        <v>80.69</v>
      </c>
      <c r="Q3315">
        <f>886.07</f>
        <v>886.07</v>
      </c>
      <c r="R3315">
        <f>1968.87</f>
        <v>1968.87</v>
      </c>
      <c r="S3315">
        <f>1035.42</f>
        <v>1035.42</v>
      </c>
      <c r="T3315">
        <f>1511.42</f>
        <v>1511.42</v>
      </c>
      <c r="U3315">
        <f>30065.99</f>
        <v>30065.99</v>
      </c>
      <c r="V3315">
        <f>205.38</f>
        <v>205.38</v>
      </c>
    </row>
    <row r="3316" spans="1:22" x14ac:dyDescent="0.2">
      <c r="A3316" s="1">
        <v>40465</v>
      </c>
      <c r="B3316">
        <f>2310.92</f>
        <v>2310.92</v>
      </c>
      <c r="C3316">
        <f>8696.61</f>
        <v>8696.61</v>
      </c>
      <c r="D3316">
        <f>3723.42</f>
        <v>3723.42</v>
      </c>
      <c r="E3316">
        <f>2013.708</f>
        <v>2013.7080000000001</v>
      </c>
      <c r="F3316">
        <f>1234.65</f>
        <v>1234.6500000000001</v>
      </c>
      <c r="G3316">
        <f>6054.396</f>
        <v>6054.3959999999997</v>
      </c>
      <c r="H3316">
        <f>1872.82</f>
        <v>1872.82</v>
      </c>
      <c r="I3316">
        <f>6565.72</f>
        <v>6565.72</v>
      </c>
      <c r="J3316">
        <f>1426.06</f>
        <v>1426.06</v>
      </c>
      <c r="K3316">
        <f>4085.55</f>
        <v>4085.55</v>
      </c>
      <c r="L3316">
        <f>1035.9</f>
        <v>1035.9000000000001</v>
      </c>
      <c r="M3316">
        <f>4092.07</f>
        <v>4092.07</v>
      </c>
      <c r="N3316">
        <f>156.705</f>
        <v>156.70500000000001</v>
      </c>
      <c r="O3316">
        <f>1581.56</f>
        <v>1581.56</v>
      </c>
      <c r="P3316">
        <f>81.78</f>
        <v>81.78</v>
      </c>
      <c r="Q3316">
        <f>885.69</f>
        <v>885.69</v>
      </c>
      <c r="R3316">
        <f>1964.9</f>
        <v>1964.9</v>
      </c>
      <c r="S3316">
        <f>1048.67</f>
        <v>1048.67</v>
      </c>
      <c r="T3316">
        <f>1518.355</f>
        <v>1518.355</v>
      </c>
      <c r="U3316">
        <f>30251.34</f>
        <v>30251.34</v>
      </c>
      <c r="V3316">
        <f>207.4</f>
        <v>207.4</v>
      </c>
    </row>
    <row r="3317" spans="1:22" x14ac:dyDescent="0.2">
      <c r="A3317" s="1">
        <v>40464</v>
      </c>
      <c r="B3317">
        <f>2314.99</f>
        <v>2314.9899999999998</v>
      </c>
      <c r="C3317">
        <f>8610.02</f>
        <v>8610.02</v>
      </c>
      <c r="D3317">
        <f>3736.51</f>
        <v>3736.51</v>
      </c>
      <c r="E3317">
        <f>1996.715</f>
        <v>1996.7149999999999</v>
      </c>
      <c r="F3317">
        <f>1225.74</f>
        <v>1225.74</v>
      </c>
      <c r="G3317">
        <f>6008.652</f>
        <v>6008.652</v>
      </c>
      <c r="H3317">
        <f>1835.92</f>
        <v>1835.92</v>
      </c>
      <c r="I3317">
        <f>6523.978</f>
        <v>6523.9780000000001</v>
      </c>
      <c r="J3317">
        <f>1424.86</f>
        <v>1424.86</v>
      </c>
      <c r="K3317">
        <f>4100.62</f>
        <v>4100.62</v>
      </c>
      <c r="L3317">
        <f>1030.71</f>
        <v>1030.71</v>
      </c>
      <c r="M3317">
        <f>4078.65</f>
        <v>4078.65</v>
      </c>
      <c r="N3317">
        <f>156.767</f>
        <v>156.767</v>
      </c>
      <c r="O3317">
        <f>1584.86</f>
        <v>1584.86</v>
      </c>
      <c r="P3317">
        <f>80.9</f>
        <v>80.900000000000006</v>
      </c>
      <c r="Q3317">
        <f>888.08</f>
        <v>888.08</v>
      </c>
      <c r="R3317">
        <f>1972.08</f>
        <v>1972.08</v>
      </c>
      <c r="S3317">
        <f>1030.76</f>
        <v>1030.76</v>
      </c>
      <c r="T3317">
        <f>1511.483</f>
        <v>1511.4829999999999</v>
      </c>
      <c r="U3317">
        <f>30267.46</f>
        <v>30267.46</v>
      </c>
      <c r="V3317">
        <f>206.99</f>
        <v>206.99</v>
      </c>
    </row>
    <row r="3318" spans="1:22" x14ac:dyDescent="0.2">
      <c r="A3318" s="1">
        <v>40463</v>
      </c>
      <c r="B3318">
        <f>2283.03</f>
        <v>2283.0300000000002</v>
      </c>
      <c r="C3318">
        <f>8479.5</f>
        <v>8479.5</v>
      </c>
      <c r="D3318">
        <f>3679.6</f>
        <v>3679.6</v>
      </c>
      <c r="E3318">
        <f>1963.239</f>
        <v>1963.239</v>
      </c>
      <c r="F3318">
        <f>1206.66</f>
        <v>1206.6600000000001</v>
      </c>
      <c r="G3318">
        <f>5898.099</f>
        <v>5898.0990000000002</v>
      </c>
      <c r="H3318">
        <f>1843.34</f>
        <v>1843.34</v>
      </c>
      <c r="I3318">
        <f>6358.587</f>
        <v>6358.5870000000004</v>
      </c>
      <c r="J3318">
        <f>1417.31</f>
        <v>1417.31</v>
      </c>
      <c r="K3318">
        <f>4071.26</f>
        <v>4071.26</v>
      </c>
      <c r="L3318">
        <f>1016.83</f>
        <v>1016.83</v>
      </c>
      <c r="M3318">
        <f>4030.74</f>
        <v>4030.74</v>
      </c>
      <c r="N3318">
        <f>155.26</f>
        <v>155.26</v>
      </c>
      <c r="O3318">
        <f>1561.89</f>
        <v>1561.89</v>
      </c>
      <c r="P3318">
        <f>80.94</f>
        <v>80.94</v>
      </c>
      <c r="Q3318">
        <f>882.41</f>
        <v>882.41</v>
      </c>
      <c r="R3318">
        <f>1957.92</f>
        <v>1957.92</v>
      </c>
      <c r="S3318">
        <f>1033.19</f>
        <v>1033.19</v>
      </c>
      <c r="T3318">
        <f>1499.913</f>
        <v>1499.913</v>
      </c>
      <c r="U3318">
        <f>29779.15</f>
        <v>29779.15</v>
      </c>
      <c r="V3318">
        <f>204.31</f>
        <v>204.31</v>
      </c>
    </row>
    <row r="3319" spans="1:22" x14ac:dyDescent="0.2">
      <c r="A3319" s="1">
        <v>40462</v>
      </c>
      <c r="B3319">
        <f>2291.24</f>
        <v>2291.2399999999998</v>
      </c>
      <c r="C3319">
        <f>8530.6</f>
        <v>8530.6</v>
      </c>
      <c r="D3319">
        <f>3686.62</f>
        <v>3686.62</v>
      </c>
      <c r="E3319">
        <f>1978.772</f>
        <v>1978.7719999999999</v>
      </c>
      <c r="F3319">
        <f>1216.33</f>
        <v>1216.33</v>
      </c>
      <c r="G3319">
        <f>5954.609</f>
        <v>5954.6090000000004</v>
      </c>
      <c r="H3319">
        <f>1870.13</f>
        <v>1870.13</v>
      </c>
      <c r="I3319">
        <f>6395.54</f>
        <v>6395.54</v>
      </c>
      <c r="J3319">
        <f>1415.73</f>
        <v>1415.73</v>
      </c>
      <c r="K3319">
        <f>4055.47</f>
        <v>4055.47</v>
      </c>
      <c r="L3319">
        <f>1021.48</f>
        <v>1021.48</v>
      </c>
      <c r="M3319">
        <f>4039.46</f>
        <v>4039.46</v>
      </c>
      <c r="N3319">
        <f>156.006</f>
        <v>156.006</v>
      </c>
      <c r="O3319">
        <f>1566.98</f>
        <v>1566.98</v>
      </c>
      <c r="P3319" t="e">
        <f>NA()</f>
        <v>#N/A</v>
      </c>
      <c r="Q3319">
        <f>881.7</f>
        <v>881.7</v>
      </c>
      <c r="R3319">
        <f>1950.47</f>
        <v>1950.47</v>
      </c>
      <c r="S3319" t="e">
        <f>NA()</f>
        <v>#N/A</v>
      </c>
      <c r="T3319">
        <f>1488.313</f>
        <v>1488.3130000000001</v>
      </c>
      <c r="U3319">
        <f>29747.11</f>
        <v>29747.11</v>
      </c>
      <c r="V3319">
        <f>203.68</f>
        <v>203.68</v>
      </c>
    </row>
    <row r="3320" spans="1:22" x14ac:dyDescent="0.2">
      <c r="A3320" s="1">
        <v>40459</v>
      </c>
      <c r="B3320">
        <f>2278.62</f>
        <v>2278.62</v>
      </c>
      <c r="C3320">
        <f>8467.76</f>
        <v>8467.76</v>
      </c>
      <c r="D3320">
        <f>3677.01</f>
        <v>3677.01</v>
      </c>
      <c r="E3320">
        <f>1966.798</f>
        <v>1966.798</v>
      </c>
      <c r="F3320">
        <f>1214.17</f>
        <v>1214.17</v>
      </c>
      <c r="G3320">
        <f>5949.041</f>
        <v>5949.0410000000002</v>
      </c>
      <c r="H3320">
        <f>1875.27</f>
        <v>1875.27</v>
      </c>
      <c r="I3320">
        <f>6391.02</f>
        <v>6391.02</v>
      </c>
      <c r="J3320">
        <f>1415.06</f>
        <v>1415.06</v>
      </c>
      <c r="K3320">
        <f>4054.53</f>
        <v>4054.53</v>
      </c>
      <c r="L3320">
        <f>1020.92</f>
        <v>1020.92</v>
      </c>
      <c r="M3320">
        <f>4037.12</f>
        <v>4037.12</v>
      </c>
      <c r="N3320">
        <f>155.553</f>
        <v>155.553</v>
      </c>
      <c r="O3320">
        <f>1562.88</f>
        <v>1562.88</v>
      </c>
      <c r="P3320">
        <f>82.54</f>
        <v>82.54</v>
      </c>
      <c r="Q3320">
        <f>880.48</f>
        <v>880.48</v>
      </c>
      <c r="R3320">
        <f>1950.18</f>
        <v>1950.18</v>
      </c>
      <c r="S3320">
        <f>1051.79</f>
        <v>1051.79</v>
      </c>
      <c r="T3320">
        <f>1484.004</f>
        <v>1484.0039999999999</v>
      </c>
      <c r="U3320">
        <f>29647.99</f>
        <v>29647.99</v>
      </c>
      <c r="V3320">
        <f>202.62</f>
        <v>202.62</v>
      </c>
    </row>
    <row r="3321" spans="1:22" x14ac:dyDescent="0.2">
      <c r="A3321" s="1">
        <v>40458</v>
      </c>
      <c r="B3321">
        <f>2288.82</f>
        <v>2288.8200000000002</v>
      </c>
      <c r="C3321">
        <f>8473.94</f>
        <v>8473.94</v>
      </c>
      <c r="D3321">
        <f>3679.95</f>
        <v>3679.95</v>
      </c>
      <c r="E3321">
        <f>1969.516</f>
        <v>1969.5160000000001</v>
      </c>
      <c r="F3321">
        <f>1215.57</f>
        <v>1215.57</v>
      </c>
      <c r="G3321">
        <f>5957.732</f>
        <v>5957.732</v>
      </c>
      <c r="H3321">
        <f>1888.12</f>
        <v>1888.12</v>
      </c>
      <c r="I3321">
        <f>6393.959</f>
        <v>6393.9589999999998</v>
      </c>
      <c r="J3321">
        <f>1408.71</f>
        <v>1408.71</v>
      </c>
      <c r="K3321">
        <f>4029.43</f>
        <v>4029.43</v>
      </c>
      <c r="L3321">
        <f>1021.27</f>
        <v>1021.27</v>
      </c>
      <c r="M3321">
        <f>4025.71</f>
        <v>4025.71</v>
      </c>
      <c r="N3321">
        <f>155.989</f>
        <v>155.989</v>
      </c>
      <c r="O3321">
        <f>1562.43</f>
        <v>1562.43</v>
      </c>
      <c r="P3321">
        <f>83.13</f>
        <v>83.13</v>
      </c>
      <c r="Q3321">
        <f>876.12</f>
        <v>876.12</v>
      </c>
      <c r="R3321">
        <f>1938.31</f>
        <v>1938.31</v>
      </c>
      <c r="S3321">
        <f>1060.09</f>
        <v>1060.0899999999999</v>
      </c>
      <c r="T3321">
        <f>1482.937</f>
        <v>1482.9369999999999</v>
      </c>
      <c r="U3321">
        <f>29524.11</f>
        <v>29524.11</v>
      </c>
      <c r="V3321">
        <f>202.91</f>
        <v>202.91</v>
      </c>
    </row>
    <row r="3322" spans="1:22" x14ac:dyDescent="0.2">
      <c r="A3322" s="1">
        <v>40457</v>
      </c>
      <c r="B3322">
        <f>2282.22</f>
        <v>2282.2199999999998</v>
      </c>
      <c r="C3322">
        <f>8502.43</f>
        <v>8502.43</v>
      </c>
      <c r="D3322">
        <f>3692.47</f>
        <v>3692.47</v>
      </c>
      <c r="E3322">
        <f>1976.501</f>
        <v>1976.501</v>
      </c>
      <c r="F3322">
        <f>1205.7</f>
        <v>1205.7</v>
      </c>
      <c r="G3322">
        <f>5958.226</f>
        <v>5958.2259999999997</v>
      </c>
      <c r="H3322">
        <f>1870.83</f>
        <v>1870.83</v>
      </c>
      <c r="I3322">
        <f>6365.85</f>
        <v>6365.85</v>
      </c>
      <c r="J3322">
        <f>1412.45</f>
        <v>1412.45</v>
      </c>
      <c r="K3322">
        <f>4035.38</f>
        <v>4035.38</v>
      </c>
      <c r="L3322">
        <f>1019.59</f>
        <v>1019.59</v>
      </c>
      <c r="M3322">
        <f>4022.24</f>
        <v>4022.24</v>
      </c>
      <c r="N3322">
        <f>155.535</f>
        <v>155.535</v>
      </c>
      <c r="O3322">
        <f>1561.74</f>
        <v>1561.74</v>
      </c>
      <c r="P3322">
        <f>83.06</f>
        <v>83.06</v>
      </c>
      <c r="Q3322">
        <f>878.58</f>
        <v>878.58</v>
      </c>
      <c r="R3322">
        <f>1941.5</f>
        <v>1941.5</v>
      </c>
      <c r="S3322">
        <f>1058.13</f>
        <v>1058.1300000000001</v>
      </c>
      <c r="T3322">
        <f>1486.648</f>
        <v>1486.6479999999999</v>
      </c>
      <c r="U3322">
        <f>29697.98</f>
        <v>29697.98</v>
      </c>
      <c r="V3322">
        <f>203.31</f>
        <v>203.31</v>
      </c>
    </row>
    <row r="3323" spans="1:22" x14ac:dyDescent="0.2">
      <c r="A3323" s="1">
        <v>40456</v>
      </c>
      <c r="B3323">
        <f>2265.88</f>
        <v>2265.88</v>
      </c>
      <c r="C3323">
        <f>8446.42</f>
        <v>8446.42</v>
      </c>
      <c r="D3323">
        <f>3662.14</f>
        <v>3662.14</v>
      </c>
      <c r="E3323">
        <f>1958.802</f>
        <v>1958.8019999999999</v>
      </c>
      <c r="F3323">
        <f>1200.62</f>
        <v>1200.6199999999999</v>
      </c>
      <c r="G3323">
        <f>5921.321</f>
        <v>5921.3209999999999</v>
      </c>
      <c r="H3323">
        <f>1854.67</f>
        <v>1854.67</v>
      </c>
      <c r="I3323">
        <f>6302.973</f>
        <v>6302.973</v>
      </c>
      <c r="J3323">
        <f>1409.59</f>
        <v>1409.59</v>
      </c>
      <c r="K3323">
        <f>4037.62</f>
        <v>4037.62</v>
      </c>
      <c r="L3323">
        <f>1013.96</f>
        <v>1013.96</v>
      </c>
      <c r="M3323">
        <f>4000.09</f>
        <v>4000.09</v>
      </c>
      <c r="N3323">
        <f>154.773</f>
        <v>154.773</v>
      </c>
      <c r="O3323">
        <f>1554.46</f>
        <v>1554.46</v>
      </c>
      <c r="P3323">
        <f>82.58</f>
        <v>82.58</v>
      </c>
      <c r="Q3323">
        <f>877.63</f>
        <v>877.63</v>
      </c>
      <c r="R3323">
        <f>1941.82</f>
        <v>1941.82</v>
      </c>
      <c r="S3323">
        <f>1043.26</f>
        <v>1043.26</v>
      </c>
      <c r="T3323">
        <f>1489.612</f>
        <v>1489.6120000000001</v>
      </c>
      <c r="U3323">
        <f>29569.04</f>
        <v>29569.040000000001</v>
      </c>
      <c r="V3323">
        <f>203.14</f>
        <v>203.14</v>
      </c>
    </row>
    <row r="3324" spans="1:22" x14ac:dyDescent="0.2">
      <c r="A3324" s="1">
        <v>40455</v>
      </c>
      <c r="B3324">
        <f>2236.45</f>
        <v>2236.4499999999998</v>
      </c>
      <c r="C3324">
        <f>8376.61</f>
        <v>8376.61</v>
      </c>
      <c r="D3324">
        <f>3610.3</f>
        <v>3610.3</v>
      </c>
      <c r="E3324">
        <f>1947.916</f>
        <v>1947.9159999999999</v>
      </c>
      <c r="F3324">
        <f>1181.33</f>
        <v>1181.33</v>
      </c>
      <c r="G3324">
        <f>5807.206</f>
        <v>5807.2060000000001</v>
      </c>
      <c r="H3324">
        <f>1823.11</f>
        <v>1823.11</v>
      </c>
      <c r="I3324">
        <f>6132.463</f>
        <v>6132.4629999999997</v>
      </c>
      <c r="J3324">
        <f>1386.68</f>
        <v>1386.68</v>
      </c>
      <c r="K3324">
        <f>3956.14</f>
        <v>3956.14</v>
      </c>
      <c r="L3324">
        <f>995.39</f>
        <v>995.39</v>
      </c>
      <c r="M3324">
        <f>3921.16</f>
        <v>3921.16</v>
      </c>
      <c r="N3324">
        <f>153.527</f>
        <v>153.52699999999999</v>
      </c>
      <c r="O3324">
        <f>1533.75</f>
        <v>1533.75</v>
      </c>
      <c r="P3324">
        <f>81.46</f>
        <v>81.459999999999994</v>
      </c>
      <c r="Q3324">
        <f>862.15</f>
        <v>862.15</v>
      </c>
      <c r="R3324">
        <f>1902.15</f>
        <v>1902.15</v>
      </c>
      <c r="S3324">
        <f>1030.86</f>
        <v>1030.8599999999999</v>
      </c>
      <c r="T3324">
        <f>1485.906</f>
        <v>1485.9059999999999</v>
      </c>
      <c r="U3324">
        <f>29294.97</f>
        <v>29294.97</v>
      </c>
      <c r="V3324">
        <f>202.09</f>
        <v>202.09</v>
      </c>
    </row>
    <row r="3325" spans="1:22" x14ac:dyDescent="0.2">
      <c r="A3325" s="1">
        <v>40452</v>
      </c>
      <c r="B3325">
        <f>2237.87</f>
        <v>2237.87</v>
      </c>
      <c r="C3325">
        <f>8354.48</f>
        <v>8354.48</v>
      </c>
      <c r="D3325">
        <f>3634.3</f>
        <v>3634.3</v>
      </c>
      <c r="E3325">
        <f>1939.535</f>
        <v>1939.5350000000001</v>
      </c>
      <c r="F3325">
        <f>1187.18</f>
        <v>1187.18</v>
      </c>
      <c r="G3325">
        <f>5834.982</f>
        <v>5834.982</v>
      </c>
      <c r="H3325">
        <f>1845.06</f>
        <v>1845.06</v>
      </c>
      <c r="I3325">
        <f>6212.677</f>
        <v>6212.6769999999997</v>
      </c>
      <c r="J3325">
        <f>1394.55</f>
        <v>1394.55</v>
      </c>
      <c r="K3325">
        <f>3987.9</f>
        <v>3987.9</v>
      </c>
      <c r="L3325">
        <f>1000.8</f>
        <v>1000.8</v>
      </c>
      <c r="M3325">
        <f>3950.56</f>
        <v>3950.56</v>
      </c>
      <c r="N3325">
        <f>153.938</f>
        <v>153.93799999999999</v>
      </c>
      <c r="O3325">
        <f>1542.22</f>
        <v>1542.22</v>
      </c>
      <c r="P3325">
        <f>82.22</f>
        <v>82.22</v>
      </c>
      <c r="Q3325">
        <f>866.72</f>
        <v>866.72</v>
      </c>
      <c r="R3325">
        <f>1917.42</f>
        <v>1917.42</v>
      </c>
      <c r="S3325">
        <f>1039.93</f>
        <v>1039.93</v>
      </c>
      <c r="T3325">
        <f>1488.633</f>
        <v>1488.633</v>
      </c>
      <c r="U3325">
        <f>29266.73</f>
        <v>29266.73</v>
      </c>
      <c r="V3325">
        <f>203.1</f>
        <v>203.1</v>
      </c>
    </row>
    <row r="3326" spans="1:22" x14ac:dyDescent="0.2">
      <c r="A3326" s="1">
        <v>40451</v>
      </c>
      <c r="B3326">
        <f>2231.27</f>
        <v>2231.27</v>
      </c>
      <c r="C3326">
        <f>8297.83</f>
        <v>8297.83</v>
      </c>
      <c r="D3326">
        <f>3605.52</f>
        <v>3605.52</v>
      </c>
      <c r="E3326">
        <f>1920.647</f>
        <v>1920.6469999999999</v>
      </c>
      <c r="F3326">
        <f>1173.06</f>
        <v>1173.06</v>
      </c>
      <c r="G3326">
        <f>5769.209</f>
        <v>5769.2089999999998</v>
      </c>
      <c r="H3326">
        <f>1834.66</f>
        <v>1834.66</v>
      </c>
      <c r="I3326">
        <f>6204.334</f>
        <v>6204.3339999999998</v>
      </c>
      <c r="J3326">
        <f>1388.81</f>
        <v>1388.81</v>
      </c>
      <c r="K3326">
        <f>3970.14</f>
        <v>3970.14</v>
      </c>
      <c r="L3326">
        <f>996.87</f>
        <v>996.87</v>
      </c>
      <c r="M3326">
        <f>3933.68</f>
        <v>3933.68</v>
      </c>
      <c r="N3326">
        <f>154.426</f>
        <v>154.42599999999999</v>
      </c>
      <c r="O3326">
        <f>1546.84</f>
        <v>1546.84</v>
      </c>
      <c r="P3326">
        <f>82.43</f>
        <v>82.43</v>
      </c>
      <c r="Q3326">
        <f>864.32</f>
        <v>864.32</v>
      </c>
      <c r="R3326">
        <f>1908.95</f>
        <v>1908.95</v>
      </c>
      <c r="S3326">
        <f>1039.35</f>
        <v>1039.3499999999999</v>
      </c>
      <c r="T3326">
        <f>1498.707</f>
        <v>1498.7070000000001</v>
      </c>
      <c r="U3326">
        <f>29456.04</f>
        <v>29456.04</v>
      </c>
      <c r="V3326">
        <f>204.4</f>
        <v>204.4</v>
      </c>
    </row>
    <row r="3327" spans="1:22" x14ac:dyDescent="0.2">
      <c r="A3327" s="1">
        <v>40450</v>
      </c>
      <c r="B3327">
        <f>2242.85</f>
        <v>2242.85</v>
      </c>
      <c r="C3327">
        <f>8269.65</f>
        <v>8269.65</v>
      </c>
      <c r="D3327">
        <f>3618.94</f>
        <v>3618.94</v>
      </c>
      <c r="E3327">
        <f>1911.279</f>
        <v>1911.279</v>
      </c>
      <c r="F3327">
        <f>1173.96</f>
        <v>1173.96</v>
      </c>
      <c r="G3327">
        <f>5805.813</f>
        <v>5805.8130000000001</v>
      </c>
      <c r="H3327">
        <f>1877.48</f>
        <v>1877.48</v>
      </c>
      <c r="I3327">
        <f>6194.867</f>
        <v>6194.8670000000002</v>
      </c>
      <c r="J3327">
        <f>1393.35</f>
        <v>1393.35</v>
      </c>
      <c r="K3327">
        <f>3982.43</f>
        <v>3982.43</v>
      </c>
      <c r="L3327">
        <f>999.09</f>
        <v>999.09</v>
      </c>
      <c r="M3327">
        <f>3949.48</f>
        <v>3949.48</v>
      </c>
      <c r="N3327">
        <f>154.442</f>
        <v>154.44200000000001</v>
      </c>
      <c r="O3327">
        <f>1552.4</f>
        <v>1552.4</v>
      </c>
      <c r="P3327">
        <f>83.9</f>
        <v>83.9</v>
      </c>
      <c r="Q3327">
        <f>865.87</f>
        <v>865.87</v>
      </c>
      <c r="R3327">
        <f>1914.84</f>
        <v>1914.84</v>
      </c>
      <c r="S3327">
        <f>1061.22</f>
        <v>1061.22</v>
      </c>
      <c r="T3327">
        <f>1477.274</f>
        <v>1477.2739999999999</v>
      </c>
      <c r="U3327">
        <f>29069.83</f>
        <v>29069.83</v>
      </c>
      <c r="V3327">
        <f>201.27</f>
        <v>201.27</v>
      </c>
    </row>
    <row r="3328" spans="1:22" x14ac:dyDescent="0.2">
      <c r="A3328" s="1">
        <v>40449</v>
      </c>
      <c r="B3328">
        <f>2242.73</f>
        <v>2242.73</v>
      </c>
      <c r="C3328">
        <f>8189.27</f>
        <v>8189.27</v>
      </c>
      <c r="D3328">
        <f>3624.01</f>
        <v>3624.01</v>
      </c>
      <c r="E3328">
        <f>1895.052</f>
        <v>1895.0519999999999</v>
      </c>
      <c r="F3328">
        <f>1172.28</f>
        <v>1172.28</v>
      </c>
      <c r="G3328">
        <f>5815.864</f>
        <v>5815.8639999999996</v>
      </c>
      <c r="H3328">
        <f>1875.75</f>
        <v>1875.75</v>
      </c>
      <c r="I3328">
        <f>6201.498</f>
        <v>6201.4979999999996</v>
      </c>
      <c r="J3328">
        <f>1397.33</f>
        <v>1397.33</v>
      </c>
      <c r="K3328">
        <f>3990.72</f>
        <v>3990.72</v>
      </c>
      <c r="L3328">
        <f>999.82</f>
        <v>999.82</v>
      </c>
      <c r="M3328">
        <f>3949.72</f>
        <v>3949.72</v>
      </c>
      <c r="N3328">
        <f>155.155</f>
        <v>155.155</v>
      </c>
      <c r="O3328">
        <f>1560.97</f>
        <v>1560.97</v>
      </c>
      <c r="P3328">
        <f>83.75</f>
        <v>83.75</v>
      </c>
      <c r="Q3328">
        <f>868.44</f>
        <v>868.44</v>
      </c>
      <c r="R3328">
        <f>1919.59</f>
        <v>1919.59</v>
      </c>
      <c r="S3328">
        <f>1055.81</f>
        <v>1055.81</v>
      </c>
      <c r="T3328">
        <f>1461.742</f>
        <v>1461.742</v>
      </c>
      <c r="U3328">
        <f>28972.47</f>
        <v>28972.47</v>
      </c>
      <c r="V3328">
        <f>199.25</f>
        <v>199.25</v>
      </c>
    </row>
    <row r="3329" spans="1:22" x14ac:dyDescent="0.2">
      <c r="A3329" s="1">
        <v>40448</v>
      </c>
      <c r="B3329">
        <f>2243.15</f>
        <v>2243.15</v>
      </c>
      <c r="C3329">
        <f>8176.19</f>
        <v>8176.19</v>
      </c>
      <c r="D3329">
        <f>3620.75</f>
        <v>3620.75</v>
      </c>
      <c r="E3329">
        <f>1895.461</f>
        <v>1895.461</v>
      </c>
      <c r="F3329">
        <f>1175.33</f>
        <v>1175.33</v>
      </c>
      <c r="G3329">
        <f>5822.798</f>
        <v>5822.7979999999998</v>
      </c>
      <c r="H3329">
        <f>1869.97</f>
        <v>1869.97</v>
      </c>
      <c r="I3329">
        <f>6166.402</f>
        <v>6166.402</v>
      </c>
      <c r="J3329">
        <f>1389.29</f>
        <v>1389.29</v>
      </c>
      <c r="K3329">
        <f>3969.97</f>
        <v>3969.97</v>
      </c>
      <c r="L3329">
        <f>996.07</f>
        <v>996.07</v>
      </c>
      <c r="M3329">
        <f>3934.27</f>
        <v>3934.27</v>
      </c>
      <c r="N3329">
        <f>155.714</f>
        <v>155.714</v>
      </c>
      <c r="O3329">
        <f>1566.07</f>
        <v>1566.07</v>
      </c>
      <c r="P3329">
        <f>84.22</f>
        <v>84.22</v>
      </c>
      <c r="Q3329">
        <f>859.56</f>
        <v>859.56</v>
      </c>
      <c r="R3329">
        <f>1909.98</f>
        <v>1909.98</v>
      </c>
      <c r="S3329">
        <f>1055.75</f>
        <v>1055.75</v>
      </c>
      <c r="T3329">
        <f>1454.349</f>
        <v>1454.3489999999999</v>
      </c>
      <c r="U3329">
        <f>28959.42</f>
        <v>28959.42</v>
      </c>
      <c r="V3329">
        <f>198.43</f>
        <v>198.43</v>
      </c>
    </row>
    <row r="3330" spans="1:22" x14ac:dyDescent="0.2">
      <c r="A3330" s="1">
        <v>40445</v>
      </c>
      <c r="B3330">
        <f>2248.53</f>
        <v>2248.5300000000002</v>
      </c>
      <c r="C3330">
        <f>8103.36</f>
        <v>8103.36</v>
      </c>
      <c r="D3330">
        <f>3637.02</f>
        <v>3637.02</v>
      </c>
      <c r="E3330">
        <f>1880.556</f>
        <v>1880.556</v>
      </c>
      <c r="F3330">
        <f>1179.35</f>
        <v>1179.3499999999999</v>
      </c>
      <c r="G3330">
        <f>5841.197</f>
        <v>5841.1970000000001</v>
      </c>
      <c r="H3330">
        <f>1854.36</f>
        <v>1854.36</v>
      </c>
      <c r="I3330">
        <f>6200.086</f>
        <v>6200.0860000000002</v>
      </c>
      <c r="J3330">
        <f>1394.51</f>
        <v>1394.51</v>
      </c>
      <c r="K3330">
        <f>3992.11</f>
        <v>3992.11</v>
      </c>
      <c r="L3330">
        <f>998.24</f>
        <v>998.24</v>
      </c>
      <c r="M3330">
        <f>3942.31</f>
        <v>3942.31</v>
      </c>
      <c r="N3330">
        <f>156.179</f>
        <v>156.179</v>
      </c>
      <c r="O3330">
        <f>1572.82</f>
        <v>1572.82</v>
      </c>
      <c r="P3330">
        <f>83.69</f>
        <v>83.69</v>
      </c>
      <c r="Q3330">
        <f>863.23</f>
        <v>863.23</v>
      </c>
      <c r="R3330">
        <f>1920.84</f>
        <v>1920.84</v>
      </c>
      <c r="S3330">
        <f>1042.21</f>
        <v>1042.21</v>
      </c>
      <c r="T3330" t="e">
        <f>NA()</f>
        <v>#N/A</v>
      </c>
      <c r="U3330" t="e">
        <f>NA()</f>
        <v>#N/A</v>
      </c>
      <c r="V3330" t="e">
        <f>NA()</f>
        <v>#N/A</v>
      </c>
    </row>
    <row r="3331" spans="1:22" x14ac:dyDescent="0.2">
      <c r="A3331" s="1">
        <v>40444</v>
      </c>
      <c r="B3331">
        <f>2229.57</f>
        <v>2229.5700000000002</v>
      </c>
      <c r="C3331">
        <f>8078.58</f>
        <v>8078.58</v>
      </c>
      <c r="D3331">
        <f>3603.63</f>
        <v>3603.63</v>
      </c>
      <c r="E3331">
        <f>1869.644</f>
        <v>1869.644</v>
      </c>
      <c r="F3331">
        <f>1167.95</f>
        <v>1167.95</v>
      </c>
      <c r="G3331">
        <f>5752.48</f>
        <v>5752.48</v>
      </c>
      <c r="H3331">
        <f>1867.36</f>
        <v>1867.36</v>
      </c>
      <c r="I3331">
        <f>6048.07</f>
        <v>6048.07</v>
      </c>
      <c r="J3331">
        <f>1372.64</f>
        <v>1372.64</v>
      </c>
      <c r="K3331">
        <f>3910.12</f>
        <v>3910.12</v>
      </c>
      <c r="L3331">
        <f>982.55</f>
        <v>982.55</v>
      </c>
      <c r="M3331">
        <f>3876.58</f>
        <v>3876.58</v>
      </c>
      <c r="N3331">
        <f>154.913</f>
        <v>154.91300000000001</v>
      </c>
      <c r="O3331">
        <f>1554.4</f>
        <v>1554.4</v>
      </c>
      <c r="P3331" t="e">
        <f>NA()</f>
        <v>#N/A</v>
      </c>
      <c r="Q3331">
        <f>847.86</f>
        <v>847.86</v>
      </c>
      <c r="R3331">
        <f>1880.97</f>
        <v>1880.97</v>
      </c>
      <c r="S3331" t="e">
        <f>NA()</f>
        <v>#N/A</v>
      </c>
      <c r="T3331">
        <f>1443.409</f>
        <v>1443.4090000000001</v>
      </c>
      <c r="U3331">
        <f>28714.77</f>
        <v>28714.77</v>
      </c>
      <c r="V3331">
        <f>196.43</f>
        <v>196.43</v>
      </c>
    </row>
    <row r="3332" spans="1:22" x14ac:dyDescent="0.2">
      <c r="A3332" s="1">
        <v>40443</v>
      </c>
      <c r="B3332">
        <f>2235.08</f>
        <v>2235.08</v>
      </c>
      <c r="C3332">
        <f>8077.07</f>
        <v>8077.07</v>
      </c>
      <c r="D3332">
        <f>3606.77</f>
        <v>3606.77</v>
      </c>
      <c r="E3332">
        <f>1870.925</f>
        <v>1870.925</v>
      </c>
      <c r="F3332">
        <f>1167.18</f>
        <v>1167.18</v>
      </c>
      <c r="G3332">
        <f>5738.164</f>
        <v>5738.1639999999998</v>
      </c>
      <c r="H3332">
        <f>1863.27</f>
        <v>1863.27</v>
      </c>
      <c r="I3332">
        <f>6112.951</f>
        <v>6112.951</v>
      </c>
      <c r="J3332">
        <f>1382.94</f>
        <v>1382.94</v>
      </c>
      <c r="K3332">
        <f>3941.35</f>
        <v>3941.35</v>
      </c>
      <c r="L3332">
        <f>988.09</f>
        <v>988.09</v>
      </c>
      <c r="M3332">
        <f>3900.63</f>
        <v>3900.63</v>
      </c>
      <c r="N3332">
        <f>154.862</f>
        <v>154.86199999999999</v>
      </c>
      <c r="O3332">
        <f>1555.83</f>
        <v>1555.83</v>
      </c>
      <c r="P3332">
        <f>84.57</f>
        <v>84.57</v>
      </c>
      <c r="Q3332">
        <f>855.2</f>
        <v>855.2</v>
      </c>
      <c r="R3332">
        <f>1896.77</f>
        <v>1896.77</v>
      </c>
      <c r="S3332">
        <f>1052.29</f>
        <v>1052.29</v>
      </c>
      <c r="T3332">
        <f>1441.007</f>
        <v>1441.0070000000001</v>
      </c>
      <c r="U3332">
        <f>28722.72</f>
        <v>28722.720000000001</v>
      </c>
      <c r="V3332">
        <f>196.09</f>
        <v>196.09</v>
      </c>
    </row>
    <row r="3333" spans="1:22" x14ac:dyDescent="0.2">
      <c r="A3333" s="1">
        <v>40442</v>
      </c>
      <c r="B3333">
        <f>2254.74</f>
        <v>2254.7399999999998</v>
      </c>
      <c r="C3333">
        <f>8029.54</f>
        <v>8029.54</v>
      </c>
      <c r="D3333">
        <f>3621.77</f>
        <v>3621.77</v>
      </c>
      <c r="E3333">
        <f>1863.77</f>
        <v>1863.77</v>
      </c>
      <c r="F3333">
        <f>1166.27</f>
        <v>1166.27</v>
      </c>
      <c r="G3333">
        <f>5717.894</f>
        <v>5717.8940000000002</v>
      </c>
      <c r="H3333">
        <f>1842.35</f>
        <v>1842.35</v>
      </c>
      <c r="I3333">
        <f>6062.419</f>
        <v>6062.4189999999999</v>
      </c>
      <c r="J3333">
        <f>1384.97</f>
        <v>1384.97</v>
      </c>
      <c r="K3333">
        <f>3959.21</f>
        <v>3959.21</v>
      </c>
      <c r="L3333">
        <f>984.99</f>
        <v>984.99</v>
      </c>
      <c r="M3333">
        <f>3896.71</f>
        <v>3896.71</v>
      </c>
      <c r="N3333">
        <f>157.249</f>
        <v>157.249</v>
      </c>
      <c r="O3333">
        <f>1578.62</f>
        <v>1578.62</v>
      </c>
      <c r="P3333">
        <f>84.39</f>
        <v>84.39</v>
      </c>
      <c r="Q3333">
        <f>857.9</f>
        <v>857.9</v>
      </c>
      <c r="R3333">
        <f>1905.74</f>
        <v>1905.74</v>
      </c>
      <c r="S3333">
        <f>1056.54</f>
        <v>1056.54</v>
      </c>
      <c r="T3333">
        <f>1449.361</f>
        <v>1449.3610000000001</v>
      </c>
      <c r="U3333">
        <f>28724.74</f>
        <v>28724.74</v>
      </c>
      <c r="V3333">
        <f>197.03</f>
        <v>197.03</v>
      </c>
    </row>
    <row r="3334" spans="1:22" x14ac:dyDescent="0.2">
      <c r="A3334" s="1">
        <v>40441</v>
      </c>
      <c r="B3334">
        <f>2265.06</f>
        <v>2265.06</v>
      </c>
      <c r="C3334">
        <f>8045.79</f>
        <v>8045.79</v>
      </c>
      <c r="D3334">
        <f>3638.89</f>
        <v>3638.89</v>
      </c>
      <c r="E3334">
        <f>1864.061</f>
        <v>1864.0609999999999</v>
      </c>
      <c r="F3334">
        <f>1172.02</f>
        <v>1172.02</v>
      </c>
      <c r="G3334">
        <f>5756.8</f>
        <v>5756.8</v>
      </c>
      <c r="H3334">
        <f>1834.44</f>
        <v>1834.44</v>
      </c>
      <c r="I3334">
        <f>6052.815</f>
        <v>6052.8149999999996</v>
      </c>
      <c r="J3334">
        <f>1385.6</f>
        <v>1385.6</v>
      </c>
      <c r="K3334">
        <f>3969.36</f>
        <v>3969.36</v>
      </c>
      <c r="L3334">
        <f>986.44</f>
        <v>986.44</v>
      </c>
      <c r="M3334">
        <f>3903.56</f>
        <v>3903.56</v>
      </c>
      <c r="N3334">
        <f>158.005</f>
        <v>158.005</v>
      </c>
      <c r="O3334">
        <f>1586.85</f>
        <v>1586.85</v>
      </c>
      <c r="P3334" t="e">
        <f>NA()</f>
        <v>#N/A</v>
      </c>
      <c r="Q3334">
        <f>860.99</f>
        <v>860.99</v>
      </c>
      <c r="R3334">
        <f>1910.6</f>
        <v>1910.6</v>
      </c>
      <c r="S3334" t="e">
        <f>NA()</f>
        <v>#N/A</v>
      </c>
      <c r="T3334">
        <f>1438.718</f>
        <v>1438.7180000000001</v>
      </c>
      <c r="U3334">
        <f>28710.93</f>
        <v>28710.93</v>
      </c>
      <c r="V3334">
        <f>195.43</f>
        <v>195.43</v>
      </c>
    </row>
    <row r="3335" spans="1:22" x14ac:dyDescent="0.2">
      <c r="A3335" s="1">
        <v>40438</v>
      </c>
      <c r="B3335">
        <f>2240.62</f>
        <v>2240.62</v>
      </c>
      <c r="C3335">
        <f>7972.16</f>
        <v>7972.16</v>
      </c>
      <c r="D3335">
        <f>3577.78</f>
        <v>3577.78</v>
      </c>
      <c r="E3335">
        <f>1849.278</f>
        <v>1849.278</v>
      </c>
      <c r="F3335">
        <f>1157.05</f>
        <v>1157.05</v>
      </c>
      <c r="G3335">
        <f>5682.289</f>
        <v>5682.2889999999998</v>
      </c>
      <c r="H3335">
        <f>1832.2</f>
        <v>1832.2</v>
      </c>
      <c r="I3335">
        <f>5945.856</f>
        <v>5945.8559999999998</v>
      </c>
      <c r="J3335">
        <f>1367.76</f>
        <v>1367.76</v>
      </c>
      <c r="K3335">
        <f>3910.2</f>
        <v>3910.2</v>
      </c>
      <c r="L3335">
        <f>973.44</f>
        <v>973.44</v>
      </c>
      <c r="M3335">
        <f>3851.67</f>
        <v>3851.67</v>
      </c>
      <c r="N3335">
        <f>156.2</f>
        <v>156.19999999999999</v>
      </c>
      <c r="O3335">
        <f>1565.71</f>
        <v>1565.71</v>
      </c>
      <c r="P3335">
        <f>84.65</f>
        <v>84.65</v>
      </c>
      <c r="Q3335">
        <f>848.41</f>
        <v>848.41</v>
      </c>
      <c r="R3335">
        <f>1881.93</f>
        <v>1881.93</v>
      </c>
      <c r="S3335">
        <f>1059.22</f>
        <v>1059.22</v>
      </c>
      <c r="T3335">
        <f>1425.26</f>
        <v>1425.26</v>
      </c>
      <c r="U3335">
        <f>28413.56</f>
        <v>28413.56</v>
      </c>
      <c r="V3335">
        <f>193.44</f>
        <v>193.44</v>
      </c>
    </row>
    <row r="3336" spans="1:22" x14ac:dyDescent="0.2">
      <c r="A3336" s="1">
        <v>40437</v>
      </c>
      <c r="B3336">
        <f>2257.55</f>
        <v>2257.5500000000002</v>
      </c>
      <c r="C3336">
        <f>7962.76</f>
        <v>7962.76</v>
      </c>
      <c r="D3336">
        <f>3598.36</f>
        <v>3598.36</v>
      </c>
      <c r="E3336">
        <f>1840.358</f>
        <v>1840.3579999999999</v>
      </c>
      <c r="F3336">
        <f>1163.4</f>
        <v>1163.4000000000001</v>
      </c>
      <c r="G3336">
        <f>5716.614</f>
        <v>5716.6139999999996</v>
      </c>
      <c r="H3336">
        <f>1823.42</f>
        <v>1823.42</v>
      </c>
      <c r="I3336">
        <f>5990.242</f>
        <v>5990.2420000000002</v>
      </c>
      <c r="J3336">
        <f>1367.44</f>
        <v>1367.44</v>
      </c>
      <c r="K3336">
        <f>3906.3</f>
        <v>3906.3</v>
      </c>
      <c r="L3336">
        <f>976.74</f>
        <v>976.74</v>
      </c>
      <c r="M3336">
        <f>3854.91</f>
        <v>3854.91</v>
      </c>
      <c r="N3336">
        <f>156.815</f>
        <v>156.815</v>
      </c>
      <c r="O3336">
        <f>1570.87</f>
        <v>1570.87</v>
      </c>
      <c r="P3336">
        <f>83.69</f>
        <v>83.69</v>
      </c>
      <c r="Q3336">
        <f>846.55</f>
        <v>846.55</v>
      </c>
      <c r="R3336">
        <f>1880.37</f>
        <v>1880.37</v>
      </c>
      <c r="S3336">
        <f>1050.04</f>
        <v>1050.04</v>
      </c>
      <c r="T3336">
        <f>1426.158</f>
        <v>1426.1579999999999</v>
      </c>
      <c r="U3336">
        <f>28464.93</f>
        <v>28464.93</v>
      </c>
      <c r="V3336">
        <f>193.36</f>
        <v>193.36</v>
      </c>
    </row>
    <row r="3337" spans="1:22" x14ac:dyDescent="0.2">
      <c r="A3337" s="1">
        <v>40436</v>
      </c>
      <c r="B3337">
        <f>2269.75</f>
        <v>2269.75</v>
      </c>
      <c r="C3337">
        <f>8011.95</f>
        <v>8011.95</v>
      </c>
      <c r="D3337">
        <f>3608.37</f>
        <v>3608.37</v>
      </c>
      <c r="E3337">
        <f>1852.87</f>
        <v>1852.87</v>
      </c>
      <c r="F3337">
        <f>1162.79</f>
        <v>1162.79</v>
      </c>
      <c r="G3337">
        <f>5731.55</f>
        <v>5731.55</v>
      </c>
      <c r="H3337">
        <f>1841.71</f>
        <v>1841.71</v>
      </c>
      <c r="I3337">
        <f>6001.293</f>
        <v>6001.2929999999997</v>
      </c>
      <c r="J3337">
        <f>1367.93</f>
        <v>1367.93</v>
      </c>
      <c r="K3337">
        <f>3906.55</f>
        <v>3906.55</v>
      </c>
      <c r="L3337">
        <f>978.59</f>
        <v>978.59</v>
      </c>
      <c r="M3337">
        <f>3861.7</f>
        <v>3861.7</v>
      </c>
      <c r="N3337">
        <f>157.829</f>
        <v>157.82900000000001</v>
      </c>
      <c r="O3337">
        <f>1583.56</f>
        <v>1583.56</v>
      </c>
      <c r="P3337">
        <f>84.28</f>
        <v>84.28</v>
      </c>
      <c r="Q3337">
        <f>846.23</f>
        <v>846.23</v>
      </c>
      <c r="R3337">
        <f>1880.74</f>
        <v>1880.74</v>
      </c>
      <c r="S3337">
        <f>1054.94</f>
        <v>1054.94</v>
      </c>
      <c r="T3337">
        <f>1432.187</f>
        <v>1432.1869999999999</v>
      </c>
      <c r="U3337">
        <f>28502.08</f>
        <v>28502.080000000002</v>
      </c>
      <c r="V3337">
        <f>194.11</f>
        <v>194.11</v>
      </c>
    </row>
    <row r="3338" spans="1:22" x14ac:dyDescent="0.2">
      <c r="A3338" s="1">
        <v>40435</v>
      </c>
      <c r="B3338">
        <f>2271.93</f>
        <v>2271.9299999999998</v>
      </c>
      <c r="C3338">
        <f>8008.52</f>
        <v>8008.52</v>
      </c>
      <c r="D3338">
        <f>3615.73</f>
        <v>3615.73</v>
      </c>
      <c r="E3338">
        <f>1848.072</f>
        <v>1848.0719999999999</v>
      </c>
      <c r="F3338">
        <f>1156.6</f>
        <v>1156.5999999999999</v>
      </c>
      <c r="G3338">
        <f>5692.517</f>
        <v>5692.5169999999998</v>
      </c>
      <c r="H3338">
        <f>1882.49</f>
        <v>1882.49</v>
      </c>
      <c r="I3338">
        <f>6013.672</f>
        <v>6013.6719999999996</v>
      </c>
      <c r="J3338">
        <f>1363.84</f>
        <v>1363.84</v>
      </c>
      <c r="K3338">
        <f>3892.53</f>
        <v>3892.53</v>
      </c>
      <c r="L3338">
        <f>977.58</f>
        <v>977.58</v>
      </c>
      <c r="M3338">
        <f>3858.1</f>
        <v>3858.1</v>
      </c>
      <c r="N3338">
        <f>157.721</f>
        <v>157.721</v>
      </c>
      <c r="O3338">
        <f>1588.18</f>
        <v>1588.18</v>
      </c>
      <c r="P3338">
        <f>83.22</f>
        <v>83.22</v>
      </c>
      <c r="Q3338">
        <f>842.31</f>
        <v>842.31</v>
      </c>
      <c r="R3338">
        <f>1874.07</f>
        <v>1874.07</v>
      </c>
      <c r="S3338">
        <f>1037.8</f>
        <v>1037.8</v>
      </c>
      <c r="T3338">
        <f>1435.168</f>
        <v>1435.1679999999999</v>
      </c>
      <c r="U3338">
        <f>28502.19</f>
        <v>28502.19</v>
      </c>
      <c r="V3338">
        <f>194.35</f>
        <v>194.35</v>
      </c>
    </row>
    <row r="3339" spans="1:22" x14ac:dyDescent="0.2">
      <c r="A3339" s="1">
        <v>40434</v>
      </c>
      <c r="B3339">
        <f>2275.72</f>
        <v>2275.7199999999998</v>
      </c>
      <c r="C3339">
        <f>7995.38</f>
        <v>7995.38</v>
      </c>
      <c r="D3339">
        <f>3614.51</f>
        <v>3614.51</v>
      </c>
      <c r="E3339">
        <f>1844.602</f>
        <v>1844.6020000000001</v>
      </c>
      <c r="F3339">
        <f>1152.82</f>
        <v>1152.82</v>
      </c>
      <c r="G3339">
        <f>5667.404</f>
        <v>5667.4040000000005</v>
      </c>
      <c r="H3339">
        <f>1871.98</f>
        <v>1871.98</v>
      </c>
      <c r="I3339">
        <f>5954.901</f>
        <v>5954.9009999999998</v>
      </c>
      <c r="J3339">
        <f>1363.11</f>
        <v>1363.11</v>
      </c>
      <c r="K3339">
        <f>3894.58</f>
        <v>3894.58</v>
      </c>
      <c r="L3339">
        <f>973.97</f>
        <v>973.97</v>
      </c>
      <c r="M3339">
        <f>3845.8</f>
        <v>3845.8</v>
      </c>
      <c r="N3339">
        <f>157.996</f>
        <v>157.99600000000001</v>
      </c>
      <c r="O3339">
        <f>1588.26</f>
        <v>1588.26</v>
      </c>
      <c r="P3339">
        <f>83.35</f>
        <v>83.35</v>
      </c>
      <c r="Q3339">
        <f>839.89</f>
        <v>839.89</v>
      </c>
      <c r="R3339">
        <f>1875.41</f>
        <v>1875.41</v>
      </c>
      <c r="S3339">
        <f>1041.26</f>
        <v>1041.26</v>
      </c>
      <c r="T3339">
        <f>1436.342</f>
        <v>1436.3420000000001</v>
      </c>
      <c r="U3339">
        <f>28491.34</f>
        <v>28491.34</v>
      </c>
      <c r="V3339">
        <f>194.8</f>
        <v>194.8</v>
      </c>
    </row>
    <row r="3340" spans="1:22" x14ac:dyDescent="0.2">
      <c r="A3340" s="1">
        <v>40431</v>
      </c>
      <c r="B3340">
        <f>2254.09</f>
        <v>2254.09</v>
      </c>
      <c r="C3340">
        <f>7826.72</f>
        <v>7826.72</v>
      </c>
      <c r="D3340">
        <f>3573.02</f>
        <v>3573.02</v>
      </c>
      <c r="E3340">
        <f>1807.188</f>
        <v>1807.1880000000001</v>
      </c>
      <c r="F3340">
        <f>1142.18</f>
        <v>1142.18</v>
      </c>
      <c r="G3340">
        <f>5584.684</f>
        <v>5584.6840000000002</v>
      </c>
      <c r="H3340">
        <f>1859.83</f>
        <v>1859.83</v>
      </c>
      <c r="I3340">
        <f>5841.872</f>
        <v>5841.8720000000003</v>
      </c>
      <c r="J3340">
        <f>1357.18</f>
        <v>1357.18</v>
      </c>
      <c r="K3340">
        <f>3850.16</f>
        <v>3850.16</v>
      </c>
      <c r="L3340">
        <f>963.05</f>
        <v>963.05</v>
      </c>
      <c r="M3340">
        <f>3793.41</f>
        <v>3793.41</v>
      </c>
      <c r="N3340">
        <f>157.692</f>
        <v>157.69200000000001</v>
      </c>
      <c r="O3340">
        <f>1578.84</f>
        <v>1578.84</v>
      </c>
      <c r="P3340">
        <f>83.17</f>
        <v>83.17</v>
      </c>
      <c r="Q3340">
        <f>833.55</f>
        <v>833.55</v>
      </c>
      <c r="R3340">
        <f>1854.1</f>
        <v>1854.1</v>
      </c>
      <c r="S3340">
        <f>1036.38</f>
        <v>1036.3800000000001</v>
      </c>
      <c r="T3340">
        <f>1416.048</f>
        <v>1416.048</v>
      </c>
      <c r="U3340">
        <f>28087.1</f>
        <v>28087.1</v>
      </c>
      <c r="V3340">
        <f>192.3</f>
        <v>192.3</v>
      </c>
    </row>
    <row r="3341" spans="1:22" x14ac:dyDescent="0.2">
      <c r="A3341" s="1">
        <v>40430</v>
      </c>
      <c r="B3341">
        <f>2242.78</f>
        <v>2242.7800000000002</v>
      </c>
      <c r="C3341">
        <f>7798.56</f>
        <v>7798.56</v>
      </c>
      <c r="D3341">
        <f>3568.16</f>
        <v>3568.16</v>
      </c>
      <c r="E3341">
        <f>1800.237</f>
        <v>1800.2370000000001</v>
      </c>
      <c r="F3341">
        <f>1145.19</f>
        <v>1145.19</v>
      </c>
      <c r="G3341">
        <f>5609.95</f>
        <v>5609.95</v>
      </c>
      <c r="H3341">
        <f>1860.62</f>
        <v>1860.62</v>
      </c>
      <c r="I3341">
        <f>5850.557</f>
        <v>5850.5569999999998</v>
      </c>
      <c r="J3341">
        <f>1349.91</f>
        <v>1349.91</v>
      </c>
      <c r="K3341">
        <f>3831.19</f>
        <v>3831.19</v>
      </c>
      <c r="L3341">
        <f>961.95</f>
        <v>961.95</v>
      </c>
      <c r="M3341">
        <f>3785.64</f>
        <v>3785.64</v>
      </c>
      <c r="N3341">
        <f>157.815</f>
        <v>157.815</v>
      </c>
      <c r="O3341">
        <f>1580.81</f>
        <v>1580.81</v>
      </c>
      <c r="P3341">
        <f>82.52</f>
        <v>82.52</v>
      </c>
      <c r="Q3341">
        <f>828.55</f>
        <v>828.55</v>
      </c>
      <c r="R3341">
        <f>1845.09</f>
        <v>1845.09</v>
      </c>
      <c r="S3341">
        <f>1027.82</f>
        <v>1027.82</v>
      </c>
      <c r="T3341">
        <f>1406.177</f>
        <v>1406.1769999999999</v>
      </c>
      <c r="U3341">
        <f>27984.93</f>
        <v>27984.93</v>
      </c>
      <c r="V3341">
        <f>191.25</f>
        <v>191.25</v>
      </c>
    </row>
    <row r="3342" spans="1:22" x14ac:dyDescent="0.2">
      <c r="A3342" s="1">
        <v>40429</v>
      </c>
      <c r="B3342">
        <f>2229.2</f>
        <v>2229.1999999999998</v>
      </c>
      <c r="C3342">
        <f>7758.64</f>
        <v>7758.64</v>
      </c>
      <c r="D3342">
        <f>3526.32</f>
        <v>3526.32</v>
      </c>
      <c r="E3342">
        <f>1791.417</f>
        <v>1791.4169999999999</v>
      </c>
      <c r="F3342">
        <f>1138.99</f>
        <v>1138.99</v>
      </c>
      <c r="G3342">
        <f>5547.686</f>
        <v>5547.6859999999997</v>
      </c>
      <c r="H3342">
        <f>1855.41</f>
        <v>1855.41</v>
      </c>
      <c r="I3342">
        <f>5797.002</f>
        <v>5797.0020000000004</v>
      </c>
      <c r="J3342">
        <f>1343.26</f>
        <v>1343.26</v>
      </c>
      <c r="K3342">
        <f>3813.31</f>
        <v>3813.31</v>
      </c>
      <c r="L3342">
        <f>955.35</f>
        <v>955.35</v>
      </c>
      <c r="M3342">
        <f>3758.54</f>
        <v>3758.54</v>
      </c>
      <c r="N3342">
        <f>156.779</f>
        <v>156.779</v>
      </c>
      <c r="O3342">
        <f>1565.99</f>
        <v>1565.99</v>
      </c>
      <c r="P3342">
        <f>82.07</f>
        <v>82.07</v>
      </c>
      <c r="Q3342">
        <f>824.99</f>
        <v>824.99</v>
      </c>
      <c r="R3342">
        <f>1836.21</f>
        <v>1836.21</v>
      </c>
      <c r="S3342">
        <f>1020.56</f>
        <v>1020.56</v>
      </c>
      <c r="T3342">
        <f>1387.379</f>
        <v>1387.3789999999999</v>
      </c>
      <c r="U3342">
        <f>27911.14</f>
        <v>27911.14</v>
      </c>
      <c r="V3342">
        <f>189.65</f>
        <v>189.65</v>
      </c>
    </row>
    <row r="3343" spans="1:22" x14ac:dyDescent="0.2">
      <c r="A3343" s="1">
        <v>40428</v>
      </c>
      <c r="B3343">
        <f>2211.3</f>
        <v>2211.3000000000002</v>
      </c>
      <c r="C3343">
        <f>7782.99</f>
        <v>7782.99</v>
      </c>
      <c r="D3343">
        <f>3508.63</f>
        <v>3508.63</v>
      </c>
      <c r="E3343">
        <f>1793.888</f>
        <v>1793.8879999999999</v>
      </c>
      <c r="F3343">
        <f>1119.3</f>
        <v>1119.3</v>
      </c>
      <c r="G3343">
        <f>5456.334</f>
        <v>5456.3339999999998</v>
      </c>
      <c r="H3343">
        <f>1876.91</f>
        <v>1876.91</v>
      </c>
      <c r="I3343">
        <f>5743.274</f>
        <v>5743.2740000000003</v>
      </c>
      <c r="J3343">
        <f>1338.34</f>
        <v>1338.34</v>
      </c>
      <c r="K3343">
        <f>3788.34</f>
        <v>3788.34</v>
      </c>
      <c r="L3343">
        <f>948.71</f>
        <v>948.71</v>
      </c>
      <c r="M3343">
        <f>3741.26</f>
        <v>3741.26</v>
      </c>
      <c r="N3343">
        <f>154.808</f>
        <v>154.80799999999999</v>
      </c>
      <c r="O3343">
        <f>1548.65</f>
        <v>1548.65</v>
      </c>
      <c r="P3343">
        <f>83.2</f>
        <v>83.2</v>
      </c>
      <c r="Q3343">
        <f>821.9</f>
        <v>821.9</v>
      </c>
      <c r="R3343">
        <f>1824.05</f>
        <v>1824.05</v>
      </c>
      <c r="S3343">
        <f>1037.87</f>
        <v>1037.8699999999999</v>
      </c>
      <c r="T3343">
        <f>1395.825</f>
        <v>1395.825</v>
      </c>
      <c r="U3343">
        <f>27665.29</f>
        <v>27665.29</v>
      </c>
      <c r="V3343">
        <f>189.9</f>
        <v>189.9</v>
      </c>
    </row>
    <row r="3344" spans="1:22" x14ac:dyDescent="0.2">
      <c r="A3344" s="1">
        <v>40427</v>
      </c>
      <c r="B3344">
        <f>2227.51</f>
        <v>2227.5100000000002</v>
      </c>
      <c r="C3344">
        <f>7818.67</f>
        <v>7818.67</v>
      </c>
      <c r="D3344">
        <f>3528.98</f>
        <v>3528.98</v>
      </c>
      <c r="E3344">
        <f>1803.578</f>
        <v>1803.578</v>
      </c>
      <c r="F3344">
        <f>1129.29</f>
        <v>1129.29</v>
      </c>
      <c r="G3344">
        <f>5526.227</f>
        <v>5526.2269999999999</v>
      </c>
      <c r="H3344">
        <f>1869.76</f>
        <v>1869.76</v>
      </c>
      <c r="I3344">
        <f>5848.705</f>
        <v>5848.7049999999999</v>
      </c>
      <c r="J3344">
        <f>1349.48</f>
        <v>1349.48</v>
      </c>
      <c r="K3344">
        <f>3831.89</f>
        <v>3831.89</v>
      </c>
      <c r="L3344">
        <f>957.48</f>
        <v>957.48</v>
      </c>
      <c r="M3344">
        <f>3782.81</f>
        <v>3782.81</v>
      </c>
      <c r="N3344">
        <f>155.115</f>
        <v>155.11500000000001</v>
      </c>
      <c r="O3344">
        <f>1554.23</f>
        <v>1554.23</v>
      </c>
      <c r="P3344">
        <f>83.69</f>
        <v>83.69</v>
      </c>
      <c r="Q3344" t="e">
        <f>NA()</f>
        <v>#N/A</v>
      </c>
      <c r="R3344" t="e">
        <f>NA()</f>
        <v>#N/A</v>
      </c>
      <c r="S3344">
        <f>1042.56</f>
        <v>1042.56</v>
      </c>
      <c r="T3344">
        <f>1405.199</f>
        <v>1405.1990000000001</v>
      </c>
      <c r="U3344">
        <f>27980.6</f>
        <v>27980.6</v>
      </c>
      <c r="V3344">
        <f>191.13</f>
        <v>191.13</v>
      </c>
    </row>
    <row r="3345" spans="1:22" x14ac:dyDescent="0.2">
      <c r="A3345" s="1">
        <v>40424</v>
      </c>
      <c r="B3345">
        <f>2218.7</f>
        <v>2218.6999999999998</v>
      </c>
      <c r="C3345">
        <f>7776.88</f>
        <v>7776.88</v>
      </c>
      <c r="D3345">
        <f>3521.82</f>
        <v>3521.82</v>
      </c>
      <c r="E3345">
        <f>1789.022</f>
        <v>1789.0219999999999</v>
      </c>
      <c r="F3345">
        <f>1127.02</f>
        <v>1127.02</v>
      </c>
      <c r="G3345">
        <f>5524.567</f>
        <v>5524.567</v>
      </c>
      <c r="H3345">
        <f>1842.95</f>
        <v>1842.95</v>
      </c>
      <c r="I3345">
        <f>5820.572</f>
        <v>5820.5720000000001</v>
      </c>
      <c r="J3345">
        <f>1349.48</f>
        <v>1349.48</v>
      </c>
      <c r="K3345">
        <f>3831.89</f>
        <v>3831.89</v>
      </c>
      <c r="L3345">
        <f>953.71</f>
        <v>953.71</v>
      </c>
      <c r="M3345">
        <f>3766.65</f>
        <v>3766.65</v>
      </c>
      <c r="N3345">
        <f>154.402</f>
        <v>154.40199999999999</v>
      </c>
      <c r="O3345">
        <f>1551.03</f>
        <v>1551.03</v>
      </c>
      <c r="P3345">
        <f>82.46</f>
        <v>82.46</v>
      </c>
      <c r="Q3345">
        <f>828.23</f>
        <v>828.23</v>
      </c>
      <c r="R3345">
        <f>1845.1</f>
        <v>1845.1</v>
      </c>
      <c r="S3345">
        <f>1023.89</f>
        <v>1023.89</v>
      </c>
      <c r="T3345">
        <f>1401.638</f>
        <v>1401.6379999999999</v>
      </c>
      <c r="U3345">
        <f>27942.89</f>
        <v>27942.89</v>
      </c>
      <c r="V3345">
        <f>190.84</f>
        <v>190.84</v>
      </c>
    </row>
    <row r="3346" spans="1:22" x14ac:dyDescent="0.2">
      <c r="A3346" s="1">
        <v>40423</v>
      </c>
      <c r="B3346">
        <f>2205.25</f>
        <v>2205.25</v>
      </c>
      <c r="C3346">
        <f>7700.99</f>
        <v>7700.99</v>
      </c>
      <c r="D3346">
        <f>3484.77</f>
        <v>3484.77</v>
      </c>
      <c r="E3346">
        <f>1773.883</f>
        <v>1773.883</v>
      </c>
      <c r="F3346">
        <f>1111.47</f>
        <v>1111.47</v>
      </c>
      <c r="G3346">
        <f>5453.776</f>
        <v>5453.7759999999998</v>
      </c>
      <c r="H3346">
        <f>1840.69</f>
        <v>1840.69</v>
      </c>
      <c r="I3346">
        <f>5759.825</f>
        <v>5759.8249999999998</v>
      </c>
      <c r="J3346">
        <f>1339.45</f>
        <v>1339.45</v>
      </c>
      <c r="K3346">
        <f>3782.14</f>
        <v>3782.14</v>
      </c>
      <c r="L3346">
        <f>945.71</f>
        <v>945.71</v>
      </c>
      <c r="M3346">
        <f>3725.48</f>
        <v>3725.48</v>
      </c>
      <c r="N3346">
        <f>153.786</f>
        <v>153.786</v>
      </c>
      <c r="O3346">
        <f>1538.99</f>
        <v>1538.99</v>
      </c>
      <c r="P3346">
        <f>82.22</f>
        <v>82.22</v>
      </c>
      <c r="Q3346">
        <f>820.99</f>
        <v>820.99</v>
      </c>
      <c r="R3346">
        <f>1820.98</f>
        <v>1820.98</v>
      </c>
      <c r="S3346">
        <f>1018.57</f>
        <v>1018.57</v>
      </c>
      <c r="T3346">
        <f>1400.604</f>
        <v>1400.604</v>
      </c>
      <c r="U3346">
        <f>27840.98</f>
        <v>27840.98</v>
      </c>
      <c r="V3346">
        <f>191.05</f>
        <v>191.05</v>
      </c>
    </row>
    <row r="3347" spans="1:22" x14ac:dyDescent="0.2">
      <c r="A3347" s="1">
        <v>40422</v>
      </c>
      <c r="B3347">
        <f>2188.03</f>
        <v>2188.0300000000002</v>
      </c>
      <c r="C3347">
        <f>7672.1</f>
        <v>7672.1</v>
      </c>
      <c r="D3347">
        <f>3481.76</f>
        <v>3481.76</v>
      </c>
      <c r="E3347">
        <f>1763.775</f>
        <v>1763.7750000000001</v>
      </c>
      <c r="F3347">
        <f>1112.91</f>
        <v>1112.9100000000001</v>
      </c>
      <c r="G3347">
        <f>5469.355</f>
        <v>5469.3549999999996</v>
      </c>
      <c r="H3347">
        <f>1824.77</f>
        <v>1824.77</v>
      </c>
      <c r="I3347">
        <f>5748.234</f>
        <v>5748.2340000000004</v>
      </c>
      <c r="J3347">
        <f>1331.88</f>
        <v>1331.88</v>
      </c>
      <c r="K3347">
        <f>3747.19</f>
        <v>3747.19</v>
      </c>
      <c r="L3347">
        <f>942.97</f>
        <v>942.97</v>
      </c>
      <c r="M3347">
        <f>3699.88</f>
        <v>3699.88</v>
      </c>
      <c r="N3347">
        <f>153.754</f>
        <v>153.75399999999999</v>
      </c>
      <c r="O3347">
        <f>1540.68</f>
        <v>1540.68</v>
      </c>
      <c r="P3347">
        <f>81.4</f>
        <v>81.400000000000006</v>
      </c>
      <c r="Q3347">
        <f>813.1</f>
        <v>813.1</v>
      </c>
      <c r="R3347">
        <f>1804.46</f>
        <v>1804.46</v>
      </c>
      <c r="S3347">
        <f>1008.6</f>
        <v>1008.6</v>
      </c>
      <c r="T3347">
        <f>1402.294</f>
        <v>1402.2940000000001</v>
      </c>
      <c r="U3347">
        <f>27979.26</f>
        <v>27979.26</v>
      </c>
      <c r="V3347">
        <f>191.34</f>
        <v>191.34</v>
      </c>
    </row>
    <row r="3348" spans="1:22" x14ac:dyDescent="0.2">
      <c r="A3348" s="1">
        <v>40421</v>
      </c>
      <c r="B3348">
        <f>2141.24</f>
        <v>2141.2399999999998</v>
      </c>
      <c r="C3348">
        <f>7514.2</f>
        <v>7514.2</v>
      </c>
      <c r="D3348">
        <f>3389.74</f>
        <v>3389.74</v>
      </c>
      <c r="E3348">
        <f>1728.343</f>
        <v>1728.3430000000001</v>
      </c>
      <c r="F3348">
        <f>1082.97</f>
        <v>1082.97</v>
      </c>
      <c r="G3348">
        <f>5294.325</f>
        <v>5294.3249999999998</v>
      </c>
      <c r="H3348">
        <f>1819.34</f>
        <v>1819.34</v>
      </c>
      <c r="I3348">
        <f>5537.662</f>
        <v>5537.6620000000003</v>
      </c>
      <c r="J3348">
        <f>1301.33</f>
        <v>1301.33</v>
      </c>
      <c r="K3348">
        <f>3639.27</f>
        <v>3639.27</v>
      </c>
      <c r="L3348">
        <f>917.69</f>
        <v>917.69</v>
      </c>
      <c r="M3348">
        <f>3596.9</f>
        <v>3596.9</v>
      </c>
      <c r="N3348">
        <f>149.914</f>
        <v>149.91399999999999</v>
      </c>
      <c r="O3348">
        <f>1497.95</f>
        <v>1497.95</v>
      </c>
      <c r="P3348">
        <f>80.49</f>
        <v>80.489999999999995</v>
      </c>
      <c r="Q3348">
        <f>793.59</f>
        <v>793.59</v>
      </c>
      <c r="R3348">
        <f>1752.55</f>
        <v>1752.55</v>
      </c>
      <c r="S3348">
        <f>1000.24</f>
        <v>1000.24</v>
      </c>
      <c r="T3348">
        <f>1388.067</f>
        <v>1388.067</v>
      </c>
      <c r="U3348">
        <f>27253.87</f>
        <v>27253.87</v>
      </c>
      <c r="V3348">
        <f>188.63</f>
        <v>188.63</v>
      </c>
    </row>
    <row r="3349" spans="1:22" x14ac:dyDescent="0.2">
      <c r="A3349" s="1">
        <v>40420</v>
      </c>
      <c r="B3349" t="e">
        <f>NA()</f>
        <v>#N/A</v>
      </c>
      <c r="C3349">
        <f>7517.44</f>
        <v>7517.44</v>
      </c>
      <c r="D3349" t="e">
        <f>NA()</f>
        <v>#N/A</v>
      </c>
      <c r="E3349">
        <f>1732.333</f>
        <v>1732.3330000000001</v>
      </c>
      <c r="F3349">
        <f>1088.1</f>
        <v>1088.0999999999999</v>
      </c>
      <c r="G3349">
        <f>5307.001</f>
        <v>5307.0010000000002</v>
      </c>
      <c r="H3349">
        <f>1840.35</f>
        <v>1840.35</v>
      </c>
      <c r="I3349">
        <f>5511.131</f>
        <v>5511.1310000000003</v>
      </c>
      <c r="J3349">
        <f>1298.35</f>
        <v>1298.3499999999999</v>
      </c>
      <c r="K3349">
        <f>3638.78</f>
        <v>3638.78</v>
      </c>
      <c r="L3349">
        <f>917.95</f>
        <v>917.95</v>
      </c>
      <c r="M3349">
        <f>3606.49</f>
        <v>3606.49</v>
      </c>
      <c r="N3349">
        <f>150.307</f>
        <v>150.30699999999999</v>
      </c>
      <c r="O3349">
        <f>1497.39</f>
        <v>1497.39</v>
      </c>
      <c r="P3349">
        <f>82.87</f>
        <v>82.87</v>
      </c>
      <c r="Q3349">
        <f>793.14</f>
        <v>793.14</v>
      </c>
      <c r="R3349">
        <f>1751.79</f>
        <v>1751.79</v>
      </c>
      <c r="S3349">
        <f>1030.74</f>
        <v>1030.74</v>
      </c>
      <c r="T3349">
        <f>1376.837</f>
        <v>1376.837</v>
      </c>
      <c r="U3349">
        <f>27142</f>
        <v>27142</v>
      </c>
      <c r="V3349">
        <f>187.1</f>
        <v>187.1</v>
      </c>
    </row>
    <row r="3350" spans="1:22" x14ac:dyDescent="0.2">
      <c r="A3350" s="1">
        <v>40417</v>
      </c>
      <c r="B3350">
        <f>2142.55</f>
        <v>2142.5500000000002</v>
      </c>
      <c r="C3350">
        <f>7526.24</f>
        <v>7526.24</v>
      </c>
      <c r="D3350">
        <f>3374.4</f>
        <v>3374.4</v>
      </c>
      <c r="E3350">
        <f>1728.258</f>
        <v>1728.258</v>
      </c>
      <c r="F3350">
        <f>1088</f>
        <v>1088</v>
      </c>
      <c r="G3350">
        <f>5306.487</f>
        <v>5306.4870000000001</v>
      </c>
      <c r="H3350">
        <f>1817.45</f>
        <v>1817.45</v>
      </c>
      <c r="I3350">
        <f>5533.13</f>
        <v>5533.13</v>
      </c>
      <c r="J3350">
        <f>1314.72</f>
        <v>1314.72</v>
      </c>
      <c r="K3350">
        <f>3691.63</f>
        <v>3691.63</v>
      </c>
      <c r="L3350">
        <f>920.28</f>
        <v>920.28</v>
      </c>
      <c r="M3350">
        <f>3624.46</f>
        <v>3624.46</v>
      </c>
      <c r="N3350">
        <f>149.958</f>
        <v>149.958</v>
      </c>
      <c r="O3350">
        <f>1497.25</f>
        <v>1497.25</v>
      </c>
      <c r="P3350">
        <f>82.07</f>
        <v>82.07</v>
      </c>
      <c r="Q3350">
        <f>803.37</f>
        <v>803.37</v>
      </c>
      <c r="R3350">
        <f>1777.6</f>
        <v>1777.6</v>
      </c>
      <c r="S3350">
        <f>1018.82</f>
        <v>1018.82</v>
      </c>
      <c r="T3350">
        <f>1364.095</f>
        <v>1364.095</v>
      </c>
      <c r="U3350">
        <f>26738.91</f>
        <v>26738.91</v>
      </c>
      <c r="V3350">
        <f>185.09</f>
        <v>185.09</v>
      </c>
    </row>
    <row r="3351" spans="1:22" x14ac:dyDescent="0.2">
      <c r="A3351" s="1">
        <v>40416</v>
      </c>
      <c r="B3351">
        <f>2116.65</f>
        <v>2116.65</v>
      </c>
      <c r="C3351">
        <f>7451.24</f>
        <v>7451.24</v>
      </c>
      <c r="D3351">
        <f>3344.73</f>
        <v>3344.73</v>
      </c>
      <c r="E3351">
        <f>1721.131</f>
        <v>1721.1310000000001</v>
      </c>
      <c r="F3351">
        <f>1084.65</f>
        <v>1084.6500000000001</v>
      </c>
      <c r="G3351">
        <f>5296.177</f>
        <v>5296.1769999999997</v>
      </c>
      <c r="H3351">
        <f>1813.15</f>
        <v>1813.15</v>
      </c>
      <c r="I3351">
        <f>5498.379</f>
        <v>5498.3789999999999</v>
      </c>
      <c r="J3351">
        <f>1295.45</f>
        <v>1295.45</v>
      </c>
      <c r="K3351">
        <f>3630.91</f>
        <v>3630.91</v>
      </c>
      <c r="L3351">
        <f>910.58</f>
        <v>910.58</v>
      </c>
      <c r="M3351">
        <f>3584.21</f>
        <v>3584.21</v>
      </c>
      <c r="N3351">
        <f>149.02</f>
        <v>149.02000000000001</v>
      </c>
      <c r="O3351">
        <f>1488.86</f>
        <v>1488.86</v>
      </c>
      <c r="P3351">
        <f>81.29</f>
        <v>81.290000000000006</v>
      </c>
      <c r="Q3351">
        <f>791.31</f>
        <v>791.31</v>
      </c>
      <c r="R3351">
        <f>1748.14</f>
        <v>1748.14</v>
      </c>
      <c r="S3351">
        <f>1008.81</f>
        <v>1008.81</v>
      </c>
      <c r="T3351">
        <f>1356.137</f>
        <v>1356.1369999999999</v>
      </c>
      <c r="U3351">
        <f>26873.08</f>
        <v>26873.08</v>
      </c>
      <c r="V3351">
        <f>184.53</f>
        <v>184.53</v>
      </c>
    </row>
    <row r="3352" spans="1:22" x14ac:dyDescent="0.2">
      <c r="A3352" s="1">
        <v>40415</v>
      </c>
      <c r="B3352">
        <f>2110.79</f>
        <v>2110.79</v>
      </c>
      <c r="C3352">
        <f>7422.54</f>
        <v>7422.54</v>
      </c>
      <c r="D3352">
        <f>3314.61</f>
        <v>3314.61</v>
      </c>
      <c r="E3352">
        <f>1715.022</f>
        <v>1715.0219999999999</v>
      </c>
      <c r="F3352">
        <f>1066.49</f>
        <v>1066.49</v>
      </c>
      <c r="G3352">
        <f>5197.058</f>
        <v>5197.058</v>
      </c>
      <c r="H3352">
        <f>1809.81</f>
        <v>1809.81</v>
      </c>
      <c r="I3352">
        <f>5407.379</f>
        <v>5407.3789999999999</v>
      </c>
      <c r="J3352">
        <f>1303.56</f>
        <v>1303.56</v>
      </c>
      <c r="K3352">
        <f>3659.17</f>
        <v>3659.17</v>
      </c>
      <c r="L3352">
        <f>905.12</f>
        <v>905.12</v>
      </c>
      <c r="M3352">
        <f>3572.46</f>
        <v>3572.46</v>
      </c>
      <c r="N3352">
        <f>147.779</f>
        <v>147.779</v>
      </c>
      <c r="O3352">
        <f>1476.15</f>
        <v>1476.15</v>
      </c>
      <c r="P3352">
        <f>80.96</f>
        <v>80.959999999999994</v>
      </c>
      <c r="Q3352">
        <f>795.75</f>
        <v>795.75</v>
      </c>
      <c r="R3352">
        <f>1761.62</f>
        <v>1761.62</v>
      </c>
      <c r="S3352">
        <f>1003.25</f>
        <v>1003.25</v>
      </c>
      <c r="T3352">
        <f>1337.859</f>
        <v>1337.8589999999999</v>
      </c>
      <c r="U3352">
        <f>26470.47</f>
        <v>26470.47</v>
      </c>
      <c r="V3352">
        <f>182.6</f>
        <v>182.6</v>
      </c>
    </row>
    <row r="3353" spans="1:22" x14ac:dyDescent="0.2">
      <c r="A3353" s="1">
        <v>40414</v>
      </c>
      <c r="B3353">
        <f>2118.34</f>
        <v>2118.34</v>
      </c>
      <c r="C3353">
        <f>7497.99</f>
        <v>7497.99</v>
      </c>
      <c r="D3353">
        <f>3344.67</f>
        <v>3344.67</v>
      </c>
      <c r="E3353">
        <f>1734.168</f>
        <v>1734.1679999999999</v>
      </c>
      <c r="F3353">
        <f>1071.81</f>
        <v>1071.81</v>
      </c>
      <c r="G3353">
        <f>5252.521</f>
        <v>5252.5209999999997</v>
      </c>
      <c r="H3353">
        <f>1840.74</f>
        <v>1840.74</v>
      </c>
      <c r="I3353">
        <f>5476.704</f>
        <v>5476.7039999999997</v>
      </c>
      <c r="J3353">
        <f>1301.16</f>
        <v>1301.1600000000001</v>
      </c>
      <c r="K3353">
        <f>3646.44</f>
        <v>3646.44</v>
      </c>
      <c r="L3353">
        <f>909.38</f>
        <v>909.38</v>
      </c>
      <c r="M3353">
        <f>3589.48</f>
        <v>3589.48</v>
      </c>
      <c r="N3353">
        <f>148.537</f>
        <v>148.53700000000001</v>
      </c>
      <c r="O3353">
        <f>1487.98</f>
        <v>1487.98</v>
      </c>
      <c r="P3353">
        <f>81.82</f>
        <v>81.819999999999993</v>
      </c>
      <c r="Q3353">
        <f>793.47</f>
        <v>793.47</v>
      </c>
      <c r="R3353">
        <f>1755.65</f>
        <v>1755.65</v>
      </c>
      <c r="S3353">
        <f>1016.2</f>
        <v>1016.2</v>
      </c>
      <c r="T3353">
        <f>1355.09</f>
        <v>1355.09</v>
      </c>
      <c r="U3353">
        <f>27069.73</f>
        <v>27069.73</v>
      </c>
      <c r="V3353">
        <f>184.35</f>
        <v>184.35</v>
      </c>
    </row>
    <row r="3354" spans="1:22" x14ac:dyDescent="0.2">
      <c r="A3354" s="1">
        <v>40413</v>
      </c>
      <c r="B3354">
        <f>2144.61</f>
        <v>2144.61</v>
      </c>
      <c r="C3354">
        <f>7591.54</f>
        <v>7591.54</v>
      </c>
      <c r="D3354">
        <f>3395.85</f>
        <v>3395.85</v>
      </c>
      <c r="E3354">
        <f>1756.616</f>
        <v>1756.616</v>
      </c>
      <c r="F3354">
        <f>1090.83</f>
        <v>1090.83</v>
      </c>
      <c r="G3354">
        <f>5350.718</f>
        <v>5350.7179999999998</v>
      </c>
      <c r="H3354">
        <f>1816.88</f>
        <v>1816.88</v>
      </c>
      <c r="I3354">
        <f>5548.709</f>
        <v>5548.7089999999998</v>
      </c>
      <c r="J3354">
        <f>1312</f>
        <v>1312</v>
      </c>
      <c r="K3354">
        <f>3700.29</f>
        <v>3700.29</v>
      </c>
      <c r="L3354">
        <f>920.05</f>
        <v>920.05</v>
      </c>
      <c r="M3354">
        <f>3636.44</f>
        <v>3636.44</v>
      </c>
      <c r="N3354">
        <f>150.542</f>
        <v>150.542</v>
      </c>
      <c r="O3354">
        <f>1512.62</f>
        <v>1512.62</v>
      </c>
      <c r="P3354">
        <f>81.98</f>
        <v>81.98</v>
      </c>
      <c r="Q3354">
        <f>800.31</f>
        <v>800.31</v>
      </c>
      <c r="R3354">
        <f>1781.47</f>
        <v>1781.47</v>
      </c>
      <c r="S3354">
        <f>1024.97</f>
        <v>1024.97</v>
      </c>
      <c r="T3354">
        <f>1362.01</f>
        <v>1362.01</v>
      </c>
      <c r="U3354">
        <f>27361.7</f>
        <v>27361.7</v>
      </c>
      <c r="V3354">
        <f>185.63</f>
        <v>185.63</v>
      </c>
    </row>
    <row r="3355" spans="1:22" x14ac:dyDescent="0.2">
      <c r="A3355" s="1">
        <v>40410</v>
      </c>
      <c r="B3355">
        <f>2122.81</f>
        <v>2122.81</v>
      </c>
      <c r="C3355">
        <f>7596.05</f>
        <v>7596.05</v>
      </c>
      <c r="D3355">
        <f>3370.18</f>
        <v>3370.18</v>
      </c>
      <c r="E3355">
        <f>1759.708</f>
        <v>1759.7080000000001</v>
      </c>
      <c r="F3355">
        <f>1081.73</f>
        <v>1081.73</v>
      </c>
      <c r="G3355">
        <f>5311.357</f>
        <v>5311.357</v>
      </c>
      <c r="H3355">
        <f>1799.92</f>
        <v>1799.92</v>
      </c>
      <c r="I3355">
        <f>5534.403</f>
        <v>5534.4030000000002</v>
      </c>
      <c r="J3355">
        <f>1310.67</f>
        <v>1310.67</v>
      </c>
      <c r="K3355">
        <f>3715.45</f>
        <v>3715.45</v>
      </c>
      <c r="L3355">
        <f>916.42</f>
        <v>916.42</v>
      </c>
      <c r="M3355">
        <f>3638.01</f>
        <v>3638.01</v>
      </c>
      <c r="N3355">
        <f>149.453</f>
        <v>149.453</v>
      </c>
      <c r="O3355">
        <f>1502.16</f>
        <v>1502.16</v>
      </c>
      <c r="P3355">
        <f>82.09</f>
        <v>82.09</v>
      </c>
      <c r="Q3355">
        <f>800.99</f>
        <v>800.99</v>
      </c>
      <c r="R3355">
        <f>1788.67</f>
        <v>1788.67</v>
      </c>
      <c r="S3355">
        <f>1030.93</f>
        <v>1030.93</v>
      </c>
      <c r="T3355">
        <f>1349.887</f>
        <v>1349.8869999999999</v>
      </c>
      <c r="U3355">
        <f>26989.63</f>
        <v>26989.63</v>
      </c>
      <c r="V3355">
        <f>183.51</f>
        <v>183.51</v>
      </c>
    </row>
    <row r="3356" spans="1:22" x14ac:dyDescent="0.2">
      <c r="A3356" s="1">
        <v>40409</v>
      </c>
      <c r="B3356">
        <f>2137.76</f>
        <v>2137.7600000000002</v>
      </c>
      <c r="C3356">
        <f>7630.33</f>
        <v>7630.33</v>
      </c>
      <c r="D3356">
        <f>3380.57</f>
        <v>3380.57</v>
      </c>
      <c r="E3356">
        <f>1770.54</f>
        <v>1770.54</v>
      </c>
      <c r="F3356">
        <f>1092.44</f>
        <v>1092.44</v>
      </c>
      <c r="G3356">
        <f>5370.428</f>
        <v>5370.4279999999999</v>
      </c>
      <c r="H3356">
        <f>1839.97</f>
        <v>1839.97</v>
      </c>
      <c r="I3356">
        <f>5678.537</f>
        <v>5678.5370000000003</v>
      </c>
      <c r="J3356">
        <f>1315.4</f>
        <v>1315.4</v>
      </c>
      <c r="K3356">
        <f>3728.6</f>
        <v>3728.6</v>
      </c>
      <c r="L3356">
        <f>928.19</f>
        <v>928.19</v>
      </c>
      <c r="M3356">
        <f>3681.64</f>
        <v>3681.64</v>
      </c>
      <c r="N3356">
        <f>150.338</f>
        <v>150.33799999999999</v>
      </c>
      <c r="O3356">
        <f>1512.53</f>
        <v>1512.53</v>
      </c>
      <c r="P3356">
        <f>83.65</f>
        <v>83.65</v>
      </c>
      <c r="Q3356">
        <f>802.2</f>
        <v>802.2</v>
      </c>
      <c r="R3356">
        <f>1795.24</f>
        <v>1795.24</v>
      </c>
      <c r="S3356">
        <f>1048.82</f>
        <v>1048.82</v>
      </c>
      <c r="T3356">
        <f>1361.81</f>
        <v>1361.81</v>
      </c>
      <c r="U3356">
        <f>27148.75</f>
        <v>27148.75</v>
      </c>
      <c r="V3356">
        <f>185.18</f>
        <v>185.18</v>
      </c>
    </row>
    <row r="3357" spans="1:22" x14ac:dyDescent="0.2">
      <c r="A3357" s="1">
        <v>40408</v>
      </c>
      <c r="B3357">
        <f>2167.32</f>
        <v>2167.3200000000002</v>
      </c>
      <c r="C3357">
        <f>7657.24</f>
        <v>7657.24</v>
      </c>
      <c r="D3357">
        <f>3439.98</f>
        <v>3439.98</v>
      </c>
      <c r="E3357">
        <f>1770.145</f>
        <v>1770.145</v>
      </c>
      <c r="F3357">
        <f>1111.57</f>
        <v>1111.57</v>
      </c>
      <c r="G3357">
        <f>5450.683</f>
        <v>5450.683</v>
      </c>
      <c r="H3357">
        <f>1829.66</f>
        <v>1829.66</v>
      </c>
      <c r="I3357">
        <f>5755.641</f>
        <v>5755.6409999999996</v>
      </c>
      <c r="J3357">
        <f>1334.51</f>
        <v>1334.51</v>
      </c>
      <c r="K3357">
        <f>3791.81</f>
        <v>3791.81</v>
      </c>
      <c r="L3357">
        <f>938.96</f>
        <v>938.96</v>
      </c>
      <c r="M3357">
        <f>3723.97</f>
        <v>3723.97</v>
      </c>
      <c r="N3357">
        <f>152.259</f>
        <v>152.25899999999999</v>
      </c>
      <c r="O3357">
        <f>1534.75</f>
        <v>1534.75</v>
      </c>
      <c r="P3357">
        <f>83.11</f>
        <v>83.11</v>
      </c>
      <c r="Q3357">
        <f>815.94</f>
        <v>815.94</v>
      </c>
      <c r="R3357">
        <f>1826.14</f>
        <v>1826.14</v>
      </c>
      <c r="S3357">
        <f>1037.95</f>
        <v>1037.95</v>
      </c>
      <c r="T3357">
        <f>1363.137</f>
        <v>1363.1369999999999</v>
      </c>
      <c r="U3357">
        <f>27287.09</f>
        <v>27287.09</v>
      </c>
      <c r="V3357">
        <f>185.82</f>
        <v>185.82</v>
      </c>
    </row>
    <row r="3358" spans="1:22" x14ac:dyDescent="0.2">
      <c r="A3358" s="1">
        <v>40407</v>
      </c>
      <c r="B3358">
        <f>2172.31</f>
        <v>2172.31</v>
      </c>
      <c r="C3358">
        <f>7665.96</f>
        <v>7665.96</v>
      </c>
      <c r="D3358">
        <f>3465.33</f>
        <v>3465.33</v>
      </c>
      <c r="E3358">
        <f>1769.582</f>
        <v>1769.5820000000001</v>
      </c>
      <c r="F3358">
        <f>1119</f>
        <v>1119</v>
      </c>
      <c r="G3358">
        <f>5485.997</f>
        <v>5485.9970000000003</v>
      </c>
      <c r="H3358">
        <f>1809.85</f>
        <v>1809.85</v>
      </c>
      <c r="I3358">
        <f>5773.876</f>
        <v>5773.8760000000002</v>
      </c>
      <c r="J3358">
        <f>1335.73</f>
        <v>1335.73</v>
      </c>
      <c r="K3358">
        <f>3785.75</f>
        <v>3785.75</v>
      </c>
      <c r="L3358">
        <f>940.08</f>
        <v>940.08</v>
      </c>
      <c r="M3358">
        <f>3720.5</f>
        <v>3720.5</v>
      </c>
      <c r="N3358">
        <f>152.244</f>
        <v>152.244</v>
      </c>
      <c r="O3358">
        <f>1538.56</f>
        <v>1538.56</v>
      </c>
      <c r="P3358">
        <f>82.71</f>
        <v>82.71</v>
      </c>
      <c r="Q3358">
        <f>815.74</f>
        <v>815.74</v>
      </c>
      <c r="R3358">
        <f>1823.18</f>
        <v>1823.18</v>
      </c>
      <c r="S3358">
        <f>1027.41</f>
        <v>1027.4100000000001</v>
      </c>
      <c r="T3358">
        <f>1382.372</f>
        <v>1382.3720000000001</v>
      </c>
      <c r="U3358">
        <f>27680.73</f>
        <v>27680.73</v>
      </c>
      <c r="V3358">
        <f>188.1</f>
        <v>188.1</v>
      </c>
    </row>
    <row r="3359" spans="1:22" x14ac:dyDescent="0.2">
      <c r="A3359" s="1">
        <v>40406</v>
      </c>
      <c r="B3359">
        <f>2139.72</f>
        <v>2139.7199999999998</v>
      </c>
      <c r="C3359">
        <f>7609.08</f>
        <v>7609.08</v>
      </c>
      <c r="D3359">
        <f>3417.11</f>
        <v>3417.11</v>
      </c>
      <c r="E3359">
        <f>1754.24</f>
        <v>1754.24</v>
      </c>
      <c r="F3359">
        <f>1118.8</f>
        <v>1118.8</v>
      </c>
      <c r="G3359">
        <f>5443.168</f>
        <v>5443.1679999999997</v>
      </c>
      <c r="H3359">
        <f>1814.07</f>
        <v>1814.07</v>
      </c>
      <c r="I3359">
        <f>5684.762</f>
        <v>5684.7619999999997</v>
      </c>
      <c r="J3359">
        <f>1319.84</f>
        <v>1319.84</v>
      </c>
      <c r="K3359">
        <f>3738.29</f>
        <v>3738.29</v>
      </c>
      <c r="L3359">
        <f>930.34</f>
        <v>930.34</v>
      </c>
      <c r="M3359">
        <f>3677.79</f>
        <v>3677.79</v>
      </c>
      <c r="N3359">
        <f>151.468</f>
        <v>151.46799999999999</v>
      </c>
      <c r="O3359">
        <f>1523.8</f>
        <v>1523.8</v>
      </c>
      <c r="P3359">
        <f>82.58</f>
        <v>82.58</v>
      </c>
      <c r="Q3359">
        <f>804.18</f>
        <v>804.18</v>
      </c>
      <c r="R3359">
        <f>1800.7</f>
        <v>1800.7</v>
      </c>
      <c r="S3359">
        <f>1029.71</f>
        <v>1029.71</v>
      </c>
      <c r="T3359">
        <f>1376.802</f>
        <v>1376.8019999999999</v>
      </c>
      <c r="U3359">
        <f>27583.09</f>
        <v>27583.09</v>
      </c>
      <c r="V3359">
        <f>187.59</f>
        <v>187.59</v>
      </c>
    </row>
    <row r="3360" spans="1:22" x14ac:dyDescent="0.2">
      <c r="A3360" s="1">
        <v>40403</v>
      </c>
      <c r="B3360">
        <f>2146.26</f>
        <v>2146.2600000000002</v>
      </c>
      <c r="C3360">
        <f>7549.71</f>
        <v>7549.71</v>
      </c>
      <c r="D3360">
        <f>3416.68</f>
        <v>3416.68</v>
      </c>
      <c r="E3360">
        <f>1745.544</f>
        <v>1745.5440000000001</v>
      </c>
      <c r="F3360">
        <f>1117.6</f>
        <v>1117.5999999999999</v>
      </c>
      <c r="G3360">
        <f>5412.57</f>
        <v>5412.57</v>
      </c>
      <c r="H3360">
        <f>1788.44</f>
        <v>1788.44</v>
      </c>
      <c r="I3360">
        <f>5643.521</f>
        <v>5643.5209999999997</v>
      </c>
      <c r="J3360">
        <f>1319.86</f>
        <v>1319.86</v>
      </c>
      <c r="K3360">
        <f>3737.48</f>
        <v>3737.48</v>
      </c>
      <c r="L3360">
        <f>928.24</f>
        <v>928.24</v>
      </c>
      <c r="M3360">
        <f>3668.44</f>
        <v>3668.44</v>
      </c>
      <c r="N3360">
        <f>151.339</f>
        <v>151.339</v>
      </c>
      <c r="O3360">
        <f>1522.75</f>
        <v>1522.75</v>
      </c>
      <c r="P3360">
        <f>82.38</f>
        <v>82.38</v>
      </c>
      <c r="Q3360">
        <f>804.36</f>
        <v>804.36</v>
      </c>
      <c r="R3360">
        <f>1800.39</f>
        <v>1800.39</v>
      </c>
      <c r="S3360">
        <f>1032.95</f>
        <v>1032.95</v>
      </c>
      <c r="T3360">
        <f>1379.58</f>
        <v>1379.58</v>
      </c>
      <c r="U3360">
        <f>27526.23</f>
        <v>27526.23</v>
      </c>
      <c r="V3360">
        <f>187.53</f>
        <v>187.53</v>
      </c>
    </row>
    <row r="3361" spans="1:22" x14ac:dyDescent="0.2">
      <c r="A3361" s="1">
        <v>40402</v>
      </c>
      <c r="B3361">
        <f>2141.08</f>
        <v>2141.08</v>
      </c>
      <c r="C3361">
        <f>7549.99</f>
        <v>7549.99</v>
      </c>
      <c r="D3361">
        <f>3410.61</f>
        <v>3410.61</v>
      </c>
      <c r="E3361">
        <f>1737.748</f>
        <v>1737.748</v>
      </c>
      <c r="F3361">
        <f>1110.8</f>
        <v>1110.8</v>
      </c>
      <c r="G3361">
        <f>5402.323</f>
        <v>5402.3230000000003</v>
      </c>
      <c r="H3361">
        <f>1783.64</f>
        <v>1783.64</v>
      </c>
      <c r="I3361">
        <f>5684.522</f>
        <v>5684.5219999999999</v>
      </c>
      <c r="J3361">
        <f>1322.56</f>
        <v>1322.56</v>
      </c>
      <c r="K3361">
        <f>3752.11</f>
        <v>3752.11</v>
      </c>
      <c r="L3361">
        <f>929</f>
        <v>929</v>
      </c>
      <c r="M3361">
        <f>3676.63</f>
        <v>3676.63</v>
      </c>
      <c r="N3361">
        <f>151.062</f>
        <v>151.06200000000001</v>
      </c>
      <c r="O3361">
        <f>1518.42</f>
        <v>1518.42</v>
      </c>
      <c r="P3361">
        <f>81.69</f>
        <v>81.69</v>
      </c>
      <c r="Q3361">
        <f>807.67</f>
        <v>807.67</v>
      </c>
      <c r="R3361">
        <f>1807.61</f>
        <v>1807.61</v>
      </c>
      <c r="S3361">
        <f>1028.66</f>
        <v>1028.6600000000001</v>
      </c>
      <c r="T3361">
        <f>1367.877</f>
        <v>1367.877</v>
      </c>
      <c r="U3361">
        <f>27467.15</f>
        <v>27467.15</v>
      </c>
      <c r="V3361">
        <f>186.89</f>
        <v>186.89</v>
      </c>
    </row>
    <row r="3362" spans="1:22" x14ac:dyDescent="0.2">
      <c r="A3362" s="1">
        <v>40401</v>
      </c>
      <c r="B3362">
        <f>2148.55</f>
        <v>2148.5500000000002</v>
      </c>
      <c r="C3362">
        <f>7561.41</f>
        <v>7561.41</v>
      </c>
      <c r="D3362">
        <f>3397.1</f>
        <v>3397.1</v>
      </c>
      <c r="E3362">
        <f>1747.9</f>
        <v>1747.9</v>
      </c>
      <c r="F3362">
        <f>1108.72</f>
        <v>1108.72</v>
      </c>
      <c r="G3362">
        <f>5408.637</f>
        <v>5408.6369999999997</v>
      </c>
      <c r="H3362">
        <f>1811.38</f>
        <v>1811.38</v>
      </c>
      <c r="I3362">
        <f>5704.825</f>
        <v>5704.8249999999998</v>
      </c>
      <c r="J3362">
        <f>1323.58</f>
        <v>1323.58</v>
      </c>
      <c r="K3362">
        <f>3771.27</f>
        <v>3771.27</v>
      </c>
      <c r="L3362">
        <f>930.93</f>
        <v>930.93</v>
      </c>
      <c r="M3362">
        <f>3698.88</f>
        <v>3698.88</v>
      </c>
      <c r="N3362">
        <f>151.179</f>
        <v>151.179</v>
      </c>
      <c r="O3362">
        <f>1517.69</f>
        <v>1517.69</v>
      </c>
      <c r="P3362">
        <f>82.41</f>
        <v>82.41</v>
      </c>
      <c r="Q3362">
        <f>809.91</f>
        <v>809.91</v>
      </c>
      <c r="R3362">
        <f>1817.13</f>
        <v>1817.13</v>
      </c>
      <c r="S3362">
        <f>1036.94</f>
        <v>1036.94</v>
      </c>
      <c r="T3362">
        <f>1370.057</f>
        <v>1370.057</v>
      </c>
      <c r="U3362">
        <f>27461.76</f>
        <v>27461.759999999998</v>
      </c>
      <c r="V3362">
        <f>187.41</f>
        <v>187.41</v>
      </c>
    </row>
    <row r="3363" spans="1:22" x14ac:dyDescent="0.2">
      <c r="A3363" s="1">
        <v>40400</v>
      </c>
      <c r="B3363">
        <f>2200.78</f>
        <v>2200.7800000000002</v>
      </c>
      <c r="C3363">
        <f>7695.44</f>
        <v>7695.44</v>
      </c>
      <c r="D3363">
        <f>3478.15</f>
        <v>3478.15</v>
      </c>
      <c r="E3363">
        <f>1781.821</f>
        <v>1781.8209999999999</v>
      </c>
      <c r="F3363">
        <f>1135.2</f>
        <v>1135.2</v>
      </c>
      <c r="G3363">
        <f>5564.196</f>
        <v>5564.1959999999999</v>
      </c>
      <c r="H3363">
        <f>1830.4</f>
        <v>1830.4</v>
      </c>
      <c r="I3363">
        <f>5920.597</f>
        <v>5920.5969999999998</v>
      </c>
      <c r="J3363">
        <f>1353.35</f>
        <v>1353.35</v>
      </c>
      <c r="K3363">
        <f>3878.44</f>
        <v>3878.44</v>
      </c>
      <c r="L3363">
        <f>955.19</f>
        <v>955.19</v>
      </c>
      <c r="M3363">
        <f>3805.52</f>
        <v>3805.52</v>
      </c>
      <c r="N3363">
        <f>153.653</f>
        <v>153.65299999999999</v>
      </c>
      <c r="O3363">
        <f>1547.85</f>
        <v>1547.85</v>
      </c>
      <c r="P3363">
        <f>84.07</f>
        <v>84.07</v>
      </c>
      <c r="Q3363">
        <f>829.49</f>
        <v>829.49</v>
      </c>
      <c r="R3363">
        <f>1868.88</f>
        <v>1868.88</v>
      </c>
      <c r="S3363">
        <f>1062.08</f>
        <v>1062.08</v>
      </c>
      <c r="T3363">
        <f>1389.421</f>
        <v>1389.421</v>
      </c>
      <c r="U3363">
        <f>27917.7</f>
        <v>27917.7</v>
      </c>
      <c r="V3363">
        <f>190.5</f>
        <v>190.5</v>
      </c>
    </row>
    <row r="3364" spans="1:22" x14ac:dyDescent="0.2">
      <c r="A3364" s="1">
        <v>40399</v>
      </c>
      <c r="B3364">
        <f>2219.72</f>
        <v>2219.7199999999998</v>
      </c>
      <c r="C3364">
        <f>7807.04</f>
        <v>7807.04</v>
      </c>
      <c r="D3364">
        <f>3500.21</f>
        <v>3500.21</v>
      </c>
      <c r="E3364">
        <f>1806.939</f>
        <v>1806.9390000000001</v>
      </c>
      <c r="F3364">
        <f>1155.51</f>
        <v>1155.51</v>
      </c>
      <c r="G3364">
        <f>5677.402</f>
        <v>5677.402</v>
      </c>
      <c r="H3364">
        <f>1835.33</f>
        <v>1835.33</v>
      </c>
      <c r="I3364">
        <f>6045.096</f>
        <v>6045.0959999999995</v>
      </c>
      <c r="J3364">
        <f>1355.82</f>
        <v>1355.82</v>
      </c>
      <c r="K3364">
        <f>3902.7</f>
        <v>3902.7</v>
      </c>
      <c r="L3364">
        <f>964.88</f>
        <v>964.88</v>
      </c>
      <c r="M3364">
        <f>3847.94</f>
        <v>3847.94</v>
      </c>
      <c r="N3364">
        <f>154.524</f>
        <v>154.524</v>
      </c>
      <c r="O3364">
        <f>1559.55</f>
        <v>1559.55</v>
      </c>
      <c r="P3364">
        <f>84.53</f>
        <v>84.53</v>
      </c>
      <c r="Q3364">
        <f>831.11</f>
        <v>831.11</v>
      </c>
      <c r="R3364">
        <f>1880.06</f>
        <v>1880.06</v>
      </c>
      <c r="S3364">
        <f>1065.74</f>
        <v>1065.74</v>
      </c>
      <c r="T3364" t="e">
        <f>NA()</f>
        <v>#N/A</v>
      </c>
      <c r="U3364" t="e">
        <f>NA()</f>
        <v>#N/A</v>
      </c>
      <c r="V3364" t="e">
        <f>NA()</f>
        <v>#N/A</v>
      </c>
    </row>
    <row r="3365" spans="1:22" x14ac:dyDescent="0.2">
      <c r="A3365" s="1">
        <v>40396</v>
      </c>
      <c r="B3365">
        <f>2190.46</f>
        <v>2190.46</v>
      </c>
      <c r="C3365">
        <f>7777.99</f>
        <v>7777.99</v>
      </c>
      <c r="D3365">
        <f>3449.67</f>
        <v>3449.67</v>
      </c>
      <c r="E3365">
        <f>1797.934</f>
        <v>1797.934</v>
      </c>
      <c r="F3365">
        <f>1138.04</f>
        <v>1138.04</v>
      </c>
      <c r="G3365">
        <f>5600.276</f>
        <v>5600.2759999999998</v>
      </c>
      <c r="H3365">
        <f>1847.96</f>
        <v>1847.96</v>
      </c>
      <c r="I3365">
        <f>5993.991</f>
        <v>5993.991</v>
      </c>
      <c r="J3365">
        <f>1347.18</f>
        <v>1347.18</v>
      </c>
      <c r="K3365">
        <f>3881.68</f>
        <v>3881.68</v>
      </c>
      <c r="L3365">
        <f>956.9</f>
        <v>956.9</v>
      </c>
      <c r="M3365">
        <f>3828.17</f>
        <v>3828.17</v>
      </c>
      <c r="N3365">
        <f>152.279</f>
        <v>152.279</v>
      </c>
      <c r="O3365">
        <f>1538.73</f>
        <v>1538.73</v>
      </c>
      <c r="P3365">
        <f>84.27</f>
        <v>84.27</v>
      </c>
      <c r="Q3365">
        <f>824.83</f>
        <v>824.83</v>
      </c>
      <c r="R3365">
        <f>1869.77</f>
        <v>1869.77</v>
      </c>
      <c r="S3365">
        <f>1070.15</f>
        <v>1070.1500000000001</v>
      </c>
      <c r="T3365">
        <f>1401.614</f>
        <v>1401.614</v>
      </c>
      <c r="U3365">
        <f>28282.12</f>
        <v>28282.12</v>
      </c>
      <c r="V3365">
        <f>191.87</f>
        <v>191.87</v>
      </c>
    </row>
    <row r="3366" spans="1:22" x14ac:dyDescent="0.2">
      <c r="A3366" s="1">
        <v>40395</v>
      </c>
      <c r="B3366">
        <f>2211.2</f>
        <v>2211.1999999999998</v>
      </c>
      <c r="C3366">
        <f>7784.75</f>
        <v>7784.75</v>
      </c>
      <c r="D3366">
        <f>3471.26</f>
        <v>3471.26</v>
      </c>
      <c r="E3366">
        <f>1798.972</f>
        <v>1798.972</v>
      </c>
      <c r="F3366">
        <f>1128.96</f>
        <v>1128.96</v>
      </c>
      <c r="G3366">
        <f>5586.284</f>
        <v>5586.2839999999997</v>
      </c>
      <c r="H3366">
        <f>1820.63</f>
        <v>1820.63</v>
      </c>
      <c r="I3366">
        <f>6004.706</f>
        <v>6004.7060000000001</v>
      </c>
      <c r="J3366">
        <f>1349.15</f>
        <v>1349.15</v>
      </c>
      <c r="K3366">
        <f>3894.79</f>
        <v>3894.79</v>
      </c>
      <c r="L3366">
        <f>956.14</f>
        <v>956.14</v>
      </c>
      <c r="M3366">
        <f>3830.42</f>
        <v>3830.42</v>
      </c>
      <c r="N3366">
        <f>153.998</f>
        <v>153.99799999999999</v>
      </c>
      <c r="O3366">
        <f>1556</f>
        <v>1556</v>
      </c>
      <c r="P3366">
        <f>83.95</f>
        <v>83.95</v>
      </c>
      <c r="Q3366">
        <f>826.39</f>
        <v>826.39</v>
      </c>
      <c r="R3366">
        <f>1876.51</f>
        <v>1876.51</v>
      </c>
      <c r="S3366">
        <f>1065.08</f>
        <v>1065.08</v>
      </c>
      <c r="T3366">
        <f>1402.398</f>
        <v>1402.3979999999999</v>
      </c>
      <c r="U3366">
        <f>28527.88</f>
        <v>28527.88</v>
      </c>
      <c r="V3366">
        <f>192.78</f>
        <v>192.78</v>
      </c>
    </row>
    <row r="3367" spans="1:22" x14ac:dyDescent="0.2">
      <c r="A3367" s="1">
        <v>40394</v>
      </c>
      <c r="B3367">
        <f>2201.54</f>
        <v>2201.54</v>
      </c>
      <c r="C3367">
        <f>7763.48</f>
        <v>7763.48</v>
      </c>
      <c r="D3367">
        <f>3484.45</f>
        <v>3484.45</v>
      </c>
      <c r="E3367">
        <f>1798.526</f>
        <v>1798.5260000000001</v>
      </c>
      <c r="F3367">
        <f>1132.03</f>
        <v>1132.03</v>
      </c>
      <c r="G3367">
        <f>5621.813</f>
        <v>5621.8130000000001</v>
      </c>
      <c r="H3367">
        <f>1789.73</f>
        <v>1789.73</v>
      </c>
      <c r="I3367">
        <f>6005.353</f>
        <v>6005.3530000000001</v>
      </c>
      <c r="J3367">
        <f>1350.84</f>
        <v>1350.84</v>
      </c>
      <c r="K3367">
        <f>3899.23</f>
        <v>3899.23</v>
      </c>
      <c r="L3367">
        <f>957.66</f>
        <v>957.66</v>
      </c>
      <c r="M3367">
        <f>3828.61</f>
        <v>3828.61</v>
      </c>
      <c r="N3367">
        <f>154.897</f>
        <v>154.89699999999999</v>
      </c>
      <c r="O3367">
        <f>1558.95</f>
        <v>1558.95</v>
      </c>
      <c r="P3367">
        <f>82.92</f>
        <v>82.92</v>
      </c>
      <c r="Q3367">
        <f>826.81</f>
        <v>826.81</v>
      </c>
      <c r="R3367">
        <f>1878.81</f>
        <v>1878.81</v>
      </c>
      <c r="S3367">
        <f>1051.2</f>
        <v>1051.2</v>
      </c>
      <c r="T3367">
        <f>1402.189</f>
        <v>1402.1890000000001</v>
      </c>
      <c r="U3367">
        <f>28540.46</f>
        <v>28540.46</v>
      </c>
      <c r="V3367">
        <f>192.53</f>
        <v>192.53</v>
      </c>
    </row>
    <row r="3368" spans="1:22" x14ac:dyDescent="0.2">
      <c r="A3368" s="1">
        <v>40393</v>
      </c>
      <c r="B3368">
        <f>2211.59</f>
        <v>2211.59</v>
      </c>
      <c r="C3368">
        <f>7743.58</f>
        <v>7743.58</v>
      </c>
      <c r="D3368">
        <f>3483.03</f>
        <v>3483.03</v>
      </c>
      <c r="E3368">
        <f>1795.194</f>
        <v>1795.194</v>
      </c>
      <c r="F3368">
        <f>1130.95</f>
        <v>1130.95</v>
      </c>
      <c r="G3368">
        <f>5645.761</f>
        <v>5645.7610000000004</v>
      </c>
      <c r="H3368">
        <f>1813.99</f>
        <v>1813.99</v>
      </c>
      <c r="I3368">
        <f>6034.547</f>
        <v>6034.5469999999996</v>
      </c>
      <c r="J3368">
        <f>1344.84</f>
        <v>1344.84</v>
      </c>
      <c r="K3368">
        <f>3873.05</f>
        <v>3873.05</v>
      </c>
      <c r="L3368">
        <f>957.79</f>
        <v>957.79</v>
      </c>
      <c r="M3368">
        <f>3828.66</f>
        <v>3828.66</v>
      </c>
      <c r="N3368">
        <f>154.703</f>
        <v>154.703</v>
      </c>
      <c r="O3368">
        <f>1556.66</f>
        <v>1556.66</v>
      </c>
      <c r="P3368">
        <f>83.82</f>
        <v>83.82</v>
      </c>
      <c r="Q3368">
        <f>824.95</f>
        <v>824.95</v>
      </c>
      <c r="R3368">
        <f>1866.87</f>
        <v>1866.87</v>
      </c>
      <c r="S3368">
        <f>1067.67</f>
        <v>1067.67</v>
      </c>
      <c r="T3368">
        <f>1414.363</f>
        <v>1414.3630000000001</v>
      </c>
      <c r="U3368">
        <f>28627.17</f>
        <v>28627.17</v>
      </c>
      <c r="V3368">
        <f>194.28</f>
        <v>194.28</v>
      </c>
    </row>
    <row r="3369" spans="1:22" x14ac:dyDescent="0.2">
      <c r="A3369" s="1">
        <v>40392</v>
      </c>
      <c r="B3369">
        <f>2205.81</f>
        <v>2205.81</v>
      </c>
      <c r="C3369">
        <f>7790.35</f>
        <v>7790.35</v>
      </c>
      <c r="D3369">
        <f>3483.44</f>
        <v>3483.44</v>
      </c>
      <c r="E3369">
        <f>1800.61</f>
        <v>1800.61</v>
      </c>
      <c r="F3369">
        <f>1120.95</f>
        <v>1120.95</v>
      </c>
      <c r="G3369">
        <f>5626.26</f>
        <v>5626.26</v>
      </c>
      <c r="H3369">
        <f>1785.31</f>
        <v>1785.31</v>
      </c>
      <c r="I3369">
        <f>6019.173</f>
        <v>6019.1729999999998</v>
      </c>
      <c r="J3369">
        <f>1344.87</f>
        <v>1344.87</v>
      </c>
      <c r="K3369">
        <f>3891.81</f>
        <v>3891.81</v>
      </c>
      <c r="L3369">
        <f>954.23</f>
        <v>954.23</v>
      </c>
      <c r="M3369">
        <f>3825.88</f>
        <v>3825.88</v>
      </c>
      <c r="N3369">
        <f>154.419</f>
        <v>154.41900000000001</v>
      </c>
      <c r="O3369">
        <f>1558.31</f>
        <v>1558.31</v>
      </c>
      <c r="P3369">
        <f>82.91</f>
        <v>82.91</v>
      </c>
      <c r="Q3369">
        <f>829.02</f>
        <v>829.02</v>
      </c>
      <c r="R3369">
        <f>1875.85</f>
        <v>1875.85</v>
      </c>
      <c r="S3369">
        <f>1057.12</f>
        <v>1057.1199999999999</v>
      </c>
      <c r="T3369">
        <f>1429.227</f>
        <v>1429.2270000000001</v>
      </c>
      <c r="U3369">
        <f>28883.19</f>
        <v>28883.19</v>
      </c>
      <c r="V3369">
        <f>196.63</f>
        <v>196.63</v>
      </c>
    </row>
    <row r="3370" spans="1:22" x14ac:dyDescent="0.2">
      <c r="A3370" s="1">
        <v>40389</v>
      </c>
      <c r="B3370">
        <f>2160.74</f>
        <v>2160.7399999999998</v>
      </c>
      <c r="C3370">
        <f>7636.89</f>
        <v>7636.89</v>
      </c>
      <c r="D3370">
        <f>3393.66</f>
        <v>3393.66</v>
      </c>
      <c r="E3370">
        <f>1761.969</f>
        <v>1761.9690000000001</v>
      </c>
      <c r="F3370">
        <f>1083.27</f>
        <v>1083.27</v>
      </c>
      <c r="G3370">
        <f>5400.988</f>
        <v>5400.9880000000003</v>
      </c>
      <c r="H3370">
        <f>1783.32</f>
        <v>1783.32</v>
      </c>
      <c r="I3370">
        <f>5799.025</f>
        <v>5799.0249999999996</v>
      </c>
      <c r="J3370">
        <f>1318.29</f>
        <v>1318.29</v>
      </c>
      <c r="K3370">
        <f>3808.44</f>
        <v>3808.44</v>
      </c>
      <c r="L3370">
        <f>930.25</f>
        <v>930.25</v>
      </c>
      <c r="M3370">
        <f>3734.82</f>
        <v>3734.82</v>
      </c>
      <c r="N3370">
        <f>151.049</f>
        <v>151.04900000000001</v>
      </c>
      <c r="O3370">
        <f>1517.81</f>
        <v>1517.81</v>
      </c>
      <c r="P3370">
        <f>83.12</f>
        <v>83.12</v>
      </c>
      <c r="Q3370">
        <f>813.39</f>
        <v>813.39</v>
      </c>
      <c r="R3370">
        <f>1835.4</f>
        <v>1835.4</v>
      </c>
      <c r="S3370">
        <f>1055.64</f>
        <v>1055.6400000000001</v>
      </c>
      <c r="T3370">
        <f>1414.553</f>
        <v>1414.5530000000001</v>
      </c>
      <c r="U3370">
        <f>28355.21</f>
        <v>28355.21</v>
      </c>
      <c r="V3370">
        <f>195.02</f>
        <v>195.02</v>
      </c>
    </row>
    <row r="3371" spans="1:22" x14ac:dyDescent="0.2">
      <c r="A3371" s="1">
        <v>40388</v>
      </c>
      <c r="B3371">
        <f>2182.98</f>
        <v>2182.98</v>
      </c>
      <c r="C3371">
        <f>7640.82</f>
        <v>7640.82</v>
      </c>
      <c r="D3371">
        <f>3429.76</f>
        <v>3429.76</v>
      </c>
      <c r="E3371">
        <f>1766.251</f>
        <v>1766.251</v>
      </c>
      <c r="F3371">
        <f>1094.02</f>
        <v>1094.02</v>
      </c>
      <c r="G3371">
        <f>5441.834</f>
        <v>5441.8339999999998</v>
      </c>
      <c r="H3371">
        <f>1800</f>
        <v>1800</v>
      </c>
      <c r="I3371">
        <f>5846</f>
        <v>5846</v>
      </c>
      <c r="J3371">
        <f>1319.64</f>
        <v>1319.64</v>
      </c>
      <c r="K3371">
        <f>3806.79</f>
        <v>3806.79</v>
      </c>
      <c r="L3371">
        <f>934.48</f>
        <v>934.48</v>
      </c>
      <c r="M3371">
        <f>3746.11</f>
        <v>3746.11</v>
      </c>
      <c r="N3371">
        <f>151.673</f>
        <v>151.673</v>
      </c>
      <c r="O3371">
        <f>1522.69</f>
        <v>1522.69</v>
      </c>
      <c r="P3371">
        <f>84.65</f>
        <v>84.65</v>
      </c>
      <c r="Q3371">
        <f>811.58</f>
        <v>811.58</v>
      </c>
      <c r="R3371">
        <f>1835.29</f>
        <v>1835.29</v>
      </c>
      <c r="S3371">
        <f>1070.27</f>
        <v>1070.27</v>
      </c>
      <c r="T3371">
        <f>1426.416</f>
        <v>1426.4159999999999</v>
      </c>
      <c r="U3371">
        <f>28550.07</f>
        <v>28550.07</v>
      </c>
      <c r="V3371">
        <f>196.37</f>
        <v>196.37</v>
      </c>
    </row>
    <row r="3372" spans="1:22" x14ac:dyDescent="0.2">
      <c r="A3372" s="1">
        <v>40387</v>
      </c>
      <c r="B3372">
        <f>2173.37</f>
        <v>2173.37</v>
      </c>
      <c r="C3372">
        <f>7620.54</f>
        <v>7620.54</v>
      </c>
      <c r="D3372">
        <f>3433.46</f>
        <v>3433.46</v>
      </c>
      <c r="E3372">
        <f>1761.474</f>
        <v>1761.4739999999999</v>
      </c>
      <c r="F3372">
        <f>1087.83</f>
        <v>1087.83</v>
      </c>
      <c r="G3372">
        <f>5449.884</f>
        <v>5449.884</v>
      </c>
      <c r="H3372">
        <f>1803.45</f>
        <v>1803.45</v>
      </c>
      <c r="I3372">
        <f>5827.922</f>
        <v>5827.9219999999996</v>
      </c>
      <c r="J3372">
        <f>1327.81</f>
        <v>1327.81</v>
      </c>
      <c r="K3372">
        <f>3823.51</f>
        <v>3823.51</v>
      </c>
      <c r="L3372">
        <f>932.6</f>
        <v>932.6</v>
      </c>
      <c r="M3372">
        <f>3749.16</f>
        <v>3749.16</v>
      </c>
      <c r="N3372">
        <f>152.066</f>
        <v>152.066</v>
      </c>
      <c r="O3372">
        <f>1528.73</f>
        <v>1528.73</v>
      </c>
      <c r="P3372">
        <f>85.31</f>
        <v>85.31</v>
      </c>
      <c r="Q3372">
        <f>816.17</f>
        <v>816.17</v>
      </c>
      <c r="R3372">
        <f>1842.66</f>
        <v>1842.66</v>
      </c>
      <c r="S3372">
        <f>1075.53</f>
        <v>1075.53</v>
      </c>
      <c r="T3372">
        <f>1415.272</f>
        <v>1415.2719999999999</v>
      </c>
      <c r="U3372">
        <f>28367.26</f>
        <v>28367.26</v>
      </c>
      <c r="V3372">
        <f>195.17</f>
        <v>195.17</v>
      </c>
    </row>
    <row r="3373" spans="1:22" x14ac:dyDescent="0.2">
      <c r="A3373" s="1">
        <v>40386</v>
      </c>
      <c r="B3373">
        <f>2188.94</f>
        <v>2188.94</v>
      </c>
      <c r="C3373">
        <f>7595.52</f>
        <v>7595.52</v>
      </c>
      <c r="D3373">
        <f>3459.94</f>
        <v>3459.94</v>
      </c>
      <c r="E3373">
        <f>1760.165</f>
        <v>1760.165</v>
      </c>
      <c r="F3373">
        <f>1094.07</f>
        <v>1094.07</v>
      </c>
      <c r="G3373">
        <f>5468.591</f>
        <v>5468.5910000000003</v>
      </c>
      <c r="H3373">
        <f>1769.53</f>
        <v>1769.53</v>
      </c>
      <c r="I3373">
        <f>5825.839</f>
        <v>5825.8389999999999</v>
      </c>
      <c r="J3373">
        <f>1334.26</f>
        <v>1334.26</v>
      </c>
      <c r="K3373">
        <f>3850.38</f>
        <v>3850.38</v>
      </c>
      <c r="L3373">
        <f>934.04</f>
        <v>934.04</v>
      </c>
      <c r="M3373">
        <f>3753.92</f>
        <v>3753.92</v>
      </c>
      <c r="N3373">
        <f>152.538</f>
        <v>152.53800000000001</v>
      </c>
      <c r="O3373">
        <f>1532.66</f>
        <v>1532.66</v>
      </c>
      <c r="P3373">
        <f>83.9</f>
        <v>83.9</v>
      </c>
      <c r="Q3373">
        <f>820.41</f>
        <v>820.41</v>
      </c>
      <c r="R3373">
        <f>1855.39</f>
        <v>1855.39</v>
      </c>
      <c r="S3373">
        <f>1051.39</f>
        <v>1051.3900000000001</v>
      </c>
      <c r="T3373">
        <f>1418.609</f>
        <v>1418.6089999999999</v>
      </c>
      <c r="U3373">
        <f>28461.48</f>
        <v>28461.48</v>
      </c>
      <c r="V3373">
        <f>195.64</f>
        <v>195.64</v>
      </c>
    </row>
    <row r="3374" spans="1:22" x14ac:dyDescent="0.2">
      <c r="A3374" s="1">
        <v>40385</v>
      </c>
      <c r="B3374">
        <f>2186.42</f>
        <v>2186.42</v>
      </c>
      <c r="C3374">
        <f>7550.76</f>
        <v>7550.76</v>
      </c>
      <c r="D3374">
        <f>3450.56</f>
        <v>3450.56</v>
      </c>
      <c r="E3374">
        <f>1750.26</f>
        <v>1750.26</v>
      </c>
      <c r="F3374">
        <f>1096.19</f>
        <v>1096.19</v>
      </c>
      <c r="G3374">
        <f>5424.233</f>
        <v>5424.2330000000002</v>
      </c>
      <c r="H3374">
        <f>1778.78</f>
        <v>1778.78</v>
      </c>
      <c r="I3374">
        <f>5782.344</f>
        <v>5782.3440000000001</v>
      </c>
      <c r="J3374">
        <f>1328.93</f>
        <v>1328.93</v>
      </c>
      <c r="K3374">
        <f>3855.55</f>
        <v>3855.55</v>
      </c>
      <c r="L3374">
        <f>930.27</f>
        <v>930.27</v>
      </c>
      <c r="M3374">
        <f>3750.02</f>
        <v>3750.02</v>
      </c>
      <c r="N3374">
        <f>152.817</f>
        <v>152.81700000000001</v>
      </c>
      <c r="O3374">
        <f>1524.63</f>
        <v>1524.63</v>
      </c>
      <c r="P3374">
        <f>84.01</f>
        <v>84.01</v>
      </c>
      <c r="Q3374">
        <f>822.9</f>
        <v>822.9</v>
      </c>
      <c r="R3374">
        <f>1857.34</f>
        <v>1857.34</v>
      </c>
      <c r="S3374">
        <f>1051.09</f>
        <v>1051.0899999999999</v>
      </c>
      <c r="T3374">
        <f>1421.125</f>
        <v>1421.125</v>
      </c>
      <c r="U3374">
        <f>28499</f>
        <v>28499</v>
      </c>
      <c r="V3374">
        <f>195.57</f>
        <v>195.57</v>
      </c>
    </row>
    <row r="3375" spans="1:22" x14ac:dyDescent="0.2">
      <c r="A3375" s="1">
        <v>40382</v>
      </c>
      <c r="B3375">
        <f>2175.83</f>
        <v>2175.83</v>
      </c>
      <c r="C3375">
        <f>7520.09</f>
        <v>7520.09</v>
      </c>
      <c r="D3375">
        <f>3425.73</f>
        <v>3425.73</v>
      </c>
      <c r="E3375">
        <f>1742.837</f>
        <v>1742.837</v>
      </c>
      <c r="F3375">
        <f>1082.34</f>
        <v>1082.3399999999999</v>
      </c>
      <c r="G3375">
        <f>5361.568</f>
        <v>5361.5680000000002</v>
      </c>
      <c r="H3375">
        <f>1774.94</f>
        <v>1774.94</v>
      </c>
      <c r="I3375">
        <f>5699.205</f>
        <v>5699.2049999999999</v>
      </c>
      <c r="J3375">
        <f>1315</f>
        <v>1315</v>
      </c>
      <c r="K3375">
        <f>3812.56</f>
        <v>3812.56</v>
      </c>
      <c r="L3375">
        <f>919.72</f>
        <v>919.72</v>
      </c>
      <c r="M3375">
        <f>3709.2</f>
        <v>3709.2</v>
      </c>
      <c r="N3375">
        <f>152.257</f>
        <v>152.25700000000001</v>
      </c>
      <c r="O3375">
        <f>1518.09</f>
        <v>1518.09</v>
      </c>
      <c r="P3375">
        <f>83.53</f>
        <v>83.53</v>
      </c>
      <c r="Q3375">
        <f>813.43</f>
        <v>813.43</v>
      </c>
      <c r="R3375">
        <f>1836.75</f>
        <v>1836.75</v>
      </c>
      <c r="S3375">
        <f>1045.38</f>
        <v>1045.3800000000001</v>
      </c>
      <c r="T3375">
        <f>1411.218</f>
        <v>1411.2180000000001</v>
      </c>
      <c r="U3375">
        <f>28424.17</f>
        <v>28424.17</v>
      </c>
      <c r="V3375">
        <f>194.15</f>
        <v>194.15</v>
      </c>
    </row>
    <row r="3376" spans="1:22" x14ac:dyDescent="0.2">
      <c r="A3376" s="1">
        <v>40381</v>
      </c>
      <c r="B3376">
        <f>2170.62</f>
        <v>2170.62</v>
      </c>
      <c r="C3376">
        <f>7466.26</f>
        <v>7466.26</v>
      </c>
      <c r="D3376">
        <f>3426.5</f>
        <v>3426.5</v>
      </c>
      <c r="E3376">
        <f>1728.536</f>
        <v>1728.5360000000001</v>
      </c>
      <c r="F3376">
        <f>1076.01</f>
        <v>1076.01</v>
      </c>
      <c r="G3376">
        <f>5312.676</f>
        <v>5312.6760000000004</v>
      </c>
      <c r="H3376">
        <f>1768.22</f>
        <v>1768.22</v>
      </c>
      <c r="I3376">
        <f>5734.81</f>
        <v>5734.81</v>
      </c>
      <c r="J3376">
        <f>1307.46</f>
        <v>1307.46</v>
      </c>
      <c r="K3376">
        <f>3781.82</f>
        <v>3781.82</v>
      </c>
      <c r="L3376">
        <f>917.96</f>
        <v>917.96</v>
      </c>
      <c r="M3376">
        <f>3684.79</f>
        <v>3684.79</v>
      </c>
      <c r="N3376">
        <f>151.486</f>
        <v>151.48599999999999</v>
      </c>
      <c r="O3376">
        <f>1512.4</f>
        <v>1512.4</v>
      </c>
      <c r="P3376">
        <f>82.36</f>
        <v>82.36</v>
      </c>
      <c r="Q3376">
        <f>804.4</f>
        <v>804.4</v>
      </c>
      <c r="R3376">
        <f>1821.76</f>
        <v>1821.76</v>
      </c>
      <c r="S3376">
        <f>1025.74</f>
        <v>1025.74</v>
      </c>
      <c r="T3376">
        <f>1406.658</f>
        <v>1406.6579999999999</v>
      </c>
      <c r="U3376">
        <f>28274.03</f>
        <v>28274.03</v>
      </c>
      <c r="V3376">
        <f>193.3</f>
        <v>193.3</v>
      </c>
    </row>
    <row r="3377" spans="1:22" x14ac:dyDescent="0.2">
      <c r="A3377" s="1">
        <v>40380</v>
      </c>
      <c r="B3377">
        <f>2140.95</f>
        <v>2140.9499999999998</v>
      </c>
      <c r="C3377">
        <f>7375.85</f>
        <v>7375.85</v>
      </c>
      <c r="D3377">
        <f>3362.56</f>
        <v>3362.56</v>
      </c>
      <c r="E3377">
        <f>1712.757</f>
        <v>1712.7570000000001</v>
      </c>
      <c r="F3377">
        <f>1057.48</f>
        <v>1057.48</v>
      </c>
      <c r="G3377">
        <f>5197.369</f>
        <v>5197.3689999999997</v>
      </c>
      <c r="H3377">
        <f>1767.41</f>
        <v>1767.41</v>
      </c>
      <c r="I3377">
        <f>5564.325</f>
        <v>5564.3249999999998</v>
      </c>
      <c r="J3377">
        <f>1285.59</f>
        <v>1285.5899999999999</v>
      </c>
      <c r="K3377">
        <f>3699.22</f>
        <v>3699.22</v>
      </c>
      <c r="L3377">
        <f>901.67</f>
        <v>901.67</v>
      </c>
      <c r="M3377">
        <f>3612.52</f>
        <v>3612.52</v>
      </c>
      <c r="N3377">
        <f>149.103</f>
        <v>149.10300000000001</v>
      </c>
      <c r="O3377">
        <f>1479.39</f>
        <v>1479.39</v>
      </c>
      <c r="P3377">
        <f>82.74</f>
        <v>82.74</v>
      </c>
      <c r="Q3377">
        <f>788.24</f>
        <v>788.24</v>
      </c>
      <c r="R3377">
        <f>1781.6</f>
        <v>1781.6</v>
      </c>
      <c r="S3377">
        <f>1030.55</f>
        <v>1030.55</v>
      </c>
      <c r="T3377">
        <f>1385.806</f>
        <v>1385.806</v>
      </c>
      <c r="U3377">
        <f>27833.52</f>
        <v>27833.52</v>
      </c>
      <c r="V3377">
        <f>190.65</f>
        <v>190.65</v>
      </c>
    </row>
    <row r="3378" spans="1:22" x14ac:dyDescent="0.2">
      <c r="A3378" s="1">
        <v>40379</v>
      </c>
      <c r="B3378">
        <f>2118.18</f>
        <v>2118.1799999999998</v>
      </c>
      <c r="C3378">
        <f>7298.87</f>
        <v>7298.87</v>
      </c>
      <c r="D3378">
        <f>3313.25</f>
        <v>3313.25</v>
      </c>
      <c r="E3378">
        <f>1693.234</f>
        <v>1693.2339999999999</v>
      </c>
      <c r="F3378">
        <f>1047</f>
        <v>1047</v>
      </c>
      <c r="G3378">
        <f>5132.044</f>
        <v>5132.0439999999999</v>
      </c>
      <c r="H3378">
        <f>1767.13</f>
        <v>1767.13</v>
      </c>
      <c r="I3378">
        <f>5546.941</f>
        <v>5546.9409999999998</v>
      </c>
      <c r="J3378">
        <f>1297.61</f>
        <v>1297.6099999999999</v>
      </c>
      <c r="K3378">
        <f>3746.9</f>
        <v>3746.9</v>
      </c>
      <c r="L3378">
        <f>903.34</f>
        <v>903.34</v>
      </c>
      <c r="M3378">
        <f>3629.2</f>
        <v>3629.2</v>
      </c>
      <c r="N3378">
        <f>147.578</f>
        <v>147.578</v>
      </c>
      <c r="O3378">
        <f>1463.39</f>
        <v>1463.39</v>
      </c>
      <c r="P3378">
        <f>82.84</f>
        <v>82.84</v>
      </c>
      <c r="Q3378">
        <f>795.43</f>
        <v>795.43</v>
      </c>
      <c r="R3378">
        <f>1804.48</f>
        <v>1804.48</v>
      </c>
      <c r="S3378">
        <f>1034.16</f>
        <v>1034.1600000000001</v>
      </c>
      <c r="T3378">
        <f>1368.144</f>
        <v>1368.144</v>
      </c>
      <c r="U3378">
        <f>27349.61</f>
        <v>27349.61</v>
      </c>
      <c r="V3378">
        <f>187.89</f>
        <v>187.89</v>
      </c>
    </row>
    <row r="3379" spans="1:22" x14ac:dyDescent="0.2">
      <c r="A3379" s="1">
        <v>40378</v>
      </c>
      <c r="B3379">
        <f>2148.09</f>
        <v>2148.09</v>
      </c>
      <c r="C3379">
        <f>7230.34</f>
        <v>7230.34</v>
      </c>
      <c r="D3379">
        <f>3318.94</f>
        <v>3318.94</v>
      </c>
      <c r="E3379">
        <f>1677.628</f>
        <v>1677.6279999999999</v>
      </c>
      <c r="F3379">
        <f>1054.09</f>
        <v>1054.0899999999999</v>
      </c>
      <c r="G3379">
        <f>5131.461</f>
        <v>5131.4610000000002</v>
      </c>
      <c r="H3379">
        <f>1781.03</f>
        <v>1781.03</v>
      </c>
      <c r="I3379">
        <f>5593.646</f>
        <v>5593.6459999999997</v>
      </c>
      <c r="J3379">
        <f>1286.78</f>
        <v>1286.78</v>
      </c>
      <c r="K3379">
        <f>3703.85</f>
        <v>3703.85</v>
      </c>
      <c r="L3379">
        <f>902.88</f>
        <v>902.88</v>
      </c>
      <c r="M3379">
        <f>3615.23</f>
        <v>3615.23</v>
      </c>
      <c r="N3379">
        <f>147.505</f>
        <v>147.505</v>
      </c>
      <c r="O3379">
        <f>1463.16</f>
        <v>1463.16</v>
      </c>
      <c r="P3379" t="e">
        <f>NA()</f>
        <v>#N/A</v>
      </c>
      <c r="Q3379">
        <f>784.27</f>
        <v>784.27</v>
      </c>
      <c r="R3379">
        <f>1784.06</f>
        <v>1784.06</v>
      </c>
      <c r="S3379" t="e">
        <f>NA()</f>
        <v>#N/A</v>
      </c>
      <c r="T3379">
        <f>1371.61</f>
        <v>1371.61</v>
      </c>
      <c r="U3379">
        <f>27329.75</f>
        <v>27329.75</v>
      </c>
      <c r="V3379">
        <f>187.76</f>
        <v>187.76</v>
      </c>
    </row>
    <row r="3380" spans="1:22" x14ac:dyDescent="0.2">
      <c r="A3380" s="1">
        <v>40375</v>
      </c>
      <c r="B3380">
        <f>2158.15</f>
        <v>2158.15</v>
      </c>
      <c r="C3380">
        <f>7230.75</f>
        <v>7230.75</v>
      </c>
      <c r="D3380">
        <f>3325.75</f>
        <v>3325.75</v>
      </c>
      <c r="E3380">
        <f>1684.286</f>
        <v>1684.2860000000001</v>
      </c>
      <c r="F3380">
        <f>1071.89</f>
        <v>1071.8900000000001</v>
      </c>
      <c r="G3380">
        <f>5185.053</f>
        <v>5185.0529999999999</v>
      </c>
      <c r="H3380">
        <f>1786.39</f>
        <v>1786.39</v>
      </c>
      <c r="I3380">
        <f>5618.028</f>
        <v>5618.0280000000002</v>
      </c>
      <c r="J3380">
        <f>1278.99</f>
        <v>1278.99</v>
      </c>
      <c r="K3380">
        <f>3681.7</f>
        <v>3681.7</v>
      </c>
      <c r="L3380">
        <f>905.95</f>
        <v>905.95</v>
      </c>
      <c r="M3380">
        <f>3617.12</f>
        <v>3617.12</v>
      </c>
      <c r="N3380">
        <f>148.779</f>
        <v>148.779</v>
      </c>
      <c r="O3380">
        <f>1472.93</f>
        <v>1472.93</v>
      </c>
      <c r="P3380">
        <f>83.17</f>
        <v>83.17</v>
      </c>
      <c r="Q3380">
        <f>780.76</f>
        <v>780.76</v>
      </c>
      <c r="R3380">
        <f>1773.43</f>
        <v>1773.43</v>
      </c>
      <c r="S3380">
        <f>1044.51</f>
        <v>1044.51</v>
      </c>
      <c r="T3380">
        <f>1379.037</f>
        <v>1379.037</v>
      </c>
      <c r="U3380">
        <f>27529.83</f>
        <v>27529.83</v>
      </c>
      <c r="V3380">
        <f>188.22</f>
        <v>188.22</v>
      </c>
    </row>
    <row r="3381" spans="1:22" x14ac:dyDescent="0.2">
      <c r="A3381" s="1">
        <v>40374</v>
      </c>
      <c r="B3381">
        <f>2179.63</f>
        <v>2179.63</v>
      </c>
      <c r="C3381">
        <f>7290.53</f>
        <v>7290.53</v>
      </c>
      <c r="D3381">
        <f>3359.56</f>
        <v>3359.56</v>
      </c>
      <c r="E3381">
        <f>1698.833</f>
        <v>1698.8330000000001</v>
      </c>
      <c r="F3381">
        <f>1077.89</f>
        <v>1077.8900000000001</v>
      </c>
      <c r="G3381">
        <f>5248.309</f>
        <v>5248.3090000000002</v>
      </c>
      <c r="H3381">
        <f>1788.61</f>
        <v>1788.61</v>
      </c>
      <c r="I3381">
        <f>5710.054</f>
        <v>5710.0540000000001</v>
      </c>
      <c r="J3381">
        <f>1304.1</f>
        <v>1304.0999999999999</v>
      </c>
      <c r="K3381">
        <f>3790.01</f>
        <v>3790.01</v>
      </c>
      <c r="L3381">
        <f>919.65</f>
        <v>919.65</v>
      </c>
      <c r="M3381">
        <f>3694.14</f>
        <v>3694.14</v>
      </c>
      <c r="N3381">
        <f>151.201</f>
        <v>151.20099999999999</v>
      </c>
      <c r="O3381">
        <f>1503.33</f>
        <v>1503.33</v>
      </c>
      <c r="P3381">
        <f>84.84</f>
        <v>84.84</v>
      </c>
      <c r="Q3381">
        <f>798.32</f>
        <v>798.32</v>
      </c>
      <c r="R3381">
        <f>1826</f>
        <v>1826</v>
      </c>
      <c r="S3381">
        <f>1064.41</f>
        <v>1064.4100000000001</v>
      </c>
      <c r="T3381">
        <f>1377.708</f>
        <v>1377.7080000000001</v>
      </c>
      <c r="U3381">
        <f>27474.68</f>
        <v>27474.68</v>
      </c>
      <c r="V3381">
        <f>187.86</f>
        <v>187.86</v>
      </c>
    </row>
    <row r="3382" spans="1:22" x14ac:dyDescent="0.2">
      <c r="A3382" s="1">
        <v>40373</v>
      </c>
      <c r="B3382">
        <f>2190.63</f>
        <v>2190.63</v>
      </c>
      <c r="C3382">
        <f>7327.91</f>
        <v>7327.91</v>
      </c>
      <c r="D3382">
        <f>3386.78</f>
        <v>3386.78</v>
      </c>
      <c r="E3382">
        <f>1705.936</f>
        <v>1705.9359999999999</v>
      </c>
      <c r="F3382">
        <f>1073.03</f>
        <v>1073.03</v>
      </c>
      <c r="G3382">
        <f>5253.719</f>
        <v>5253.7190000000001</v>
      </c>
      <c r="H3382">
        <f>1797.45</f>
        <v>1797.45</v>
      </c>
      <c r="I3382">
        <f>5696.429</f>
        <v>5696.4290000000001</v>
      </c>
      <c r="J3382">
        <f>1302.22</f>
        <v>1302.22</v>
      </c>
      <c r="K3382">
        <f>3785.94</f>
        <v>3785.94</v>
      </c>
      <c r="L3382">
        <f>917.35</f>
        <v>917.35</v>
      </c>
      <c r="M3382">
        <f>3693.99</f>
        <v>3693.99</v>
      </c>
      <c r="N3382">
        <f>152.113</f>
        <v>152.113</v>
      </c>
      <c r="O3382">
        <f>1519.93</f>
        <v>1519.93</v>
      </c>
      <c r="P3382">
        <f>85.89</f>
        <v>85.89</v>
      </c>
      <c r="Q3382">
        <f>796.07</f>
        <v>796.07</v>
      </c>
      <c r="R3382">
        <f>1823.82</f>
        <v>1823.82</v>
      </c>
      <c r="S3382">
        <f>1081.96</f>
        <v>1081.96</v>
      </c>
      <c r="T3382">
        <f>1369.818</f>
        <v>1369.818</v>
      </c>
      <c r="U3382">
        <f>27443.67</f>
        <v>27443.67</v>
      </c>
      <c r="V3382">
        <f>187.07</f>
        <v>187.07</v>
      </c>
    </row>
    <row r="3383" spans="1:22" x14ac:dyDescent="0.2">
      <c r="A3383" s="1">
        <v>40372</v>
      </c>
      <c r="B3383">
        <f>2209.53</f>
        <v>2209.5300000000002</v>
      </c>
      <c r="C3383">
        <f>7314.74</f>
        <v>7314.74</v>
      </c>
      <c r="D3383">
        <f>3398.07</f>
        <v>3398.07</v>
      </c>
      <c r="E3383">
        <f>1698.006</f>
        <v>1698.0060000000001</v>
      </c>
      <c r="F3383">
        <f>1069.58</f>
        <v>1069.58</v>
      </c>
      <c r="G3383">
        <f>5237.855</f>
        <v>5237.8549999999996</v>
      </c>
      <c r="H3383">
        <f>1791.85</f>
        <v>1791.85</v>
      </c>
      <c r="I3383">
        <f>5665.139</f>
        <v>5665.1390000000001</v>
      </c>
      <c r="J3383">
        <f>1302.82</f>
        <v>1302.82</v>
      </c>
      <c r="K3383">
        <f>3786.18</f>
        <v>3786.18</v>
      </c>
      <c r="L3383">
        <f>914.17</f>
        <v>914.17</v>
      </c>
      <c r="M3383">
        <f>3680.45</f>
        <v>3680.45</v>
      </c>
      <c r="N3383">
        <f>151.874</f>
        <v>151.874</v>
      </c>
      <c r="O3383">
        <f>1518.15</f>
        <v>1518.15</v>
      </c>
      <c r="P3383">
        <f>84.6</f>
        <v>84.6</v>
      </c>
      <c r="Q3383">
        <f>797.41</f>
        <v>797.41</v>
      </c>
      <c r="R3383">
        <f>1824.07</f>
        <v>1824.07</v>
      </c>
      <c r="S3383">
        <f>1061.66</f>
        <v>1061.6600000000001</v>
      </c>
      <c r="T3383">
        <f>1370.554</f>
        <v>1370.5540000000001</v>
      </c>
      <c r="U3383">
        <f>27495.94</f>
        <v>27495.94</v>
      </c>
      <c r="V3383">
        <f>186.94</f>
        <v>186.94</v>
      </c>
    </row>
    <row r="3384" spans="1:22" x14ac:dyDescent="0.2">
      <c r="A3384" s="1">
        <v>40371</v>
      </c>
      <c r="B3384">
        <f>2168.31</f>
        <v>2168.31</v>
      </c>
      <c r="C3384">
        <f>7273.34</f>
        <v>7273.34</v>
      </c>
      <c r="D3384">
        <f>3331.02</f>
        <v>3331.02</v>
      </c>
      <c r="E3384">
        <f>1689.464</f>
        <v>1689.4639999999999</v>
      </c>
      <c r="F3384">
        <f>1041.47</f>
        <v>1041.47</v>
      </c>
      <c r="G3384">
        <f>5102.153</f>
        <v>5102.1530000000002</v>
      </c>
      <c r="H3384">
        <f>1778.73</f>
        <v>1778.73</v>
      </c>
      <c r="I3384">
        <f>5521.781</f>
        <v>5521.7809999999999</v>
      </c>
      <c r="J3384">
        <f>1289.67</f>
        <v>1289.67</v>
      </c>
      <c r="K3384">
        <f>3728.25</f>
        <v>3728.25</v>
      </c>
      <c r="L3384">
        <f>899.7</f>
        <v>899.7</v>
      </c>
      <c r="M3384">
        <f>3622.07</f>
        <v>3622.07</v>
      </c>
      <c r="N3384">
        <f>149.658</f>
        <v>149.65799999999999</v>
      </c>
      <c r="O3384">
        <f>1490.67</f>
        <v>1490.67</v>
      </c>
      <c r="P3384">
        <f>84.7</f>
        <v>84.7</v>
      </c>
      <c r="Q3384">
        <f>785.82</f>
        <v>785.82</v>
      </c>
      <c r="R3384">
        <f>1796.3</f>
        <v>1796.3</v>
      </c>
      <c r="S3384">
        <f>1065.78</f>
        <v>1065.78</v>
      </c>
      <c r="T3384">
        <f>1357.196</f>
        <v>1357.1959999999999</v>
      </c>
      <c r="U3384">
        <f>27192.31</f>
        <v>27192.31</v>
      </c>
      <c r="V3384">
        <f>185.52</f>
        <v>185.52</v>
      </c>
    </row>
    <row r="3385" spans="1:22" x14ac:dyDescent="0.2">
      <c r="A3385" s="1">
        <v>40368</v>
      </c>
      <c r="B3385">
        <f>2165.32</f>
        <v>2165.3200000000002</v>
      </c>
      <c r="C3385">
        <f>7279.38</f>
        <v>7279.38</v>
      </c>
      <c r="D3385">
        <f>3309.05</f>
        <v>3309.05</v>
      </c>
      <c r="E3385">
        <f>1688.096</f>
        <v>1688.096</v>
      </c>
      <c r="F3385">
        <f>1026.38</f>
        <v>1026.3800000000001</v>
      </c>
      <c r="G3385">
        <f>5079.497</f>
        <v>5079.4970000000003</v>
      </c>
      <c r="H3385">
        <f>1800.82</f>
        <v>1800.82</v>
      </c>
      <c r="I3385">
        <f>5528.833</f>
        <v>5528.8329999999996</v>
      </c>
      <c r="J3385">
        <f>1289.29</f>
        <v>1289.29</v>
      </c>
      <c r="K3385">
        <f>3726.02</f>
        <v>3726.02</v>
      </c>
      <c r="L3385">
        <f>899.52</f>
        <v>899.52</v>
      </c>
      <c r="M3385">
        <f>3622.16</f>
        <v>3622.16</v>
      </c>
      <c r="N3385">
        <f>149.011</f>
        <v>149.011</v>
      </c>
      <c r="O3385">
        <f>1484.58</f>
        <v>1484.58</v>
      </c>
      <c r="P3385">
        <f>85.48</f>
        <v>85.48</v>
      </c>
      <c r="Q3385">
        <f>787.3</f>
        <v>787.3</v>
      </c>
      <c r="R3385">
        <f>1794.94</f>
        <v>1794.94</v>
      </c>
      <c r="S3385">
        <f>1070.14</f>
        <v>1070.1400000000001</v>
      </c>
      <c r="T3385">
        <f>1355.643</f>
        <v>1355.643</v>
      </c>
      <c r="U3385">
        <f>27272.31</f>
        <v>27272.31</v>
      </c>
      <c r="V3385">
        <f>185.08</f>
        <v>185.08</v>
      </c>
    </row>
    <row r="3386" spans="1:22" x14ac:dyDescent="0.2">
      <c r="A3386" s="1">
        <v>40367</v>
      </c>
      <c r="B3386">
        <f>2153.69</f>
        <v>2153.69</v>
      </c>
      <c r="C3386">
        <f>7218.07</f>
        <v>7218.07</v>
      </c>
      <c r="D3386">
        <f>3291.33</f>
        <v>3291.33</v>
      </c>
      <c r="E3386">
        <f>1668.299</f>
        <v>1668.299</v>
      </c>
      <c r="F3386">
        <f>1027.75</f>
        <v>1027.75</v>
      </c>
      <c r="G3386">
        <f>5068.694</f>
        <v>5068.6940000000004</v>
      </c>
      <c r="H3386">
        <f>1806.26</f>
        <v>1806.26</v>
      </c>
      <c r="I3386">
        <f>5514.258</f>
        <v>5514.2579999999998</v>
      </c>
      <c r="J3386">
        <f>1284.19</f>
        <v>1284.19</v>
      </c>
      <c r="K3386">
        <f>3699.49</f>
        <v>3699.49</v>
      </c>
      <c r="L3386">
        <f>895.96</f>
        <v>895.96</v>
      </c>
      <c r="M3386">
        <f>3600.05</f>
        <v>3600.05</v>
      </c>
      <c r="N3386">
        <f>148.325</f>
        <v>148.32499999999999</v>
      </c>
      <c r="O3386">
        <f>1475.61</f>
        <v>1475.61</v>
      </c>
      <c r="P3386">
        <f>85.75</f>
        <v>85.75</v>
      </c>
      <c r="Q3386">
        <f>783.97</f>
        <v>783.97</v>
      </c>
      <c r="R3386">
        <f>1782.1</f>
        <v>1782.1</v>
      </c>
      <c r="S3386">
        <f>1069.9</f>
        <v>1069.9000000000001</v>
      </c>
      <c r="T3386">
        <f>1352.266</f>
        <v>1352.2660000000001</v>
      </c>
      <c r="U3386">
        <f>27061.19</f>
        <v>27061.19</v>
      </c>
      <c r="V3386">
        <f>184.42</f>
        <v>184.42</v>
      </c>
    </row>
    <row r="3387" spans="1:22" x14ac:dyDescent="0.2">
      <c r="A3387" s="1">
        <v>40366</v>
      </c>
      <c r="B3387">
        <f>2126.79</f>
        <v>2126.79</v>
      </c>
      <c r="C3387">
        <f>7138.84</f>
        <v>7138.84</v>
      </c>
      <c r="D3387">
        <f>3232.9</f>
        <v>3232.9</v>
      </c>
      <c r="E3387">
        <f>1648.879</f>
        <v>1648.8789999999999</v>
      </c>
      <c r="F3387">
        <f>1011.2</f>
        <v>1011.2</v>
      </c>
      <c r="G3387">
        <f>4992.622</f>
        <v>4992.6220000000003</v>
      </c>
      <c r="H3387">
        <f>1806.77</f>
        <v>1806.77</v>
      </c>
      <c r="I3387">
        <f>5440.114</f>
        <v>5440.1139999999996</v>
      </c>
      <c r="J3387">
        <f>1269.82</f>
        <v>1269.82</v>
      </c>
      <c r="K3387">
        <f>3664.63</f>
        <v>3664.63</v>
      </c>
      <c r="L3387">
        <f>883.91</f>
        <v>883.91</v>
      </c>
      <c r="M3387">
        <f>3556.36</f>
        <v>3556.36</v>
      </c>
      <c r="N3387">
        <f>147.51</f>
        <v>147.51</v>
      </c>
      <c r="O3387">
        <f>1462.2</f>
        <v>1462.2</v>
      </c>
      <c r="P3387">
        <f>84.35</f>
        <v>84.35</v>
      </c>
      <c r="Q3387">
        <f>773.16</f>
        <v>773.16</v>
      </c>
      <c r="R3387">
        <f>1765.42</f>
        <v>1765.42</v>
      </c>
      <c r="S3387">
        <f>1045.66</f>
        <v>1045.6600000000001</v>
      </c>
      <c r="T3387">
        <f>1342.392</f>
        <v>1342.3920000000001</v>
      </c>
      <c r="U3387">
        <f>26854.92</f>
        <v>26854.92</v>
      </c>
      <c r="V3387">
        <f>183.56</f>
        <v>183.56</v>
      </c>
    </row>
    <row r="3388" spans="1:22" x14ac:dyDescent="0.2">
      <c r="A3388" s="1">
        <v>40365</v>
      </c>
      <c r="B3388">
        <f>2108.27</f>
        <v>2108.27</v>
      </c>
      <c r="C3388">
        <f>7130.22</f>
        <v>7130.22</v>
      </c>
      <c r="D3388">
        <f>3200.47</f>
        <v>3200.47</v>
      </c>
      <c r="E3388">
        <f>1649.227</f>
        <v>1649.2270000000001</v>
      </c>
      <c r="F3388">
        <f>1001.2</f>
        <v>1001.2</v>
      </c>
      <c r="G3388">
        <f>4948.303</f>
        <v>4948.3029999999999</v>
      </c>
      <c r="H3388">
        <f>1800.96</f>
        <v>1800.96</v>
      </c>
      <c r="I3388">
        <f>5364.436</f>
        <v>5364.4359999999997</v>
      </c>
      <c r="J3388">
        <f>1238.77</f>
        <v>1238.77</v>
      </c>
      <c r="K3388">
        <f>3551.57</f>
        <v>3551.57</v>
      </c>
      <c r="L3388">
        <f>870.81</f>
        <v>870.81</v>
      </c>
      <c r="M3388">
        <f>3488.66</f>
        <v>3488.66</v>
      </c>
      <c r="N3388">
        <f>145.492</f>
        <v>145.49199999999999</v>
      </c>
      <c r="O3388">
        <f>1439.21</f>
        <v>1439.21</v>
      </c>
      <c r="P3388">
        <f>84.92</f>
        <v>84.92</v>
      </c>
      <c r="Q3388">
        <f>755.7</f>
        <v>755.7</v>
      </c>
      <c r="R3388">
        <f>1710.97</f>
        <v>1710.97</v>
      </c>
      <c r="S3388">
        <f>1052.77</f>
        <v>1052.77</v>
      </c>
      <c r="T3388">
        <f>1338.628</f>
        <v>1338.6279999999999</v>
      </c>
      <c r="U3388">
        <f>26723.87</f>
        <v>26723.87</v>
      </c>
      <c r="V3388">
        <f>183.41</f>
        <v>183.41</v>
      </c>
    </row>
    <row r="3389" spans="1:22" x14ac:dyDescent="0.2">
      <c r="A3389" s="1">
        <v>40364</v>
      </c>
      <c r="B3389">
        <f>2064.44</f>
        <v>2064.44</v>
      </c>
      <c r="C3389">
        <f>6985.33</f>
        <v>6985.33</v>
      </c>
      <c r="D3389">
        <f>3109.28</f>
        <v>3109.28</v>
      </c>
      <c r="E3389">
        <f>1617.206</f>
        <v>1617.2059999999999</v>
      </c>
      <c r="F3389">
        <f>970.01</f>
        <v>970.01</v>
      </c>
      <c r="G3389">
        <f>4773.482</f>
        <v>4773.482</v>
      </c>
      <c r="H3389">
        <f>1785.62</f>
        <v>1785.62</v>
      </c>
      <c r="I3389">
        <f>5186.378</f>
        <v>5186.3779999999997</v>
      </c>
      <c r="J3389">
        <f>1231.58</f>
        <v>1231.58</v>
      </c>
      <c r="K3389">
        <f>3533.13</f>
        <v>3533.13</v>
      </c>
      <c r="L3389">
        <f>852.59</f>
        <v>852.59</v>
      </c>
      <c r="M3389">
        <f>3429.42</f>
        <v>3429.42</v>
      </c>
      <c r="N3389">
        <f>142.787</f>
        <v>142.78700000000001</v>
      </c>
      <c r="O3389">
        <f>1404.64</f>
        <v>1404.64</v>
      </c>
      <c r="P3389">
        <f>84.16</f>
        <v>84.16</v>
      </c>
      <c r="Q3389" t="e">
        <f>NA()</f>
        <v>#N/A</v>
      </c>
      <c r="R3389" t="e">
        <f>NA()</f>
        <v>#N/A</v>
      </c>
      <c r="S3389">
        <f>1039.92</f>
        <v>1039.92</v>
      </c>
      <c r="T3389">
        <f>1319.092</f>
        <v>1319.0920000000001</v>
      </c>
      <c r="U3389">
        <f>26182.67</f>
        <v>26182.67</v>
      </c>
      <c r="V3389">
        <f>181.11</f>
        <v>181.11</v>
      </c>
    </row>
    <row r="3390" spans="1:22" x14ac:dyDescent="0.2">
      <c r="A3390" s="1">
        <v>40361</v>
      </c>
      <c r="B3390">
        <f>2060.17</f>
        <v>2060.17</v>
      </c>
      <c r="C3390">
        <f>6988.63</f>
        <v>6988.63</v>
      </c>
      <c r="D3390">
        <f>3118.66</f>
        <v>3118.66</v>
      </c>
      <c r="E3390">
        <f>1617.755</f>
        <v>1617.7550000000001</v>
      </c>
      <c r="F3390">
        <f>974.27</f>
        <v>974.27</v>
      </c>
      <c r="G3390">
        <f>4812.602</f>
        <v>4812.6019999999999</v>
      </c>
      <c r="H3390">
        <f>1777.67</f>
        <v>1777.67</v>
      </c>
      <c r="I3390">
        <f>5229.417</f>
        <v>5229.4170000000004</v>
      </c>
      <c r="J3390">
        <f>1231.58</f>
        <v>1231.58</v>
      </c>
      <c r="K3390">
        <f>3533.13</f>
        <v>3533.13</v>
      </c>
      <c r="L3390">
        <f>856.06</f>
        <v>856.06</v>
      </c>
      <c r="M3390">
        <f>3438.91</f>
        <v>3438.91</v>
      </c>
      <c r="N3390">
        <f>142.089</f>
        <v>142.089</v>
      </c>
      <c r="O3390">
        <f>1409.9</f>
        <v>1409.9</v>
      </c>
      <c r="P3390">
        <f>83.6</f>
        <v>83.6</v>
      </c>
      <c r="Q3390">
        <f>753.05</f>
        <v>753.05</v>
      </c>
      <c r="R3390">
        <f>1701.86</f>
        <v>1701.86</v>
      </c>
      <c r="S3390">
        <f>1032.58</f>
        <v>1032.58</v>
      </c>
      <c r="T3390">
        <f>1316.378</f>
        <v>1316.3779999999999</v>
      </c>
      <c r="U3390">
        <f>26314.56</f>
        <v>26314.560000000001</v>
      </c>
      <c r="V3390">
        <f>180.68</f>
        <v>180.68</v>
      </c>
    </row>
    <row r="3391" spans="1:22" x14ac:dyDescent="0.2">
      <c r="A3391" s="1">
        <v>40360</v>
      </c>
      <c r="B3391">
        <f>2045.3</f>
        <v>2045.3</v>
      </c>
      <c r="C3391">
        <f>6934.87</f>
        <v>6934.87</v>
      </c>
      <c r="D3391">
        <f>3097.82</f>
        <v>3097.82</v>
      </c>
      <c r="E3391">
        <f>1610.188</f>
        <v>1610.1880000000001</v>
      </c>
      <c r="F3391">
        <f>969.05</f>
        <v>969.05</v>
      </c>
      <c r="G3391">
        <f>4757.019</f>
        <v>4757.0190000000002</v>
      </c>
      <c r="H3391">
        <f>1782.03</f>
        <v>1782.03</v>
      </c>
      <c r="I3391">
        <f>5170.67</f>
        <v>5170.67</v>
      </c>
      <c r="J3391">
        <f>1235.28</f>
        <v>1235.28</v>
      </c>
      <c r="K3391">
        <f>3548.87</f>
        <v>3548.87</v>
      </c>
      <c r="L3391">
        <f>852.29</f>
        <v>852.29</v>
      </c>
      <c r="M3391">
        <f>3436.81</f>
        <v>3436.81</v>
      </c>
      <c r="N3391">
        <f>141.836</f>
        <v>141.83600000000001</v>
      </c>
      <c r="O3391">
        <f>1408.39</f>
        <v>1408.39</v>
      </c>
      <c r="P3391">
        <f>83.41</f>
        <v>83.41</v>
      </c>
      <c r="Q3391">
        <f>755.8</f>
        <v>755.8</v>
      </c>
      <c r="R3391">
        <f>1709.77</f>
        <v>1709.77</v>
      </c>
      <c r="S3391">
        <f>1029.36</f>
        <v>1029.3599999999999</v>
      </c>
      <c r="T3391">
        <f>1308.349</f>
        <v>1308.3489999999999</v>
      </c>
      <c r="U3391">
        <f>26009.53</f>
        <v>26009.53</v>
      </c>
      <c r="V3391">
        <f>179.89</f>
        <v>179.89</v>
      </c>
    </row>
    <row r="3392" spans="1:22" x14ac:dyDescent="0.2">
      <c r="A3392" s="1">
        <v>40359</v>
      </c>
      <c r="B3392">
        <f>2078.29</f>
        <v>2078.29</v>
      </c>
      <c r="C3392">
        <f>6968.63</f>
        <v>6968.63</v>
      </c>
      <c r="D3392">
        <f>3169.44</f>
        <v>3169.44</v>
      </c>
      <c r="E3392">
        <f>1625.457</f>
        <v>1625.4570000000001</v>
      </c>
      <c r="F3392">
        <f>976.75</f>
        <v>976.75</v>
      </c>
      <c r="G3392">
        <f>4816.458</f>
        <v>4816.4579999999996</v>
      </c>
      <c r="H3392">
        <f>1766.93</f>
        <v>1766.93</v>
      </c>
      <c r="I3392">
        <f>5204.611</f>
        <v>5204.6109999999999</v>
      </c>
      <c r="J3392">
        <f>1237.68</f>
        <v>1237.68</v>
      </c>
      <c r="K3392">
        <f>3559.65</f>
        <v>3559.65</v>
      </c>
      <c r="L3392">
        <f>855.55</f>
        <v>855.55</v>
      </c>
      <c r="M3392">
        <f>3453.89</f>
        <v>3453.89</v>
      </c>
      <c r="N3392">
        <f>144.293</f>
        <v>144.29300000000001</v>
      </c>
      <c r="O3392">
        <f>1442.61</f>
        <v>1442.61</v>
      </c>
      <c r="P3392">
        <f>84.3</f>
        <v>84.3</v>
      </c>
      <c r="Q3392">
        <f>756.55</f>
        <v>756.55</v>
      </c>
      <c r="R3392">
        <f>1715.23</f>
        <v>1715.23</v>
      </c>
      <c r="S3392">
        <f>1045.55</f>
        <v>1045.55</v>
      </c>
      <c r="T3392">
        <f>1315.856</f>
        <v>1315.856</v>
      </c>
      <c r="U3392">
        <f>26258.82</f>
        <v>26258.82</v>
      </c>
      <c r="V3392">
        <f>180.83</f>
        <v>180.83</v>
      </c>
    </row>
    <row r="3393" spans="1:22" x14ac:dyDescent="0.2">
      <c r="A3393" s="1">
        <v>40358</v>
      </c>
      <c r="B3393">
        <f>2074.86</f>
        <v>2074.86</v>
      </c>
      <c r="C3393">
        <f>7028.18</f>
        <v>7028.18</v>
      </c>
      <c r="D3393">
        <f>3166.73</f>
        <v>3166.73</v>
      </c>
      <c r="E3393">
        <f>1636.753</f>
        <v>1636.7529999999999</v>
      </c>
      <c r="F3393">
        <f>970.23</f>
        <v>970.23</v>
      </c>
      <c r="G3393">
        <f>4842.845</f>
        <v>4842.8450000000003</v>
      </c>
      <c r="H3393">
        <f>1781.27</f>
        <v>1781.27</v>
      </c>
      <c r="I3393">
        <f>5160.476</f>
        <v>5160.4759999999997</v>
      </c>
      <c r="J3393">
        <f>1247.34</f>
        <v>1247.3399999999999</v>
      </c>
      <c r="K3393">
        <f>3594.79</f>
        <v>3594.79</v>
      </c>
      <c r="L3393">
        <f>856.37</f>
        <v>856.37</v>
      </c>
      <c r="M3393">
        <f>3476.01</f>
        <v>3476.01</v>
      </c>
      <c r="N3393">
        <f>145.143</f>
        <v>145.143</v>
      </c>
      <c r="O3393">
        <f>1448.73</f>
        <v>1448.73</v>
      </c>
      <c r="P3393">
        <f>84.85</f>
        <v>84.85</v>
      </c>
      <c r="Q3393">
        <f>761.87</f>
        <v>761.87</v>
      </c>
      <c r="R3393">
        <f>1732.55</f>
        <v>1732.55</v>
      </c>
      <c r="S3393">
        <f>1058.93</f>
        <v>1058.93</v>
      </c>
      <c r="T3393">
        <f>1326.927</f>
        <v>1326.9269999999999</v>
      </c>
      <c r="U3393">
        <f>26698.7</f>
        <v>26698.7</v>
      </c>
      <c r="V3393">
        <f>182.59</f>
        <v>182.59</v>
      </c>
    </row>
    <row r="3394" spans="1:22" x14ac:dyDescent="0.2">
      <c r="A3394" s="1">
        <v>40357</v>
      </c>
      <c r="B3394">
        <f>2126.81</f>
        <v>2126.81</v>
      </c>
      <c r="C3394">
        <f>7217.32</f>
        <v>7217.32</v>
      </c>
      <c r="D3394">
        <f>3268.2</f>
        <v>3268.2</v>
      </c>
      <c r="E3394">
        <f>1684.23</f>
        <v>1684.23</v>
      </c>
      <c r="F3394">
        <f>996.67</f>
        <v>996.67</v>
      </c>
      <c r="G3394">
        <f>5015.137</f>
        <v>5015.1369999999997</v>
      </c>
      <c r="H3394">
        <f>1769.8</f>
        <v>1769.8</v>
      </c>
      <c r="I3394">
        <f>5408.721</f>
        <v>5408.7209999999995</v>
      </c>
      <c r="J3394">
        <f>1273.01</f>
        <v>1273.01</v>
      </c>
      <c r="K3394">
        <f>3711.31</f>
        <v>3711.31</v>
      </c>
      <c r="L3394">
        <f>881.74</f>
        <v>881.74</v>
      </c>
      <c r="M3394">
        <f>3590.36</f>
        <v>3590.36</v>
      </c>
      <c r="N3394">
        <f>148.145</f>
        <v>148.14500000000001</v>
      </c>
      <c r="O3394">
        <f>1492.49</f>
        <v>1492.49</v>
      </c>
      <c r="P3394">
        <f>85.55</f>
        <v>85.55</v>
      </c>
      <c r="Q3394">
        <f>779.72</f>
        <v>779.72</v>
      </c>
      <c r="R3394">
        <f>1787.94</f>
        <v>1787.94</v>
      </c>
      <c r="S3394">
        <f>1069.62</f>
        <v>1069.6199999999999</v>
      </c>
      <c r="T3394">
        <f>1347.573</f>
        <v>1347.5730000000001</v>
      </c>
      <c r="U3394">
        <f>27289.72</f>
        <v>27289.72</v>
      </c>
      <c r="V3394">
        <f>185.55</f>
        <v>185.55</v>
      </c>
    </row>
    <row r="3395" spans="1:22" x14ac:dyDescent="0.2">
      <c r="A3395" s="1">
        <v>40354</v>
      </c>
      <c r="B3395">
        <f>2118.26</f>
        <v>2118.2600000000002</v>
      </c>
      <c r="C3395">
        <f>7204.26</f>
        <v>7204.26</v>
      </c>
      <c r="D3395">
        <f>3251.95</f>
        <v>3251.95</v>
      </c>
      <c r="E3395">
        <f>1676.611</f>
        <v>1676.6110000000001</v>
      </c>
      <c r="F3395">
        <f>981.11</f>
        <v>981.11</v>
      </c>
      <c r="G3395">
        <f>4947.18</f>
        <v>4947.18</v>
      </c>
      <c r="H3395">
        <f>1774.65</f>
        <v>1774.65</v>
      </c>
      <c r="I3395">
        <f>5319.82</f>
        <v>5319.82</v>
      </c>
      <c r="J3395">
        <f>1270.25</f>
        <v>1270.25</v>
      </c>
      <c r="K3395">
        <f>3718.47</f>
        <v>3718.47</v>
      </c>
      <c r="L3395">
        <f>874.16</f>
        <v>874.16</v>
      </c>
      <c r="M3395">
        <f>3579.58</f>
        <v>3579.58</v>
      </c>
      <c r="N3395">
        <f>146.592</f>
        <v>146.59200000000001</v>
      </c>
      <c r="O3395">
        <f>1472.98</f>
        <v>1472.98</v>
      </c>
      <c r="P3395">
        <f>86.18</f>
        <v>86.18</v>
      </c>
      <c r="Q3395">
        <f>778.34</f>
        <v>778.34</v>
      </c>
      <c r="R3395">
        <f>1791.24</f>
        <v>1791.24</v>
      </c>
      <c r="S3395">
        <f>1076.97</f>
        <v>1076.97</v>
      </c>
      <c r="T3395">
        <f>1349.577</f>
        <v>1349.577</v>
      </c>
      <c r="U3395">
        <f>27258.07</f>
        <v>27258.07</v>
      </c>
      <c r="V3395">
        <f>186.23</f>
        <v>186.23</v>
      </c>
    </row>
    <row r="3396" spans="1:22" x14ac:dyDescent="0.2">
      <c r="A3396" s="1">
        <v>40353</v>
      </c>
      <c r="B3396">
        <f>2134.82</f>
        <v>2134.8200000000002</v>
      </c>
      <c r="C3396">
        <f>7205.24</f>
        <v>7205.24</v>
      </c>
      <c r="D3396">
        <f>3286.59</f>
        <v>3286.59</v>
      </c>
      <c r="E3396">
        <f>1684.668</f>
        <v>1684.6679999999999</v>
      </c>
      <c r="F3396">
        <f>994.19</f>
        <v>994.19</v>
      </c>
      <c r="G3396">
        <f>4997.353</f>
        <v>4997.3530000000001</v>
      </c>
      <c r="H3396">
        <f>1779.29</f>
        <v>1779.29</v>
      </c>
      <c r="I3396">
        <f>5355.527</f>
        <v>5355.527</v>
      </c>
      <c r="J3396">
        <f>1276.57</f>
        <v>1276.57</v>
      </c>
      <c r="K3396">
        <f>3707.95</f>
        <v>3707.95</v>
      </c>
      <c r="L3396">
        <f>879.27</f>
        <v>879.27</v>
      </c>
      <c r="M3396">
        <f>3589.04</f>
        <v>3589.04</v>
      </c>
      <c r="N3396">
        <f>147.249</f>
        <v>147.249</v>
      </c>
      <c r="O3396">
        <f>1481.3</f>
        <v>1481.3</v>
      </c>
      <c r="P3396">
        <f>86.91</f>
        <v>86.91</v>
      </c>
      <c r="Q3396">
        <f>780.39</f>
        <v>780.39</v>
      </c>
      <c r="R3396">
        <f>1786.13</f>
        <v>1786.13</v>
      </c>
      <c r="S3396">
        <f>1092.46</f>
        <v>1092.46</v>
      </c>
      <c r="T3396">
        <f>1350.412</f>
        <v>1350.412</v>
      </c>
      <c r="U3396">
        <f>27413.65</f>
        <v>27413.65</v>
      </c>
      <c r="V3396">
        <f>186.25</f>
        <v>186.25</v>
      </c>
    </row>
    <row r="3397" spans="1:22" x14ac:dyDescent="0.2">
      <c r="A3397" s="1">
        <v>40352</v>
      </c>
      <c r="B3397">
        <f>2150.72</f>
        <v>2150.7199999999998</v>
      </c>
      <c r="C3397">
        <f>7282</f>
        <v>7282</v>
      </c>
      <c r="D3397">
        <f>3337.05</f>
        <v>3337.05</v>
      </c>
      <c r="E3397">
        <f>1698.803</f>
        <v>1698.8030000000001</v>
      </c>
      <c r="F3397">
        <f>995.34</f>
        <v>995.34</v>
      </c>
      <c r="G3397">
        <f>5050.134</f>
        <v>5050.134</v>
      </c>
      <c r="H3397">
        <f>1761.58</f>
        <v>1761.58</v>
      </c>
      <c r="I3397">
        <f>5426.077</f>
        <v>5426.0770000000002</v>
      </c>
      <c r="J3397">
        <f>1291.09</f>
        <v>1291.0899999999999</v>
      </c>
      <c r="K3397">
        <f>3772.34</f>
        <v>3772.34</v>
      </c>
      <c r="L3397">
        <f>887.01</f>
        <v>887.01</v>
      </c>
      <c r="M3397">
        <f>3633.41</f>
        <v>3633.41</v>
      </c>
      <c r="N3397">
        <f>149.855</f>
        <v>149.85499999999999</v>
      </c>
      <c r="O3397">
        <f>1510.94</f>
        <v>1510.94</v>
      </c>
      <c r="P3397">
        <f>86.89</f>
        <v>86.89</v>
      </c>
      <c r="Q3397">
        <f>791.35</f>
        <v>791.35</v>
      </c>
      <c r="R3397">
        <f>1816.65</f>
        <v>1816.65</v>
      </c>
      <c r="S3397">
        <f>1093.79</f>
        <v>1093.79</v>
      </c>
      <c r="T3397">
        <f>1359.583</f>
        <v>1359.5830000000001</v>
      </c>
      <c r="U3397">
        <f>27617.91</f>
        <v>27617.91</v>
      </c>
      <c r="V3397">
        <f>187.36</f>
        <v>187.36</v>
      </c>
    </row>
    <row r="3398" spans="1:22" x14ac:dyDescent="0.2">
      <c r="A3398" s="1">
        <v>40351</v>
      </c>
      <c r="B3398">
        <f>2172.33</f>
        <v>2172.33</v>
      </c>
      <c r="C3398">
        <f>7330.92</f>
        <v>7330.92</v>
      </c>
      <c r="D3398">
        <f>3380.71</f>
        <v>3380.71</v>
      </c>
      <c r="E3398">
        <f>1711.652</f>
        <v>1711.652</v>
      </c>
      <c r="F3398">
        <f>1000.16</f>
        <v>1000.16</v>
      </c>
      <c r="G3398">
        <f>5079.419</f>
        <v>5079.4189999999999</v>
      </c>
      <c r="H3398">
        <f>1771.94</f>
        <v>1771.94</v>
      </c>
      <c r="I3398">
        <f>5518.01</f>
        <v>5518.01</v>
      </c>
      <c r="J3398">
        <f>1295.05</f>
        <v>1295.05</v>
      </c>
      <c r="K3398">
        <f>3783.41</f>
        <v>3783.41</v>
      </c>
      <c r="L3398">
        <f>896.82</f>
        <v>896.82</v>
      </c>
      <c r="M3398">
        <f>3664.29</f>
        <v>3664.29</v>
      </c>
      <c r="N3398">
        <f>150.942</f>
        <v>150.94200000000001</v>
      </c>
      <c r="O3398">
        <f>1526.83</f>
        <v>1526.83</v>
      </c>
      <c r="P3398">
        <f>88.48</f>
        <v>88.48</v>
      </c>
      <c r="Q3398">
        <f>793.63</f>
        <v>793.63</v>
      </c>
      <c r="R3398">
        <f>1822.05</f>
        <v>1822.05</v>
      </c>
      <c r="S3398">
        <f>1110.82</f>
        <v>1110.82</v>
      </c>
      <c r="T3398">
        <f>1363.627</f>
        <v>1363.627</v>
      </c>
      <c r="U3398">
        <f>27917.51</f>
        <v>27917.51</v>
      </c>
      <c r="V3398">
        <f>188.07</f>
        <v>188.07</v>
      </c>
    </row>
    <row r="3399" spans="1:22" x14ac:dyDescent="0.2">
      <c r="A3399" s="1">
        <v>40350</v>
      </c>
      <c r="B3399">
        <f>2185.66</f>
        <v>2185.66</v>
      </c>
      <c r="C3399">
        <f>7385.16</f>
        <v>7385.16</v>
      </c>
      <c r="D3399">
        <f>3414.3</f>
        <v>3414.3</v>
      </c>
      <c r="E3399">
        <f>1731.017</f>
        <v>1731.0170000000001</v>
      </c>
      <c r="F3399">
        <f>1014.47</f>
        <v>1014.47</v>
      </c>
      <c r="G3399">
        <f>5139.006</f>
        <v>5139.0060000000003</v>
      </c>
      <c r="H3399">
        <f>1779.39</f>
        <v>1779.39</v>
      </c>
      <c r="I3399">
        <f>5593.448</f>
        <v>5593.4480000000003</v>
      </c>
      <c r="J3399">
        <f>1313.08</f>
        <v>1313.08</v>
      </c>
      <c r="K3399">
        <f>3845.68</f>
        <v>3845.68</v>
      </c>
      <c r="L3399">
        <f>907.75</f>
        <v>907.75</v>
      </c>
      <c r="M3399">
        <f>3714.9</f>
        <v>3714.9</v>
      </c>
      <c r="N3399">
        <f>151.164</f>
        <v>151.16399999999999</v>
      </c>
      <c r="O3399">
        <f>1533.55</f>
        <v>1533.55</v>
      </c>
      <c r="P3399">
        <f>89.15</f>
        <v>89.15</v>
      </c>
      <c r="Q3399">
        <f>806.18</f>
        <v>806.18</v>
      </c>
      <c r="R3399">
        <f>1851.55</f>
        <v>1851.55</v>
      </c>
      <c r="S3399">
        <f>1120.66</f>
        <v>1120.6600000000001</v>
      </c>
      <c r="T3399">
        <f>1371.476</f>
        <v>1371.4760000000001</v>
      </c>
      <c r="U3399">
        <f>28029.33</f>
        <v>28029.33</v>
      </c>
      <c r="V3399">
        <f>188.08</f>
        <v>188.08</v>
      </c>
    </row>
    <row r="3400" spans="1:22" x14ac:dyDescent="0.2">
      <c r="A3400" s="1">
        <v>40347</v>
      </c>
      <c r="B3400">
        <f>2186.7</f>
        <v>2186.6999999999998</v>
      </c>
      <c r="C3400">
        <f>7229.08</f>
        <v>7229.08</v>
      </c>
      <c r="D3400">
        <f>3383.19</f>
        <v>3383.19</v>
      </c>
      <c r="E3400">
        <f>1686.593</f>
        <v>1686.5930000000001</v>
      </c>
      <c r="F3400">
        <f>1012.79</f>
        <v>1012.79</v>
      </c>
      <c r="G3400">
        <f>5086.775</f>
        <v>5086.7749999999996</v>
      </c>
      <c r="H3400">
        <f>1764.43</f>
        <v>1764.43</v>
      </c>
      <c r="I3400">
        <f>5532.044</f>
        <v>5532.0439999999999</v>
      </c>
      <c r="J3400">
        <f>1317.02</f>
        <v>1317.02</v>
      </c>
      <c r="K3400">
        <f>3860.72</f>
        <v>3860.72</v>
      </c>
      <c r="L3400">
        <f>903.46</f>
        <v>903.46</v>
      </c>
      <c r="M3400">
        <f>3697.33</f>
        <v>3697.33</v>
      </c>
      <c r="N3400">
        <f>150.106</f>
        <v>150.10599999999999</v>
      </c>
      <c r="O3400">
        <f>1517.54</f>
        <v>1517.54</v>
      </c>
      <c r="P3400">
        <f>87.71</f>
        <v>87.71</v>
      </c>
      <c r="Q3400">
        <f>809.17</f>
        <v>809.17</v>
      </c>
      <c r="R3400">
        <f>1858.7</f>
        <v>1858.7</v>
      </c>
      <c r="S3400">
        <f>1098.5</f>
        <v>1098.5</v>
      </c>
      <c r="T3400">
        <f>1368.533</f>
        <v>1368.5329999999999</v>
      </c>
      <c r="U3400">
        <f>27761.7</f>
        <v>27761.7</v>
      </c>
      <c r="V3400">
        <f>187.4</f>
        <v>187.4</v>
      </c>
    </row>
    <row r="3401" spans="1:22" x14ac:dyDescent="0.2">
      <c r="A3401" s="1">
        <v>40346</v>
      </c>
      <c r="B3401">
        <f>2178.27</f>
        <v>2178.27</v>
      </c>
      <c r="C3401">
        <f>7184.56</f>
        <v>7184.56</v>
      </c>
      <c r="D3401">
        <f>3389.53</f>
        <v>3389.53</v>
      </c>
      <c r="E3401">
        <f>1675.488</f>
        <v>1675.4880000000001</v>
      </c>
      <c r="F3401">
        <f>1017.58</f>
        <v>1017.58</v>
      </c>
      <c r="G3401">
        <f>5092.484</f>
        <v>5092.4840000000004</v>
      </c>
      <c r="H3401">
        <f>1761.17</f>
        <v>1761.17</v>
      </c>
      <c r="I3401">
        <f>5496.518</f>
        <v>5496.518</v>
      </c>
      <c r="J3401">
        <f>1316.7</f>
        <v>1316.7</v>
      </c>
      <c r="K3401">
        <f>3855.28</f>
        <v>3855.28</v>
      </c>
      <c r="L3401">
        <f>901.72</f>
        <v>901.72</v>
      </c>
      <c r="M3401">
        <f>3689.2</f>
        <v>3689.2</v>
      </c>
      <c r="N3401">
        <f>149.783</f>
        <v>149.78299999999999</v>
      </c>
      <c r="O3401">
        <f>1514.2</f>
        <v>1514.2</v>
      </c>
      <c r="P3401">
        <f>87.77</f>
        <v>87.77</v>
      </c>
      <c r="Q3401">
        <f>809.54</f>
        <v>809.54</v>
      </c>
      <c r="R3401">
        <f>1856.25</f>
        <v>1856.25</v>
      </c>
      <c r="S3401">
        <f>1102.03</f>
        <v>1102.03</v>
      </c>
      <c r="T3401">
        <f>1362.375</f>
        <v>1362.375</v>
      </c>
      <c r="U3401">
        <f>27799.03</f>
        <v>27799.03</v>
      </c>
      <c r="V3401">
        <f>187.08</f>
        <v>187.08</v>
      </c>
    </row>
    <row r="3402" spans="1:22" x14ac:dyDescent="0.2">
      <c r="A3402" s="1">
        <v>40345</v>
      </c>
      <c r="B3402">
        <f>2181.36</f>
        <v>2181.36</v>
      </c>
      <c r="C3402">
        <f>7173.55</f>
        <v>7173.55</v>
      </c>
      <c r="D3402">
        <f>3379.22</f>
        <v>3379.22</v>
      </c>
      <c r="E3402">
        <f>1668.493</f>
        <v>1668.4929999999999</v>
      </c>
      <c r="F3402">
        <f>1012.12</f>
        <v>1012.12</v>
      </c>
      <c r="G3402">
        <f>5092.912</f>
        <v>5092.9120000000003</v>
      </c>
      <c r="H3402">
        <f>1741</f>
        <v>1741</v>
      </c>
      <c r="I3402">
        <f>5457</f>
        <v>5457</v>
      </c>
      <c r="J3402">
        <f>1312.85</f>
        <v>1312.85</v>
      </c>
      <c r="K3402">
        <f>3850.26</f>
        <v>3850.26</v>
      </c>
      <c r="L3402">
        <f>899.08</f>
        <v>899.08</v>
      </c>
      <c r="M3402">
        <f>3683.46</f>
        <v>3683.46</v>
      </c>
      <c r="N3402">
        <f>149.826</f>
        <v>149.82599999999999</v>
      </c>
      <c r="O3402">
        <f>1510.98</f>
        <v>1510.98</v>
      </c>
      <c r="P3402">
        <f>87.75</f>
        <v>87.75</v>
      </c>
      <c r="Q3402">
        <f>809.06</f>
        <v>809.06</v>
      </c>
      <c r="R3402">
        <f>1853.62</f>
        <v>1853.62</v>
      </c>
      <c r="S3402">
        <f>1108.11</f>
        <v>1108.1099999999999</v>
      </c>
      <c r="T3402" t="e">
        <f>NA()</f>
        <v>#N/A</v>
      </c>
      <c r="U3402" t="e">
        <f>NA()</f>
        <v>#N/A</v>
      </c>
      <c r="V3402" t="e">
        <f>NA()</f>
        <v>#N/A</v>
      </c>
    </row>
    <row r="3403" spans="1:22" x14ac:dyDescent="0.2">
      <c r="A3403" s="1">
        <v>40344</v>
      </c>
      <c r="B3403">
        <f>2181.07</f>
        <v>2181.0700000000002</v>
      </c>
      <c r="C3403">
        <f>7142.74</f>
        <v>7142.74</v>
      </c>
      <c r="D3403">
        <f>3365.55</f>
        <v>3365.55</v>
      </c>
      <c r="E3403">
        <f>1658.442</f>
        <v>1658.442</v>
      </c>
      <c r="F3403">
        <f>1005.77</f>
        <v>1005.77</v>
      </c>
      <c r="G3403">
        <f>5064.689</f>
        <v>5064.6890000000003</v>
      </c>
      <c r="H3403">
        <f>1721.65</f>
        <v>1721.65</v>
      </c>
      <c r="I3403">
        <f>5456.132</f>
        <v>5456.1319999999996</v>
      </c>
      <c r="J3403">
        <f>1312.55</f>
        <v>1312.55</v>
      </c>
      <c r="K3403">
        <f>3852.97</f>
        <v>3852.97</v>
      </c>
      <c r="L3403">
        <f>896.24</f>
        <v>896.24</v>
      </c>
      <c r="M3403">
        <f>3674.1</f>
        <v>3674.1</v>
      </c>
      <c r="N3403">
        <f>149.752</f>
        <v>149.75200000000001</v>
      </c>
      <c r="O3403">
        <f>1508.02</f>
        <v>1508.02</v>
      </c>
      <c r="P3403">
        <f>86.54</f>
        <v>86.54</v>
      </c>
      <c r="Q3403">
        <f>811.05</f>
        <v>811.05</v>
      </c>
      <c r="R3403">
        <f>1854.61</f>
        <v>1854.61</v>
      </c>
      <c r="S3403">
        <f>1091.29</f>
        <v>1091.29</v>
      </c>
      <c r="T3403">
        <f>1348.553</f>
        <v>1348.5530000000001</v>
      </c>
      <c r="U3403">
        <f>27682.72</f>
        <v>27682.720000000001</v>
      </c>
      <c r="V3403">
        <f>185.54</f>
        <v>185.54</v>
      </c>
    </row>
    <row r="3404" spans="1:22" x14ac:dyDescent="0.2">
      <c r="A3404" s="1">
        <v>40343</v>
      </c>
      <c r="B3404">
        <f>2167.47</f>
        <v>2167.4699999999998</v>
      </c>
      <c r="C3404">
        <f>7091.38</f>
        <v>7091.38</v>
      </c>
      <c r="D3404">
        <f>3355.43</f>
        <v>3355.43</v>
      </c>
      <c r="E3404">
        <f>1645.01</f>
        <v>1645.01</v>
      </c>
      <c r="F3404">
        <f>1006.7</f>
        <v>1006.7</v>
      </c>
      <c r="G3404">
        <f>5040.919</f>
        <v>5040.9189999999999</v>
      </c>
      <c r="H3404">
        <f>1706.67</f>
        <v>1706.67</v>
      </c>
      <c r="I3404">
        <f>5392.893</f>
        <v>5392.893</v>
      </c>
      <c r="J3404">
        <f>1288.62</f>
        <v>1288.6199999999999</v>
      </c>
      <c r="K3404">
        <f>3764.58</f>
        <v>3764.58</v>
      </c>
      <c r="L3404">
        <f>886.54</f>
        <v>886.54</v>
      </c>
      <c r="M3404">
        <f>3617.22</f>
        <v>3617.22</v>
      </c>
      <c r="N3404">
        <f>149.103</f>
        <v>149.10300000000001</v>
      </c>
      <c r="O3404">
        <f>1497.46</f>
        <v>1497.46</v>
      </c>
      <c r="P3404">
        <f>86.57</f>
        <v>86.57</v>
      </c>
      <c r="Q3404">
        <f>794.04</f>
        <v>794.04</v>
      </c>
      <c r="R3404">
        <f>1812.02</f>
        <v>1812.02</v>
      </c>
      <c r="S3404">
        <f>1090.94</f>
        <v>1090.94</v>
      </c>
      <c r="T3404">
        <f>1335.437</f>
        <v>1335.4369999999999</v>
      </c>
      <c r="U3404">
        <f>27446.09</f>
        <v>27446.09</v>
      </c>
      <c r="V3404">
        <f>183.45</f>
        <v>183.45</v>
      </c>
    </row>
    <row r="3405" spans="1:22" x14ac:dyDescent="0.2">
      <c r="A3405" s="1">
        <v>40340</v>
      </c>
      <c r="B3405">
        <f>2146.58</f>
        <v>2146.58</v>
      </c>
      <c r="C3405">
        <f>7018.7</f>
        <v>7018.7</v>
      </c>
      <c r="D3405">
        <f>3330.63</f>
        <v>3330.63</v>
      </c>
      <c r="E3405">
        <f>1621.748</f>
        <v>1621.748</v>
      </c>
      <c r="F3405">
        <f>998.8</f>
        <v>998.8</v>
      </c>
      <c r="G3405">
        <f>4925.237</f>
        <v>4925.2370000000001</v>
      </c>
      <c r="H3405">
        <f>1693.08</f>
        <v>1693.08</v>
      </c>
      <c r="I3405">
        <f>5236.177</f>
        <v>5236.1769999999997</v>
      </c>
      <c r="J3405">
        <f>1287.57</f>
        <v>1287.57</v>
      </c>
      <c r="K3405">
        <f>3770.53</f>
        <v>3770.53</v>
      </c>
      <c r="L3405">
        <f>875.22</f>
        <v>875.22</v>
      </c>
      <c r="M3405">
        <f>3581.73</f>
        <v>3581.73</v>
      </c>
      <c r="N3405">
        <f>148.072</f>
        <v>148.072</v>
      </c>
      <c r="O3405">
        <f>1480.81</f>
        <v>1480.81</v>
      </c>
      <c r="P3405">
        <f>85.5</f>
        <v>85.5</v>
      </c>
      <c r="Q3405">
        <f>793.43</f>
        <v>793.43</v>
      </c>
      <c r="R3405">
        <f>1815.26</f>
        <v>1815.26</v>
      </c>
      <c r="S3405">
        <f>1075.9</f>
        <v>1075.9000000000001</v>
      </c>
      <c r="T3405">
        <f>1323.414</f>
        <v>1323.414</v>
      </c>
      <c r="U3405">
        <f>26849.17</f>
        <v>26849.17</v>
      </c>
      <c r="V3405">
        <f>181.82</f>
        <v>181.82</v>
      </c>
    </row>
    <row r="3406" spans="1:22" x14ac:dyDescent="0.2">
      <c r="A3406" s="1">
        <v>40339</v>
      </c>
      <c r="B3406">
        <f>2126.35</f>
        <v>2126.35</v>
      </c>
      <c r="C3406">
        <f>6957.31</f>
        <v>6957.31</v>
      </c>
      <c r="D3406">
        <f>3310.52</f>
        <v>3310.52</v>
      </c>
      <c r="E3406">
        <f>1603.636</f>
        <v>1603.636</v>
      </c>
      <c r="F3406">
        <f>985.54</f>
        <v>985.54</v>
      </c>
      <c r="G3406">
        <f>4932.837</f>
        <v>4932.8370000000004</v>
      </c>
      <c r="H3406">
        <f>1697.37</f>
        <v>1697.37</v>
      </c>
      <c r="I3406">
        <f>5208.34</f>
        <v>5208.34</v>
      </c>
      <c r="J3406">
        <f>1285.12</f>
        <v>1285.1199999999999</v>
      </c>
      <c r="K3406">
        <f>3751.06</f>
        <v>3751.06</v>
      </c>
      <c r="L3406">
        <f>870.36</f>
        <v>870.36</v>
      </c>
      <c r="M3406">
        <f>3563.32</f>
        <v>3563.32</v>
      </c>
      <c r="N3406">
        <f>147.319</f>
        <v>147.31899999999999</v>
      </c>
      <c r="O3406">
        <f>1473.99</f>
        <v>1473.99</v>
      </c>
      <c r="P3406">
        <f>84.76</f>
        <v>84.76</v>
      </c>
      <c r="Q3406">
        <f>792.28</f>
        <v>792.28</v>
      </c>
      <c r="R3406">
        <f>1806.69</f>
        <v>1806.69</v>
      </c>
      <c r="S3406">
        <f>1063.92</f>
        <v>1063.92</v>
      </c>
      <c r="T3406">
        <f>1324.919</f>
        <v>1324.9190000000001</v>
      </c>
      <c r="U3406">
        <f>27133.87</f>
        <v>27133.87</v>
      </c>
      <c r="V3406">
        <f>181.74</f>
        <v>181.74</v>
      </c>
    </row>
    <row r="3407" spans="1:22" x14ac:dyDescent="0.2">
      <c r="A3407" s="1">
        <v>40338</v>
      </c>
      <c r="B3407">
        <f>2104.97</f>
        <v>2104.9699999999998</v>
      </c>
      <c r="C3407">
        <f>6843.17</f>
        <v>6843.17</v>
      </c>
      <c r="D3407">
        <f>3280.43</f>
        <v>3280.43</v>
      </c>
      <c r="E3407">
        <f>1582.631</f>
        <v>1582.6310000000001</v>
      </c>
      <c r="F3407">
        <f>984.78</f>
        <v>984.78</v>
      </c>
      <c r="G3407">
        <f>4864.279</f>
        <v>4864.2790000000005</v>
      </c>
      <c r="H3407">
        <f>1683.74</f>
        <v>1683.74</v>
      </c>
      <c r="I3407">
        <f>5094.414</f>
        <v>5094.4139999999998</v>
      </c>
      <c r="J3407">
        <f>1252.56</f>
        <v>1252.56</v>
      </c>
      <c r="K3407">
        <f>3643.22</f>
        <v>3643.22</v>
      </c>
      <c r="L3407">
        <f>853.79</f>
        <v>853.79</v>
      </c>
      <c r="M3407">
        <f>3480.49</f>
        <v>3480.49</v>
      </c>
      <c r="N3407">
        <f>145.345</f>
        <v>145.345</v>
      </c>
      <c r="O3407">
        <f>1452.11</f>
        <v>1452.11</v>
      </c>
      <c r="P3407">
        <f>84.01</f>
        <v>84.01</v>
      </c>
      <c r="Q3407">
        <f>772.2</f>
        <v>772.2</v>
      </c>
      <c r="R3407">
        <f>1754.91</f>
        <v>1754.91</v>
      </c>
      <c r="S3407">
        <f>1055.94</f>
        <v>1055.94</v>
      </c>
      <c r="T3407">
        <f>1314.17</f>
        <v>1314.17</v>
      </c>
      <c r="U3407">
        <f>26650.86</f>
        <v>26650.86</v>
      </c>
      <c r="V3407">
        <f>179.56</f>
        <v>179.56</v>
      </c>
    </row>
    <row r="3408" spans="1:22" x14ac:dyDescent="0.2">
      <c r="A3408" s="1">
        <v>40337</v>
      </c>
      <c r="B3408">
        <f>2078.48</f>
        <v>2078.48</v>
      </c>
      <c r="C3408">
        <f>6773.74</f>
        <v>6773.74</v>
      </c>
      <c r="D3408">
        <f>3242.87</f>
        <v>3242.87</v>
      </c>
      <c r="E3408">
        <f>1575.215</f>
        <v>1575.2149999999999</v>
      </c>
      <c r="F3408">
        <f>973.18</f>
        <v>973.18</v>
      </c>
      <c r="G3408">
        <f>4735.512</f>
        <v>4735.5119999999997</v>
      </c>
      <c r="H3408">
        <f>1703.33</f>
        <v>1703.33</v>
      </c>
      <c r="I3408">
        <f>4953.674</f>
        <v>4953.674</v>
      </c>
      <c r="J3408">
        <f>1257.97</f>
        <v>1257.97</v>
      </c>
      <c r="K3408">
        <f>3663.44</f>
        <v>3663.44</v>
      </c>
      <c r="L3408">
        <f>845.29</f>
        <v>845.29</v>
      </c>
      <c r="M3408">
        <f>3464</f>
        <v>3464</v>
      </c>
      <c r="N3408">
        <f>142.807</f>
        <v>142.80699999999999</v>
      </c>
      <c r="O3408">
        <f>1425.15</f>
        <v>1425.15</v>
      </c>
      <c r="P3408">
        <f>84.77</f>
        <v>84.77</v>
      </c>
      <c r="Q3408">
        <f>774.1</f>
        <v>774.1</v>
      </c>
      <c r="R3408">
        <f>1765.29</f>
        <v>1765.29</v>
      </c>
      <c r="S3408">
        <f>1065.83</f>
        <v>1065.83</v>
      </c>
      <c r="T3408">
        <f>1292.74</f>
        <v>1292.74</v>
      </c>
      <c r="U3408">
        <f>26019.71</f>
        <v>26019.71</v>
      </c>
      <c r="V3408">
        <f>176.89</f>
        <v>176.89</v>
      </c>
    </row>
    <row r="3409" spans="1:22" x14ac:dyDescent="0.2">
      <c r="A3409" s="1">
        <v>40336</v>
      </c>
      <c r="B3409">
        <f>2097.2</f>
        <v>2097.1999999999998</v>
      </c>
      <c r="C3409">
        <f>6760.81</f>
        <v>6760.81</v>
      </c>
      <c r="D3409">
        <f>3269.26</f>
        <v>3269.26</v>
      </c>
      <c r="E3409">
        <f>1572.609</f>
        <v>1572.6089999999999</v>
      </c>
      <c r="F3409">
        <f>994.82</f>
        <v>994.82</v>
      </c>
      <c r="G3409">
        <f>4816.474</f>
        <v>4816.4740000000002</v>
      </c>
      <c r="H3409">
        <f>1689.75</f>
        <v>1689.75</v>
      </c>
      <c r="I3409">
        <f>4980.945</f>
        <v>4980.9449999999997</v>
      </c>
      <c r="J3409">
        <f>1239.97</f>
        <v>1239.97</v>
      </c>
      <c r="K3409">
        <f>3625.89</f>
        <v>3625.89</v>
      </c>
      <c r="L3409">
        <f>844.29</f>
        <v>844.29</v>
      </c>
      <c r="M3409">
        <f>3450.19</f>
        <v>3450.19</v>
      </c>
      <c r="N3409">
        <f>144.347</f>
        <v>144.34700000000001</v>
      </c>
      <c r="O3409">
        <f>1440.07</f>
        <v>1440.07</v>
      </c>
      <c r="P3409">
        <f>84.56</f>
        <v>84.56</v>
      </c>
      <c r="Q3409">
        <f>763.91</f>
        <v>763.91</v>
      </c>
      <c r="R3409">
        <f>1745.87</f>
        <v>1745.87</v>
      </c>
      <c r="S3409">
        <f>1066.92</f>
        <v>1066.92</v>
      </c>
      <c r="T3409">
        <f>1299.541</f>
        <v>1299.5409999999999</v>
      </c>
      <c r="U3409">
        <f>26193.37</f>
        <v>26193.37</v>
      </c>
      <c r="V3409">
        <f>178.04</f>
        <v>178.04</v>
      </c>
    </row>
    <row r="3410" spans="1:22" x14ac:dyDescent="0.2">
      <c r="A3410" s="1">
        <v>40333</v>
      </c>
      <c r="B3410">
        <f>2122.89</f>
        <v>2122.89</v>
      </c>
      <c r="C3410">
        <f>6916.65</f>
        <v>6916.65</v>
      </c>
      <c r="D3410">
        <f>3305.98</f>
        <v>3305.98</v>
      </c>
      <c r="E3410">
        <f>1614.713</f>
        <v>1614.713</v>
      </c>
      <c r="F3410">
        <f>1007.59</f>
        <v>1007.59</v>
      </c>
      <c r="G3410">
        <f>4891.409</f>
        <v>4891.4089999999997</v>
      </c>
      <c r="H3410">
        <f>1723.96</f>
        <v>1723.96</v>
      </c>
      <c r="I3410">
        <f>5064.426</f>
        <v>5064.4260000000004</v>
      </c>
      <c r="J3410">
        <f>1247.04</f>
        <v>1247.04</v>
      </c>
      <c r="K3410">
        <f>3676.41</f>
        <v>3676.41</v>
      </c>
      <c r="L3410">
        <f>854.98</f>
        <v>854.98</v>
      </c>
      <c r="M3410">
        <f>3512.55</f>
        <v>3512.55</v>
      </c>
      <c r="N3410">
        <f>145.559</f>
        <v>145.559</v>
      </c>
      <c r="O3410">
        <f>1452.04</f>
        <v>1452.04</v>
      </c>
      <c r="P3410">
        <f>86.89</f>
        <v>86.89</v>
      </c>
      <c r="Q3410">
        <f>772.47</f>
        <v>772.47</v>
      </c>
      <c r="R3410">
        <f>1769.72</f>
        <v>1769.72</v>
      </c>
      <c r="S3410">
        <f>1104.99</f>
        <v>1104.99</v>
      </c>
      <c r="T3410">
        <f>1314.202</f>
        <v>1314.202</v>
      </c>
      <c r="U3410">
        <f>26558.14</f>
        <v>26558.14</v>
      </c>
      <c r="V3410">
        <f>179.77</f>
        <v>179.77</v>
      </c>
    </row>
    <row r="3411" spans="1:22" x14ac:dyDescent="0.2">
      <c r="A3411" s="1">
        <v>40332</v>
      </c>
      <c r="B3411">
        <f>2161.49</f>
        <v>2161.4899999999998</v>
      </c>
      <c r="C3411">
        <f>7016.37</f>
        <v>7016.37</v>
      </c>
      <c r="D3411">
        <f>3360.91</f>
        <v>3360.91</v>
      </c>
      <c r="E3411">
        <f>1634.376</f>
        <v>1634.376</v>
      </c>
      <c r="F3411">
        <f>1020.5</f>
        <v>1020.5</v>
      </c>
      <c r="G3411">
        <f>4994.04</f>
        <v>4994.04</v>
      </c>
      <c r="H3411">
        <f>1718.86</f>
        <v>1718.86</v>
      </c>
      <c r="I3411">
        <f>5255.74</f>
        <v>5255.74</v>
      </c>
      <c r="J3411">
        <f>1286.44</f>
        <v>1286.44</v>
      </c>
      <c r="K3411">
        <f>3807.26</f>
        <v>3807.26</v>
      </c>
      <c r="L3411">
        <f>878.39</f>
        <v>878.39</v>
      </c>
      <c r="M3411">
        <f>3614.01</f>
        <v>3614.01</v>
      </c>
      <c r="N3411">
        <f>147.32</f>
        <v>147.32</v>
      </c>
      <c r="O3411">
        <f>1478.38</f>
        <v>1478.38</v>
      </c>
      <c r="P3411">
        <f>87.22</f>
        <v>87.22</v>
      </c>
      <c r="Q3411">
        <f>798.13</f>
        <v>798.13</v>
      </c>
      <c r="R3411">
        <f>1832.72</f>
        <v>1832.72</v>
      </c>
      <c r="S3411">
        <f>1105.59</f>
        <v>1105.5899999999999</v>
      </c>
      <c r="T3411">
        <f>1330.273</f>
        <v>1330.2729999999999</v>
      </c>
      <c r="U3411">
        <f>27135.78</f>
        <v>27135.78</v>
      </c>
      <c r="V3411">
        <f>182.48</f>
        <v>182.48</v>
      </c>
    </row>
    <row r="3412" spans="1:22" x14ac:dyDescent="0.2">
      <c r="A3412" s="1">
        <v>40331</v>
      </c>
      <c r="B3412">
        <f>2129.07</f>
        <v>2129.0700000000002</v>
      </c>
      <c r="C3412">
        <f>6914.4</f>
        <v>6914.4</v>
      </c>
      <c r="D3412">
        <f>3322.31</f>
        <v>3322.31</v>
      </c>
      <c r="E3412">
        <f>1605.752</f>
        <v>1605.752</v>
      </c>
      <c r="F3412">
        <f>1004.01</f>
        <v>1004.01</v>
      </c>
      <c r="G3412">
        <f>4919.046</f>
        <v>4919.0460000000003</v>
      </c>
      <c r="H3412">
        <f>1700.33</f>
        <v>1700.33</v>
      </c>
      <c r="I3412">
        <f>5182.029</f>
        <v>5182.0290000000005</v>
      </c>
      <c r="J3412">
        <f>1282.44</f>
        <v>1282.44</v>
      </c>
      <c r="K3412">
        <f>3789.19</f>
        <v>3789.19</v>
      </c>
      <c r="L3412">
        <f>869.56</f>
        <v>869.56</v>
      </c>
      <c r="M3412">
        <f>3574.88</f>
        <v>3574.88</v>
      </c>
      <c r="N3412">
        <f>145.63</f>
        <v>145.63</v>
      </c>
      <c r="O3412">
        <f>1459.02</f>
        <v>1459.02</v>
      </c>
      <c r="P3412">
        <f>85.56</f>
        <v>85.56</v>
      </c>
      <c r="Q3412">
        <f>796.93</f>
        <v>796.93</v>
      </c>
      <c r="R3412">
        <f>1825.25</f>
        <v>1825.25</v>
      </c>
      <c r="S3412">
        <f>1080.02</f>
        <v>1080.02</v>
      </c>
      <c r="T3412">
        <f>1337.862</f>
        <v>1337.8620000000001</v>
      </c>
      <c r="U3412">
        <f>27248.11</f>
        <v>27248.11</v>
      </c>
      <c r="V3412">
        <f>182.71</f>
        <v>182.71</v>
      </c>
    </row>
    <row r="3413" spans="1:22" x14ac:dyDescent="0.2">
      <c r="A3413" s="1">
        <v>40330</v>
      </c>
      <c r="B3413">
        <f>2117.96</f>
        <v>2117.96</v>
      </c>
      <c r="C3413">
        <f>6904.53</f>
        <v>6904.53</v>
      </c>
      <c r="D3413">
        <f>3320.52</f>
        <v>3320.52</v>
      </c>
      <c r="E3413">
        <f>1603.2</f>
        <v>1603.2</v>
      </c>
      <c r="F3413">
        <f>1004.63</f>
        <v>1004.63</v>
      </c>
      <c r="G3413">
        <f>4959.944</f>
        <v>4959.9440000000004</v>
      </c>
      <c r="H3413">
        <f>1729.72</f>
        <v>1729.72</v>
      </c>
      <c r="I3413">
        <f>5206.471</f>
        <v>5206.4709999999995</v>
      </c>
      <c r="J3413">
        <f>1256.01</f>
        <v>1256.01</v>
      </c>
      <c r="K3413">
        <f>3693.1</f>
        <v>3693.1</v>
      </c>
      <c r="L3413">
        <f>864.62</f>
        <v>864.62</v>
      </c>
      <c r="M3413">
        <f>3541.37</f>
        <v>3541.37</v>
      </c>
      <c r="N3413">
        <f>144.522</f>
        <v>144.52199999999999</v>
      </c>
      <c r="O3413">
        <f>1455.3</f>
        <v>1455.3</v>
      </c>
      <c r="P3413">
        <f>86.06</f>
        <v>86.06</v>
      </c>
      <c r="Q3413">
        <f>780.24</f>
        <v>780.24</v>
      </c>
      <c r="R3413">
        <f>1778.99</f>
        <v>1778.99</v>
      </c>
      <c r="S3413">
        <f>1092.42</f>
        <v>1092.42</v>
      </c>
      <c r="T3413">
        <f>1331.05</f>
        <v>1331.05</v>
      </c>
      <c r="U3413">
        <f>27309.06</f>
        <v>27309.06</v>
      </c>
      <c r="V3413">
        <f>181.26</f>
        <v>181.26</v>
      </c>
    </row>
    <row r="3414" spans="1:22" x14ac:dyDescent="0.2">
      <c r="A3414" s="1">
        <v>40329</v>
      </c>
      <c r="B3414" t="e">
        <f>NA()</f>
        <v>#N/A</v>
      </c>
      <c r="C3414">
        <f>7033.32</f>
        <v>7033.32</v>
      </c>
      <c r="D3414" t="e">
        <f>NA()</f>
        <v>#N/A</v>
      </c>
      <c r="E3414">
        <f>1637.2</f>
        <v>1637.2</v>
      </c>
      <c r="F3414">
        <f>1014.12</f>
        <v>1014.12</v>
      </c>
      <c r="G3414">
        <f>4926.28</f>
        <v>4926.28</v>
      </c>
      <c r="H3414">
        <f>1725.47</f>
        <v>1725.47</v>
      </c>
      <c r="I3414">
        <f>5201.602</f>
        <v>5201.6019999999999</v>
      </c>
      <c r="J3414">
        <f>1271.09</f>
        <v>1271.0899999999999</v>
      </c>
      <c r="K3414">
        <f>3759.57</f>
        <v>3759.57</v>
      </c>
      <c r="L3414">
        <f>868.18</f>
        <v>868.18</v>
      </c>
      <c r="M3414">
        <f>3575.14</f>
        <v>3575.14</v>
      </c>
      <c r="N3414">
        <f>143.892</f>
        <v>143.892</v>
      </c>
      <c r="O3414">
        <f>1453.38</f>
        <v>1453.38</v>
      </c>
      <c r="P3414">
        <f>86.11</f>
        <v>86.11</v>
      </c>
      <c r="Q3414" t="e">
        <f>NA()</f>
        <v>#N/A</v>
      </c>
      <c r="R3414" t="e">
        <f>NA()</f>
        <v>#N/A</v>
      </c>
      <c r="S3414">
        <f>1092.94</f>
        <v>1092.94</v>
      </c>
      <c r="T3414">
        <f>1330.546</f>
        <v>1330.546</v>
      </c>
      <c r="U3414">
        <f>27145.36</f>
        <v>27145.360000000001</v>
      </c>
      <c r="V3414">
        <f>182.43</f>
        <v>182.43</v>
      </c>
    </row>
    <row r="3415" spans="1:22" x14ac:dyDescent="0.2">
      <c r="A3415" s="1">
        <v>40326</v>
      </c>
      <c r="B3415">
        <f>2105.4</f>
        <v>2105.4</v>
      </c>
      <c r="C3415">
        <f>6935.78</f>
        <v>6935.78</v>
      </c>
      <c r="D3415">
        <f>3336.69</f>
        <v>3336.69</v>
      </c>
      <c r="E3415">
        <f>1620.27</f>
        <v>1620.27</v>
      </c>
      <c r="F3415">
        <f>1009.17</f>
        <v>1009.17</v>
      </c>
      <c r="G3415">
        <f>4902.207</f>
        <v>4902.2070000000003</v>
      </c>
      <c r="H3415">
        <f>1718.53</f>
        <v>1718.53</v>
      </c>
      <c r="I3415">
        <f>5219.702</f>
        <v>5219.7020000000002</v>
      </c>
      <c r="J3415">
        <f>1271.09</f>
        <v>1271.0899999999999</v>
      </c>
      <c r="K3415">
        <f>3759.57</f>
        <v>3759.57</v>
      </c>
      <c r="L3415">
        <f>869.41</f>
        <v>869.41</v>
      </c>
      <c r="M3415">
        <f>3576.61</f>
        <v>3576.61</v>
      </c>
      <c r="N3415">
        <f>142.965</f>
        <v>142.965</v>
      </c>
      <c r="O3415">
        <f>1446.92</f>
        <v>1446.92</v>
      </c>
      <c r="P3415">
        <f>85.6</f>
        <v>85.6</v>
      </c>
      <c r="Q3415">
        <f>791.59</f>
        <v>791.59</v>
      </c>
      <c r="R3415">
        <f>1809.98</f>
        <v>1809.98</v>
      </c>
      <c r="S3415">
        <f>1090.54</f>
        <v>1090.54</v>
      </c>
      <c r="T3415">
        <f>1333.173</f>
        <v>1333.173</v>
      </c>
      <c r="U3415">
        <f>27202.72</f>
        <v>27202.720000000001</v>
      </c>
      <c r="V3415">
        <f>182.71</f>
        <v>182.71</v>
      </c>
    </row>
    <row r="3416" spans="1:22" x14ac:dyDescent="0.2">
      <c r="A3416" s="1">
        <v>40325</v>
      </c>
      <c r="B3416">
        <f>2099.72</f>
        <v>2099.7199999999998</v>
      </c>
      <c r="C3416">
        <f>6870.04</f>
        <v>6870.04</v>
      </c>
      <c r="D3416">
        <f>3341.02</f>
        <v>3341.02</v>
      </c>
      <c r="E3416">
        <f>1597.477</f>
        <v>1597.4770000000001</v>
      </c>
      <c r="F3416">
        <f>1012.28</f>
        <v>1012.28</v>
      </c>
      <c r="G3416">
        <f>4914.067</f>
        <v>4914.067</v>
      </c>
      <c r="H3416">
        <f>1712.88</f>
        <v>1712.88</v>
      </c>
      <c r="I3416">
        <f>5194.52</f>
        <v>5194.5200000000004</v>
      </c>
      <c r="J3416">
        <f>1281.84</f>
        <v>1281.8399999999999</v>
      </c>
      <c r="K3416">
        <f>3805.79</f>
        <v>3805.79</v>
      </c>
      <c r="L3416">
        <f>869.22</f>
        <v>869.22</v>
      </c>
      <c r="M3416">
        <f>3590.83</f>
        <v>3590.83</v>
      </c>
      <c r="N3416">
        <f>142.694</f>
        <v>142.69399999999999</v>
      </c>
      <c r="O3416">
        <f>1450.35</f>
        <v>1450.35</v>
      </c>
      <c r="P3416">
        <f>84.74</f>
        <v>84.74</v>
      </c>
      <c r="Q3416">
        <f>799.32</f>
        <v>799.32</v>
      </c>
      <c r="R3416">
        <f>1832.61</f>
        <v>1832.61</v>
      </c>
      <c r="S3416">
        <f>1079.83</f>
        <v>1079.83</v>
      </c>
      <c r="T3416">
        <f>1330.308</f>
        <v>1330.308</v>
      </c>
      <c r="U3416">
        <f>27449.74</f>
        <v>27449.74</v>
      </c>
      <c r="V3416">
        <f>181.93</f>
        <v>181.93</v>
      </c>
    </row>
    <row r="3417" spans="1:22" x14ac:dyDescent="0.2">
      <c r="A3417" s="1">
        <v>40324</v>
      </c>
      <c r="B3417">
        <f>2038.51</f>
        <v>2038.51</v>
      </c>
      <c r="C3417">
        <f>6739.8</f>
        <v>6739.8</v>
      </c>
      <c r="D3417">
        <f>3240</f>
        <v>3240</v>
      </c>
      <c r="E3417">
        <f>1559.668</f>
        <v>1559.6679999999999</v>
      </c>
      <c r="F3417">
        <f>980.87</f>
        <v>980.87</v>
      </c>
      <c r="G3417">
        <f>4748.751</f>
        <v>4748.7510000000002</v>
      </c>
      <c r="H3417">
        <f>1715.62</f>
        <v>1715.62</v>
      </c>
      <c r="I3417">
        <f>5025.366</f>
        <v>5025.366</v>
      </c>
      <c r="J3417">
        <f>1248.79</f>
        <v>1248.79</v>
      </c>
      <c r="K3417">
        <f>3683.07</f>
        <v>3683.07</v>
      </c>
      <c r="L3417">
        <f>847.7</f>
        <v>847.7</v>
      </c>
      <c r="M3417">
        <f>3485.52</f>
        <v>3485.52</v>
      </c>
      <c r="N3417">
        <f>139.196</f>
        <v>139.196</v>
      </c>
      <c r="O3417">
        <f>1407.86</f>
        <v>1407.86</v>
      </c>
      <c r="P3417">
        <f>84.07</f>
        <v>84.07</v>
      </c>
      <c r="Q3417">
        <f>778.15</f>
        <v>778.15</v>
      </c>
      <c r="R3417">
        <f>1773.65</f>
        <v>1773.65</v>
      </c>
      <c r="S3417">
        <f>1066.26</f>
        <v>1066.26</v>
      </c>
      <c r="T3417">
        <f>1315.754</f>
        <v>1315.7539999999999</v>
      </c>
      <c r="U3417">
        <f>27047.51</f>
        <v>27047.51</v>
      </c>
      <c r="V3417">
        <f>178.99</f>
        <v>178.99</v>
      </c>
    </row>
    <row r="3418" spans="1:22" x14ac:dyDescent="0.2">
      <c r="A3418" s="1">
        <v>40323</v>
      </c>
      <c r="B3418">
        <f>2014.19</f>
        <v>2014.19</v>
      </c>
      <c r="C3418">
        <f>6536.32</f>
        <v>6536.32</v>
      </c>
      <c r="D3418">
        <f>3176.61</f>
        <v>3176.61</v>
      </c>
      <c r="E3418">
        <f>1510.474</f>
        <v>1510.4739999999999</v>
      </c>
      <c r="F3418">
        <f>964.15</f>
        <v>964.15</v>
      </c>
      <c r="G3418">
        <f>4629.45</f>
        <v>4629.45</v>
      </c>
      <c r="H3418">
        <f>1737.91</f>
        <v>1737.91</v>
      </c>
      <c r="I3418">
        <f>4927.363</f>
        <v>4927.3630000000003</v>
      </c>
      <c r="J3418">
        <f>1255.36</f>
        <v>1255.3599999999999</v>
      </c>
      <c r="K3418">
        <f>3701.91</f>
        <v>3701.91</v>
      </c>
      <c r="L3418">
        <f>840.83</f>
        <v>840.83</v>
      </c>
      <c r="M3418">
        <f>3469.41</f>
        <v>3469.41</v>
      </c>
      <c r="N3418">
        <f>136.593</f>
        <v>136.59299999999999</v>
      </c>
      <c r="O3418">
        <f>1375.3</f>
        <v>1375.3</v>
      </c>
      <c r="P3418">
        <f>83.8</f>
        <v>83.8</v>
      </c>
      <c r="Q3418">
        <f>783.15</f>
        <v>783.15</v>
      </c>
      <c r="R3418">
        <f>1783.4</f>
        <v>1783.4</v>
      </c>
      <c r="S3418">
        <f>1067.29</f>
        <v>1067.29</v>
      </c>
      <c r="T3418">
        <f>1284.577</f>
        <v>1284.577</v>
      </c>
      <c r="U3418">
        <f>26179.84</f>
        <v>26179.84</v>
      </c>
      <c r="V3418">
        <f>174.61</f>
        <v>174.61</v>
      </c>
    </row>
    <row r="3419" spans="1:22" x14ac:dyDescent="0.2">
      <c r="A3419" s="1">
        <v>40322</v>
      </c>
      <c r="B3419">
        <f>2063</f>
        <v>2063</v>
      </c>
      <c r="C3419">
        <f>6777.35</f>
        <v>6777.35</v>
      </c>
      <c r="D3419">
        <f>3259.51</f>
        <v>3259.51</v>
      </c>
      <c r="E3419">
        <f>1573.891</f>
        <v>1573.8910000000001</v>
      </c>
      <c r="F3419">
        <f>986.9</f>
        <v>986.9</v>
      </c>
      <c r="G3419">
        <f>4773.499</f>
        <v>4773.4989999999998</v>
      </c>
      <c r="H3419">
        <f>1739.51</f>
        <v>1739.51</v>
      </c>
      <c r="I3419">
        <f>5115.688</f>
        <v>5115.6880000000001</v>
      </c>
      <c r="J3419">
        <f>1260.51</f>
        <v>1260.51</v>
      </c>
      <c r="K3419">
        <f>3700.83</f>
        <v>3700.83</v>
      </c>
      <c r="L3419">
        <f>858.95</f>
        <v>858.95</v>
      </c>
      <c r="M3419">
        <f>3520.6</f>
        <v>3520.6</v>
      </c>
      <c r="N3419">
        <f>139.118</f>
        <v>139.11799999999999</v>
      </c>
      <c r="O3419">
        <f>1409.8</f>
        <v>1409.8</v>
      </c>
      <c r="P3419">
        <f>85.49</f>
        <v>85.49</v>
      </c>
      <c r="Q3419">
        <f>784.1</f>
        <v>784.1</v>
      </c>
      <c r="R3419">
        <f>1782.77</f>
        <v>1782.77</v>
      </c>
      <c r="S3419">
        <f>1092.34</f>
        <v>1092.3399999999999</v>
      </c>
      <c r="T3419">
        <f>1317.666</f>
        <v>1317.6659999999999</v>
      </c>
      <c r="U3419">
        <f>26777.79</f>
        <v>26777.79</v>
      </c>
      <c r="V3419">
        <f>178.44</f>
        <v>178.44</v>
      </c>
    </row>
    <row r="3420" spans="1:22" x14ac:dyDescent="0.2">
      <c r="A3420" s="1">
        <v>40319</v>
      </c>
      <c r="B3420">
        <f>2060.24</f>
        <v>2060.2399999999998</v>
      </c>
      <c r="C3420">
        <f>6731.83</f>
        <v>6731.83</v>
      </c>
      <c r="D3420">
        <f>3255.21</f>
        <v>3255.21</v>
      </c>
      <c r="E3420">
        <f>1564.643</f>
        <v>1564.643</v>
      </c>
      <c r="F3420">
        <f>986.91</f>
        <v>986.91</v>
      </c>
      <c r="G3420">
        <f>4778.448</f>
        <v>4778.4480000000003</v>
      </c>
      <c r="H3420">
        <f>1750.74</f>
        <v>1750.74</v>
      </c>
      <c r="I3420">
        <f>5187.54</f>
        <v>5187.54</v>
      </c>
      <c r="J3420">
        <f>1273.37</f>
        <v>1273.3699999999999</v>
      </c>
      <c r="K3420">
        <f>3748.3</f>
        <v>3748.3</v>
      </c>
      <c r="L3420">
        <f>865.25</f>
        <v>865.25</v>
      </c>
      <c r="M3420">
        <f>3551.16</f>
        <v>3551.16</v>
      </c>
      <c r="N3420">
        <f>138.505</f>
        <v>138.505</v>
      </c>
      <c r="O3420">
        <f>1404.27</f>
        <v>1404.27</v>
      </c>
      <c r="P3420">
        <f>85.27</f>
        <v>85.27</v>
      </c>
      <c r="Q3420">
        <f>790.33</f>
        <v>790.33</v>
      </c>
      <c r="R3420">
        <f>1806.05</f>
        <v>1806.05</v>
      </c>
      <c r="S3420">
        <f>1091.94</f>
        <v>1091.94</v>
      </c>
      <c r="T3420">
        <f>1294.876</f>
        <v>1294.876</v>
      </c>
      <c r="U3420">
        <f>26258.21</f>
        <v>26258.21</v>
      </c>
      <c r="V3420">
        <f>175.84</f>
        <v>175.84</v>
      </c>
    </row>
    <row r="3421" spans="1:22" x14ac:dyDescent="0.2">
      <c r="A3421" s="1">
        <v>40318</v>
      </c>
      <c r="B3421">
        <f>2064.82</f>
        <v>2064.8200000000002</v>
      </c>
      <c r="C3421">
        <f>6680.48</f>
        <v>6680.48</v>
      </c>
      <c r="D3421">
        <f>3261.77</f>
        <v>3261.77</v>
      </c>
      <c r="E3421">
        <f>1557.144</f>
        <v>1557.144</v>
      </c>
      <c r="F3421">
        <f>984.07</f>
        <v>984.07</v>
      </c>
      <c r="G3421">
        <f>4744.668</f>
        <v>4744.6679999999997</v>
      </c>
      <c r="H3421">
        <f>1797.01</f>
        <v>1797.01</v>
      </c>
      <c r="I3421">
        <f>5108.385</f>
        <v>5108.3850000000002</v>
      </c>
      <c r="J3421">
        <f>1264.39</f>
        <v>1264.3900000000001</v>
      </c>
      <c r="K3421">
        <f>3693.07</f>
        <v>3693.07</v>
      </c>
      <c r="L3421">
        <f>858.06</f>
        <v>858.06</v>
      </c>
      <c r="M3421">
        <f>3517.95</f>
        <v>3517.95</v>
      </c>
      <c r="N3421">
        <f>139.651</f>
        <v>139.65100000000001</v>
      </c>
      <c r="O3421">
        <f>1410.91</f>
        <v>1410.91</v>
      </c>
      <c r="P3421">
        <f>87.26</f>
        <v>87.26</v>
      </c>
      <c r="Q3421">
        <f>781.79</f>
        <v>781.79</v>
      </c>
      <c r="R3421">
        <f>1779.3</f>
        <v>1779.3</v>
      </c>
      <c r="S3421">
        <f>1114.86</f>
        <v>1114.8599999999999</v>
      </c>
      <c r="T3421">
        <f>1308.639</f>
        <v>1308.6389999999999</v>
      </c>
      <c r="U3421">
        <f>26337.51</f>
        <v>26337.51</v>
      </c>
      <c r="V3421">
        <f>177.1</f>
        <v>177.1</v>
      </c>
    </row>
    <row r="3422" spans="1:22" x14ac:dyDescent="0.2">
      <c r="A3422" s="1">
        <v>40317</v>
      </c>
      <c r="B3422">
        <f>2098.29</f>
        <v>2098.29</v>
      </c>
      <c r="C3422">
        <f>6891.91</f>
        <v>6891.91</v>
      </c>
      <c r="D3422">
        <f>3316.39</f>
        <v>3316.39</v>
      </c>
      <c r="E3422">
        <f>1606.711</f>
        <v>1606.711</v>
      </c>
      <c r="F3422">
        <f>1002.66</f>
        <v>1002.66</v>
      </c>
      <c r="G3422">
        <f>4843.293</f>
        <v>4843.2929999999997</v>
      </c>
      <c r="H3422">
        <f>1770.69</f>
        <v>1770.69</v>
      </c>
      <c r="I3422">
        <f>5218.394</f>
        <v>5218.3940000000002</v>
      </c>
      <c r="J3422">
        <f>1309.67</f>
        <v>1309.67</v>
      </c>
      <c r="K3422">
        <f>3842.6</f>
        <v>3842.6</v>
      </c>
      <c r="L3422">
        <f>881.19</f>
        <v>881.19</v>
      </c>
      <c r="M3422">
        <f>3622.94</f>
        <v>3622.94</v>
      </c>
      <c r="N3422">
        <f>142.281</f>
        <v>142.28100000000001</v>
      </c>
      <c r="O3422">
        <f>1440.79</f>
        <v>1440.79</v>
      </c>
      <c r="P3422">
        <f>88.18</f>
        <v>88.18</v>
      </c>
      <c r="Q3422">
        <f>811.13</f>
        <v>811.13</v>
      </c>
      <c r="R3422">
        <f>1851.28</f>
        <v>1851.28</v>
      </c>
      <c r="S3422">
        <f>1130.37</f>
        <v>1130.3699999999999</v>
      </c>
      <c r="T3422">
        <f>1345.403</f>
        <v>1345.403</v>
      </c>
      <c r="U3422">
        <f>27175.04</f>
        <v>27175.040000000001</v>
      </c>
      <c r="V3422">
        <f>181.71</f>
        <v>181.71</v>
      </c>
    </row>
    <row r="3423" spans="1:22" x14ac:dyDescent="0.2">
      <c r="A3423" s="1">
        <v>40316</v>
      </c>
      <c r="B3423">
        <f>2151.46</f>
        <v>2151.46</v>
      </c>
      <c r="C3423">
        <f>7082.3</f>
        <v>7082.3</v>
      </c>
      <c r="D3423">
        <f>3409.04</f>
        <v>3409.04</v>
      </c>
      <c r="E3423">
        <f>1657.267</f>
        <v>1657.2670000000001</v>
      </c>
      <c r="F3423">
        <f>1025.21</f>
        <v>1025.21</v>
      </c>
      <c r="G3423">
        <f>5001.272</f>
        <v>5001.2719999999999</v>
      </c>
      <c r="H3423">
        <f>1751.06</f>
        <v>1751.06</v>
      </c>
      <c r="I3423">
        <f>5391.541</f>
        <v>5391.5410000000002</v>
      </c>
      <c r="J3423">
        <f>1314.61</f>
        <v>1314.61</v>
      </c>
      <c r="K3423">
        <f>3863.02</f>
        <v>3863.02</v>
      </c>
      <c r="L3423">
        <f>898.5</f>
        <v>898.5</v>
      </c>
      <c r="M3423">
        <f>3675.67</f>
        <v>3675.67</v>
      </c>
      <c r="N3423">
        <f>145.528</f>
        <v>145.52799999999999</v>
      </c>
      <c r="O3423">
        <f>1484.22</f>
        <v>1484.22</v>
      </c>
      <c r="P3423">
        <f>88.52</f>
        <v>88.52</v>
      </c>
      <c r="Q3423">
        <f>816.32</f>
        <v>816.32</v>
      </c>
      <c r="R3423">
        <f>1860.65</f>
        <v>1860.65</v>
      </c>
      <c r="S3423">
        <f>1134.42</f>
        <v>1134.42</v>
      </c>
      <c r="T3423">
        <f>1355.859</f>
        <v>1355.8589999999999</v>
      </c>
      <c r="U3423">
        <f>27573.83</f>
        <v>27573.83</v>
      </c>
      <c r="V3423">
        <f>183.63</f>
        <v>183.63</v>
      </c>
    </row>
    <row r="3424" spans="1:22" x14ac:dyDescent="0.2">
      <c r="A3424" s="1">
        <v>40315</v>
      </c>
      <c r="B3424">
        <f>2121.53</f>
        <v>2121.5300000000002</v>
      </c>
      <c r="C3424">
        <f>7081.8</f>
        <v>7081.8</v>
      </c>
      <c r="D3424">
        <f>3380.26</f>
        <v>3380.26</v>
      </c>
      <c r="E3424">
        <f>1657.065</f>
        <v>1657.0650000000001</v>
      </c>
      <c r="F3424">
        <f>1021.38</f>
        <v>1021.38</v>
      </c>
      <c r="G3424">
        <f>4957.716</f>
        <v>4957.7160000000003</v>
      </c>
      <c r="H3424">
        <f>1757.07</f>
        <v>1757.07</v>
      </c>
      <c r="I3424">
        <f>5287.055</f>
        <v>5287.0550000000003</v>
      </c>
      <c r="J3424">
        <f>1329.7</f>
        <v>1329.7</v>
      </c>
      <c r="K3424">
        <f>3917.83</f>
        <v>3917.83</v>
      </c>
      <c r="L3424">
        <f>896.13</f>
        <v>896.13</v>
      </c>
      <c r="M3424">
        <f>3688.74</f>
        <v>3688.74</v>
      </c>
      <c r="N3424">
        <f>143.679</f>
        <v>143.679</v>
      </c>
      <c r="O3424">
        <f>1463.82</f>
        <v>1463.82</v>
      </c>
      <c r="P3424">
        <f>89.01</f>
        <v>89.01</v>
      </c>
      <c r="Q3424">
        <f>823.14</f>
        <v>823.14</v>
      </c>
      <c r="R3424">
        <f>1887.11</f>
        <v>1887.11</v>
      </c>
      <c r="S3424">
        <f>1142.51</f>
        <v>1142.51</v>
      </c>
      <c r="T3424">
        <f>1346.133</f>
        <v>1346.133</v>
      </c>
      <c r="U3424">
        <f>27306.74</f>
        <v>27306.74</v>
      </c>
      <c r="V3424">
        <f>182.25</f>
        <v>182.25</v>
      </c>
    </row>
    <row r="3425" spans="1:22" x14ac:dyDescent="0.2">
      <c r="A3425" s="1">
        <v>40312</v>
      </c>
      <c r="B3425">
        <f>2138.99</f>
        <v>2138.9899999999998</v>
      </c>
      <c r="C3425">
        <f>7204.8</f>
        <v>7204.8</v>
      </c>
      <c r="D3425">
        <f>3380.46</f>
        <v>3380.46</v>
      </c>
      <c r="E3425">
        <f>1692.067</f>
        <v>1692.067</v>
      </c>
      <c r="F3425">
        <f>1024.32</f>
        <v>1024.32</v>
      </c>
      <c r="G3425">
        <f>4999.976</f>
        <v>4999.9759999999997</v>
      </c>
      <c r="H3425">
        <f>1777.75</f>
        <v>1777.75</v>
      </c>
      <c r="I3425">
        <f>5328.794</f>
        <v>5328.7939999999999</v>
      </c>
      <c r="J3425">
        <f>1325.53</f>
        <v>1325.53</v>
      </c>
      <c r="K3425">
        <f>3912.85</f>
        <v>3912.85</v>
      </c>
      <c r="L3425">
        <f>902.22</f>
        <v>902.22</v>
      </c>
      <c r="M3425">
        <f>3713.62</f>
        <v>3713.62</v>
      </c>
      <c r="N3425">
        <f>144.625</f>
        <v>144.625</v>
      </c>
      <c r="O3425">
        <f>1466.8</f>
        <v>1466.8</v>
      </c>
      <c r="P3425">
        <f>90.25</f>
        <v>90.25</v>
      </c>
      <c r="Q3425">
        <f>818.38</f>
        <v>818.38</v>
      </c>
      <c r="R3425">
        <f>1884.67</f>
        <v>1884.67</v>
      </c>
      <c r="S3425">
        <f>1162.39</f>
        <v>1162.3900000000001</v>
      </c>
      <c r="T3425">
        <f>1348.953</f>
        <v>1348.953</v>
      </c>
      <c r="U3425">
        <f>27342.35</f>
        <v>27342.35</v>
      </c>
      <c r="V3425">
        <f>181.71</f>
        <v>181.71</v>
      </c>
    </row>
    <row r="3426" spans="1:22" x14ac:dyDescent="0.2">
      <c r="A3426" s="1">
        <v>40311</v>
      </c>
      <c r="B3426">
        <f>2196.65</f>
        <v>2196.65</v>
      </c>
      <c r="C3426">
        <f>7322.9</f>
        <v>7322.9</v>
      </c>
      <c r="D3426">
        <f>3490.22</f>
        <v>3490.22</v>
      </c>
      <c r="E3426">
        <f>1719.769</f>
        <v>1719.769</v>
      </c>
      <c r="F3426">
        <f>1057.17</f>
        <v>1057.17</v>
      </c>
      <c r="G3426">
        <f>5204.051</f>
        <v>5204.0510000000004</v>
      </c>
      <c r="H3426">
        <f>1785.97</f>
        <v>1785.97</v>
      </c>
      <c r="I3426">
        <f>5593.607</f>
        <v>5593.607</v>
      </c>
      <c r="J3426">
        <f>1344.35</f>
        <v>1344.35</v>
      </c>
      <c r="K3426">
        <f>3989.1</f>
        <v>3989.1</v>
      </c>
      <c r="L3426">
        <f>929.21</f>
        <v>929.21</v>
      </c>
      <c r="M3426">
        <f>3808.55</f>
        <v>3808.55</v>
      </c>
      <c r="N3426">
        <f>148.16</f>
        <v>148.16</v>
      </c>
      <c r="O3426">
        <f>1515.62</f>
        <v>1515.62</v>
      </c>
      <c r="P3426">
        <f>91.39</f>
        <v>91.39</v>
      </c>
      <c r="Q3426">
        <f>829.6</f>
        <v>829.6</v>
      </c>
      <c r="R3426">
        <f>1920.76</f>
        <v>1920.76</v>
      </c>
      <c r="S3426">
        <f>1176.61</f>
        <v>1176.6099999999999</v>
      </c>
      <c r="T3426">
        <f>1364.498</f>
        <v>1364.498</v>
      </c>
      <c r="U3426">
        <f>28041.85</f>
        <v>28041.85</v>
      </c>
      <c r="V3426">
        <f>184.73</f>
        <v>184.73</v>
      </c>
    </row>
    <row r="3427" spans="1:22" x14ac:dyDescent="0.2">
      <c r="A3427" s="1">
        <v>40310</v>
      </c>
      <c r="B3427">
        <f>2178.17</f>
        <v>2178.17</v>
      </c>
      <c r="C3427">
        <f>7302.47</f>
        <v>7302.47</v>
      </c>
      <c r="D3427">
        <f>3457.93</f>
        <v>3457.93</v>
      </c>
      <c r="E3427">
        <f>1706.13</f>
        <v>1706.13</v>
      </c>
      <c r="F3427">
        <f>1063.42</f>
        <v>1063.42</v>
      </c>
      <c r="G3427">
        <f>5221.037</f>
        <v>5221.0370000000003</v>
      </c>
      <c r="H3427">
        <f>1770.43</f>
        <v>1770.43</v>
      </c>
      <c r="I3427">
        <f>5638.595</f>
        <v>5638.5950000000003</v>
      </c>
      <c r="J3427">
        <f>1358.72</f>
        <v>1358.72</v>
      </c>
      <c r="K3427">
        <f>4037.33</f>
        <v>4037.33</v>
      </c>
      <c r="L3427">
        <f>935.05</f>
        <v>935.05</v>
      </c>
      <c r="M3427">
        <f>3828.5</f>
        <v>3828.5</v>
      </c>
      <c r="N3427">
        <f>148.634</f>
        <v>148.63399999999999</v>
      </c>
      <c r="O3427">
        <f>1514.51</f>
        <v>1514.51</v>
      </c>
      <c r="P3427">
        <f>90.33</f>
        <v>90.33</v>
      </c>
      <c r="Q3427">
        <f>839.4</f>
        <v>839.4</v>
      </c>
      <c r="R3427">
        <f>1944.25</f>
        <v>1944.25</v>
      </c>
      <c r="S3427">
        <f>1157.9</f>
        <v>1157.9000000000001</v>
      </c>
      <c r="T3427">
        <f>1383.365</f>
        <v>1383.365</v>
      </c>
      <c r="U3427">
        <f>28178.23</f>
        <v>28178.23</v>
      </c>
      <c r="V3427">
        <f>187.3</f>
        <v>187.3</v>
      </c>
    </row>
    <row r="3428" spans="1:22" x14ac:dyDescent="0.2">
      <c r="A3428" s="1">
        <v>40309</v>
      </c>
      <c r="B3428">
        <f>2138.45</f>
        <v>2138.4499999999998</v>
      </c>
      <c r="C3428">
        <f>7232.86</f>
        <v>7232.86</v>
      </c>
      <c r="D3428">
        <f>3424.95</f>
        <v>3424.95</v>
      </c>
      <c r="E3428">
        <f>1689.879</f>
        <v>1689.8789999999999</v>
      </c>
      <c r="F3428">
        <f>1056.95</f>
        <v>1056.95</v>
      </c>
      <c r="G3428">
        <f>5175.437</f>
        <v>5175.4369999999999</v>
      </c>
      <c r="H3428">
        <f>1769.09</f>
        <v>1769.09</v>
      </c>
      <c r="I3428">
        <f>5550.623</f>
        <v>5550.6229999999996</v>
      </c>
      <c r="J3428">
        <f>1344.67</f>
        <v>1344.67</v>
      </c>
      <c r="K3428">
        <f>3979.27</f>
        <v>3979.27</v>
      </c>
      <c r="L3428">
        <f>926.42</f>
        <v>926.42</v>
      </c>
      <c r="M3428">
        <f>3781.65</f>
        <v>3781.65</v>
      </c>
      <c r="N3428">
        <f>146.43</f>
        <v>146.43</v>
      </c>
      <c r="O3428">
        <f>1495.28</f>
        <v>1495.28</v>
      </c>
      <c r="P3428">
        <f>89.91</f>
        <v>89.91</v>
      </c>
      <c r="Q3428">
        <f>829.64</f>
        <v>829.64</v>
      </c>
      <c r="R3428">
        <f>1917.25</f>
        <v>1917.25</v>
      </c>
      <c r="S3428">
        <f>1156.99</f>
        <v>1156.99</v>
      </c>
      <c r="T3428">
        <f>1347.774</f>
        <v>1347.7739999999999</v>
      </c>
      <c r="U3428">
        <f>27513.98</f>
        <v>27513.98</v>
      </c>
      <c r="V3428">
        <f>183.28</f>
        <v>183.28</v>
      </c>
    </row>
    <row r="3429" spans="1:22" x14ac:dyDescent="0.2">
      <c r="A3429" s="1">
        <v>40308</v>
      </c>
      <c r="B3429">
        <f>2149.49</f>
        <v>2149.4899999999998</v>
      </c>
      <c r="C3429">
        <f>7284.52</f>
        <v>7284.52</v>
      </c>
      <c r="D3429">
        <f>3459.11</f>
        <v>3459.11</v>
      </c>
      <c r="E3429">
        <f>1703.398</f>
        <v>1703.3979999999999</v>
      </c>
      <c r="F3429">
        <f>1070.39</f>
        <v>1070.3900000000001</v>
      </c>
      <c r="G3429">
        <f>5268.126</f>
        <v>5268.1260000000002</v>
      </c>
      <c r="H3429">
        <f>1773.25</f>
        <v>1773.25</v>
      </c>
      <c r="I3429">
        <f>5632.693</f>
        <v>5632.6930000000002</v>
      </c>
      <c r="J3429">
        <f>1347.67</f>
        <v>1347.67</v>
      </c>
      <c r="K3429">
        <f>3991.44</f>
        <v>3991.44</v>
      </c>
      <c r="L3429">
        <f>935.68</f>
        <v>935.68</v>
      </c>
      <c r="M3429">
        <f>3808.85</f>
        <v>3808.85</v>
      </c>
      <c r="N3429">
        <f>146.138</f>
        <v>146.13800000000001</v>
      </c>
      <c r="O3429">
        <f>1493.77</f>
        <v>1493.77</v>
      </c>
      <c r="P3429">
        <f>90.87</f>
        <v>90.87</v>
      </c>
      <c r="Q3429">
        <f>830.6</f>
        <v>830.6</v>
      </c>
      <c r="R3429">
        <f>1923.39</f>
        <v>1923.39</v>
      </c>
      <c r="S3429">
        <f>1172.56</f>
        <v>1172.56</v>
      </c>
      <c r="T3429">
        <f>1345.801</f>
        <v>1345.8009999999999</v>
      </c>
      <c r="U3429">
        <f>27661.61</f>
        <v>27661.61</v>
      </c>
      <c r="V3429">
        <f>182.62</f>
        <v>182.62</v>
      </c>
    </row>
    <row r="3430" spans="1:22" x14ac:dyDescent="0.2">
      <c r="A3430" s="1">
        <v>40305</v>
      </c>
      <c r="B3430">
        <f>2061.19</f>
        <v>2061.19</v>
      </c>
      <c r="C3430">
        <f>7001.66</f>
        <v>7001.66</v>
      </c>
      <c r="D3430">
        <f>3289.35</f>
        <v>3289.35</v>
      </c>
      <c r="E3430">
        <f>1632.366</f>
        <v>1632.366</v>
      </c>
      <c r="F3430">
        <f>1013.18</f>
        <v>1013.18</v>
      </c>
      <c r="G3430">
        <f>4910.78</f>
        <v>4910.78</v>
      </c>
      <c r="H3430">
        <f>1805.43</f>
        <v>1805.43</v>
      </c>
      <c r="I3430">
        <f>5149.507</f>
        <v>5149.5069999999996</v>
      </c>
      <c r="J3430">
        <f>1299.94</f>
        <v>1299.94</v>
      </c>
      <c r="K3430">
        <f>3825.16</f>
        <v>3825.16</v>
      </c>
      <c r="L3430">
        <f>885</f>
        <v>885</v>
      </c>
      <c r="M3430">
        <f>3630.6</f>
        <v>3630.6</v>
      </c>
      <c r="N3430">
        <f>139.286</f>
        <v>139.286</v>
      </c>
      <c r="O3430">
        <f>1397.33</f>
        <v>1397.33</v>
      </c>
      <c r="P3430">
        <f>89.55</f>
        <v>89.55</v>
      </c>
      <c r="Q3430">
        <f>800.55</f>
        <v>800.55</v>
      </c>
      <c r="R3430">
        <f>1842.32</f>
        <v>1842.32</v>
      </c>
      <c r="S3430">
        <f>1156.55</f>
        <v>1156.55</v>
      </c>
      <c r="T3430">
        <f>1301.209</f>
        <v>1301.2090000000001</v>
      </c>
      <c r="U3430">
        <f>26515.07</f>
        <v>26515.07</v>
      </c>
      <c r="V3430">
        <f>176.46</f>
        <v>176.46</v>
      </c>
    </row>
    <row r="3431" spans="1:22" x14ac:dyDescent="0.2">
      <c r="A3431" s="1">
        <v>40304</v>
      </c>
      <c r="B3431">
        <f>2137.37</f>
        <v>2137.37</v>
      </c>
      <c r="C3431">
        <f>7142.35</f>
        <v>7142.35</v>
      </c>
      <c r="D3431">
        <f>3377.94</f>
        <v>3377.94</v>
      </c>
      <c r="E3431">
        <f>1670.168</f>
        <v>1670.1679999999999</v>
      </c>
      <c r="F3431">
        <f>1064.33</f>
        <v>1064.33</v>
      </c>
      <c r="G3431">
        <f>5140.804</f>
        <v>5140.8040000000001</v>
      </c>
      <c r="H3431">
        <f>1802.13</f>
        <v>1802.13</v>
      </c>
      <c r="I3431">
        <f>5367.817</f>
        <v>5367.817</v>
      </c>
      <c r="J3431">
        <f>1311.25</f>
        <v>1311.25</v>
      </c>
      <c r="K3431">
        <f>3886.04</f>
        <v>3886.04</v>
      </c>
      <c r="L3431">
        <f>909.95</f>
        <v>909.95</v>
      </c>
      <c r="M3431">
        <f>3714.46</f>
        <v>3714.46</v>
      </c>
      <c r="N3431">
        <f>144.379</f>
        <v>144.37899999999999</v>
      </c>
      <c r="O3431">
        <f>1450.55</f>
        <v>1450.55</v>
      </c>
      <c r="P3431">
        <f>92.35</f>
        <v>92.35</v>
      </c>
      <c r="Q3431">
        <f>811.12</f>
        <v>811.12</v>
      </c>
      <c r="R3431">
        <f>1870.95</f>
        <v>1870.95</v>
      </c>
      <c r="S3431">
        <f>1187.53</f>
        <v>1187.53</v>
      </c>
      <c r="T3431">
        <f>1341.22</f>
        <v>1341.22</v>
      </c>
      <c r="U3431">
        <f>27512.83</f>
        <v>27512.83</v>
      </c>
      <c r="V3431">
        <f>183.02</f>
        <v>183.02</v>
      </c>
    </row>
    <row r="3432" spans="1:22" x14ac:dyDescent="0.2">
      <c r="A3432" s="1">
        <v>40303</v>
      </c>
      <c r="B3432">
        <f>2160.47</f>
        <v>2160.4699999999998</v>
      </c>
      <c r="C3432">
        <f>7261.86</f>
        <v>7261.86</v>
      </c>
      <c r="D3432">
        <f>3429.9</f>
        <v>3429.9</v>
      </c>
      <c r="E3432">
        <f>1707.593</f>
        <v>1707.5930000000001</v>
      </c>
      <c r="F3432">
        <f>1085.88</f>
        <v>1085.8800000000001</v>
      </c>
      <c r="G3432">
        <f>5269.874</f>
        <v>5269.8739999999998</v>
      </c>
      <c r="H3432">
        <f>1821.55</f>
        <v>1821.55</v>
      </c>
      <c r="I3432">
        <f>5513.953</f>
        <v>5513.9530000000004</v>
      </c>
      <c r="J3432">
        <f>1349.83</f>
        <v>1349.83</v>
      </c>
      <c r="K3432">
        <f>4015.11</f>
        <v>4015.11</v>
      </c>
      <c r="L3432">
        <f>936.02</f>
        <v>936.02</v>
      </c>
      <c r="M3432">
        <f>3820.25</f>
        <v>3820.25</v>
      </c>
      <c r="N3432">
        <f>146.126</f>
        <v>146.126</v>
      </c>
      <c r="O3432">
        <f>1473.88</f>
        <v>1473.88</v>
      </c>
      <c r="P3432" t="e">
        <f>NA()</f>
        <v>#N/A</v>
      </c>
      <c r="Q3432">
        <f>833.37</f>
        <v>833.37</v>
      </c>
      <c r="R3432">
        <f>1933.25</f>
        <v>1933.25</v>
      </c>
      <c r="S3432" t="e">
        <f>NA()</f>
        <v>#N/A</v>
      </c>
      <c r="T3432">
        <f>1339.548</f>
        <v>1339.548</v>
      </c>
      <c r="U3432">
        <f>27616.68</f>
        <v>27616.68</v>
      </c>
      <c r="V3432">
        <f>183.35</f>
        <v>183.35</v>
      </c>
    </row>
    <row r="3433" spans="1:22" x14ac:dyDescent="0.2">
      <c r="A3433" s="1">
        <v>40302</v>
      </c>
      <c r="B3433">
        <f>2194.33</f>
        <v>2194.33</v>
      </c>
      <c r="C3433">
        <f>7430.99</f>
        <v>7430.99</v>
      </c>
      <c r="D3433">
        <f>3462.92</f>
        <v>3462.92</v>
      </c>
      <c r="E3433">
        <f>1743.385</f>
        <v>1743.385</v>
      </c>
      <c r="F3433">
        <f>1100.94</f>
        <v>1100.94</v>
      </c>
      <c r="G3433">
        <f>5318.333</f>
        <v>5318.3329999999996</v>
      </c>
      <c r="H3433">
        <f>1818.85</f>
        <v>1818.85</v>
      </c>
      <c r="I3433">
        <f>5663.355</f>
        <v>5663.3549999999996</v>
      </c>
      <c r="J3433">
        <f>1356.95</f>
        <v>1356.95</v>
      </c>
      <c r="K3433">
        <f>4042.21</f>
        <v>4042.21</v>
      </c>
      <c r="L3433">
        <f>949.51</f>
        <v>949.51</v>
      </c>
      <c r="M3433">
        <f>3862.59</f>
        <v>3862.59</v>
      </c>
      <c r="N3433">
        <f>147.832</f>
        <v>147.83199999999999</v>
      </c>
      <c r="O3433">
        <f>1486.24</f>
        <v>1486.24</v>
      </c>
      <c r="P3433" t="e">
        <f>NA()</f>
        <v>#N/A</v>
      </c>
      <c r="Q3433">
        <f>836.2</f>
        <v>836.2</v>
      </c>
      <c r="R3433">
        <f>1945.37</f>
        <v>1945.37</v>
      </c>
      <c r="S3433" t="e">
        <f>NA()</f>
        <v>#N/A</v>
      </c>
      <c r="T3433">
        <f>1363.67</f>
        <v>1363.67</v>
      </c>
      <c r="U3433">
        <f>27935.85</f>
        <v>27935.85</v>
      </c>
      <c r="V3433">
        <f>186.52</f>
        <v>186.52</v>
      </c>
    </row>
    <row r="3434" spans="1:22" x14ac:dyDescent="0.2">
      <c r="A3434" s="1">
        <v>40301</v>
      </c>
      <c r="B3434" t="e">
        <f>NA()</f>
        <v>#N/A</v>
      </c>
      <c r="C3434">
        <f>7579.58</f>
        <v>7579.58</v>
      </c>
      <c r="D3434" t="e">
        <f>NA()</f>
        <v>#N/A</v>
      </c>
      <c r="E3434">
        <f>1774.381</f>
        <v>1774.3810000000001</v>
      </c>
      <c r="F3434">
        <f>1118.82</f>
        <v>1118.82</v>
      </c>
      <c r="G3434">
        <f>5498.721</f>
        <v>5498.7209999999995</v>
      </c>
      <c r="H3434">
        <f>1818.95</f>
        <v>1818.95</v>
      </c>
      <c r="I3434">
        <f>5906.997</f>
        <v>5906.9970000000003</v>
      </c>
      <c r="J3434">
        <f>1380.61</f>
        <v>1380.61</v>
      </c>
      <c r="K3434">
        <f>4141.72</f>
        <v>4141.72</v>
      </c>
      <c r="L3434">
        <f>973.15</f>
        <v>973.15</v>
      </c>
      <c r="M3434">
        <f>3963.15</f>
        <v>3963.15</v>
      </c>
      <c r="N3434">
        <f>150.344</f>
        <v>150.34399999999999</v>
      </c>
      <c r="O3434">
        <f>1528.48</f>
        <v>1528.48</v>
      </c>
      <c r="P3434" t="e">
        <f>NA()</f>
        <v>#N/A</v>
      </c>
      <c r="Q3434">
        <f>855.04</f>
        <v>855.04</v>
      </c>
      <c r="R3434">
        <f>1992.87</f>
        <v>1992.87</v>
      </c>
      <c r="S3434" t="e">
        <f>NA()</f>
        <v>#N/A</v>
      </c>
      <c r="T3434">
        <f>1379.503</f>
        <v>1379.5029999999999</v>
      </c>
      <c r="U3434">
        <f>28630.82</f>
        <v>28630.82</v>
      </c>
      <c r="V3434">
        <f>188.48</f>
        <v>188.48</v>
      </c>
    </row>
    <row r="3435" spans="1:22" x14ac:dyDescent="0.2">
      <c r="A3435" s="1">
        <v>40298</v>
      </c>
      <c r="B3435">
        <f>2227.84</f>
        <v>2227.84</v>
      </c>
      <c r="C3435">
        <f>7661.72</f>
        <v>7661.72</v>
      </c>
      <c r="D3435">
        <f>3553.91</f>
        <v>3553.91</v>
      </c>
      <c r="E3435">
        <f>1794.242</f>
        <v>1794.242</v>
      </c>
      <c r="F3435">
        <f>1124.66</f>
        <v>1124.6600000000001</v>
      </c>
      <c r="G3435">
        <f>5527.43</f>
        <v>5527.43</v>
      </c>
      <c r="H3435">
        <f>1828.62</f>
        <v>1828.62</v>
      </c>
      <c r="I3435">
        <f>5944.084</f>
        <v>5944.0839999999998</v>
      </c>
      <c r="J3435">
        <f>1363.53</f>
        <v>1363.53</v>
      </c>
      <c r="K3435">
        <f>4089.28</f>
        <v>4089.28</v>
      </c>
      <c r="L3435">
        <f>971.42</f>
        <v>971.42</v>
      </c>
      <c r="M3435">
        <f>3949.72</f>
        <v>3949.72</v>
      </c>
      <c r="N3435">
        <f>149.652</f>
        <v>149.65199999999999</v>
      </c>
      <c r="O3435">
        <f>1523.44</f>
        <v>1523.44</v>
      </c>
      <c r="P3435">
        <f>94.62</f>
        <v>94.62</v>
      </c>
      <c r="Q3435">
        <f>847.56</f>
        <v>847.56</v>
      </c>
      <c r="R3435">
        <f>1967.05</f>
        <v>1967.05</v>
      </c>
      <c r="S3435">
        <f>1225.18</f>
        <v>1225.18</v>
      </c>
      <c r="T3435">
        <f>1369.138</f>
        <v>1369.1379999999999</v>
      </c>
      <c r="U3435">
        <f>28635.76</f>
        <v>28635.759999999998</v>
      </c>
      <c r="V3435">
        <f>187.28</f>
        <v>187.28</v>
      </c>
    </row>
    <row r="3436" spans="1:22" x14ac:dyDescent="0.2">
      <c r="A3436" s="1">
        <v>40297</v>
      </c>
      <c r="B3436">
        <f>2238.4</f>
        <v>2238.4</v>
      </c>
      <c r="C3436">
        <f>7636.53</f>
        <v>7636.53</v>
      </c>
      <c r="D3436">
        <f>3595.22</f>
        <v>3595.22</v>
      </c>
      <c r="E3436">
        <f>1782.981</f>
        <v>1782.981</v>
      </c>
      <c r="F3436">
        <f>1125.29</f>
        <v>1125.29</v>
      </c>
      <c r="G3436">
        <f>5578.975</f>
        <v>5578.9750000000004</v>
      </c>
      <c r="H3436">
        <f>1799.74</f>
        <v>1799.74</v>
      </c>
      <c r="I3436">
        <f>5935.881</f>
        <v>5935.8810000000003</v>
      </c>
      <c r="J3436">
        <f>1376.9</f>
        <v>1376.9</v>
      </c>
      <c r="K3436">
        <f>4158.65</f>
        <v>4158.6499999999996</v>
      </c>
      <c r="L3436">
        <f>974.74</f>
        <v>974.74</v>
      </c>
      <c r="M3436">
        <f>3980.77</f>
        <v>3980.77</v>
      </c>
      <c r="N3436">
        <f>150.3</f>
        <v>150.30000000000001</v>
      </c>
      <c r="O3436">
        <f>1534.65</f>
        <v>1534.65</v>
      </c>
      <c r="P3436" t="e">
        <f>NA()</f>
        <v>#N/A</v>
      </c>
      <c r="Q3436">
        <f>857.03</f>
        <v>857.03</v>
      </c>
      <c r="R3436">
        <f>2000.34</f>
        <v>2000.34</v>
      </c>
      <c r="S3436" t="e">
        <f>NA()</f>
        <v>#N/A</v>
      </c>
      <c r="T3436">
        <f>1367.135</f>
        <v>1367.135</v>
      </c>
      <c r="U3436">
        <f>28716.27</f>
        <v>28716.27</v>
      </c>
      <c r="V3436">
        <f>186.71</f>
        <v>186.71</v>
      </c>
    </row>
    <row r="3437" spans="1:22" x14ac:dyDescent="0.2">
      <c r="A3437" s="1">
        <v>40296</v>
      </c>
      <c r="B3437">
        <f>2216.07</f>
        <v>2216.0700000000002</v>
      </c>
      <c r="C3437">
        <f>7561.84</f>
        <v>7561.84</v>
      </c>
      <c r="D3437">
        <f>3575.23</f>
        <v>3575.23</v>
      </c>
      <c r="E3437">
        <f>1767.317</f>
        <v>1767.317</v>
      </c>
      <c r="F3437">
        <f>1114.2</f>
        <v>1114.2</v>
      </c>
      <c r="G3437">
        <f>5523.725</f>
        <v>5523.7250000000004</v>
      </c>
      <c r="H3437">
        <f>1802.7</f>
        <v>1802.7</v>
      </c>
      <c r="I3437">
        <f>5819.446</f>
        <v>5819.4459999999999</v>
      </c>
      <c r="J3437">
        <f>1360.98</f>
        <v>1360.98</v>
      </c>
      <c r="K3437">
        <f>4106.07</f>
        <v>4106.07</v>
      </c>
      <c r="L3437">
        <f>963.07</f>
        <v>963.07</v>
      </c>
      <c r="M3437">
        <f>3933.77</f>
        <v>3933.77</v>
      </c>
      <c r="N3437">
        <f>147.876</f>
        <v>147.876</v>
      </c>
      <c r="O3437">
        <f>1514.35</f>
        <v>1514.35</v>
      </c>
      <c r="P3437">
        <f>93.08</f>
        <v>93.08</v>
      </c>
      <c r="Q3437">
        <f>848.48</f>
        <v>848.48</v>
      </c>
      <c r="R3437">
        <f>1974.63</f>
        <v>1974.63</v>
      </c>
      <c r="S3437">
        <f>1213.51</f>
        <v>1213.51</v>
      </c>
      <c r="T3437">
        <f>1364.214</f>
        <v>1364.2139999999999</v>
      </c>
      <c r="U3437">
        <f>28524.78</f>
        <v>28524.78</v>
      </c>
      <c r="V3437">
        <f>186.47</f>
        <v>186.47</v>
      </c>
    </row>
    <row r="3438" spans="1:22" x14ac:dyDescent="0.2">
      <c r="A3438" s="1">
        <v>40295</v>
      </c>
      <c r="B3438">
        <f>2253.15</f>
        <v>2253.15</v>
      </c>
      <c r="C3438">
        <f>7669.33</f>
        <v>7669.33</v>
      </c>
      <c r="D3438">
        <f>3582.58</f>
        <v>3582.58</v>
      </c>
      <c r="E3438">
        <f>1793.417</f>
        <v>1793.4169999999999</v>
      </c>
      <c r="F3438">
        <f>1126.52</f>
        <v>1126.52</v>
      </c>
      <c r="G3438">
        <f>5583.943</f>
        <v>5583.9430000000002</v>
      </c>
      <c r="H3438">
        <f>1849.7</f>
        <v>1849.7</v>
      </c>
      <c r="I3438">
        <f>5963.93</f>
        <v>5963.93</v>
      </c>
      <c r="J3438">
        <f>1352.14</f>
        <v>1352.14</v>
      </c>
      <c r="K3438">
        <f>4079.47</f>
        <v>4079.47</v>
      </c>
      <c r="L3438">
        <f>971.34</f>
        <v>971.34</v>
      </c>
      <c r="M3438">
        <f>3959.98</f>
        <v>3959.98</v>
      </c>
      <c r="N3438">
        <f>149.902</f>
        <v>149.90199999999999</v>
      </c>
      <c r="O3438">
        <f>1531.93</f>
        <v>1531.93</v>
      </c>
      <c r="P3438">
        <f>95.1</f>
        <v>95.1</v>
      </c>
      <c r="Q3438">
        <f>844.33</f>
        <v>844.33</v>
      </c>
      <c r="R3438">
        <f>1961.6</f>
        <v>1961.6</v>
      </c>
      <c r="S3438">
        <f>1238.32</f>
        <v>1238.32</v>
      </c>
      <c r="T3438" t="e">
        <f>NA()</f>
        <v>#N/A</v>
      </c>
      <c r="U3438" t="e">
        <f>NA()</f>
        <v>#N/A</v>
      </c>
      <c r="V3438" t="e">
        <f>NA()</f>
        <v>#N/A</v>
      </c>
    </row>
    <row r="3439" spans="1:22" x14ac:dyDescent="0.2">
      <c r="A3439" s="1">
        <v>40294</v>
      </c>
      <c r="B3439">
        <f>2302.84</f>
        <v>2302.84</v>
      </c>
      <c r="C3439">
        <f>7791.9</f>
        <v>7791.9</v>
      </c>
      <c r="D3439">
        <f>3678.69</f>
        <v>3678.69</v>
      </c>
      <c r="E3439">
        <f>1819.68</f>
        <v>1819.68</v>
      </c>
      <c r="F3439">
        <f>1160.14</f>
        <v>1160.1400000000001</v>
      </c>
      <c r="G3439">
        <f>5778.06</f>
        <v>5778.06</v>
      </c>
      <c r="H3439">
        <f>1847.11</f>
        <v>1847.11</v>
      </c>
      <c r="I3439">
        <f>6153.343</f>
        <v>6153.3429999999998</v>
      </c>
      <c r="J3439">
        <f>1378.1</f>
        <v>1378.1</v>
      </c>
      <c r="K3439">
        <f>4176.52</f>
        <v>4176.5200000000004</v>
      </c>
      <c r="L3439">
        <f>993.93</f>
        <v>993.93</v>
      </c>
      <c r="M3439">
        <f>4045.64</f>
        <v>4045.64</v>
      </c>
      <c r="N3439">
        <f>153.883</f>
        <v>153.88300000000001</v>
      </c>
      <c r="O3439">
        <f>1579.43</f>
        <v>1579.43</v>
      </c>
      <c r="P3439">
        <f>95.44</f>
        <v>95.44</v>
      </c>
      <c r="Q3439">
        <f>859.16</f>
        <v>859.16</v>
      </c>
      <c r="R3439">
        <f>2008.55</f>
        <v>2008.55</v>
      </c>
      <c r="S3439">
        <f>1237.17</f>
        <v>1237.17</v>
      </c>
      <c r="T3439">
        <f>1383.199</f>
        <v>1383.1990000000001</v>
      </c>
      <c r="U3439">
        <f>29309.47</f>
        <v>29309.47</v>
      </c>
      <c r="V3439">
        <f>188.89</f>
        <v>188.89</v>
      </c>
    </row>
    <row r="3440" spans="1:22" x14ac:dyDescent="0.2">
      <c r="A3440" s="1">
        <v>40291</v>
      </c>
      <c r="B3440">
        <f>2294.54</f>
        <v>2294.54</v>
      </c>
      <c r="C3440">
        <f>7698.43</f>
        <v>7698.43</v>
      </c>
      <c r="D3440">
        <f>3659.38</f>
        <v>3659.38</v>
      </c>
      <c r="E3440">
        <f>1800.052</f>
        <v>1800.0519999999999</v>
      </c>
      <c r="F3440">
        <f>1149.44</f>
        <v>1149.44</v>
      </c>
      <c r="G3440">
        <f>5707.854</f>
        <v>5707.8540000000003</v>
      </c>
      <c r="H3440">
        <f>1820.93</f>
        <v>1820.93</v>
      </c>
      <c r="I3440">
        <f>6125.295</f>
        <v>6125.2950000000001</v>
      </c>
      <c r="J3440">
        <f>1380.44</f>
        <v>1380.44</v>
      </c>
      <c r="K3440">
        <f>4194.93</f>
        <v>4194.93</v>
      </c>
      <c r="L3440">
        <f>992.01</f>
        <v>992.01</v>
      </c>
      <c r="M3440">
        <f>4034.94</f>
        <v>4034.94</v>
      </c>
      <c r="N3440">
        <f>153.092</f>
        <v>153.09200000000001</v>
      </c>
      <c r="O3440">
        <f>1564.43</f>
        <v>1564.43</v>
      </c>
      <c r="P3440">
        <f>93.89</f>
        <v>93.89</v>
      </c>
      <c r="Q3440">
        <f>862.57</f>
        <v>862.57</v>
      </c>
      <c r="R3440">
        <f>2017.19</f>
        <v>2017.19</v>
      </c>
      <c r="S3440">
        <f>1214.19</f>
        <v>1214.19</v>
      </c>
      <c r="T3440">
        <f>1373.936</f>
        <v>1373.9359999999999</v>
      </c>
      <c r="U3440">
        <f>28931.4</f>
        <v>28931.4</v>
      </c>
      <c r="V3440">
        <f>187.16</f>
        <v>187.16</v>
      </c>
    </row>
    <row r="3441" spans="1:22" x14ac:dyDescent="0.2">
      <c r="A3441" s="1">
        <v>40290</v>
      </c>
      <c r="B3441">
        <f>2274.11</f>
        <v>2274.11</v>
      </c>
      <c r="C3441">
        <f>7668.71</f>
        <v>7668.71</v>
      </c>
      <c r="D3441">
        <f>3622.09</f>
        <v>3622.09</v>
      </c>
      <c r="E3441">
        <f>1793.451</f>
        <v>1793.451</v>
      </c>
      <c r="F3441">
        <f>1146.98</f>
        <v>1146.98</v>
      </c>
      <c r="G3441">
        <f>5662.522</f>
        <v>5662.5219999999999</v>
      </c>
      <c r="H3441">
        <f>1843.88</f>
        <v>1843.88</v>
      </c>
      <c r="I3441">
        <f>6034.798</f>
        <v>6034.7979999999998</v>
      </c>
      <c r="J3441">
        <f>1371.02</f>
        <v>1371.02</v>
      </c>
      <c r="K3441">
        <f>4164.36</f>
        <v>4164.3599999999997</v>
      </c>
      <c r="L3441">
        <f>985.46</f>
        <v>985.46</v>
      </c>
      <c r="M3441">
        <f>4012.41</f>
        <v>4012.41</v>
      </c>
      <c r="N3441">
        <f>152.385</f>
        <v>152.38499999999999</v>
      </c>
      <c r="O3441">
        <f>1551.64</f>
        <v>1551.64</v>
      </c>
      <c r="P3441">
        <f>93.8</f>
        <v>93.8</v>
      </c>
      <c r="Q3441">
        <f>856.65</f>
        <v>856.65</v>
      </c>
      <c r="R3441">
        <f>2002.93</f>
        <v>2002.93</v>
      </c>
      <c r="S3441">
        <f>1214.15</f>
        <v>1214.1500000000001</v>
      </c>
      <c r="T3441">
        <f>1370.976</f>
        <v>1370.9760000000001</v>
      </c>
      <c r="U3441">
        <f>28822.34</f>
        <v>28822.34</v>
      </c>
      <c r="V3441">
        <f>186.7</f>
        <v>186.7</v>
      </c>
    </row>
    <row r="3442" spans="1:22" x14ac:dyDescent="0.2">
      <c r="A3442" s="1">
        <v>40289</v>
      </c>
      <c r="B3442">
        <f>2297.37</f>
        <v>2297.37</v>
      </c>
      <c r="C3442">
        <f>7726.07</f>
        <v>7726.07</v>
      </c>
      <c r="D3442">
        <f>3659.24</f>
        <v>3659.24</v>
      </c>
      <c r="E3442">
        <f>1804.124</f>
        <v>1804.124</v>
      </c>
      <c r="F3442">
        <f>1162.46</f>
        <v>1162.46</v>
      </c>
      <c r="G3442">
        <f>5727.773</f>
        <v>5727.7730000000001</v>
      </c>
      <c r="H3442">
        <f>1859.29</f>
        <v>1859.29</v>
      </c>
      <c r="I3442">
        <f>6162.368</f>
        <v>6162.3680000000004</v>
      </c>
      <c r="J3442">
        <f>1373.37</f>
        <v>1373.37</v>
      </c>
      <c r="K3442">
        <f>4154.15</f>
        <v>4154.1499999999996</v>
      </c>
      <c r="L3442">
        <f>996.26</f>
        <v>996.26</v>
      </c>
      <c r="M3442">
        <f>4033.96</f>
        <v>4033.96</v>
      </c>
      <c r="N3442">
        <f>153.255</f>
        <v>153.255</v>
      </c>
      <c r="O3442">
        <f>1568.95</f>
        <v>1568.95</v>
      </c>
      <c r="P3442">
        <f>94.42</f>
        <v>94.42</v>
      </c>
      <c r="Q3442">
        <f>850.97</f>
        <v>850.97</v>
      </c>
      <c r="R3442">
        <f>1998.31</f>
        <v>1998.31</v>
      </c>
      <c r="S3442">
        <f>1225.2</f>
        <v>1225.2</v>
      </c>
      <c r="T3442">
        <f>1380.027</f>
        <v>1380.027</v>
      </c>
      <c r="U3442">
        <f>28938.78</f>
        <v>28938.78</v>
      </c>
      <c r="V3442">
        <f>188.36</f>
        <v>188.36</v>
      </c>
    </row>
    <row r="3443" spans="1:22" x14ac:dyDescent="0.2">
      <c r="A3443" s="1">
        <v>40288</v>
      </c>
      <c r="B3443">
        <f>2323.38</f>
        <v>2323.38</v>
      </c>
      <c r="C3443">
        <f>7719.39</f>
        <v>7719.39</v>
      </c>
      <c r="D3443">
        <f>3696.42</f>
        <v>3696.42</v>
      </c>
      <c r="E3443">
        <f>1796.989</f>
        <v>1796.989</v>
      </c>
      <c r="F3443">
        <f>1167.97</f>
        <v>1167.97</v>
      </c>
      <c r="G3443">
        <f>5768.565</f>
        <v>5768.5649999999996</v>
      </c>
      <c r="H3443">
        <f>1842.85</f>
        <v>1842.85</v>
      </c>
      <c r="I3443">
        <f>6240.727</f>
        <v>6240.7269999999999</v>
      </c>
      <c r="J3443">
        <f>1377.15</f>
        <v>1377.15</v>
      </c>
      <c r="K3443">
        <f>4159.42</f>
        <v>4159.42</v>
      </c>
      <c r="L3443">
        <f>1002.03</f>
        <v>1002.03</v>
      </c>
      <c r="M3443">
        <f>4042.53</f>
        <v>4042.53</v>
      </c>
      <c r="N3443">
        <f>154.056</f>
        <v>154.05600000000001</v>
      </c>
      <c r="O3443">
        <f>1580.07</f>
        <v>1580.07</v>
      </c>
      <c r="P3443">
        <f>92.95</f>
        <v>92.95</v>
      </c>
      <c r="Q3443">
        <f>850.43</f>
        <v>850.43</v>
      </c>
      <c r="R3443">
        <f>2000.33</f>
        <v>2000.33</v>
      </c>
      <c r="S3443">
        <f>1206.63</f>
        <v>1206.6300000000001</v>
      </c>
      <c r="T3443">
        <f>1375.209</f>
        <v>1375.2090000000001</v>
      </c>
      <c r="U3443">
        <f>29012.46</f>
        <v>29012.46</v>
      </c>
      <c r="V3443">
        <f>188.03</f>
        <v>188.03</v>
      </c>
    </row>
    <row r="3444" spans="1:22" x14ac:dyDescent="0.2">
      <c r="A3444" s="1">
        <v>40287</v>
      </c>
      <c r="B3444">
        <f>2300.69</f>
        <v>2300.69</v>
      </c>
      <c r="C3444">
        <f>7612.1</f>
        <v>7612.1</v>
      </c>
      <c r="D3444">
        <f>3660.77</f>
        <v>3660.77</v>
      </c>
      <c r="E3444">
        <f>1776.567</f>
        <v>1776.567</v>
      </c>
      <c r="F3444">
        <f>1152.74</f>
        <v>1152.74</v>
      </c>
      <c r="G3444">
        <f>5694.274</f>
        <v>5694.2740000000003</v>
      </c>
      <c r="H3444">
        <f>1856.87</f>
        <v>1856.87</v>
      </c>
      <c r="I3444">
        <f>6158.393</f>
        <v>6158.393</v>
      </c>
      <c r="J3444">
        <f>1370.63</f>
        <v>1370.63</v>
      </c>
      <c r="K3444">
        <f>4124.46</f>
        <v>4124.46</v>
      </c>
      <c r="L3444">
        <f>992.63</f>
        <v>992.63</v>
      </c>
      <c r="M3444">
        <f>4007.61</f>
        <v>4007.61</v>
      </c>
      <c r="N3444">
        <f>152.068</f>
        <v>152.06800000000001</v>
      </c>
      <c r="O3444">
        <f>1556.62</f>
        <v>1556.62</v>
      </c>
      <c r="P3444">
        <f>92.79</f>
        <v>92.79</v>
      </c>
      <c r="Q3444">
        <f>845.22</f>
        <v>845.22</v>
      </c>
      <c r="R3444">
        <f>1984.32</f>
        <v>1984.32</v>
      </c>
      <c r="S3444">
        <f>1205.06</f>
        <v>1205.06</v>
      </c>
      <c r="T3444">
        <f>1362.762</f>
        <v>1362.7619999999999</v>
      </c>
      <c r="U3444">
        <f>28731.02</f>
        <v>28731.02</v>
      </c>
      <c r="V3444">
        <f>186.6</f>
        <v>186.6</v>
      </c>
    </row>
    <row r="3445" spans="1:22" x14ac:dyDescent="0.2">
      <c r="A3445" s="1">
        <v>40284</v>
      </c>
      <c r="B3445">
        <f>2307.41</f>
        <v>2307.41</v>
      </c>
      <c r="C3445">
        <f>7731.4</f>
        <v>7731.4</v>
      </c>
      <c r="D3445">
        <f>3671.03</f>
        <v>3671.03</v>
      </c>
      <c r="E3445">
        <f>1812.454</f>
        <v>1812.454</v>
      </c>
      <c r="F3445">
        <f>1162.16</f>
        <v>1162.1600000000001</v>
      </c>
      <c r="G3445">
        <f>5749.006</f>
        <v>5749.0060000000003</v>
      </c>
      <c r="H3445">
        <f>1886.83</f>
        <v>1886.83</v>
      </c>
      <c r="I3445">
        <f>6208.804</f>
        <v>6208.8040000000001</v>
      </c>
      <c r="J3445">
        <f>1363.69</f>
        <v>1363.69</v>
      </c>
      <c r="K3445">
        <f>4107.68</f>
        <v>4107.68</v>
      </c>
      <c r="L3445">
        <f>995.93</f>
        <v>995.93</v>
      </c>
      <c r="M3445">
        <f>4022.15</f>
        <v>4022.15</v>
      </c>
      <c r="N3445">
        <f>152.757</f>
        <v>152.75700000000001</v>
      </c>
      <c r="O3445">
        <f>1565.77</f>
        <v>1565.77</v>
      </c>
      <c r="P3445">
        <f>94.37</f>
        <v>94.37</v>
      </c>
      <c r="Q3445">
        <f>841.56</f>
        <v>841.56</v>
      </c>
      <c r="R3445">
        <f>1975.36</f>
        <v>1975.36</v>
      </c>
      <c r="S3445">
        <f>1227.39</f>
        <v>1227.3900000000001</v>
      </c>
      <c r="T3445">
        <f>1369.826</f>
        <v>1369.826</v>
      </c>
      <c r="U3445">
        <f>29054.4</f>
        <v>29054.400000000001</v>
      </c>
      <c r="V3445">
        <f>187.36</f>
        <v>187.36</v>
      </c>
    </row>
    <row r="3446" spans="1:22" x14ac:dyDescent="0.2">
      <c r="A3446" s="1">
        <v>40283</v>
      </c>
      <c r="B3446">
        <f>2328.32</f>
        <v>2328.3200000000002</v>
      </c>
      <c r="C3446">
        <f>7866.66</f>
        <v>7866.66</v>
      </c>
      <c r="D3446">
        <f>3722.83</f>
        <v>3722.83</v>
      </c>
      <c r="E3446">
        <f>1839.422</f>
        <v>1839.422</v>
      </c>
      <c r="F3446">
        <f>1174.89</f>
        <v>1174.8900000000001</v>
      </c>
      <c r="G3446">
        <f>5864.142</f>
        <v>5864.1419999999998</v>
      </c>
      <c r="H3446">
        <f>1878.66</f>
        <v>1878.66</v>
      </c>
      <c r="I3446">
        <f>6333.939</f>
        <v>6333.9390000000003</v>
      </c>
      <c r="J3446">
        <f>1377.23</f>
        <v>1377.23</v>
      </c>
      <c r="K3446">
        <f>4173.48</f>
        <v>4173.4799999999996</v>
      </c>
      <c r="L3446">
        <f>1010.4</f>
        <v>1010.4</v>
      </c>
      <c r="M3446">
        <f>4086.03</f>
        <v>4086.03</v>
      </c>
      <c r="N3446">
        <f>154.483</f>
        <v>154.483</v>
      </c>
      <c r="O3446">
        <f>1590.43</f>
        <v>1590.43</v>
      </c>
      <c r="P3446">
        <f>95.1</f>
        <v>95.1</v>
      </c>
      <c r="Q3446">
        <f>850.15</f>
        <v>850.15</v>
      </c>
      <c r="R3446">
        <f>2007.74</f>
        <v>2007.74</v>
      </c>
      <c r="S3446">
        <f>1239.88</f>
        <v>1239.8800000000001</v>
      </c>
      <c r="T3446">
        <f>1389.141</f>
        <v>1389.1410000000001</v>
      </c>
      <c r="U3446">
        <f>29565.1</f>
        <v>29565.1</v>
      </c>
      <c r="V3446">
        <f>190.2</f>
        <v>190.2</v>
      </c>
    </row>
    <row r="3447" spans="1:22" x14ac:dyDescent="0.2">
      <c r="A3447" s="1">
        <v>40282</v>
      </c>
      <c r="B3447">
        <f>2322.74</f>
        <v>2322.7399999999998</v>
      </c>
      <c r="C3447">
        <f>7858.11</f>
        <v>7858.11</v>
      </c>
      <c r="D3447">
        <f>3704.44</f>
        <v>3704.44</v>
      </c>
      <c r="E3447">
        <f>1837.071</f>
        <v>1837.0709999999999</v>
      </c>
      <c r="F3447">
        <f>1170.43</f>
        <v>1170.43</v>
      </c>
      <c r="G3447">
        <f>5820.582</f>
        <v>5820.5820000000003</v>
      </c>
      <c r="H3447">
        <f>1861.45</f>
        <v>1861.45</v>
      </c>
      <c r="I3447">
        <f>6337</f>
        <v>6337</v>
      </c>
      <c r="J3447">
        <f>1373.64</f>
        <v>1373.64</v>
      </c>
      <c r="K3447">
        <f>4170.61</f>
        <v>4170.6099999999997</v>
      </c>
      <c r="L3447">
        <f>1007.99</f>
        <v>1007.99</v>
      </c>
      <c r="M3447">
        <f>4077.72</f>
        <v>4077.72</v>
      </c>
      <c r="N3447">
        <f>153.496</f>
        <v>153.49600000000001</v>
      </c>
      <c r="O3447">
        <f>1579.04</f>
        <v>1579.04</v>
      </c>
      <c r="P3447">
        <f>94.33</f>
        <v>94.33</v>
      </c>
      <c r="Q3447">
        <f>849.77</f>
        <v>849.77</v>
      </c>
      <c r="R3447">
        <f>2006.06</f>
        <v>2006.06</v>
      </c>
      <c r="S3447">
        <f>1230.2</f>
        <v>1230.2</v>
      </c>
      <c r="T3447">
        <f>1385.783</f>
        <v>1385.7829999999999</v>
      </c>
      <c r="U3447">
        <f>29499.7</f>
        <v>29499.7</v>
      </c>
      <c r="V3447">
        <f>189.54</f>
        <v>189.54</v>
      </c>
    </row>
    <row r="3448" spans="1:22" x14ac:dyDescent="0.2">
      <c r="A3448" s="1">
        <v>40281</v>
      </c>
      <c r="B3448">
        <f>2315.29</f>
        <v>2315.29</v>
      </c>
      <c r="C3448">
        <f>7773.14</f>
        <v>7773.14</v>
      </c>
      <c r="D3448">
        <f>3681.11</f>
        <v>3681.11</v>
      </c>
      <c r="E3448">
        <f>1814.821</f>
        <v>1814.8209999999999</v>
      </c>
      <c r="F3448">
        <f>1160.73</f>
        <v>1160.73</v>
      </c>
      <c r="G3448">
        <f>5749.094</f>
        <v>5749.0940000000001</v>
      </c>
      <c r="H3448">
        <f>1870.02</f>
        <v>1870.02</v>
      </c>
      <c r="I3448">
        <f>6265.39</f>
        <v>6265.39</v>
      </c>
      <c r="J3448">
        <f>1366.75</f>
        <v>1366.75</v>
      </c>
      <c r="K3448">
        <f>4124.14</f>
        <v>4124.1400000000003</v>
      </c>
      <c r="L3448">
        <f>998.66</f>
        <v>998.66</v>
      </c>
      <c r="M3448">
        <f>4033.43</f>
        <v>4033.43</v>
      </c>
      <c r="N3448">
        <f>153.149</f>
        <v>153.149</v>
      </c>
      <c r="O3448">
        <f>1568.81</f>
        <v>1568.81</v>
      </c>
      <c r="P3448">
        <f>94.22</f>
        <v>94.22</v>
      </c>
      <c r="Q3448">
        <f>845.85</f>
        <v>845.85</v>
      </c>
      <c r="R3448">
        <f>1983.91</f>
        <v>1983.91</v>
      </c>
      <c r="S3448">
        <f>1226.9</f>
        <v>1226.9000000000001</v>
      </c>
      <c r="T3448">
        <f>1372.363</f>
        <v>1372.3630000000001</v>
      </c>
      <c r="U3448">
        <f>28941.83</f>
        <v>28941.83</v>
      </c>
      <c r="V3448">
        <f>187.38</f>
        <v>187.38</v>
      </c>
    </row>
    <row r="3449" spans="1:22" x14ac:dyDescent="0.2">
      <c r="A3449" s="1">
        <v>40280</v>
      </c>
      <c r="B3449">
        <f>2316.13</f>
        <v>2316.13</v>
      </c>
      <c r="C3449">
        <f>7820.78</f>
        <v>7820.78</v>
      </c>
      <c r="D3449">
        <f>3691.33</f>
        <v>3691.33</v>
      </c>
      <c r="E3449">
        <f>1827.879</f>
        <v>1827.8789999999999</v>
      </c>
      <c r="F3449">
        <f>1162.97</f>
        <v>1162.97</v>
      </c>
      <c r="G3449">
        <f>5773.329</f>
        <v>5773.3289999999997</v>
      </c>
      <c r="H3449">
        <f>1875.55</f>
        <v>1875.55</v>
      </c>
      <c r="I3449">
        <f>6304.443</f>
        <v>6304.4430000000002</v>
      </c>
      <c r="J3449">
        <f>1364.77</f>
        <v>1364.77</v>
      </c>
      <c r="K3449">
        <f>4121.05</f>
        <v>4121.05</v>
      </c>
      <c r="L3449">
        <f>1001.99</f>
        <v>1001.99</v>
      </c>
      <c r="M3449">
        <f>4044.17</f>
        <v>4044.17</v>
      </c>
      <c r="N3449">
        <f>152.945</f>
        <v>152.94499999999999</v>
      </c>
      <c r="O3449">
        <f>1572.48</f>
        <v>1572.48</v>
      </c>
      <c r="P3449">
        <f>94.86</f>
        <v>94.86</v>
      </c>
      <c r="Q3449">
        <f>842.66</f>
        <v>842.66</v>
      </c>
      <c r="R3449">
        <f>1982.4</f>
        <v>1982.4</v>
      </c>
      <c r="S3449">
        <f>1234.77</f>
        <v>1234.77</v>
      </c>
      <c r="T3449">
        <f>1375.562</f>
        <v>1375.5619999999999</v>
      </c>
      <c r="U3449">
        <f>29210.09</f>
        <v>29210.09</v>
      </c>
      <c r="V3449">
        <f>187.31</f>
        <v>187.31</v>
      </c>
    </row>
    <row r="3450" spans="1:22" x14ac:dyDescent="0.2">
      <c r="A3450" s="1">
        <v>40277</v>
      </c>
      <c r="B3450">
        <f>2310.01</f>
        <v>2310.0100000000002</v>
      </c>
      <c r="C3450">
        <f>7826.6</f>
        <v>7826.6</v>
      </c>
      <c r="D3450">
        <f>3687.07</f>
        <v>3687.07</v>
      </c>
      <c r="E3450">
        <f>1832.277</f>
        <v>1832.277</v>
      </c>
      <c r="F3450">
        <f>1156.1</f>
        <v>1156.0999999999999</v>
      </c>
      <c r="G3450">
        <f>5751.512</f>
        <v>5751.5119999999997</v>
      </c>
      <c r="H3450">
        <f>1856.7</f>
        <v>1856.7</v>
      </c>
      <c r="I3450">
        <f>6214.661</f>
        <v>6214.6610000000001</v>
      </c>
      <c r="J3450">
        <f>1362.14</f>
        <v>1362.14</v>
      </c>
      <c r="K3450">
        <f>4114.04</f>
        <v>4114.04</v>
      </c>
      <c r="L3450">
        <f>995.44</f>
        <v>995.44</v>
      </c>
      <c r="M3450">
        <f>4024.1</f>
        <v>4024.1</v>
      </c>
      <c r="N3450">
        <f>153.444</f>
        <v>153.44399999999999</v>
      </c>
      <c r="O3450">
        <f>1574.2</f>
        <v>1574.2</v>
      </c>
      <c r="P3450">
        <f>93.98</f>
        <v>93.98</v>
      </c>
      <c r="Q3450">
        <f>842.53</f>
        <v>842.53</v>
      </c>
      <c r="R3450">
        <f>1978.86</f>
        <v>1978.86</v>
      </c>
      <c r="S3450">
        <f>1228.12</f>
        <v>1228.1199999999999</v>
      </c>
      <c r="T3450">
        <f>1375.682</f>
        <v>1375.682</v>
      </c>
      <c r="U3450">
        <f>29357.5</f>
        <v>29357.5</v>
      </c>
      <c r="V3450">
        <f>186.98</f>
        <v>186.98</v>
      </c>
    </row>
    <row r="3451" spans="1:22" x14ac:dyDescent="0.2">
      <c r="A3451" s="1">
        <v>40276</v>
      </c>
      <c r="B3451">
        <f>2289.44</f>
        <v>2289.44</v>
      </c>
      <c r="C3451">
        <f>7770.54</f>
        <v>7770.54</v>
      </c>
      <c r="D3451">
        <f>3649.84</f>
        <v>3649.84</v>
      </c>
      <c r="E3451">
        <f>1818.677</f>
        <v>1818.6769999999999</v>
      </c>
      <c r="F3451">
        <f>1142.13</f>
        <v>1142.1300000000001</v>
      </c>
      <c r="G3451">
        <f>5654.156</f>
        <v>5654.1559999999999</v>
      </c>
      <c r="H3451">
        <f>1851.19</f>
        <v>1851.19</v>
      </c>
      <c r="I3451">
        <f>6085.57</f>
        <v>6085.57</v>
      </c>
      <c r="J3451">
        <f>1352.51</f>
        <v>1352.51</v>
      </c>
      <c r="K3451">
        <f>4086.13</f>
        <v>4086.13</v>
      </c>
      <c r="L3451">
        <f>982.76</f>
        <v>982.76</v>
      </c>
      <c r="M3451">
        <f>3984.36</f>
        <v>3984.36</v>
      </c>
      <c r="N3451">
        <f>151.731</f>
        <v>151.73099999999999</v>
      </c>
      <c r="O3451">
        <f>1554.43</f>
        <v>1554.43</v>
      </c>
      <c r="P3451">
        <f>93.5</f>
        <v>93.5</v>
      </c>
      <c r="Q3451">
        <f>836.82</f>
        <v>836.82</v>
      </c>
      <c r="R3451">
        <f>1965.72</f>
        <v>1965.72</v>
      </c>
      <c r="S3451">
        <f>1223.86</f>
        <v>1223.8599999999999</v>
      </c>
      <c r="T3451">
        <f>1365.211</f>
        <v>1365.211</v>
      </c>
      <c r="U3451">
        <f>29030.38</f>
        <v>29030.38</v>
      </c>
      <c r="V3451">
        <f>185.59</f>
        <v>185.59</v>
      </c>
    </row>
    <row r="3452" spans="1:22" x14ac:dyDescent="0.2">
      <c r="A3452" s="1">
        <v>40275</v>
      </c>
      <c r="B3452">
        <f>2296.19</f>
        <v>2296.19</v>
      </c>
      <c r="C3452">
        <f>7834.76</f>
        <v>7834.76</v>
      </c>
      <c r="D3452">
        <f>3681.37</f>
        <v>3681.37</v>
      </c>
      <c r="E3452">
        <f>1830.324</f>
        <v>1830.3240000000001</v>
      </c>
      <c r="F3452">
        <f>1143.72</f>
        <v>1143.72</v>
      </c>
      <c r="G3452">
        <f>5686.258</f>
        <v>5686.2579999999998</v>
      </c>
      <c r="H3452">
        <f>1858.03</f>
        <v>1858.03</v>
      </c>
      <c r="I3452">
        <f>6138.888</f>
        <v>6138.8879999999999</v>
      </c>
      <c r="J3452">
        <f>1351.12</f>
        <v>1351.12</v>
      </c>
      <c r="K3452">
        <f>4072.99</f>
        <v>4072.99</v>
      </c>
      <c r="L3452">
        <f>984.88</f>
        <v>984.88</v>
      </c>
      <c r="M3452">
        <f>3990.97</f>
        <v>3990.97</v>
      </c>
      <c r="N3452">
        <f>152.58</f>
        <v>152.58000000000001</v>
      </c>
      <c r="O3452">
        <f>1568.13</f>
        <v>1568.13</v>
      </c>
      <c r="P3452">
        <f>94.42</f>
        <v>94.42</v>
      </c>
      <c r="Q3452">
        <f>836.27</f>
        <v>836.27</v>
      </c>
      <c r="R3452">
        <f>1959.04</f>
        <v>1959.04</v>
      </c>
      <c r="S3452">
        <f>1235.72</f>
        <v>1235.72</v>
      </c>
      <c r="T3452">
        <f>1379.633</f>
        <v>1379.633</v>
      </c>
      <c r="U3452">
        <f>29265.17</f>
        <v>29265.17</v>
      </c>
      <c r="V3452">
        <f>188.24</f>
        <v>188.24</v>
      </c>
    </row>
    <row r="3453" spans="1:22" x14ac:dyDescent="0.2">
      <c r="A3453" s="1">
        <v>40274</v>
      </c>
      <c r="B3453">
        <f>2289.49</f>
        <v>2289.4899999999998</v>
      </c>
      <c r="C3453">
        <f>7786.25</f>
        <v>7786.25</v>
      </c>
      <c r="D3453">
        <f>3691.6</f>
        <v>3691.6</v>
      </c>
      <c r="E3453">
        <f>1823.756</f>
        <v>1823.7560000000001</v>
      </c>
      <c r="F3453">
        <f>1141.55</f>
        <v>1141.55</v>
      </c>
      <c r="G3453">
        <f>5699.273</f>
        <v>5699.2730000000001</v>
      </c>
      <c r="H3453">
        <f>1844.95</f>
        <v>1844.95</v>
      </c>
      <c r="I3453">
        <f>6183.753</f>
        <v>6183.7529999999997</v>
      </c>
      <c r="J3453">
        <f>1358.32</f>
        <v>1358.32</v>
      </c>
      <c r="K3453">
        <f>4095.19</f>
        <v>4095.19</v>
      </c>
      <c r="L3453">
        <f>987.87</f>
        <v>987.87</v>
      </c>
      <c r="M3453">
        <f>4005.68</f>
        <v>4005.68</v>
      </c>
      <c r="N3453">
        <f>152.173</f>
        <v>152.173</v>
      </c>
      <c r="O3453">
        <f>1572.35</f>
        <v>1572.35</v>
      </c>
      <c r="P3453">
        <f>94.43</f>
        <v>94.43</v>
      </c>
      <c r="Q3453">
        <f>840.25</f>
        <v>840.25</v>
      </c>
      <c r="R3453">
        <f>1969.76</f>
        <v>1969.76</v>
      </c>
      <c r="S3453">
        <f>1229.82</f>
        <v>1229.82</v>
      </c>
      <c r="T3453">
        <f>1372.813</f>
        <v>1372.8130000000001</v>
      </c>
      <c r="U3453">
        <f>29367.74</f>
        <v>29367.74</v>
      </c>
      <c r="V3453">
        <f>187.32</f>
        <v>187.32</v>
      </c>
    </row>
    <row r="3454" spans="1:22" x14ac:dyDescent="0.2">
      <c r="A3454" s="1">
        <v>40273</v>
      </c>
      <c r="B3454" t="e">
        <f>NA()</f>
        <v>#N/A</v>
      </c>
      <c r="C3454">
        <f>7762.95</f>
        <v>7762.95</v>
      </c>
      <c r="D3454" t="e">
        <f>NA()</f>
        <v>#N/A</v>
      </c>
      <c r="E3454">
        <f>1818.997</f>
        <v>1818.9970000000001</v>
      </c>
      <c r="F3454">
        <f>1149.4</f>
        <v>1149.4000000000001</v>
      </c>
      <c r="G3454">
        <f>5699.499</f>
        <v>5699.4989999999998</v>
      </c>
      <c r="H3454">
        <f>1832.78</f>
        <v>1832.78</v>
      </c>
      <c r="I3454">
        <f>6209.436</f>
        <v>6209.4359999999997</v>
      </c>
      <c r="J3454">
        <f>1359.09</f>
        <v>1359.09</v>
      </c>
      <c r="K3454">
        <f>4088.72</f>
        <v>4088.72</v>
      </c>
      <c r="L3454">
        <f>988.6</f>
        <v>988.6</v>
      </c>
      <c r="M3454">
        <f>4003.14</f>
        <v>4003.14</v>
      </c>
      <c r="N3454" t="e">
        <f>NA()</f>
        <v>#N/A</v>
      </c>
      <c r="O3454" t="e">
        <f>NA()</f>
        <v>#N/A</v>
      </c>
      <c r="P3454">
        <f>94.84</f>
        <v>94.84</v>
      </c>
      <c r="Q3454">
        <f>839.74</f>
        <v>839.74</v>
      </c>
      <c r="R3454">
        <f>1966.44</f>
        <v>1966.44</v>
      </c>
      <c r="S3454">
        <f>1235.88</f>
        <v>1235.8800000000001</v>
      </c>
      <c r="T3454" t="e">
        <f>NA()</f>
        <v>#N/A</v>
      </c>
      <c r="U3454" t="e">
        <f>NA()</f>
        <v>#N/A</v>
      </c>
      <c r="V3454" t="e">
        <f>NA()</f>
        <v>#N/A</v>
      </c>
    </row>
    <row r="3455" spans="1:22" x14ac:dyDescent="0.2">
      <c r="A3455" s="1">
        <v>40270</v>
      </c>
      <c r="B3455" t="e">
        <f>NA()</f>
        <v>#N/A</v>
      </c>
      <c r="C3455">
        <f>7717.82</f>
        <v>7717.82</v>
      </c>
      <c r="D3455" t="e">
        <f>NA()</f>
        <v>#N/A</v>
      </c>
      <c r="E3455">
        <f>1804.784</f>
        <v>1804.7840000000001</v>
      </c>
      <c r="F3455">
        <f>1148.57</f>
        <v>1148.57</v>
      </c>
      <c r="G3455">
        <f>5695.399</f>
        <v>5695.3990000000003</v>
      </c>
      <c r="H3455">
        <f>1840.37</f>
        <v>1840.37</v>
      </c>
      <c r="I3455">
        <f>6233.936</f>
        <v>6233.9359999999997</v>
      </c>
      <c r="J3455">
        <f>1353.71</f>
        <v>1353.71</v>
      </c>
      <c r="K3455">
        <f>4055.02</f>
        <v>4055.02</v>
      </c>
      <c r="L3455">
        <f>987.63</f>
        <v>987.63</v>
      </c>
      <c r="M3455">
        <f>3987.94</f>
        <v>3987.94</v>
      </c>
      <c r="N3455" t="e">
        <f>NA()</f>
        <v>#N/A</v>
      </c>
      <c r="O3455" t="e">
        <f>NA()</f>
        <v>#N/A</v>
      </c>
      <c r="P3455">
        <f>94.09</f>
        <v>94.09</v>
      </c>
      <c r="Q3455" t="e">
        <f>NA()</f>
        <v>#N/A</v>
      </c>
      <c r="R3455" t="e">
        <f>NA()</f>
        <v>#N/A</v>
      </c>
      <c r="S3455">
        <f>1228.08</f>
        <v>1228.08</v>
      </c>
      <c r="T3455" t="e">
        <f>NA()</f>
        <v>#N/A</v>
      </c>
      <c r="U3455" t="e">
        <f>NA()</f>
        <v>#N/A</v>
      </c>
      <c r="V3455" t="e">
        <f>NA()</f>
        <v>#N/A</v>
      </c>
    </row>
    <row r="3456" spans="1:22" x14ac:dyDescent="0.2">
      <c r="A3456" s="1">
        <v>40269</v>
      </c>
      <c r="B3456">
        <f>2279.11</f>
        <v>2279.11</v>
      </c>
      <c r="C3456">
        <f>7719.11</f>
        <v>7719.11</v>
      </c>
      <c r="D3456">
        <f>3668.95</f>
        <v>3668.95</v>
      </c>
      <c r="E3456">
        <f>1802.555</f>
        <v>1802.5550000000001</v>
      </c>
      <c r="F3456">
        <f>1148.57</f>
        <v>1148.57</v>
      </c>
      <c r="G3456">
        <f>5695.399</f>
        <v>5695.3990000000003</v>
      </c>
      <c r="H3456">
        <f>1841.86</f>
        <v>1841.86</v>
      </c>
      <c r="I3456">
        <f>6233.936</f>
        <v>6233.9359999999997</v>
      </c>
      <c r="J3456">
        <f>1353.71</f>
        <v>1353.71</v>
      </c>
      <c r="K3456">
        <f>4055.02</f>
        <v>4055.02</v>
      </c>
      <c r="L3456">
        <f>987.57</f>
        <v>987.57</v>
      </c>
      <c r="M3456">
        <f>3985.91</f>
        <v>3985.91</v>
      </c>
      <c r="N3456">
        <f>150.791</f>
        <v>150.791</v>
      </c>
      <c r="O3456">
        <f>1558.7</f>
        <v>1558.7</v>
      </c>
      <c r="P3456">
        <f>94.22</f>
        <v>94.22</v>
      </c>
      <c r="Q3456">
        <f>835.62</f>
        <v>835.62</v>
      </c>
      <c r="R3456">
        <f>1950.91</f>
        <v>1950.91</v>
      </c>
      <c r="S3456">
        <f>1222.96</f>
        <v>1222.96</v>
      </c>
      <c r="T3456">
        <f>1352.317</f>
        <v>1352.317</v>
      </c>
      <c r="U3456">
        <f>29020.02</f>
        <v>29020.02</v>
      </c>
      <c r="V3456">
        <f>184.27</f>
        <v>184.27</v>
      </c>
    </row>
    <row r="3457" spans="1:22" x14ac:dyDescent="0.2">
      <c r="A3457" s="1">
        <v>40268</v>
      </c>
      <c r="B3457">
        <f>2253.49</f>
        <v>2253.4899999999998</v>
      </c>
      <c r="C3457">
        <f>7592.46</f>
        <v>7592.46</v>
      </c>
      <c r="D3457">
        <f>3627.28</f>
        <v>3627.28</v>
      </c>
      <c r="E3457">
        <f>1772.373</f>
        <v>1772.373</v>
      </c>
      <c r="F3457">
        <f>1138.02</f>
        <v>1138.02</v>
      </c>
      <c r="G3457">
        <f>5590.272</f>
        <v>5590.2719999999999</v>
      </c>
      <c r="H3457">
        <f>1840.78</f>
        <v>1840.78</v>
      </c>
      <c r="I3457">
        <f>6145.351</f>
        <v>6145.3509999999997</v>
      </c>
      <c r="J3457">
        <f>1344.32</f>
        <v>1344.32</v>
      </c>
      <c r="K3457">
        <f>4024.79</f>
        <v>4024.79</v>
      </c>
      <c r="L3457">
        <f>976.52</f>
        <v>976.52</v>
      </c>
      <c r="M3457">
        <f>3946.96</f>
        <v>3946.96</v>
      </c>
      <c r="N3457">
        <f>149.143</f>
        <v>149.143</v>
      </c>
      <c r="O3457">
        <f>1539.08</f>
        <v>1539.08</v>
      </c>
      <c r="P3457">
        <f>93.35</f>
        <v>93.35</v>
      </c>
      <c r="Q3457">
        <f>829.92</f>
        <v>829.92</v>
      </c>
      <c r="R3457">
        <f>1936.48</f>
        <v>1936.48</v>
      </c>
      <c r="S3457">
        <f>1214.95</f>
        <v>1214.95</v>
      </c>
      <c r="T3457">
        <f>1344.177</f>
        <v>1344.1769999999999</v>
      </c>
      <c r="U3457">
        <f>28747.56</f>
        <v>28747.56</v>
      </c>
      <c r="V3457">
        <f>183.79</f>
        <v>183.79</v>
      </c>
    </row>
    <row r="3458" spans="1:22" x14ac:dyDescent="0.2">
      <c r="A3458" s="1">
        <v>40267</v>
      </c>
      <c r="B3458">
        <f>2265.88</f>
        <v>2265.88</v>
      </c>
      <c r="C3458">
        <f>7567.56</f>
        <v>7567.56</v>
      </c>
      <c r="D3458">
        <f>3622.3</f>
        <v>3622.3</v>
      </c>
      <c r="E3458">
        <f>1770.569</f>
        <v>1770.569</v>
      </c>
      <c r="F3458">
        <f>1135.33</f>
        <v>1135.33</v>
      </c>
      <c r="G3458">
        <f>5559.898</f>
        <v>5559.8980000000001</v>
      </c>
      <c r="H3458">
        <f>1845.9</f>
        <v>1845.9</v>
      </c>
      <c r="I3458">
        <f>6097.659</f>
        <v>6097.6589999999997</v>
      </c>
      <c r="J3458">
        <f>1349.06</f>
        <v>1349.06</v>
      </c>
      <c r="K3458">
        <f>4037.32</f>
        <v>4037.32</v>
      </c>
      <c r="L3458">
        <f>976.45</f>
        <v>976.45</v>
      </c>
      <c r="M3458">
        <f>3948.66</f>
        <v>3948.66</v>
      </c>
      <c r="N3458">
        <f>149.553</f>
        <v>149.553</v>
      </c>
      <c r="O3458">
        <f>1539.77</f>
        <v>1539.77</v>
      </c>
      <c r="P3458">
        <f>93.13</f>
        <v>93.13</v>
      </c>
      <c r="Q3458">
        <f>833.4</f>
        <v>833.4</v>
      </c>
      <c r="R3458">
        <f>1942.81</f>
        <v>1942.81</v>
      </c>
      <c r="S3458">
        <f>1215.9</f>
        <v>1215.9000000000001</v>
      </c>
      <c r="T3458">
        <f>1339.546</f>
        <v>1339.546</v>
      </c>
      <c r="U3458">
        <f>28735.26</f>
        <v>28735.26</v>
      </c>
      <c r="V3458">
        <f>182.78</f>
        <v>182.78</v>
      </c>
    </row>
    <row r="3459" spans="1:22" x14ac:dyDescent="0.2">
      <c r="A3459" s="1">
        <v>40266</v>
      </c>
      <c r="B3459">
        <f>2272.95</f>
        <v>2272.9499999999998</v>
      </c>
      <c r="C3459">
        <f>7527.01</f>
        <v>7527.01</v>
      </c>
      <c r="D3459">
        <f>3646.78</f>
        <v>3646.78</v>
      </c>
      <c r="E3459">
        <f>1760.451</f>
        <v>1760.451</v>
      </c>
      <c r="F3459">
        <f>1129.19</f>
        <v>1129.19</v>
      </c>
      <c r="G3459">
        <f>5551.367</f>
        <v>5551.3670000000002</v>
      </c>
      <c r="H3459">
        <f>1831.7</f>
        <v>1831.7</v>
      </c>
      <c r="I3459">
        <f>6134.744</f>
        <v>6134.7439999999997</v>
      </c>
      <c r="J3459">
        <f>1349.28</f>
        <v>1349.28</v>
      </c>
      <c r="K3459">
        <f>4035.91</f>
        <v>4035.91</v>
      </c>
      <c r="L3459">
        <f>977.41</f>
        <v>977.41</v>
      </c>
      <c r="M3459">
        <f>3946.77</f>
        <v>3946.77</v>
      </c>
      <c r="N3459">
        <f>149.128</f>
        <v>149.12799999999999</v>
      </c>
      <c r="O3459">
        <f>1539.6</f>
        <v>1539.6</v>
      </c>
      <c r="P3459">
        <f>91.92</f>
        <v>91.92</v>
      </c>
      <c r="Q3459">
        <f>831.04</f>
        <v>831.04</v>
      </c>
      <c r="R3459">
        <f>1942.51</f>
        <v>1942.51</v>
      </c>
      <c r="S3459">
        <f>1199.2</f>
        <v>1199.2</v>
      </c>
      <c r="T3459">
        <f>1346.808</f>
        <v>1346.808</v>
      </c>
      <c r="U3459">
        <f>28705.82</f>
        <v>28705.82</v>
      </c>
      <c r="V3459">
        <f>183.58</f>
        <v>183.58</v>
      </c>
    </row>
    <row r="3460" spans="1:22" x14ac:dyDescent="0.2">
      <c r="A3460" s="1">
        <v>40263</v>
      </c>
      <c r="B3460">
        <f>2264.58</f>
        <v>2264.58</v>
      </c>
      <c r="C3460">
        <f>7447.25</f>
        <v>7447.25</v>
      </c>
      <c r="D3460">
        <f>3641.91</f>
        <v>3641.91</v>
      </c>
      <c r="E3460">
        <f>1741.838</f>
        <v>1741.838</v>
      </c>
      <c r="F3460">
        <f>1115.99</f>
        <v>1115.99</v>
      </c>
      <c r="G3460">
        <f>5514.836</f>
        <v>5514.8360000000002</v>
      </c>
      <c r="H3460">
        <f>1832.46</f>
        <v>1832.46</v>
      </c>
      <c r="I3460">
        <f>6093.669</f>
        <v>6093.6689999999999</v>
      </c>
      <c r="J3460">
        <f>1340.76</f>
        <v>1340.76</v>
      </c>
      <c r="K3460">
        <f>4011.8</f>
        <v>4011.8</v>
      </c>
      <c r="L3460">
        <f>970.68</f>
        <v>970.68</v>
      </c>
      <c r="M3460">
        <f>3919.12</f>
        <v>3919.12</v>
      </c>
      <c r="N3460">
        <f>148.895</f>
        <v>148.89500000000001</v>
      </c>
      <c r="O3460">
        <f>1536.7</f>
        <v>1536.7</v>
      </c>
      <c r="P3460">
        <f>91.69</f>
        <v>91.69</v>
      </c>
      <c r="Q3460">
        <f>826.79</f>
        <v>826.79</v>
      </c>
      <c r="R3460">
        <f>1931.18</f>
        <v>1931.18</v>
      </c>
      <c r="S3460">
        <f>1189.81</f>
        <v>1189.81</v>
      </c>
      <c r="T3460">
        <f>1347.626</f>
        <v>1347.626</v>
      </c>
      <c r="U3460">
        <f>28583.45</f>
        <v>28583.45</v>
      </c>
      <c r="V3460">
        <f>183.79</f>
        <v>183.79</v>
      </c>
    </row>
    <row r="3461" spans="1:22" x14ac:dyDescent="0.2">
      <c r="A3461" s="1">
        <v>40262</v>
      </c>
      <c r="B3461">
        <f>2272.29</f>
        <v>2272.29</v>
      </c>
      <c r="C3461">
        <f>7431.86</f>
        <v>7431.86</v>
      </c>
      <c r="D3461">
        <f>3657.63</f>
        <v>3657.63</v>
      </c>
      <c r="E3461">
        <f>1736.241</f>
        <v>1736.241</v>
      </c>
      <c r="F3461">
        <f>1120.9</f>
        <v>1120.9000000000001</v>
      </c>
      <c r="G3461">
        <f>5531.59</f>
        <v>5531.59</v>
      </c>
      <c r="H3461">
        <f>1807.97</f>
        <v>1807.97</v>
      </c>
      <c r="I3461">
        <f>6087.515</f>
        <v>6087.5150000000003</v>
      </c>
      <c r="J3461">
        <f>1341</f>
        <v>1341</v>
      </c>
      <c r="K3461">
        <f>4008.91</f>
        <v>4008.91</v>
      </c>
      <c r="L3461">
        <f>972.43</f>
        <v>972.43</v>
      </c>
      <c r="M3461">
        <f>3913.29</f>
        <v>3913.29</v>
      </c>
      <c r="N3461">
        <f>149.846</f>
        <v>149.846</v>
      </c>
      <c r="O3461">
        <f>1544.52</f>
        <v>1544.52</v>
      </c>
      <c r="P3461">
        <f>90.37</f>
        <v>90.37</v>
      </c>
      <c r="Q3461">
        <f>824.6</f>
        <v>824.6</v>
      </c>
      <c r="R3461">
        <f>1929.75</f>
        <v>1929.75</v>
      </c>
      <c r="S3461">
        <f>1171.86</f>
        <v>1171.8599999999999</v>
      </c>
      <c r="T3461">
        <f>1344.573</f>
        <v>1344.5730000000001</v>
      </c>
      <c r="U3461">
        <f>28555.53</f>
        <v>28555.53</v>
      </c>
      <c r="V3461">
        <f>183.19</f>
        <v>183.19</v>
      </c>
    </row>
    <row r="3462" spans="1:22" x14ac:dyDescent="0.2">
      <c r="A3462" s="1">
        <v>40261</v>
      </c>
      <c r="B3462">
        <f>2239.29</f>
        <v>2239.29</v>
      </c>
      <c r="C3462">
        <f>7470.96</f>
        <v>7470.96</v>
      </c>
      <c r="D3462">
        <f>3625.85</f>
        <v>3625.85</v>
      </c>
      <c r="E3462">
        <f>1739.802</f>
        <v>1739.8019999999999</v>
      </c>
      <c r="F3462">
        <f>1118.94</f>
        <v>1118.94</v>
      </c>
      <c r="G3462">
        <f>5493.994</f>
        <v>5493.9939999999997</v>
      </c>
      <c r="H3462">
        <f>1818.37</f>
        <v>1818.37</v>
      </c>
      <c r="I3462">
        <f>6023.386</f>
        <v>6023.3860000000004</v>
      </c>
      <c r="J3462">
        <f>1346.05</f>
        <v>1346.05</v>
      </c>
      <c r="K3462">
        <f>4017.71</f>
        <v>4017.71</v>
      </c>
      <c r="L3462">
        <f>968.48</f>
        <v>968.48</v>
      </c>
      <c r="M3462">
        <f>3908.41</f>
        <v>3908.41</v>
      </c>
      <c r="N3462">
        <f>148.54</f>
        <v>148.54</v>
      </c>
      <c r="O3462">
        <f>1529.71</f>
        <v>1529.71</v>
      </c>
      <c r="P3462">
        <f>90.15</f>
        <v>90.15</v>
      </c>
      <c r="Q3462">
        <f>826.71</f>
        <v>826.71</v>
      </c>
      <c r="R3462">
        <f>1933.04</f>
        <v>1933.04</v>
      </c>
      <c r="S3462">
        <f>1171.67</f>
        <v>1171.67</v>
      </c>
      <c r="T3462">
        <f>1335.707</f>
        <v>1335.7070000000001</v>
      </c>
      <c r="U3462">
        <f>28401.68</f>
        <v>28401.68</v>
      </c>
      <c r="V3462">
        <f>181.95</f>
        <v>181.95</v>
      </c>
    </row>
    <row r="3463" spans="1:22" x14ac:dyDescent="0.2">
      <c r="A3463" s="1">
        <v>40260</v>
      </c>
      <c r="B3463">
        <f>2238.16</f>
        <v>2238.16</v>
      </c>
      <c r="C3463">
        <f>7484.1</f>
        <v>7484.1</v>
      </c>
      <c r="D3463">
        <f>3621.71</f>
        <v>3621.71</v>
      </c>
      <c r="E3463">
        <f>1743.497</f>
        <v>1743.4970000000001</v>
      </c>
      <c r="F3463">
        <f>1129.14</f>
        <v>1129.1400000000001</v>
      </c>
      <c r="G3463">
        <f>5544.798</f>
        <v>5544.7979999999998</v>
      </c>
      <c r="H3463">
        <f>1834.01</f>
        <v>1834.01</v>
      </c>
      <c r="I3463">
        <f>6107.826</f>
        <v>6107.826</v>
      </c>
      <c r="J3463">
        <f>1356.68</f>
        <v>1356.68</v>
      </c>
      <c r="K3463">
        <f>4039.63</f>
        <v>4039.63</v>
      </c>
      <c r="L3463">
        <f>978.17</f>
        <v>978.17</v>
      </c>
      <c r="M3463">
        <f>3942.72</f>
        <v>3942.72</v>
      </c>
      <c r="N3463">
        <f>148.37</f>
        <v>148.37</v>
      </c>
      <c r="O3463">
        <f>1527.79</f>
        <v>1527.79</v>
      </c>
      <c r="P3463">
        <f>89.63</f>
        <v>89.63</v>
      </c>
      <c r="Q3463">
        <f>834.5</f>
        <v>834.5</v>
      </c>
      <c r="R3463">
        <f>1943.7</f>
        <v>1943.7</v>
      </c>
      <c r="S3463">
        <f>1166.01</f>
        <v>1166.01</v>
      </c>
      <c r="T3463">
        <f>1339.203</f>
        <v>1339.203</v>
      </c>
      <c r="U3463">
        <f>28451.01</f>
        <v>28451.01</v>
      </c>
      <c r="V3463">
        <f>182.42</f>
        <v>182.42</v>
      </c>
    </row>
    <row r="3464" spans="1:22" x14ac:dyDescent="0.2">
      <c r="A3464" s="1">
        <v>40259</v>
      </c>
      <c r="B3464">
        <f>2237.49</f>
        <v>2237.4899999999998</v>
      </c>
      <c r="C3464">
        <f>7452.22</f>
        <v>7452.22</v>
      </c>
      <c r="D3464">
        <f>3603.14</f>
        <v>3603.14</v>
      </c>
      <c r="E3464">
        <f>1736.071</f>
        <v>1736.0709999999999</v>
      </c>
      <c r="F3464">
        <f>1129.64</f>
        <v>1129.6400000000001</v>
      </c>
      <c r="G3464">
        <f>5518.122</f>
        <v>5518.1220000000003</v>
      </c>
      <c r="H3464">
        <f>1846.56</f>
        <v>1846.56</v>
      </c>
      <c r="I3464">
        <f>6061.722</f>
        <v>6061.7219999999998</v>
      </c>
      <c r="J3464">
        <f>1344.13</f>
        <v>1344.13</v>
      </c>
      <c r="K3464">
        <f>4009.93</f>
        <v>4009.93</v>
      </c>
      <c r="L3464">
        <f>970.92</f>
        <v>970.92</v>
      </c>
      <c r="M3464">
        <f>3918.11</f>
        <v>3918.11</v>
      </c>
      <c r="N3464">
        <f>147.638</f>
        <v>147.63800000000001</v>
      </c>
      <c r="O3464">
        <f>1517.48</f>
        <v>1517.48</v>
      </c>
      <c r="P3464" t="e">
        <f>NA()</f>
        <v>#N/A</v>
      </c>
      <c r="Q3464">
        <f>829.68</f>
        <v>829.68</v>
      </c>
      <c r="R3464">
        <f>1929.64</f>
        <v>1929.64</v>
      </c>
      <c r="S3464" t="e">
        <f>NA()</f>
        <v>#N/A</v>
      </c>
      <c r="T3464" t="e">
        <f>NA()</f>
        <v>#N/A</v>
      </c>
      <c r="U3464" t="e">
        <f>NA()</f>
        <v>#N/A</v>
      </c>
      <c r="V3464" t="e">
        <f>NA()</f>
        <v>#N/A</v>
      </c>
    </row>
    <row r="3465" spans="1:22" x14ac:dyDescent="0.2">
      <c r="A3465" s="1">
        <v>40256</v>
      </c>
      <c r="B3465">
        <f>2247.4</f>
        <v>2247.4</v>
      </c>
      <c r="C3465">
        <f>7519.12</f>
        <v>7519.12</v>
      </c>
      <c r="D3465">
        <f>3606.71</f>
        <v>3606.71</v>
      </c>
      <c r="E3465">
        <f>1750.072</f>
        <v>1750.0719999999999</v>
      </c>
      <c r="F3465">
        <f>1123.44</f>
        <v>1123.44</v>
      </c>
      <c r="G3465">
        <f>5504.271</f>
        <v>5504.2709999999997</v>
      </c>
      <c r="H3465">
        <f>1836.87</f>
        <v>1836.87</v>
      </c>
      <c r="I3465">
        <f>6071.821</f>
        <v>6071.8209999999999</v>
      </c>
      <c r="J3465">
        <f>1340.11</f>
        <v>1340.11</v>
      </c>
      <c r="K3465">
        <f>3988.93</f>
        <v>3988.93</v>
      </c>
      <c r="L3465">
        <f>970.82</f>
        <v>970.82</v>
      </c>
      <c r="M3465">
        <f>3909.16</f>
        <v>3909.16</v>
      </c>
      <c r="N3465">
        <f>148.039</f>
        <v>148.03899999999999</v>
      </c>
      <c r="O3465">
        <f>1518.33</f>
        <v>1518.33</v>
      </c>
      <c r="P3465">
        <f>90.09</f>
        <v>90.09</v>
      </c>
      <c r="Q3465">
        <f>825.2</f>
        <v>825.2</v>
      </c>
      <c r="R3465">
        <f>1919.8</f>
        <v>1919.8</v>
      </c>
      <c r="S3465">
        <f>1167.93</f>
        <v>1167.93</v>
      </c>
      <c r="T3465">
        <f>1337.789</f>
        <v>1337.789</v>
      </c>
      <c r="U3465">
        <f>28544.15</f>
        <v>28544.15</v>
      </c>
      <c r="V3465">
        <f>182.45</f>
        <v>182.45</v>
      </c>
    </row>
    <row r="3466" spans="1:22" x14ac:dyDescent="0.2">
      <c r="A3466" s="1">
        <v>40255</v>
      </c>
      <c r="B3466">
        <f>2245.45</f>
        <v>2245.4499999999998</v>
      </c>
      <c r="C3466">
        <f>7567.8</f>
        <v>7567.8</v>
      </c>
      <c r="D3466">
        <f>3601.92</f>
        <v>3601.92</v>
      </c>
      <c r="E3466">
        <f>1756.232</f>
        <v>1756.232</v>
      </c>
      <c r="F3466">
        <f>1140.11</f>
        <v>1140.1099999999999</v>
      </c>
      <c r="G3466">
        <f>5581.551</f>
        <v>5581.5510000000004</v>
      </c>
      <c r="H3466">
        <f>1820.85</f>
        <v>1820.85</v>
      </c>
      <c r="I3466">
        <f>6114.515</f>
        <v>6114.5150000000003</v>
      </c>
      <c r="J3466">
        <f>1342.56</f>
        <v>1342.56</v>
      </c>
      <c r="K3466">
        <f>4010.37</f>
        <v>4010.37</v>
      </c>
      <c r="L3466">
        <f>977.09</f>
        <v>977.09</v>
      </c>
      <c r="M3466">
        <f>3928.62</f>
        <v>3928.62</v>
      </c>
      <c r="N3466">
        <f>148.813</f>
        <v>148.81299999999999</v>
      </c>
      <c r="O3466">
        <f>1525.18</f>
        <v>1525.18</v>
      </c>
      <c r="P3466">
        <f>89.52</f>
        <v>89.52</v>
      </c>
      <c r="Q3466">
        <f>828.77</f>
        <v>828.77</v>
      </c>
      <c r="R3466">
        <f>1929.63</f>
        <v>1929.63</v>
      </c>
      <c r="S3466">
        <f>1157.91</f>
        <v>1157.9100000000001</v>
      </c>
      <c r="T3466">
        <f>1354.268</f>
        <v>1354.268</v>
      </c>
      <c r="U3466">
        <f>28806.14</f>
        <v>28806.14</v>
      </c>
      <c r="V3466">
        <f>185.23</f>
        <v>185.23</v>
      </c>
    </row>
    <row r="3467" spans="1:22" x14ac:dyDescent="0.2">
      <c r="A3467" s="1">
        <v>40254</v>
      </c>
      <c r="B3467">
        <f>2237.53</f>
        <v>2237.5300000000002</v>
      </c>
      <c r="C3467">
        <f>7610.97</f>
        <v>7610.97</v>
      </c>
      <c r="D3467">
        <f>3603.2</f>
        <v>3603.2</v>
      </c>
      <c r="E3467">
        <f>1763.665</f>
        <v>1763.665</v>
      </c>
      <c r="F3467">
        <f>1134.8</f>
        <v>1134.8</v>
      </c>
      <c r="G3467">
        <f>5601.8</f>
        <v>5601.8</v>
      </c>
      <c r="H3467">
        <f>1820.87</f>
        <v>1820.87</v>
      </c>
      <c r="I3467">
        <f>6199.717</f>
        <v>6199.7169999999996</v>
      </c>
      <c r="J3467">
        <f>1339.99</f>
        <v>1339.99</v>
      </c>
      <c r="K3467">
        <f>4013.51</f>
        <v>4013.51</v>
      </c>
      <c r="L3467">
        <f>981.07</f>
        <v>981.07</v>
      </c>
      <c r="M3467">
        <f>3947.59</f>
        <v>3947.59</v>
      </c>
      <c r="N3467">
        <f>148.509</f>
        <v>148.50899999999999</v>
      </c>
      <c r="O3467">
        <f>1526.18</f>
        <v>1526.18</v>
      </c>
      <c r="P3467">
        <f>89.91</f>
        <v>89.91</v>
      </c>
      <c r="Q3467">
        <f>828.78</f>
        <v>828.78</v>
      </c>
      <c r="R3467">
        <f>1930.22</f>
        <v>1930.22</v>
      </c>
      <c r="S3467">
        <f>1166.08</f>
        <v>1166.08</v>
      </c>
      <c r="T3467">
        <f>1339.689</f>
        <v>1339.6890000000001</v>
      </c>
      <c r="U3467">
        <f>28530.94</f>
        <v>28530.94</v>
      </c>
      <c r="V3467">
        <f>183.67</f>
        <v>183.67</v>
      </c>
    </row>
    <row r="3468" spans="1:22" x14ac:dyDescent="0.2">
      <c r="A3468" s="1">
        <v>40253</v>
      </c>
      <c r="B3468">
        <f>2229.47</f>
        <v>2229.4699999999998</v>
      </c>
      <c r="C3468">
        <f>7514.71</f>
        <v>7514.71</v>
      </c>
      <c r="D3468">
        <f>3583.83</f>
        <v>3583.83</v>
      </c>
      <c r="E3468">
        <f>1738.598</f>
        <v>1738.598</v>
      </c>
      <c r="F3468">
        <f>1130.85</f>
        <v>1130.8499999999999</v>
      </c>
      <c r="G3468">
        <f>5534.393</f>
        <v>5534.393</v>
      </c>
      <c r="H3468">
        <f>1810.41</f>
        <v>1810.41</v>
      </c>
      <c r="I3468">
        <f>6163.526</f>
        <v>6163.5259999999998</v>
      </c>
      <c r="J3468">
        <f>1333.31</f>
        <v>1333.31</v>
      </c>
      <c r="K3468">
        <f>3990.77</f>
        <v>3990.77</v>
      </c>
      <c r="L3468">
        <f>974.25</f>
        <v>974.25</v>
      </c>
      <c r="M3468">
        <f>3918.29</f>
        <v>3918.29</v>
      </c>
      <c r="N3468">
        <f>147.333</f>
        <v>147.333</v>
      </c>
      <c r="O3468">
        <f>1510.96</f>
        <v>1510.96</v>
      </c>
      <c r="P3468">
        <f>88.87</f>
        <v>88.87</v>
      </c>
      <c r="Q3468">
        <f>822.74</f>
        <v>822.74</v>
      </c>
      <c r="R3468">
        <f>1919.02</f>
        <v>1919.02</v>
      </c>
      <c r="S3468">
        <f>1154.58</f>
        <v>1154.58</v>
      </c>
      <c r="T3468">
        <f>1327.423</f>
        <v>1327.423</v>
      </c>
      <c r="U3468">
        <f>28252.59</f>
        <v>28252.59</v>
      </c>
      <c r="V3468">
        <f>181.63</f>
        <v>181.63</v>
      </c>
    </row>
    <row r="3469" spans="1:22" x14ac:dyDescent="0.2">
      <c r="A3469" s="1">
        <v>40252</v>
      </c>
      <c r="B3469">
        <f>2221.59</f>
        <v>2221.59</v>
      </c>
      <c r="C3469">
        <f>7445.73</f>
        <v>7445.73</v>
      </c>
      <c r="D3469">
        <f>3566.88</f>
        <v>3566.88</v>
      </c>
      <c r="E3469">
        <f>1723.759</f>
        <v>1723.759</v>
      </c>
      <c r="F3469">
        <f>1120.34</f>
        <v>1120.3399999999999</v>
      </c>
      <c r="G3469">
        <f>5454.125</f>
        <v>5454.125</v>
      </c>
      <c r="H3469">
        <f>1809.3</f>
        <v>1809.3</v>
      </c>
      <c r="I3469">
        <f>6053.299</f>
        <v>6053.299</v>
      </c>
      <c r="J3469">
        <f>1323.48</f>
        <v>1323.48</v>
      </c>
      <c r="K3469">
        <f>3959.08</f>
        <v>3959.08</v>
      </c>
      <c r="L3469">
        <f>963.11</f>
        <v>963.11</v>
      </c>
      <c r="M3469">
        <f>3879.74</f>
        <v>3879.74</v>
      </c>
      <c r="N3469">
        <f>146.274</f>
        <v>146.274</v>
      </c>
      <c r="O3469">
        <f>1496.86</f>
        <v>1496.86</v>
      </c>
      <c r="P3469">
        <f>88.76</f>
        <v>88.76</v>
      </c>
      <c r="Q3469">
        <f>819.13</f>
        <v>819.13</v>
      </c>
      <c r="R3469">
        <f>1904.19</f>
        <v>1904.19</v>
      </c>
      <c r="S3469">
        <f>1155.59</f>
        <v>1155.5899999999999</v>
      </c>
      <c r="T3469">
        <f>1317.94</f>
        <v>1317.94</v>
      </c>
      <c r="U3469">
        <f>28032.87</f>
        <v>28032.87</v>
      </c>
      <c r="V3469">
        <f>180.53</f>
        <v>180.53</v>
      </c>
    </row>
    <row r="3470" spans="1:22" x14ac:dyDescent="0.2">
      <c r="A3470" s="1">
        <v>40249</v>
      </c>
      <c r="B3470">
        <f>2232.37</f>
        <v>2232.37</v>
      </c>
      <c r="C3470">
        <f>7514.06</f>
        <v>7514.06</v>
      </c>
      <c r="D3470">
        <f>3587.16</f>
        <v>3587.16</v>
      </c>
      <c r="E3470">
        <f>1740.416</f>
        <v>1740.4159999999999</v>
      </c>
      <c r="F3470">
        <f>1133</f>
        <v>1133</v>
      </c>
      <c r="G3470">
        <f>5534.008</f>
        <v>5534.0079999999998</v>
      </c>
      <c r="H3470">
        <f>1805.96</f>
        <v>1805.96</v>
      </c>
      <c r="I3470">
        <f>6139.807</f>
        <v>6139.8069999999998</v>
      </c>
      <c r="J3470">
        <f>1316.93</f>
        <v>1316.93</v>
      </c>
      <c r="K3470">
        <f>3958.57</f>
        <v>3958.57</v>
      </c>
      <c r="L3470">
        <f>968.35</f>
        <v>968.35</v>
      </c>
      <c r="M3470">
        <f>3897.31</f>
        <v>3897.31</v>
      </c>
      <c r="N3470">
        <f>146.812</f>
        <v>146.81200000000001</v>
      </c>
      <c r="O3470">
        <f>1507.89</f>
        <v>1507.89</v>
      </c>
      <c r="P3470">
        <f>89.01</f>
        <v>89.01</v>
      </c>
      <c r="Q3470">
        <f>816.46</f>
        <v>816.46</v>
      </c>
      <c r="R3470">
        <f>1903.29</f>
        <v>1903.29</v>
      </c>
      <c r="S3470">
        <f>1152.48</f>
        <v>1152.48</v>
      </c>
      <c r="T3470">
        <f>1325.797</f>
        <v>1325.797</v>
      </c>
      <c r="U3470">
        <f>28262.4</f>
        <v>28262.400000000001</v>
      </c>
      <c r="V3470">
        <f>181.05</f>
        <v>181.05</v>
      </c>
    </row>
    <row r="3471" spans="1:22" x14ac:dyDescent="0.2">
      <c r="A3471" s="1">
        <v>40248</v>
      </c>
      <c r="B3471">
        <f>2221.88</f>
        <v>2221.88</v>
      </c>
      <c r="C3471">
        <f>7492.62</f>
        <v>7492.62</v>
      </c>
      <c r="D3471">
        <f>3581.81</f>
        <v>3581.81</v>
      </c>
      <c r="E3471">
        <f>1735.303</f>
        <v>1735.3030000000001</v>
      </c>
      <c r="F3471">
        <f>1121.2</f>
        <v>1121.2</v>
      </c>
      <c r="G3471">
        <f>5477.811</f>
        <v>5477.8109999999997</v>
      </c>
      <c r="H3471">
        <f>1801.78</f>
        <v>1801.78</v>
      </c>
      <c r="I3471">
        <f>6090.146</f>
        <v>6090.1459999999997</v>
      </c>
      <c r="J3471">
        <f>1315.39</f>
        <v>1315.39</v>
      </c>
      <c r="K3471">
        <f>3958.82</f>
        <v>3958.82</v>
      </c>
      <c r="L3471">
        <f>963.27</f>
        <v>963.27</v>
      </c>
      <c r="M3471">
        <f>3881.85</f>
        <v>3881.85</v>
      </c>
      <c r="N3471">
        <f>146.493</f>
        <v>146.49299999999999</v>
      </c>
      <c r="O3471">
        <f>1503.29</f>
        <v>1503.29</v>
      </c>
      <c r="P3471">
        <f>88.37</f>
        <v>88.37</v>
      </c>
      <c r="Q3471">
        <f>815.38</f>
        <v>815.38</v>
      </c>
      <c r="R3471">
        <f>1903.68</f>
        <v>1903.68</v>
      </c>
      <c r="S3471">
        <f>1145.08</f>
        <v>1145.08</v>
      </c>
      <c r="T3471">
        <f>1317.996</f>
        <v>1317.9960000000001</v>
      </c>
      <c r="U3471">
        <f>27911.43</f>
        <v>27911.43</v>
      </c>
      <c r="V3471">
        <f>180.78</f>
        <v>180.78</v>
      </c>
    </row>
    <row r="3472" spans="1:22" x14ac:dyDescent="0.2">
      <c r="A3472" s="1">
        <v>40247</v>
      </c>
      <c r="B3472">
        <f>2214.27</f>
        <v>2214.27</v>
      </c>
      <c r="C3472">
        <f>7517.68</f>
        <v>7517.68</v>
      </c>
      <c r="D3472">
        <f>3596.68</f>
        <v>3596.68</v>
      </c>
      <c r="E3472">
        <f>1741.55</f>
        <v>1741.55</v>
      </c>
      <c r="F3472">
        <f>1115.66</f>
        <v>1115.6600000000001</v>
      </c>
      <c r="G3472">
        <f>5474.043</f>
        <v>5474.0429999999997</v>
      </c>
      <c r="H3472">
        <f>1784.33</f>
        <v>1784.33</v>
      </c>
      <c r="I3472">
        <f>6107.897</f>
        <v>6107.8969999999999</v>
      </c>
      <c r="J3472">
        <f>1310.73</f>
        <v>1310.73</v>
      </c>
      <c r="K3472">
        <f>3941.96</f>
        <v>3941.96</v>
      </c>
      <c r="L3472">
        <f>963.17</f>
        <v>963.17</v>
      </c>
      <c r="M3472">
        <f>3873.37</f>
        <v>3873.37</v>
      </c>
      <c r="N3472">
        <f>146.481</f>
        <v>146.48099999999999</v>
      </c>
      <c r="O3472">
        <f>1507.44</f>
        <v>1507.44</v>
      </c>
      <c r="P3472">
        <f>87.42</f>
        <v>87.42</v>
      </c>
      <c r="Q3472">
        <f>813.69</f>
        <v>813.69</v>
      </c>
      <c r="R3472">
        <f>1895.38</f>
        <v>1895.38</v>
      </c>
      <c r="S3472">
        <f>1135.31</f>
        <v>1135.31</v>
      </c>
      <c r="T3472">
        <f>1320.615</f>
        <v>1320.615</v>
      </c>
      <c r="U3472">
        <f>28087.67</f>
        <v>28087.67</v>
      </c>
      <c r="V3472">
        <f>181.71</f>
        <v>181.71</v>
      </c>
    </row>
    <row r="3473" spans="1:22" x14ac:dyDescent="0.2">
      <c r="A3473" s="1">
        <v>40246</v>
      </c>
      <c r="B3473">
        <f>2206.64</f>
        <v>2206.64</v>
      </c>
      <c r="C3473">
        <f>7449.21</f>
        <v>7449.21</v>
      </c>
      <c r="D3473">
        <f>3566.81</f>
        <v>3566.81</v>
      </c>
      <c r="E3473">
        <f>1728.727</f>
        <v>1728.7270000000001</v>
      </c>
      <c r="F3473">
        <f>1113.51</f>
        <v>1113.51</v>
      </c>
      <c r="G3473">
        <f>5434.205</f>
        <v>5434.2049999999999</v>
      </c>
      <c r="H3473">
        <f>1803.65</f>
        <v>1803.65</v>
      </c>
      <c r="I3473">
        <f>6018.121</f>
        <v>6018.1210000000001</v>
      </c>
      <c r="J3473">
        <f>1308.58</f>
        <v>1308.58</v>
      </c>
      <c r="K3473">
        <f>3923</f>
        <v>3923</v>
      </c>
      <c r="L3473">
        <f>956.57</f>
        <v>956.57</v>
      </c>
      <c r="M3473">
        <f>3852.09</f>
        <v>3852.09</v>
      </c>
      <c r="N3473">
        <f>146.207</f>
        <v>146.20699999999999</v>
      </c>
      <c r="O3473">
        <f>1498.05</f>
        <v>1498.05</v>
      </c>
      <c r="P3473">
        <f>87.72</f>
        <v>87.72</v>
      </c>
      <c r="Q3473">
        <f>812.64</f>
        <v>812.64</v>
      </c>
      <c r="R3473">
        <f>1886.6</f>
        <v>1886.6</v>
      </c>
      <c r="S3473">
        <f>1137.7</f>
        <v>1137.7</v>
      </c>
      <c r="T3473">
        <f>1311.351</f>
        <v>1311.3510000000001</v>
      </c>
      <c r="U3473">
        <f>27898.14</f>
        <v>27898.14</v>
      </c>
      <c r="V3473">
        <f>180.12</f>
        <v>180.12</v>
      </c>
    </row>
    <row r="3474" spans="1:22" x14ac:dyDescent="0.2">
      <c r="A3474" s="1">
        <v>40245</v>
      </c>
      <c r="B3474">
        <f>2209.54</f>
        <v>2209.54</v>
      </c>
      <c r="C3474">
        <f>7433.18</f>
        <v>7433.18</v>
      </c>
      <c r="D3474">
        <f>3569.62</f>
        <v>3569.62</v>
      </c>
      <c r="E3474">
        <f>1728.537</f>
        <v>1728.537</v>
      </c>
      <c r="F3474">
        <f>1116.29</f>
        <v>1116.29</v>
      </c>
      <c r="G3474">
        <f>5469.142</f>
        <v>5469.1419999999998</v>
      </c>
      <c r="H3474">
        <f>1801.31</f>
        <v>1801.31</v>
      </c>
      <c r="I3474">
        <f>6050.665</f>
        <v>6050.665</v>
      </c>
      <c r="J3474">
        <f>1306.78</f>
        <v>1306.78</v>
      </c>
      <c r="K3474">
        <f>3915.83</f>
        <v>3915.83</v>
      </c>
      <c r="L3474">
        <f>958.26</f>
        <v>958.26</v>
      </c>
      <c r="M3474">
        <f>3853.87</f>
        <v>3853.87</v>
      </c>
      <c r="N3474">
        <f>146.194</f>
        <v>146.19399999999999</v>
      </c>
      <c r="O3474">
        <f>1499.4</f>
        <v>1499.4</v>
      </c>
      <c r="P3474">
        <f>87.99</f>
        <v>87.99</v>
      </c>
      <c r="Q3474">
        <f>812.12</f>
        <v>812.12</v>
      </c>
      <c r="R3474">
        <f>1883.29</f>
        <v>1883.29</v>
      </c>
      <c r="S3474">
        <f>1141.31</f>
        <v>1141.31</v>
      </c>
      <c r="T3474">
        <f>1311.005</f>
        <v>1311.0050000000001</v>
      </c>
      <c r="U3474">
        <f>28116.69</f>
        <v>28116.69</v>
      </c>
      <c r="V3474">
        <f>179.86</f>
        <v>179.86</v>
      </c>
    </row>
    <row r="3475" spans="1:22" x14ac:dyDescent="0.2">
      <c r="A3475" s="1">
        <v>40242</v>
      </c>
      <c r="B3475">
        <f>2203.64</f>
        <v>2203.64</v>
      </c>
      <c r="C3475">
        <f>7351.46</f>
        <v>7351.46</v>
      </c>
      <c r="D3475">
        <f>3565.19</f>
        <v>3565.19</v>
      </c>
      <c r="E3475">
        <f>1708.775</f>
        <v>1708.7750000000001</v>
      </c>
      <c r="F3475">
        <f>1117.67</f>
        <v>1117.67</v>
      </c>
      <c r="G3475">
        <f>5473.154</f>
        <v>5473.1540000000005</v>
      </c>
      <c r="H3475">
        <f>1779.41</f>
        <v>1779.41</v>
      </c>
      <c r="I3475">
        <f>6025.456</f>
        <v>6025.4560000000001</v>
      </c>
      <c r="J3475">
        <f>1307.22</f>
        <v>1307.22</v>
      </c>
      <c r="K3475">
        <f>3915.27</f>
        <v>3915.27</v>
      </c>
      <c r="L3475">
        <f>955.54</f>
        <v>955.54</v>
      </c>
      <c r="M3475">
        <f>3839.57</f>
        <v>3839.57</v>
      </c>
      <c r="N3475">
        <f>146.164</f>
        <v>146.16399999999999</v>
      </c>
      <c r="O3475">
        <f>1500.11</f>
        <v>1500.11</v>
      </c>
      <c r="P3475">
        <f>86.72</f>
        <v>86.72</v>
      </c>
      <c r="Q3475">
        <f>811.01</f>
        <v>811.01</v>
      </c>
      <c r="R3475">
        <f>1883.28</f>
        <v>1883.28</v>
      </c>
      <c r="S3475">
        <f>1120.99</f>
        <v>1120.99</v>
      </c>
      <c r="T3475">
        <f>1298.656</f>
        <v>1298.6559999999999</v>
      </c>
      <c r="U3475">
        <f>27904.65</f>
        <v>27904.65</v>
      </c>
      <c r="V3475">
        <f>177.55</f>
        <v>177.55</v>
      </c>
    </row>
    <row r="3476" spans="1:22" x14ac:dyDescent="0.2">
      <c r="A3476" s="1">
        <v>40241</v>
      </c>
      <c r="B3476">
        <f>2185.26</f>
        <v>2185.2600000000002</v>
      </c>
      <c r="C3476">
        <f>7255.59</f>
        <v>7255.59</v>
      </c>
      <c r="D3476">
        <f>3518.97</f>
        <v>3518.97</v>
      </c>
      <c r="E3476">
        <f>1684.944</f>
        <v>1684.944</v>
      </c>
      <c r="F3476">
        <f>1112.83</f>
        <v>1112.83</v>
      </c>
      <c r="G3476">
        <f>5386.494</f>
        <v>5386.4939999999997</v>
      </c>
      <c r="H3476">
        <f>1801.32</f>
        <v>1801.32</v>
      </c>
      <c r="I3476">
        <f>5929.271</f>
        <v>5929.2709999999997</v>
      </c>
      <c r="J3476">
        <f>1293.36</f>
        <v>1293.3599999999999</v>
      </c>
      <c r="K3476">
        <f>3861.36</f>
        <v>3861.36</v>
      </c>
      <c r="L3476">
        <f>943.41</f>
        <v>943.41</v>
      </c>
      <c r="M3476">
        <f>3790.71</f>
        <v>3790.71</v>
      </c>
      <c r="N3476">
        <f>144.288</f>
        <v>144.28800000000001</v>
      </c>
      <c r="O3476">
        <f>1476.12</f>
        <v>1476.12</v>
      </c>
      <c r="P3476">
        <f>85.51</f>
        <v>85.51</v>
      </c>
      <c r="Q3476">
        <f>802.26</f>
        <v>802.26</v>
      </c>
      <c r="R3476">
        <f>1857.2</f>
        <v>1857.2</v>
      </c>
      <c r="S3476">
        <f>1104.76</f>
        <v>1104.76</v>
      </c>
      <c r="T3476">
        <f>1297.237</f>
        <v>1297.2370000000001</v>
      </c>
      <c r="U3476">
        <f>27774.1</f>
        <v>27774.1</v>
      </c>
      <c r="V3476">
        <f>177.83</f>
        <v>177.83</v>
      </c>
    </row>
    <row r="3477" spans="1:22" x14ac:dyDescent="0.2">
      <c r="A3477" s="1">
        <v>40240</v>
      </c>
      <c r="B3477">
        <f>2178.2</f>
        <v>2178.1999999999998</v>
      </c>
      <c r="C3477">
        <f>7305.85</f>
        <v>7305.85</v>
      </c>
      <c r="D3477">
        <f>3522.82</f>
        <v>3522.82</v>
      </c>
      <c r="E3477">
        <f>1693.725</f>
        <v>1693.7249999999999</v>
      </c>
      <c r="F3477">
        <f>1112.35</f>
        <v>1112.3499999999999</v>
      </c>
      <c r="G3477">
        <f>5396.399</f>
        <v>5396.3990000000003</v>
      </c>
      <c r="H3477">
        <f>1819.27</f>
        <v>1819.27</v>
      </c>
      <c r="I3477">
        <f>5960.196</f>
        <v>5960.1959999999999</v>
      </c>
      <c r="J3477">
        <f>1289.78</f>
        <v>1289.78</v>
      </c>
      <c r="K3477">
        <f>3848.04</f>
        <v>3848.04</v>
      </c>
      <c r="L3477">
        <f>944.84</f>
        <v>944.84</v>
      </c>
      <c r="M3477">
        <f>3795.68</f>
        <v>3795.68</v>
      </c>
      <c r="N3477">
        <f>143.43</f>
        <v>143.43</v>
      </c>
      <c r="O3477">
        <f>1473.06</f>
        <v>1473.06</v>
      </c>
      <c r="P3477">
        <f>86.08</f>
        <v>86.08</v>
      </c>
      <c r="Q3477">
        <f>798.38</f>
        <v>798.38</v>
      </c>
      <c r="R3477">
        <f>1850.24</f>
        <v>1850.24</v>
      </c>
      <c r="S3477">
        <f>1114.63</f>
        <v>1114.6300000000001</v>
      </c>
      <c r="T3477">
        <f>1290.338</f>
        <v>1290.338</v>
      </c>
      <c r="U3477">
        <f>27683.65</f>
        <v>27683.65</v>
      </c>
      <c r="V3477">
        <f>177.01</f>
        <v>177.01</v>
      </c>
    </row>
    <row r="3478" spans="1:22" x14ac:dyDescent="0.2">
      <c r="A3478" s="1">
        <v>40239</v>
      </c>
      <c r="B3478">
        <f>2168.47</f>
        <v>2168.4699999999998</v>
      </c>
      <c r="C3478">
        <f>7275.46</f>
        <v>7275.46</v>
      </c>
      <c r="D3478">
        <f>3488.44</f>
        <v>3488.44</v>
      </c>
      <c r="E3478">
        <f>1681.693</f>
        <v>1681.693</v>
      </c>
      <c r="F3478">
        <f>1097.81</f>
        <v>1097.81</v>
      </c>
      <c r="G3478">
        <f>5294.775</f>
        <v>5294.7749999999996</v>
      </c>
      <c r="H3478">
        <f>1807.17</f>
        <v>1807.17</v>
      </c>
      <c r="I3478">
        <f>5859.244</f>
        <v>5859.2439999999997</v>
      </c>
      <c r="J3478">
        <f>1291.17</f>
        <v>1291.17</v>
      </c>
      <c r="K3478">
        <f>3846.5</f>
        <v>3846.5</v>
      </c>
      <c r="L3478">
        <f>937.34</f>
        <v>937.34</v>
      </c>
      <c r="M3478">
        <f>3768.74</f>
        <v>3768.74</v>
      </c>
      <c r="N3478">
        <f>142.871</f>
        <v>142.87100000000001</v>
      </c>
      <c r="O3478">
        <f>1460.97</f>
        <v>1460.97</v>
      </c>
      <c r="P3478">
        <f>86.03</f>
        <v>86.03</v>
      </c>
      <c r="Q3478">
        <f>798.01</f>
        <v>798.01</v>
      </c>
      <c r="R3478">
        <f>1849.17</f>
        <v>1849.17</v>
      </c>
      <c r="S3478">
        <f>1111.01</f>
        <v>1111.01</v>
      </c>
      <c r="T3478">
        <f>1279.239</f>
        <v>1279.239</v>
      </c>
      <c r="U3478">
        <f>27371.92</f>
        <v>27371.919999999998</v>
      </c>
      <c r="V3478">
        <f>174.37</f>
        <v>174.37</v>
      </c>
    </row>
    <row r="3479" spans="1:22" x14ac:dyDescent="0.2">
      <c r="A3479" s="1">
        <v>40238</v>
      </c>
      <c r="B3479">
        <f>2153.08</f>
        <v>2153.08</v>
      </c>
      <c r="C3479">
        <f>7206.54</f>
        <v>7206.54</v>
      </c>
      <c r="D3479">
        <f>3438.75</f>
        <v>3438.75</v>
      </c>
      <c r="E3479">
        <f>1660.931</f>
        <v>1660.931</v>
      </c>
      <c r="F3479">
        <f>1085.29</f>
        <v>1085.29</v>
      </c>
      <c r="G3479">
        <f>5224.439</f>
        <v>5224.4390000000003</v>
      </c>
      <c r="H3479">
        <f>1790.88</f>
        <v>1790.88</v>
      </c>
      <c r="I3479">
        <f>5771.102</f>
        <v>5771.1019999999999</v>
      </c>
      <c r="J3479">
        <f>1287.08</f>
        <v>1287.08</v>
      </c>
      <c r="K3479">
        <f>3836.52</f>
        <v>3836.52</v>
      </c>
      <c r="L3479">
        <f>928.3</f>
        <v>928.3</v>
      </c>
      <c r="M3479">
        <f>3738.98</f>
        <v>3738.98</v>
      </c>
      <c r="N3479">
        <f>142.011</f>
        <v>142.011</v>
      </c>
      <c r="O3479">
        <f>1448.32</f>
        <v>1448.32</v>
      </c>
      <c r="P3479">
        <f>85.5</f>
        <v>85.5</v>
      </c>
      <c r="Q3479">
        <f>795.85</f>
        <v>795.85</v>
      </c>
      <c r="R3479">
        <f>1844.87</f>
        <v>1844.87</v>
      </c>
      <c r="S3479">
        <f>1106.35</f>
        <v>1106.3499999999999</v>
      </c>
      <c r="T3479">
        <f>1264.164</f>
        <v>1264.164</v>
      </c>
      <c r="U3479">
        <f>27026.02</f>
        <v>27026.02</v>
      </c>
      <c r="V3479">
        <f>172.42</f>
        <v>172.42</v>
      </c>
    </row>
    <row r="3480" spans="1:22" x14ac:dyDescent="0.2">
      <c r="A3480" s="1">
        <v>40235</v>
      </c>
      <c r="B3480">
        <f>2134.59</f>
        <v>2134.59</v>
      </c>
      <c r="C3480">
        <f>7106.02</f>
        <v>7106.02</v>
      </c>
      <c r="D3480">
        <f>3406.04</f>
        <v>3406.04</v>
      </c>
      <c r="E3480">
        <f>1639.853</f>
        <v>1639.8530000000001</v>
      </c>
      <c r="F3480">
        <f>1090.14</f>
        <v>1090.1400000000001</v>
      </c>
      <c r="G3480">
        <f>5275.539</f>
        <v>5275.5389999999998</v>
      </c>
      <c r="H3480">
        <f>1789.07</f>
        <v>1789.07</v>
      </c>
      <c r="I3480">
        <f>5752.047</f>
        <v>5752.0469999999996</v>
      </c>
      <c r="J3480">
        <f>1277.46</f>
        <v>1277.46</v>
      </c>
      <c r="K3480">
        <f>3797.38</f>
        <v>3797.38</v>
      </c>
      <c r="L3480">
        <f>925.81</f>
        <v>925.81</v>
      </c>
      <c r="M3480">
        <f>3714.83</f>
        <v>3714.83</v>
      </c>
      <c r="N3480">
        <f>140.45</f>
        <v>140.44999999999999</v>
      </c>
      <c r="O3480">
        <f>1432.95</f>
        <v>1432.95</v>
      </c>
      <c r="P3480">
        <f>85.03</f>
        <v>85.03</v>
      </c>
      <c r="Q3480">
        <f>787.36</f>
        <v>787.36</v>
      </c>
      <c r="R3480">
        <f>1826.27</f>
        <v>1826.27</v>
      </c>
      <c r="S3480">
        <f>1100.41</f>
        <v>1100.4100000000001</v>
      </c>
      <c r="T3480">
        <f>1255.248</f>
        <v>1255.248</v>
      </c>
      <c r="U3480">
        <f>26764.61</f>
        <v>26764.61</v>
      </c>
      <c r="V3480">
        <f>171.8</f>
        <v>171.8</v>
      </c>
    </row>
    <row r="3481" spans="1:22" x14ac:dyDescent="0.2">
      <c r="A3481" s="1">
        <v>40234</v>
      </c>
      <c r="B3481">
        <f>2108.03</f>
        <v>2108.0300000000002</v>
      </c>
      <c r="C3481">
        <f>6994.95</f>
        <v>6994.95</v>
      </c>
      <c r="D3481">
        <f>3357.5</f>
        <v>3357.5</v>
      </c>
      <c r="E3481">
        <f>1616.946</f>
        <v>1616.9459999999999</v>
      </c>
      <c r="F3481">
        <f>1080.36</f>
        <v>1080.3599999999999</v>
      </c>
      <c r="G3481">
        <f>5210.444</f>
        <v>5210.4440000000004</v>
      </c>
      <c r="H3481">
        <f>1782.09</f>
        <v>1782.09</v>
      </c>
      <c r="I3481">
        <f>5622.043</f>
        <v>5622.0429999999997</v>
      </c>
      <c r="J3481">
        <f>1279.45</f>
        <v>1279.45</v>
      </c>
      <c r="K3481">
        <f>3792.19</f>
        <v>3792.19</v>
      </c>
      <c r="L3481">
        <f>915.43</f>
        <v>915.43</v>
      </c>
      <c r="M3481">
        <f>3684.17</f>
        <v>3684.17</v>
      </c>
      <c r="N3481">
        <f>139.376</f>
        <v>139.376</v>
      </c>
      <c r="O3481">
        <f>1418.13</f>
        <v>1418.13</v>
      </c>
      <c r="P3481">
        <f>85.05</f>
        <v>85.05</v>
      </c>
      <c r="Q3481">
        <f>788.38</f>
        <v>788.38</v>
      </c>
      <c r="R3481">
        <f>1823.64</f>
        <v>1823.64</v>
      </c>
      <c r="S3481">
        <f>1097.1</f>
        <v>1097.0999999999999</v>
      </c>
      <c r="T3481">
        <f>1247.903</f>
        <v>1247.903</v>
      </c>
      <c r="U3481">
        <f>26731.85</f>
        <v>26731.85</v>
      </c>
      <c r="V3481">
        <f>170.45</f>
        <v>170.45</v>
      </c>
    </row>
    <row r="3482" spans="1:22" x14ac:dyDescent="0.2">
      <c r="A3482" s="1">
        <v>40233</v>
      </c>
      <c r="B3482">
        <f>2133.41</f>
        <v>2133.41</v>
      </c>
      <c r="C3482">
        <f>7053.66</f>
        <v>7053.66</v>
      </c>
      <c r="D3482">
        <f>3398.66</f>
        <v>3398.66</v>
      </c>
      <c r="E3482">
        <f>1634.947</f>
        <v>1634.9469999999999</v>
      </c>
      <c r="F3482">
        <f>1100.03</f>
        <v>1100.03</v>
      </c>
      <c r="G3482">
        <f>5341.203</f>
        <v>5341.2030000000004</v>
      </c>
      <c r="H3482">
        <f>1762.75</f>
        <v>1762.75</v>
      </c>
      <c r="I3482">
        <f>5741.973</f>
        <v>5741.973</v>
      </c>
      <c r="J3482">
        <f>1285.88</f>
        <v>1285.8800000000001</v>
      </c>
      <c r="K3482">
        <f>3798.48</f>
        <v>3798.48</v>
      </c>
      <c r="L3482">
        <f>927.59</f>
        <v>927.59</v>
      </c>
      <c r="M3482">
        <f>3713.77</f>
        <v>3713.77</v>
      </c>
      <c r="N3482">
        <f>141.579</f>
        <v>141.57900000000001</v>
      </c>
      <c r="O3482">
        <f>1441.47</f>
        <v>1441.47</v>
      </c>
      <c r="P3482">
        <f>85.24</f>
        <v>85.24</v>
      </c>
      <c r="Q3482">
        <f>790.1</f>
        <v>790.1</v>
      </c>
      <c r="R3482">
        <f>1826.99</f>
        <v>1826.99</v>
      </c>
      <c r="S3482">
        <f>1102.37</f>
        <v>1102.3699999999999</v>
      </c>
      <c r="T3482">
        <f>1246.991</f>
        <v>1246.991</v>
      </c>
      <c r="U3482">
        <f>26933.08</f>
        <v>26933.08</v>
      </c>
      <c r="V3482">
        <f>170.61</f>
        <v>170.61</v>
      </c>
    </row>
    <row r="3483" spans="1:22" x14ac:dyDescent="0.2">
      <c r="A3483" s="1">
        <v>40232</v>
      </c>
      <c r="B3483">
        <f>2135.68</f>
        <v>2135.6799999999998</v>
      </c>
      <c r="C3483">
        <f>7108.48</f>
        <v>7108.48</v>
      </c>
      <c r="D3483">
        <f>3378.27</f>
        <v>3378.27</v>
      </c>
      <c r="E3483">
        <f>1647.076</f>
        <v>1647.076</v>
      </c>
      <c r="F3483">
        <f>1096.66</f>
        <v>1096.6600000000001</v>
      </c>
      <c r="G3483">
        <f>5309.246</f>
        <v>5309.2460000000001</v>
      </c>
      <c r="H3483">
        <f>1767.92</f>
        <v>1767.92</v>
      </c>
      <c r="I3483">
        <f>5712.172</f>
        <v>5712.1719999999996</v>
      </c>
      <c r="J3483">
        <f>1276.7</f>
        <v>1276.7</v>
      </c>
      <c r="K3483">
        <f>3762.4</f>
        <v>3762.4</v>
      </c>
      <c r="L3483">
        <f>924.38</f>
        <v>924.38</v>
      </c>
      <c r="M3483">
        <f>3697.59</f>
        <v>3697.59</v>
      </c>
      <c r="N3483">
        <f>141.611</f>
        <v>141.61099999999999</v>
      </c>
      <c r="O3483">
        <f>1438.64</f>
        <v>1438.64</v>
      </c>
      <c r="P3483">
        <f>86.18</f>
        <v>86.18</v>
      </c>
      <c r="Q3483">
        <f>783.07</f>
        <v>783.07</v>
      </c>
      <c r="R3483">
        <f>1809.05</f>
        <v>1809.05</v>
      </c>
      <c r="S3483">
        <f>1116.37</f>
        <v>1116.3699999999999</v>
      </c>
      <c r="T3483">
        <f>1248.357</f>
        <v>1248.357</v>
      </c>
      <c r="U3483">
        <f>27055.5</f>
        <v>27055.5</v>
      </c>
      <c r="V3483">
        <f>171.25</f>
        <v>171.25</v>
      </c>
    </row>
    <row r="3484" spans="1:22" x14ac:dyDescent="0.2">
      <c r="A3484" s="1">
        <v>40231</v>
      </c>
      <c r="B3484">
        <f>2148.22</f>
        <v>2148.2199999999998</v>
      </c>
      <c r="C3484">
        <f>7133.72</f>
        <v>7133.72</v>
      </c>
      <c r="D3484">
        <f>3401.77</f>
        <v>3401.77</v>
      </c>
      <c r="E3484">
        <f>1652.455</f>
        <v>1652.4549999999999</v>
      </c>
      <c r="F3484">
        <f>1102.74</f>
        <v>1102.74</v>
      </c>
      <c r="G3484">
        <f>5361.176</f>
        <v>5361.1760000000004</v>
      </c>
      <c r="H3484">
        <f>1754</f>
        <v>1754</v>
      </c>
      <c r="I3484">
        <f>5800.238</f>
        <v>5800.2380000000003</v>
      </c>
      <c r="J3484">
        <f>1289.41</f>
        <v>1289.4100000000001</v>
      </c>
      <c r="K3484">
        <f>3809.08</f>
        <v>3809.08</v>
      </c>
      <c r="L3484">
        <f>933.01</f>
        <v>933.01</v>
      </c>
      <c r="M3484">
        <f>3734.41</f>
        <v>3734.41</v>
      </c>
      <c r="N3484">
        <f>142.354</f>
        <v>142.35400000000001</v>
      </c>
      <c r="O3484">
        <f>1453.95</f>
        <v>1453.95</v>
      </c>
      <c r="P3484">
        <f>86.5</f>
        <v>86.5</v>
      </c>
      <c r="Q3484">
        <f>790.02</f>
        <v>790.02</v>
      </c>
      <c r="R3484">
        <f>1831.21</f>
        <v>1831.21</v>
      </c>
      <c r="S3484">
        <f>1119.31</f>
        <v>1119.31</v>
      </c>
      <c r="T3484">
        <f>1250.321</f>
        <v>1250.3209999999999</v>
      </c>
      <c r="U3484">
        <f>27284.16</f>
        <v>27284.16</v>
      </c>
      <c r="V3484">
        <f>171.56</f>
        <v>171.56</v>
      </c>
    </row>
    <row r="3485" spans="1:22" x14ac:dyDescent="0.2">
      <c r="A3485" s="1">
        <v>40228</v>
      </c>
      <c r="B3485">
        <f>2151.07</f>
        <v>2151.0700000000002</v>
      </c>
      <c r="C3485">
        <f>7065.42</f>
        <v>7065.42</v>
      </c>
      <c r="D3485">
        <f>3405.65</f>
        <v>3405.65</v>
      </c>
      <c r="E3485">
        <f>1634.702</f>
        <v>1634.702</v>
      </c>
      <c r="F3485">
        <f>1109.96</f>
        <v>1109.96</v>
      </c>
      <c r="G3485">
        <f>5341.247</f>
        <v>5341.2470000000003</v>
      </c>
      <c r="H3485">
        <f>1702.81</f>
        <v>1702.81</v>
      </c>
      <c r="I3485">
        <f>5784.091</f>
        <v>5784.0910000000003</v>
      </c>
      <c r="J3485">
        <f>1292.82</f>
        <v>1292.82</v>
      </c>
      <c r="K3485">
        <f>3813.52</f>
        <v>3813.52</v>
      </c>
      <c r="L3485">
        <f>932.03</f>
        <v>932.03</v>
      </c>
      <c r="M3485">
        <f>3716.59</f>
        <v>3716.59</v>
      </c>
      <c r="N3485">
        <f>143.158</f>
        <v>143.15799999999999</v>
      </c>
      <c r="O3485">
        <f>1458.21</f>
        <v>1458.21</v>
      </c>
      <c r="P3485">
        <f>84.78</f>
        <v>84.78</v>
      </c>
      <c r="Q3485">
        <f>791.69</f>
        <v>791.69</v>
      </c>
      <c r="R3485">
        <f>1833.09</f>
        <v>1833.09</v>
      </c>
      <c r="S3485">
        <f>1093.87</f>
        <v>1093.8699999999999</v>
      </c>
      <c r="T3485">
        <f>1243.487</f>
        <v>1243.4870000000001</v>
      </c>
      <c r="U3485">
        <f>27069.13</f>
        <v>27069.13</v>
      </c>
      <c r="V3485">
        <f>170.63</f>
        <v>170.63</v>
      </c>
    </row>
    <row r="3486" spans="1:22" x14ac:dyDescent="0.2">
      <c r="A3486" s="1">
        <v>40227</v>
      </c>
      <c r="B3486">
        <f>2138.08</f>
        <v>2138.08</v>
      </c>
      <c r="C3486">
        <f>7129.01</f>
        <v>7129.01</v>
      </c>
      <c r="D3486">
        <f>3384.62</f>
        <v>3384.62</v>
      </c>
      <c r="E3486">
        <f>1651.784</f>
        <v>1651.7840000000001</v>
      </c>
      <c r="F3486">
        <f>1117.48</f>
        <v>1117.48</v>
      </c>
      <c r="G3486">
        <f>5385.228</f>
        <v>5385.2280000000001</v>
      </c>
      <c r="H3486">
        <f>1745.56</f>
        <v>1745.56</v>
      </c>
      <c r="I3486">
        <f>5792.026</f>
        <v>5792.0259999999998</v>
      </c>
      <c r="J3486">
        <f>1289.05</f>
        <v>1289.05</v>
      </c>
      <c r="K3486">
        <f>3805.03</f>
        <v>3805.03</v>
      </c>
      <c r="L3486">
        <f>934.13</f>
        <v>934.13</v>
      </c>
      <c r="M3486">
        <f>3731</f>
        <v>3731</v>
      </c>
      <c r="N3486">
        <f>142.464</f>
        <v>142.464</v>
      </c>
      <c r="O3486">
        <f>1452.04</f>
        <v>1452.04</v>
      </c>
      <c r="P3486">
        <f>86.14</f>
        <v>86.14</v>
      </c>
      <c r="Q3486">
        <f>790.53</f>
        <v>790.53</v>
      </c>
      <c r="R3486">
        <f>1828.81</f>
        <v>1828.81</v>
      </c>
      <c r="S3486">
        <f>1113.13</f>
        <v>1113.1300000000001</v>
      </c>
      <c r="T3486">
        <f>1242.502</f>
        <v>1242.502</v>
      </c>
      <c r="U3486">
        <f>27280.58</f>
        <v>27280.58</v>
      </c>
      <c r="V3486">
        <f>171</f>
        <v>171</v>
      </c>
    </row>
    <row r="3487" spans="1:22" x14ac:dyDescent="0.2">
      <c r="A3487" s="1">
        <v>40226</v>
      </c>
      <c r="B3487">
        <f>2137.97</f>
        <v>2137.9699999999998</v>
      </c>
      <c r="C3487">
        <f>7114.38</f>
        <v>7114.38</v>
      </c>
      <c r="D3487">
        <f>3353.83</f>
        <v>3353.83</v>
      </c>
      <c r="E3487">
        <f>1655.216</f>
        <v>1655.2159999999999</v>
      </c>
      <c r="F3487">
        <f>1117.41</f>
        <v>1117.4100000000001</v>
      </c>
      <c r="G3487">
        <f>5364.794</f>
        <v>5364.7939999999999</v>
      </c>
      <c r="H3487">
        <f>1751.58</f>
        <v>1751.58</v>
      </c>
      <c r="I3487">
        <f>5768.837</f>
        <v>5768.8370000000004</v>
      </c>
      <c r="J3487">
        <f>1280.09</f>
        <v>1280.0899999999999</v>
      </c>
      <c r="K3487">
        <f>3780.27</f>
        <v>3780.27</v>
      </c>
      <c r="L3487">
        <f>930.07</f>
        <v>930.07</v>
      </c>
      <c r="M3487">
        <f>3713.99</f>
        <v>3713.99</v>
      </c>
      <c r="N3487">
        <f>141.976</f>
        <v>141.976</v>
      </c>
      <c r="O3487">
        <f>1443.88</f>
        <v>1443.88</v>
      </c>
      <c r="P3487">
        <f>85.87</f>
        <v>85.87</v>
      </c>
      <c r="Q3487">
        <f>784.78</f>
        <v>784.78</v>
      </c>
      <c r="R3487">
        <f>1816.7</f>
        <v>1816.7</v>
      </c>
      <c r="S3487">
        <f>1113</f>
        <v>1113</v>
      </c>
      <c r="T3487">
        <f>1240.506</f>
        <v>1240.5060000000001</v>
      </c>
      <c r="U3487">
        <f>27192.58</f>
        <v>27192.58</v>
      </c>
      <c r="V3487">
        <f>170.92</f>
        <v>170.92</v>
      </c>
    </row>
    <row r="3488" spans="1:22" x14ac:dyDescent="0.2">
      <c r="A3488" s="1">
        <v>40225</v>
      </c>
      <c r="B3488">
        <f>2116.19</f>
        <v>2116.19</v>
      </c>
      <c r="C3488">
        <f>7016.92</f>
        <v>7016.92</v>
      </c>
      <c r="D3488">
        <f>3328.55</f>
        <v>3328.55</v>
      </c>
      <c r="E3488">
        <f>1633.224</f>
        <v>1633.2239999999999</v>
      </c>
      <c r="F3488">
        <f>1109.9</f>
        <v>1109.9000000000001</v>
      </c>
      <c r="G3488">
        <f>5309.291</f>
        <v>5309.2910000000002</v>
      </c>
      <c r="H3488">
        <f>1738.52</f>
        <v>1738.52</v>
      </c>
      <c r="I3488">
        <f>5712.929</f>
        <v>5712.9290000000001</v>
      </c>
      <c r="J3488">
        <f>1277.02</f>
        <v>1277.02</v>
      </c>
      <c r="K3488">
        <f>3762.52</f>
        <v>3762.52</v>
      </c>
      <c r="L3488">
        <f>923.73</f>
        <v>923.73</v>
      </c>
      <c r="M3488">
        <f>3683.89</f>
        <v>3683.89</v>
      </c>
      <c r="N3488">
        <f>140.24</f>
        <v>140.24</v>
      </c>
      <c r="O3488">
        <f>1424.33</f>
        <v>1424.33</v>
      </c>
      <c r="P3488">
        <f>84.55</f>
        <v>84.55</v>
      </c>
      <c r="Q3488">
        <f>778.8</f>
        <v>778.8</v>
      </c>
      <c r="R3488">
        <f>1808.72</f>
        <v>1808.72</v>
      </c>
      <c r="S3488">
        <f>1089.03</f>
        <v>1089.03</v>
      </c>
      <c r="T3488">
        <f>1228.864</f>
        <v>1228.864</v>
      </c>
      <c r="U3488">
        <f>26939.8</f>
        <v>26939.8</v>
      </c>
      <c r="V3488">
        <f>168.63</f>
        <v>168.63</v>
      </c>
    </row>
    <row r="3489" spans="1:22" x14ac:dyDescent="0.2">
      <c r="A3489" s="1">
        <v>40224</v>
      </c>
      <c r="B3489">
        <f>2099.21</f>
        <v>2099.21</v>
      </c>
      <c r="C3489">
        <f>6975.55</f>
        <v>6975.55</v>
      </c>
      <c r="D3489">
        <f>3279.94</f>
        <v>3279.94</v>
      </c>
      <c r="E3489">
        <f>1619.467</f>
        <v>1619.4670000000001</v>
      </c>
      <c r="F3489">
        <f>1103.83</f>
        <v>1103.83</v>
      </c>
      <c r="G3489">
        <f>5223.672</f>
        <v>5223.6719999999996</v>
      </c>
      <c r="H3489">
        <f>1740.72</f>
        <v>1740.72</v>
      </c>
      <c r="I3489">
        <f>5606.255</f>
        <v>5606.2550000000001</v>
      </c>
      <c r="J3489">
        <f>1257.05</f>
        <v>1257.05</v>
      </c>
      <c r="K3489">
        <f>3695.97</f>
        <v>3695.97</v>
      </c>
      <c r="L3489">
        <f>909.47</f>
        <v>909.47</v>
      </c>
      <c r="M3489">
        <f>3626.5</f>
        <v>3626.5</v>
      </c>
      <c r="N3489">
        <f>139.714</f>
        <v>139.714</v>
      </c>
      <c r="O3489">
        <f>1409.18</f>
        <v>1409.18</v>
      </c>
      <c r="P3489">
        <f>84.6</f>
        <v>84.6</v>
      </c>
      <c r="Q3489" t="e">
        <f>NA()</f>
        <v>#N/A</v>
      </c>
      <c r="R3489" t="e">
        <f>NA()</f>
        <v>#N/A</v>
      </c>
      <c r="S3489">
        <f>1086.93</f>
        <v>1086.93</v>
      </c>
      <c r="T3489">
        <f>1224.213</f>
        <v>1224.213</v>
      </c>
      <c r="U3489">
        <f>26701.36</f>
        <v>26701.360000000001</v>
      </c>
      <c r="V3489">
        <f>168.43</f>
        <v>168.43</v>
      </c>
    </row>
    <row r="3490" spans="1:22" x14ac:dyDescent="0.2">
      <c r="A3490" s="1">
        <v>40221</v>
      </c>
      <c r="B3490">
        <f>2095.03</f>
        <v>2095.0300000000002</v>
      </c>
      <c r="C3490">
        <f>6945.76</f>
        <v>6945.76</v>
      </c>
      <c r="D3490">
        <f>3264.06</f>
        <v>3264.06</v>
      </c>
      <c r="E3490">
        <f>1614.253</f>
        <v>1614.2529999999999</v>
      </c>
      <c r="F3490">
        <f>1101.05</f>
        <v>1101.05</v>
      </c>
      <c r="G3490">
        <f>5194.284</f>
        <v>5194.2839999999997</v>
      </c>
      <c r="H3490">
        <f>1754.43</f>
        <v>1754.43</v>
      </c>
      <c r="I3490">
        <f>5597.696</f>
        <v>5597.6959999999999</v>
      </c>
      <c r="J3490">
        <f>1257.05</f>
        <v>1257.05</v>
      </c>
      <c r="K3490">
        <f>3695.97</f>
        <v>3695.97</v>
      </c>
      <c r="L3490">
        <f>907.77</f>
        <v>907.77</v>
      </c>
      <c r="M3490">
        <f>3625.91</f>
        <v>3625.91</v>
      </c>
      <c r="N3490">
        <f>139.57</f>
        <v>139.57</v>
      </c>
      <c r="O3490">
        <f>1404.1</f>
        <v>1404.1</v>
      </c>
      <c r="P3490">
        <f>84.95</f>
        <v>84.95</v>
      </c>
      <c r="Q3490">
        <f>767.43</f>
        <v>767.43</v>
      </c>
      <c r="R3490">
        <f>1776.5</f>
        <v>1776.5</v>
      </c>
      <c r="S3490">
        <f>1097.62</f>
        <v>1097.6199999999999</v>
      </c>
      <c r="T3490">
        <f>1218.063</f>
        <v>1218.0630000000001</v>
      </c>
      <c r="U3490">
        <f>26262.41</f>
        <v>26262.41</v>
      </c>
      <c r="V3490">
        <f>166.22</f>
        <v>166.22</v>
      </c>
    </row>
    <row r="3491" spans="1:22" x14ac:dyDescent="0.2">
      <c r="A3491" s="1">
        <v>40220</v>
      </c>
      <c r="B3491">
        <f>2094.01</f>
        <v>2094.0100000000002</v>
      </c>
      <c r="C3491">
        <f>6957.81</f>
        <v>6957.81</v>
      </c>
      <c r="D3491">
        <f>3276.13</f>
        <v>3276.13</v>
      </c>
      <c r="E3491">
        <f>1616.082</f>
        <v>1616.0820000000001</v>
      </c>
      <c r="F3491">
        <f>1095.82</f>
        <v>1095.82</v>
      </c>
      <c r="G3491">
        <f>5202.556</f>
        <v>5202.5559999999996</v>
      </c>
      <c r="H3491">
        <f>1733.31</f>
        <v>1733.31</v>
      </c>
      <c r="I3491">
        <f>5614.708</f>
        <v>5614.7079999999996</v>
      </c>
      <c r="J3491">
        <f>1260.01</f>
        <v>1260.01</v>
      </c>
      <c r="K3491">
        <f>3704.38</f>
        <v>3704.38</v>
      </c>
      <c r="L3491">
        <f>908.89</f>
        <v>908.89</v>
      </c>
      <c r="M3491">
        <f>3628.64</f>
        <v>3628.64</v>
      </c>
      <c r="N3491">
        <f>139.089</f>
        <v>139.089</v>
      </c>
      <c r="O3491">
        <f>1408.23</f>
        <v>1408.23</v>
      </c>
      <c r="P3491" t="e">
        <f>NA()</f>
        <v>#N/A</v>
      </c>
      <c r="Q3491">
        <f>769.76</f>
        <v>769.76</v>
      </c>
      <c r="R3491">
        <f>1781.01</f>
        <v>1781.01</v>
      </c>
      <c r="S3491" t="e">
        <f>NA()</f>
        <v>#N/A</v>
      </c>
      <c r="T3491">
        <f>1224.103</f>
        <v>1224.1030000000001</v>
      </c>
      <c r="U3491">
        <f>26350.6</f>
        <v>26350.6</v>
      </c>
      <c r="V3491">
        <f>167.36</f>
        <v>167.36</v>
      </c>
    </row>
    <row r="3492" spans="1:22" x14ac:dyDescent="0.2">
      <c r="A3492" s="1">
        <v>40219</v>
      </c>
      <c r="B3492">
        <f>2096.67</f>
        <v>2096.67</v>
      </c>
      <c r="C3492">
        <f>6893.26</f>
        <v>6893.26</v>
      </c>
      <c r="D3492">
        <f>3257.42</f>
        <v>3257.42</v>
      </c>
      <c r="E3492">
        <f>1597.755</f>
        <v>1597.7550000000001</v>
      </c>
      <c r="F3492">
        <f>1088.63</f>
        <v>1088.6300000000001</v>
      </c>
      <c r="G3492">
        <f>5167.188</f>
        <v>5167.1880000000001</v>
      </c>
      <c r="H3492">
        <f>1732.15</f>
        <v>1732.15</v>
      </c>
      <c r="I3492">
        <f>5660.475</f>
        <v>5660.4750000000004</v>
      </c>
      <c r="J3492">
        <f>1247.23</f>
        <v>1247.23</v>
      </c>
      <c r="K3492">
        <f>3666.99</f>
        <v>3666.99</v>
      </c>
      <c r="L3492">
        <f>904.36</f>
        <v>904.36</v>
      </c>
      <c r="M3492">
        <f>3606.04</f>
        <v>3606.04</v>
      </c>
      <c r="N3492">
        <f>137.871</f>
        <v>137.87100000000001</v>
      </c>
      <c r="O3492">
        <f>1402.02</f>
        <v>1402.02</v>
      </c>
      <c r="P3492">
        <f>84.4</f>
        <v>84.4</v>
      </c>
      <c r="Q3492">
        <f>763.2</f>
        <v>763.2</v>
      </c>
      <c r="R3492">
        <f>1763.69</f>
        <v>1763.69</v>
      </c>
      <c r="S3492">
        <f>1086.96</f>
        <v>1086.96</v>
      </c>
      <c r="T3492">
        <f>1218.133</f>
        <v>1218.133</v>
      </c>
      <c r="U3492">
        <f>26359.17</f>
        <v>26359.17</v>
      </c>
      <c r="V3492">
        <f>166.87</f>
        <v>166.87</v>
      </c>
    </row>
    <row r="3493" spans="1:22" x14ac:dyDescent="0.2">
      <c r="A3493" s="1">
        <v>40218</v>
      </c>
      <c r="B3493">
        <f>2080.09</f>
        <v>2080.09</v>
      </c>
      <c r="C3493">
        <f>6870.18</f>
        <v>6870.18</v>
      </c>
      <c r="D3493">
        <f>3238.01</f>
        <v>3238.01</v>
      </c>
      <c r="E3493">
        <f>1591.056</f>
        <v>1591.056</v>
      </c>
      <c r="F3493">
        <f>1084.8</f>
        <v>1084.8</v>
      </c>
      <c r="G3493">
        <f>5140.898</f>
        <v>5140.8980000000001</v>
      </c>
      <c r="H3493">
        <f>1741.43</f>
        <v>1741.43</v>
      </c>
      <c r="I3493">
        <f>5632.515</f>
        <v>5632.5150000000003</v>
      </c>
      <c r="J3493">
        <f>1250.6</f>
        <v>1250.5999999999999</v>
      </c>
      <c r="K3493">
        <f>3674.6</f>
        <v>3674.6</v>
      </c>
      <c r="L3493">
        <f>902.43</f>
        <v>902.43</v>
      </c>
      <c r="M3493">
        <f>3603.89</f>
        <v>3603.89</v>
      </c>
      <c r="N3493">
        <f>137.084</f>
        <v>137.084</v>
      </c>
      <c r="O3493">
        <f>1391.79</f>
        <v>1391.79</v>
      </c>
      <c r="P3493">
        <f>84.22</f>
        <v>84.22</v>
      </c>
      <c r="Q3493">
        <f>765.6</f>
        <v>765.6</v>
      </c>
      <c r="R3493">
        <f>1767.18</f>
        <v>1767.18</v>
      </c>
      <c r="S3493">
        <f>1084.59</f>
        <v>1084.5899999999999</v>
      </c>
      <c r="T3493">
        <f>1217.059</f>
        <v>1217.059</v>
      </c>
      <c r="U3493">
        <f>26455.1</f>
        <v>26455.1</v>
      </c>
      <c r="V3493">
        <f>166.3</f>
        <v>166.3</v>
      </c>
    </row>
    <row r="3494" spans="1:22" x14ac:dyDescent="0.2">
      <c r="A3494" s="1">
        <v>40217</v>
      </c>
      <c r="B3494">
        <f>2088.65</f>
        <v>2088.65</v>
      </c>
      <c r="C3494">
        <f>6752.06</f>
        <v>6752.06</v>
      </c>
      <c r="D3494">
        <f>3225.65</f>
        <v>3225.65</v>
      </c>
      <c r="E3494">
        <f>1565.471</f>
        <v>1565.471</v>
      </c>
      <c r="F3494">
        <f>1090.59</f>
        <v>1090.5899999999999</v>
      </c>
      <c r="G3494">
        <f>5133.816</f>
        <v>5133.8159999999998</v>
      </c>
      <c r="H3494">
        <f>1764.42</f>
        <v>1764.42</v>
      </c>
      <c r="I3494">
        <f>5604.394</f>
        <v>5604.3940000000002</v>
      </c>
      <c r="J3494">
        <f>1235.07</f>
        <v>1235.07</v>
      </c>
      <c r="K3494">
        <f>3628.08</f>
        <v>3628.08</v>
      </c>
      <c r="L3494">
        <f>898.36</f>
        <v>898.36</v>
      </c>
      <c r="M3494">
        <f>3575.81</f>
        <v>3575.81</v>
      </c>
      <c r="N3494">
        <f>137.445</f>
        <v>137.44499999999999</v>
      </c>
      <c r="O3494">
        <f>1390.85</f>
        <v>1390.85</v>
      </c>
      <c r="P3494">
        <f>84.95</f>
        <v>84.95</v>
      </c>
      <c r="Q3494">
        <f>755.75</f>
        <v>755.75</v>
      </c>
      <c r="R3494">
        <f>1744.37</f>
        <v>1744.37</v>
      </c>
      <c r="S3494">
        <f>1086.36</f>
        <v>1086.3599999999999</v>
      </c>
      <c r="T3494">
        <f>1205.349</f>
        <v>1205.3489999999999</v>
      </c>
      <c r="U3494">
        <f>26041.96</f>
        <v>26041.96</v>
      </c>
      <c r="V3494">
        <f>165.43</f>
        <v>165.43</v>
      </c>
    </row>
    <row r="3495" spans="1:22" x14ac:dyDescent="0.2">
      <c r="A3495" s="1">
        <v>40214</v>
      </c>
      <c r="B3495">
        <f>2086.08</f>
        <v>2086.08</v>
      </c>
      <c r="C3495">
        <f>6759.01</f>
        <v>6759.01</v>
      </c>
      <c r="D3495">
        <f>3205.75</f>
        <v>3205.75</v>
      </c>
      <c r="E3495">
        <f>1571.81</f>
        <v>1571.81</v>
      </c>
      <c r="F3495">
        <f>1080.16</f>
        <v>1080.1600000000001</v>
      </c>
      <c r="G3495">
        <f>5103.848</f>
        <v>5103.848</v>
      </c>
      <c r="H3495">
        <f>1768.94</f>
        <v>1768.94</v>
      </c>
      <c r="I3495">
        <f>5547.013</f>
        <v>5547.0129999999999</v>
      </c>
      <c r="J3495">
        <f>1245.02</f>
        <v>1245.02</v>
      </c>
      <c r="K3495">
        <f>3657.94</f>
        <v>3657.94</v>
      </c>
      <c r="L3495">
        <f>895.52</f>
        <v>895.52</v>
      </c>
      <c r="M3495">
        <f>3584.58</f>
        <v>3584.58</v>
      </c>
      <c r="N3495">
        <f>136.54</f>
        <v>136.54</v>
      </c>
      <c r="O3495">
        <f>1382.39</f>
        <v>1382.39</v>
      </c>
      <c r="P3495">
        <f>85.41</f>
        <v>85.41</v>
      </c>
      <c r="Q3495">
        <f>761.27</f>
        <v>761.27</v>
      </c>
      <c r="R3495">
        <f>1759.38</f>
        <v>1759.38</v>
      </c>
      <c r="S3495">
        <f>1097.15</f>
        <v>1097.1500000000001</v>
      </c>
      <c r="T3495">
        <f>1205.935</f>
        <v>1205.9349999999999</v>
      </c>
      <c r="U3495">
        <f>25793.06</f>
        <v>25793.06</v>
      </c>
      <c r="V3495">
        <f>165.32</f>
        <v>165.32</v>
      </c>
    </row>
    <row r="3496" spans="1:22" x14ac:dyDescent="0.2">
      <c r="A3496" s="1">
        <v>40213</v>
      </c>
      <c r="B3496">
        <f>2115.78</f>
        <v>2115.7800000000002</v>
      </c>
      <c r="C3496">
        <f>6950.21</f>
        <v>6950.21</v>
      </c>
      <c r="D3496">
        <f>3255.07</f>
        <v>3255.07</v>
      </c>
      <c r="E3496">
        <f>1621.957</f>
        <v>1621.9570000000001</v>
      </c>
      <c r="F3496">
        <f>1100.87</f>
        <v>1100.8699999999999</v>
      </c>
      <c r="G3496">
        <f>5229.037</f>
        <v>5229.0370000000003</v>
      </c>
      <c r="H3496">
        <f>1780.95</f>
        <v>1780.95</v>
      </c>
      <c r="I3496">
        <f>5727.428</f>
        <v>5727.4279999999999</v>
      </c>
      <c r="J3496">
        <f>1246.54</f>
        <v>1246.54</v>
      </c>
      <c r="K3496">
        <f>3648.27</f>
        <v>3648.27</v>
      </c>
      <c r="L3496">
        <f>909.94</f>
        <v>909.94</v>
      </c>
      <c r="M3496">
        <f>3620.06</f>
        <v>3620.06</v>
      </c>
      <c r="N3496">
        <f>138.771</f>
        <v>138.77099999999999</v>
      </c>
      <c r="O3496">
        <f>1411.39</f>
        <v>1411.39</v>
      </c>
      <c r="P3496">
        <f>87.63</f>
        <v>87.63</v>
      </c>
      <c r="Q3496">
        <f>762.49</f>
        <v>762.49</v>
      </c>
      <c r="R3496">
        <f>1754.3</f>
        <v>1754.3</v>
      </c>
      <c r="S3496">
        <f>1120.91</f>
        <v>1120.9100000000001</v>
      </c>
      <c r="T3496">
        <f>1224.963</f>
        <v>1224.963</v>
      </c>
      <c r="U3496">
        <f>26318.36</f>
        <v>26318.36</v>
      </c>
      <c r="V3496">
        <f>167.4</f>
        <v>167.4</v>
      </c>
    </row>
    <row r="3497" spans="1:22" x14ac:dyDescent="0.2">
      <c r="A3497" s="1">
        <v>40212</v>
      </c>
      <c r="B3497">
        <f>2153.54</f>
        <v>2153.54</v>
      </c>
      <c r="C3497">
        <f>7178.77</f>
        <v>7178.77</v>
      </c>
      <c r="D3497">
        <f>3327.18</f>
        <v>3327.18</v>
      </c>
      <c r="E3497">
        <f>1667.127</f>
        <v>1667.127</v>
      </c>
      <c r="F3497">
        <f>1111.87</f>
        <v>1111.8699999999999</v>
      </c>
      <c r="G3497">
        <f>5394.63</f>
        <v>5394.63</v>
      </c>
      <c r="H3497">
        <f>1760.99</f>
        <v>1760.99</v>
      </c>
      <c r="I3497">
        <f>5958.539</f>
        <v>5958.5389999999998</v>
      </c>
      <c r="J3497">
        <f>1279.51</f>
        <v>1279.51</v>
      </c>
      <c r="K3497">
        <f>3765.17</f>
        <v>3765.17</v>
      </c>
      <c r="L3497">
        <f>935.36</f>
        <v>935.36</v>
      </c>
      <c r="M3497">
        <f>3726.46</f>
        <v>3726.46</v>
      </c>
      <c r="N3497">
        <f>141.747</f>
        <v>141.74700000000001</v>
      </c>
      <c r="O3497">
        <f>1449.61</f>
        <v>1449.61</v>
      </c>
      <c r="P3497">
        <f>86.98</f>
        <v>86.98</v>
      </c>
      <c r="Q3497">
        <f>781.01</f>
        <v>781.01</v>
      </c>
      <c r="R3497">
        <f>1810.64</f>
        <v>1810.64</v>
      </c>
      <c r="S3497">
        <f>1126.56</f>
        <v>1126.56</v>
      </c>
      <c r="T3497">
        <f>1230.088</f>
        <v>1230.088</v>
      </c>
      <c r="U3497">
        <f>26926.46</f>
        <v>26926.46</v>
      </c>
      <c r="V3497">
        <f>167.81</f>
        <v>167.81</v>
      </c>
    </row>
    <row r="3498" spans="1:22" x14ac:dyDescent="0.2">
      <c r="A3498" s="1">
        <v>40211</v>
      </c>
      <c r="B3498">
        <f>2167.38</f>
        <v>2167.38</v>
      </c>
      <c r="C3498">
        <f>7109.52</f>
        <v>7109.52</v>
      </c>
      <c r="D3498">
        <f>3342.34</f>
        <v>3342.34</v>
      </c>
      <c r="E3498">
        <f>1646.31</f>
        <v>1646.31</v>
      </c>
      <c r="F3498">
        <f>1119.93</f>
        <v>1119.93</v>
      </c>
      <c r="G3498">
        <f>5431.176</f>
        <v>5431.1760000000004</v>
      </c>
      <c r="H3498">
        <f>1762.55</f>
        <v>1762.55</v>
      </c>
      <c r="I3498">
        <f>6010.215</f>
        <v>6010.2150000000001</v>
      </c>
      <c r="J3498">
        <f>1288.48</f>
        <v>1288.48</v>
      </c>
      <c r="K3498">
        <f>3784.73</f>
        <v>3784.73</v>
      </c>
      <c r="L3498">
        <f>941.94</f>
        <v>941.94</v>
      </c>
      <c r="M3498">
        <f>3745.17</f>
        <v>3745.17</v>
      </c>
      <c r="N3498">
        <f>142.419</f>
        <v>142.41900000000001</v>
      </c>
      <c r="O3498">
        <f>1457.28</f>
        <v>1457.28</v>
      </c>
      <c r="P3498">
        <f>86.31</f>
        <v>86.31</v>
      </c>
      <c r="Q3498">
        <f>784.41</f>
        <v>784.41</v>
      </c>
      <c r="R3498">
        <f>1819.99</f>
        <v>1819.99</v>
      </c>
      <c r="S3498">
        <f>1123.04</f>
        <v>1123.04</v>
      </c>
      <c r="T3498">
        <f>1220.505</f>
        <v>1220.5050000000001</v>
      </c>
      <c r="U3498">
        <f>26812.25</f>
        <v>26812.25</v>
      </c>
      <c r="V3498">
        <f>166.09</f>
        <v>166.09</v>
      </c>
    </row>
    <row r="3499" spans="1:22" x14ac:dyDescent="0.2">
      <c r="A3499" s="1">
        <v>40210</v>
      </c>
      <c r="B3499">
        <f>2155.14</f>
        <v>2155.14</v>
      </c>
      <c r="C3499">
        <f>7063.96</f>
        <v>7063.96</v>
      </c>
      <c r="D3499">
        <f>3319.63</f>
        <v>3319.63</v>
      </c>
      <c r="E3499">
        <f>1634.893</f>
        <v>1634.893</v>
      </c>
      <c r="F3499">
        <f>1110.39</f>
        <v>1110.3900000000001</v>
      </c>
      <c r="G3499">
        <f>5372.907</f>
        <v>5372.9070000000002</v>
      </c>
      <c r="H3499">
        <f>1746.54</f>
        <v>1746.54</v>
      </c>
      <c r="I3499">
        <f>5924.037</f>
        <v>5924.0370000000003</v>
      </c>
      <c r="J3499">
        <f>1268.23</f>
        <v>1268.23</v>
      </c>
      <c r="K3499">
        <f>3736.24</f>
        <v>3736.24</v>
      </c>
      <c r="L3499">
        <f>930.86</f>
        <v>930.86</v>
      </c>
      <c r="M3499">
        <f>3693.91</f>
        <v>3693.91</v>
      </c>
      <c r="N3499">
        <f>141.693</f>
        <v>141.69300000000001</v>
      </c>
      <c r="O3499">
        <f>1444.31</f>
        <v>1444.31</v>
      </c>
      <c r="P3499">
        <f>85.32</f>
        <v>85.32</v>
      </c>
      <c r="Q3499">
        <f>772.85</f>
        <v>772.85</v>
      </c>
      <c r="R3499">
        <f>1796.67</f>
        <v>1796.67</v>
      </c>
      <c r="S3499">
        <f>1105.56</f>
        <v>1105.56</v>
      </c>
      <c r="T3499">
        <f>1212.92</f>
        <v>1212.92</v>
      </c>
      <c r="U3499">
        <f>26487.48</f>
        <v>26487.48</v>
      </c>
      <c r="V3499">
        <f>165.56</f>
        <v>165.56</v>
      </c>
    </row>
    <row r="3500" spans="1:22" x14ac:dyDescent="0.2">
      <c r="A3500" s="1">
        <v>40207</v>
      </c>
      <c r="B3500">
        <f>2131.77</f>
        <v>2131.77</v>
      </c>
      <c r="C3500">
        <f>7053.59</f>
        <v>7053.59</v>
      </c>
      <c r="D3500">
        <f>3282.37</f>
        <v>3282.37</v>
      </c>
      <c r="E3500">
        <f>1633.76</f>
        <v>1633.76</v>
      </c>
      <c r="F3500">
        <f>1111.67</f>
        <v>1111.67</v>
      </c>
      <c r="G3500">
        <f>5352.885</f>
        <v>5352.8850000000002</v>
      </c>
      <c r="H3500">
        <f>1733.74</f>
        <v>1733.74</v>
      </c>
      <c r="I3500">
        <f>5883.771</f>
        <v>5883.7709999999997</v>
      </c>
      <c r="J3500">
        <f>1256.18</f>
        <v>1256.18</v>
      </c>
      <c r="K3500">
        <f>3683.7</f>
        <v>3683.7</v>
      </c>
      <c r="L3500">
        <f>926.33</f>
        <v>926.33</v>
      </c>
      <c r="M3500">
        <f>3661.75</f>
        <v>3661.75</v>
      </c>
      <c r="N3500">
        <f>141.52</f>
        <v>141.52000000000001</v>
      </c>
      <c r="O3500">
        <f>1435.89</f>
        <v>1435.89</v>
      </c>
      <c r="P3500">
        <f>85.14</f>
        <v>85.14</v>
      </c>
      <c r="Q3500">
        <f>766.24</f>
        <v>766.24</v>
      </c>
      <c r="R3500">
        <f>1771.4</f>
        <v>1771.4</v>
      </c>
      <c r="S3500">
        <f>1108.64</f>
        <v>1108.6400000000001</v>
      </c>
      <c r="T3500">
        <f>1212.236</f>
        <v>1212.2360000000001</v>
      </c>
      <c r="U3500">
        <f>26675.95</f>
        <v>26675.95</v>
      </c>
      <c r="V3500">
        <f>166.41</f>
        <v>166.41</v>
      </c>
    </row>
    <row r="3501" spans="1:22" x14ac:dyDescent="0.2">
      <c r="A3501" s="1">
        <v>40206</v>
      </c>
      <c r="B3501">
        <f>2124.02</f>
        <v>2124.02</v>
      </c>
      <c r="C3501">
        <f>7080.06</f>
        <v>7080.06</v>
      </c>
      <c r="D3501">
        <f>3255.31</f>
        <v>3255.31</v>
      </c>
      <c r="E3501">
        <f>1644.699</f>
        <v>1644.6990000000001</v>
      </c>
      <c r="F3501">
        <f>1114.77</f>
        <v>1114.77</v>
      </c>
      <c r="G3501">
        <f>5346.243</f>
        <v>5346.2430000000004</v>
      </c>
      <c r="H3501">
        <f>1774.22</f>
        <v>1774.22</v>
      </c>
      <c r="I3501">
        <f>5839.508</f>
        <v>5839.5079999999998</v>
      </c>
      <c r="J3501">
        <f>1265.05</f>
        <v>1265.05</v>
      </c>
      <c r="K3501">
        <f>3720.48</f>
        <v>3720.48</v>
      </c>
      <c r="L3501">
        <f>929</f>
        <v>929</v>
      </c>
      <c r="M3501">
        <f>3690.49</f>
        <v>3690.49</v>
      </c>
      <c r="N3501">
        <f>140.761</f>
        <v>140.761</v>
      </c>
      <c r="O3501">
        <f>1420.99</f>
        <v>1420.99</v>
      </c>
      <c r="P3501">
        <f>86.53</f>
        <v>86.53</v>
      </c>
      <c r="Q3501">
        <f>771.17</f>
        <v>771.17</v>
      </c>
      <c r="R3501">
        <f>1788.97</f>
        <v>1788.97</v>
      </c>
      <c r="S3501">
        <f>1124.89</f>
        <v>1124.8900000000001</v>
      </c>
      <c r="T3501">
        <f>1209.552</f>
        <v>1209.5519999999999</v>
      </c>
      <c r="U3501">
        <f>26795.3</f>
        <v>26795.3</v>
      </c>
      <c r="V3501">
        <f>166.02</f>
        <v>166.02</v>
      </c>
    </row>
    <row r="3502" spans="1:22" x14ac:dyDescent="0.2">
      <c r="A3502" s="1">
        <v>40205</v>
      </c>
      <c r="B3502">
        <f>2142.01</f>
        <v>2142.0100000000002</v>
      </c>
      <c r="C3502">
        <f>6995.34</f>
        <v>6995.34</v>
      </c>
      <c r="D3502">
        <f>3300.69</f>
        <v>3300.69</v>
      </c>
      <c r="E3502">
        <f>1624.751</f>
        <v>1624.751</v>
      </c>
      <c r="F3502">
        <f>1140.06</f>
        <v>1140.06</v>
      </c>
      <c r="G3502">
        <f>5438.917</f>
        <v>5438.9170000000004</v>
      </c>
      <c r="H3502">
        <f>1779.91</f>
        <v>1779.91</v>
      </c>
      <c r="I3502">
        <f>5940.259</f>
        <v>5940.259</v>
      </c>
      <c r="J3502">
        <f>1275.63</f>
        <v>1275.6300000000001</v>
      </c>
      <c r="K3502">
        <f>3765.61</f>
        <v>3765.61</v>
      </c>
      <c r="L3502">
        <f>939.6</f>
        <v>939.6</v>
      </c>
      <c r="M3502">
        <f>3729.32</f>
        <v>3729.32</v>
      </c>
      <c r="N3502">
        <f>141.762</f>
        <v>141.762</v>
      </c>
      <c r="O3502">
        <f>1438.13</f>
        <v>1438.13</v>
      </c>
      <c r="P3502">
        <f>86.02</f>
        <v>86.02</v>
      </c>
      <c r="Q3502">
        <f>776.46</f>
        <v>776.46</v>
      </c>
      <c r="R3502">
        <f>1810.21</f>
        <v>1810.21</v>
      </c>
      <c r="S3502">
        <f>1116.71</f>
        <v>1116.71</v>
      </c>
      <c r="T3502">
        <f>1200.436</f>
        <v>1200.4359999999999</v>
      </c>
      <c r="U3502">
        <f>26802.13</f>
        <v>26802.13</v>
      </c>
      <c r="V3502">
        <f>164.62</f>
        <v>164.62</v>
      </c>
    </row>
    <row r="3503" spans="1:22" x14ac:dyDescent="0.2">
      <c r="A3503" s="1">
        <v>40204</v>
      </c>
      <c r="B3503">
        <f>2161.65</f>
        <v>2161.65</v>
      </c>
      <c r="C3503">
        <f>7027.07</f>
        <v>7027.07</v>
      </c>
      <c r="D3503">
        <f>3337.85</f>
        <v>3337.85</v>
      </c>
      <c r="E3503">
        <f>1640.981</f>
        <v>1640.981</v>
      </c>
      <c r="F3503">
        <f>1146.94</f>
        <v>1146.94</v>
      </c>
      <c r="G3503">
        <f>5486.263</f>
        <v>5486.2629999999999</v>
      </c>
      <c r="H3503">
        <f>1773</f>
        <v>1773</v>
      </c>
      <c r="I3503">
        <f>6000.405</f>
        <v>6000.4049999999997</v>
      </c>
      <c r="J3503">
        <f>1272.2</f>
        <v>1272.2</v>
      </c>
      <c r="K3503">
        <f>3747.71</f>
        <v>3747.71</v>
      </c>
      <c r="L3503">
        <f>945.01</f>
        <v>945.01</v>
      </c>
      <c r="M3503">
        <f>3739.18</f>
        <v>3739.18</v>
      </c>
      <c r="N3503">
        <f>142.403</f>
        <v>142.40299999999999</v>
      </c>
      <c r="O3503">
        <f>1450.22</f>
        <v>1450.22</v>
      </c>
      <c r="P3503">
        <f>86.27</f>
        <v>86.27</v>
      </c>
      <c r="Q3503">
        <f>774.77</f>
        <v>774.77</v>
      </c>
      <c r="R3503">
        <f>1801.34</f>
        <v>1801.34</v>
      </c>
      <c r="S3503">
        <f>1127.44</f>
        <v>1127.44</v>
      </c>
      <c r="T3503">
        <f>1190.818</f>
        <v>1190.818</v>
      </c>
      <c r="U3503">
        <f>26652.05</f>
        <v>26652.05</v>
      </c>
      <c r="V3503">
        <f>164.31</f>
        <v>164.31</v>
      </c>
    </row>
    <row r="3504" spans="1:22" x14ac:dyDescent="0.2">
      <c r="A3504" s="1">
        <v>40203</v>
      </c>
      <c r="B3504">
        <f>2153.44</f>
        <v>2153.44</v>
      </c>
      <c r="C3504">
        <f>7173.7</f>
        <v>7173.7</v>
      </c>
      <c r="D3504">
        <f>3327.39</f>
        <v>3327.39</v>
      </c>
      <c r="E3504">
        <f>1677.697</f>
        <v>1677.6969999999999</v>
      </c>
      <c r="F3504">
        <f>1139.73</f>
        <v>1139.73</v>
      </c>
      <c r="G3504">
        <f>5488.737</f>
        <v>5488.7370000000001</v>
      </c>
      <c r="H3504">
        <f>1787.69</f>
        <v>1787.69</v>
      </c>
      <c r="I3504">
        <f>6018.339</f>
        <v>6018.3389999999999</v>
      </c>
      <c r="J3504">
        <f>1275.02</f>
        <v>1275.02</v>
      </c>
      <c r="K3504">
        <f>3763.7</f>
        <v>3763.7</v>
      </c>
      <c r="L3504">
        <f>946.41</f>
        <v>946.41</v>
      </c>
      <c r="M3504">
        <f>3757.29</f>
        <v>3757.29</v>
      </c>
      <c r="N3504">
        <f>141.679</f>
        <v>141.679</v>
      </c>
      <c r="O3504">
        <f>1444.42</f>
        <v>1444.42</v>
      </c>
      <c r="P3504">
        <f>87.66</f>
        <v>87.66</v>
      </c>
      <c r="Q3504">
        <f>775.44</f>
        <v>775.44</v>
      </c>
      <c r="R3504">
        <f>1808.93</f>
        <v>1808.93</v>
      </c>
      <c r="S3504">
        <f>1149.82</f>
        <v>1149.82</v>
      </c>
      <c r="T3504">
        <f>1203.223</f>
        <v>1203.223</v>
      </c>
      <c r="U3504">
        <f>27080.04</f>
        <v>27080.04</v>
      </c>
      <c r="V3504">
        <f>165.36</f>
        <v>165.36</v>
      </c>
    </row>
    <row r="3505" spans="1:22" x14ac:dyDescent="0.2">
      <c r="A3505" s="1">
        <v>40200</v>
      </c>
      <c r="B3505">
        <f>2162.67</f>
        <v>2162.67</v>
      </c>
      <c r="C3505">
        <f>7205.49</f>
        <v>7205.49</v>
      </c>
      <c r="D3505">
        <f>3354.38</f>
        <v>3354.38</v>
      </c>
      <c r="E3505">
        <f>1686.077</f>
        <v>1686.077</v>
      </c>
      <c r="F3505">
        <f>1147.49</f>
        <v>1147.49</v>
      </c>
      <c r="G3505">
        <f>5504.803</f>
        <v>5504.8029999999999</v>
      </c>
      <c r="H3505">
        <f>1794.16</f>
        <v>1794.16</v>
      </c>
      <c r="I3505">
        <f>6054.711</f>
        <v>6054.7110000000002</v>
      </c>
      <c r="J3505">
        <f>1270.14</f>
        <v>1270.1400000000001</v>
      </c>
      <c r="K3505">
        <f>3746.99</f>
        <v>3746.99</v>
      </c>
      <c r="L3505">
        <f>949.04</f>
        <v>949.04</v>
      </c>
      <c r="M3505">
        <f>3760.23</f>
        <v>3760.23</v>
      </c>
      <c r="N3505">
        <f>142.043</f>
        <v>142.04300000000001</v>
      </c>
      <c r="O3505">
        <f>1452.11</f>
        <v>1452.11</v>
      </c>
      <c r="P3505">
        <f>88.2</f>
        <v>88.2</v>
      </c>
      <c r="Q3505">
        <f>771.44</f>
        <v>771.44</v>
      </c>
      <c r="R3505">
        <f>1800.61</f>
        <v>1800.61</v>
      </c>
      <c r="S3505">
        <f>1157.63</f>
        <v>1157.6300000000001</v>
      </c>
      <c r="T3505">
        <f>1204.343</f>
        <v>1204.3430000000001</v>
      </c>
      <c r="U3505">
        <f>27063.24</f>
        <v>27063.24</v>
      </c>
      <c r="V3505">
        <f>165.35</f>
        <v>165.35</v>
      </c>
    </row>
    <row r="3506" spans="1:22" x14ac:dyDescent="0.2">
      <c r="A3506" s="1">
        <v>40199</v>
      </c>
      <c r="B3506">
        <f>2184.06</f>
        <v>2184.06</v>
      </c>
      <c r="C3506">
        <f>7305.52</f>
        <v>7305.52</v>
      </c>
      <c r="D3506">
        <f>3374.69</f>
        <v>3374.69</v>
      </c>
      <c r="E3506">
        <f>1716.259</f>
        <v>1716.259</v>
      </c>
      <c r="F3506">
        <f>1158.79</f>
        <v>1158.79</v>
      </c>
      <c r="G3506">
        <f>5555.441</f>
        <v>5555.4409999999998</v>
      </c>
      <c r="H3506">
        <f>1790.09</f>
        <v>1790.09</v>
      </c>
      <c r="I3506">
        <f>6081.07</f>
        <v>6081.07</v>
      </c>
      <c r="J3506">
        <f>1290.12</f>
        <v>1290.1199999999999</v>
      </c>
      <c r="K3506">
        <f>3831.65</f>
        <v>3831.65</v>
      </c>
      <c r="L3506">
        <f>958.77</f>
        <v>958.77</v>
      </c>
      <c r="M3506">
        <f>3815.78</f>
        <v>3815.78</v>
      </c>
      <c r="N3506">
        <f>143.533</f>
        <v>143.53299999999999</v>
      </c>
      <c r="O3506">
        <f>1468.9</f>
        <v>1468.9</v>
      </c>
      <c r="P3506">
        <f>89.31</f>
        <v>89.31</v>
      </c>
      <c r="Q3506">
        <f>781.96</f>
        <v>781.96</v>
      </c>
      <c r="R3506">
        <f>1841.39</f>
        <v>1841.39</v>
      </c>
      <c r="S3506">
        <f>1176.19</f>
        <v>1176.19</v>
      </c>
      <c r="T3506">
        <f>1223.715</f>
        <v>1223.7149999999999</v>
      </c>
      <c r="U3506">
        <f>27489.85</f>
        <v>27489.85</v>
      </c>
      <c r="V3506">
        <f>167.48</f>
        <v>167.48</v>
      </c>
    </row>
    <row r="3507" spans="1:22" x14ac:dyDescent="0.2">
      <c r="A3507" s="1">
        <v>40198</v>
      </c>
      <c r="B3507">
        <f>2193.14</f>
        <v>2193.14</v>
      </c>
      <c r="C3507">
        <f>7437.6</f>
        <v>7437.6</v>
      </c>
      <c r="D3507">
        <f>3428.91</f>
        <v>3428.91</v>
      </c>
      <c r="E3507">
        <f>1744.598</f>
        <v>1744.598</v>
      </c>
      <c r="F3507">
        <f>1169.57</f>
        <v>1169.57</v>
      </c>
      <c r="G3507">
        <f>5680.037</f>
        <v>5680.0370000000003</v>
      </c>
      <c r="H3507">
        <f>1782.58</f>
        <v>1782.58</v>
      </c>
      <c r="I3507">
        <f>6182.978</f>
        <v>6182.9780000000001</v>
      </c>
      <c r="J3507">
        <f>1313.25</f>
        <v>1313.25</v>
      </c>
      <c r="K3507">
        <f>3902.28</f>
        <v>3902.28</v>
      </c>
      <c r="L3507">
        <f>974.05</f>
        <v>974.05</v>
      </c>
      <c r="M3507">
        <f>3873.15</f>
        <v>3873.15</v>
      </c>
      <c r="N3507">
        <f>144.737</f>
        <v>144.73699999999999</v>
      </c>
      <c r="O3507">
        <f>1491.99</f>
        <v>1491.99</v>
      </c>
      <c r="P3507">
        <f>88.7</f>
        <v>88.7</v>
      </c>
      <c r="Q3507">
        <f>794.34</f>
        <v>794.34</v>
      </c>
      <c r="R3507">
        <f>1876.9</f>
        <v>1876.9</v>
      </c>
      <c r="S3507">
        <f>1162.28</f>
        <v>1162.28</v>
      </c>
      <c r="T3507">
        <f>1230.897</f>
        <v>1230.8969999999999</v>
      </c>
      <c r="U3507">
        <f>27901.74</f>
        <v>27901.74</v>
      </c>
      <c r="V3507">
        <f>168.19</f>
        <v>168.19</v>
      </c>
    </row>
    <row r="3508" spans="1:22" x14ac:dyDescent="0.2">
      <c r="A3508" s="1">
        <v>40197</v>
      </c>
      <c r="B3508">
        <f>2206.29</f>
        <v>2206.29</v>
      </c>
      <c r="C3508">
        <f>7569.52</f>
        <v>7569.52</v>
      </c>
      <c r="D3508">
        <f>3486.02</f>
        <v>3486.02</v>
      </c>
      <c r="E3508">
        <f>1772.438</f>
        <v>1772.4380000000001</v>
      </c>
      <c r="F3508">
        <f>1183.21</f>
        <v>1183.21</v>
      </c>
      <c r="G3508">
        <f>5807.129</f>
        <v>5807.1289999999999</v>
      </c>
      <c r="H3508">
        <f>1780.14</f>
        <v>1780.14</v>
      </c>
      <c r="I3508">
        <f>6369.048</f>
        <v>6369.0479999999998</v>
      </c>
      <c r="J3508">
        <f>1324.32</f>
        <v>1324.32</v>
      </c>
      <c r="K3508">
        <f>3942.08</f>
        <v>3942.08</v>
      </c>
      <c r="L3508">
        <f>991.47</f>
        <v>991.47</v>
      </c>
      <c r="M3508">
        <f>3934.34</f>
        <v>3934.34</v>
      </c>
      <c r="N3508">
        <f>145.758</f>
        <v>145.75800000000001</v>
      </c>
      <c r="O3508">
        <f>1514.37</f>
        <v>1514.37</v>
      </c>
      <c r="P3508">
        <f>88.75</f>
        <v>88.75</v>
      </c>
      <c r="Q3508">
        <f>798.95</f>
        <v>798.95</v>
      </c>
      <c r="R3508">
        <f>1896.72</f>
        <v>1896.72</v>
      </c>
      <c r="S3508">
        <f>1168.48</f>
        <v>1168.48</v>
      </c>
      <c r="T3508">
        <f>1227.947</f>
        <v>1227.9469999999999</v>
      </c>
      <c r="U3508">
        <f>28086.66</f>
        <v>28086.66</v>
      </c>
      <c r="V3508">
        <f>166.98</f>
        <v>166.98</v>
      </c>
    </row>
    <row r="3509" spans="1:22" x14ac:dyDescent="0.2">
      <c r="A3509" s="1">
        <v>40196</v>
      </c>
      <c r="B3509">
        <f>2198.87</f>
        <v>2198.87</v>
      </c>
      <c r="C3509">
        <f>7540.96</f>
        <v>7540.96</v>
      </c>
      <c r="D3509">
        <f>3474.16</f>
        <v>3474.16</v>
      </c>
      <c r="E3509">
        <f>1770.921</f>
        <v>1770.921</v>
      </c>
      <c r="F3509">
        <f>1166.59</f>
        <v>1166.5899999999999</v>
      </c>
      <c r="G3509">
        <f>5774.592</f>
        <v>5774.5919999999996</v>
      </c>
      <c r="H3509">
        <f>1792.45</f>
        <v>1792.45</v>
      </c>
      <c r="I3509">
        <f>6377.373</f>
        <v>6377.3729999999996</v>
      </c>
      <c r="J3509">
        <f>1307.58</f>
        <v>1307.58</v>
      </c>
      <c r="K3509">
        <f>3893.03</f>
        <v>3893.03</v>
      </c>
      <c r="L3509">
        <f>985.67</f>
        <v>985.67</v>
      </c>
      <c r="M3509">
        <f>3917.63</f>
        <v>3917.63</v>
      </c>
      <c r="N3509">
        <f>143.889</f>
        <v>143.88900000000001</v>
      </c>
      <c r="O3509">
        <f>1500.8</f>
        <v>1500.8</v>
      </c>
      <c r="P3509">
        <f>89.23</f>
        <v>89.23</v>
      </c>
      <c r="Q3509" t="e">
        <f>NA()</f>
        <v>#N/A</v>
      </c>
      <c r="R3509" t="e">
        <f>NA()</f>
        <v>#N/A</v>
      </c>
      <c r="S3509">
        <f>1178.06</f>
        <v>1178.06</v>
      </c>
      <c r="T3509">
        <f>1227.545</f>
        <v>1227.5450000000001</v>
      </c>
      <c r="U3509">
        <f>28099.7</f>
        <v>28099.7</v>
      </c>
      <c r="V3509">
        <f>167.51</f>
        <v>167.51</v>
      </c>
    </row>
    <row r="3510" spans="1:22" x14ac:dyDescent="0.2">
      <c r="A3510" s="1">
        <v>40193</v>
      </c>
      <c r="B3510">
        <f>2187.34</f>
        <v>2187.34</v>
      </c>
      <c r="C3510">
        <f>7534.17</f>
        <v>7534.17</v>
      </c>
      <c r="D3510">
        <f>3449.49</f>
        <v>3449.49</v>
      </c>
      <c r="E3510">
        <f>1767.769</f>
        <v>1767.769</v>
      </c>
      <c r="F3510">
        <f>1153.88</f>
        <v>1153.8800000000001</v>
      </c>
      <c r="G3510">
        <f>5705.099</f>
        <v>5705.0990000000002</v>
      </c>
      <c r="H3510">
        <f>1802.75</f>
        <v>1802.75</v>
      </c>
      <c r="I3510">
        <f>6338.639</f>
        <v>6338.6390000000001</v>
      </c>
      <c r="J3510">
        <f>1307.58</f>
        <v>1307.58</v>
      </c>
      <c r="K3510">
        <f>3893.03</f>
        <v>3893.03</v>
      </c>
      <c r="L3510">
        <f>980.23</f>
        <v>980.23</v>
      </c>
      <c r="M3510">
        <f>3909.24</f>
        <v>3909.24</v>
      </c>
      <c r="N3510">
        <f>142.932</f>
        <v>142.93199999999999</v>
      </c>
      <c r="O3510">
        <f>1489.66</f>
        <v>1489.66</v>
      </c>
      <c r="P3510">
        <f>89.69</f>
        <v>89.69</v>
      </c>
      <c r="Q3510">
        <f>789.35</f>
        <v>789.35</v>
      </c>
      <c r="R3510">
        <f>1873.3</f>
        <v>1873.3</v>
      </c>
      <c r="S3510">
        <f>1188.95</f>
        <v>1188.95</v>
      </c>
      <c r="T3510">
        <f>1224.38</f>
        <v>1224.3800000000001</v>
      </c>
      <c r="U3510">
        <f>27929.22</f>
        <v>27929.22</v>
      </c>
      <c r="V3510">
        <f>166.79</f>
        <v>166.79</v>
      </c>
    </row>
    <row r="3511" spans="1:22" x14ac:dyDescent="0.2">
      <c r="A3511" s="1">
        <v>40192</v>
      </c>
      <c r="B3511">
        <f>2200.55</f>
        <v>2200.5500000000002</v>
      </c>
      <c r="C3511">
        <f>7548.09</f>
        <v>7548.09</v>
      </c>
      <c r="D3511">
        <f>3476.57</f>
        <v>3476.57</v>
      </c>
      <c r="E3511">
        <f>1771.931</f>
        <v>1771.931</v>
      </c>
      <c r="F3511">
        <f>1171.11</f>
        <v>1171.1099999999999</v>
      </c>
      <c r="G3511">
        <f>5772.3</f>
        <v>5772.3</v>
      </c>
      <c r="H3511">
        <f>1783.67</f>
        <v>1783.67</v>
      </c>
      <c r="I3511">
        <f>6462.094</f>
        <v>6462.0940000000001</v>
      </c>
      <c r="J3511">
        <f>1319.09</f>
        <v>1319.09</v>
      </c>
      <c r="K3511">
        <f>3935.07</f>
        <v>3935.07</v>
      </c>
      <c r="L3511">
        <f>991.49</f>
        <v>991.49</v>
      </c>
      <c r="M3511">
        <f>3949.43</f>
        <v>3949.43</v>
      </c>
      <c r="N3511">
        <f>144.25</f>
        <v>144.25</v>
      </c>
      <c r="O3511">
        <f>1505.65</f>
        <v>1505.65</v>
      </c>
      <c r="P3511">
        <f>89.27</f>
        <v>89.27</v>
      </c>
      <c r="Q3511">
        <f>795.29</f>
        <v>795.29</v>
      </c>
      <c r="R3511">
        <f>1893.72</f>
        <v>1893.72</v>
      </c>
      <c r="S3511">
        <f>1179.85</f>
        <v>1179.8499999999999</v>
      </c>
      <c r="T3511">
        <f>1231.175</f>
        <v>1231.175</v>
      </c>
      <c r="U3511">
        <f>28141.8</f>
        <v>28141.8</v>
      </c>
      <c r="V3511">
        <f>167.26</f>
        <v>167.26</v>
      </c>
    </row>
    <row r="3512" spans="1:22" x14ac:dyDescent="0.2">
      <c r="A3512" s="1">
        <v>40191</v>
      </c>
      <c r="B3512">
        <f>2199.02</f>
        <v>2199.02</v>
      </c>
      <c r="C3512">
        <f>7547.26</f>
        <v>7547.26</v>
      </c>
      <c r="D3512">
        <f>3460.94</f>
        <v>3460.94</v>
      </c>
      <c r="E3512">
        <f>1769.84</f>
        <v>1769.84</v>
      </c>
      <c r="F3512">
        <f>1166.19</f>
        <v>1166.19</v>
      </c>
      <c r="G3512">
        <f>5729.396</f>
        <v>5729.3959999999997</v>
      </c>
      <c r="H3512">
        <f>1767.01</f>
        <v>1767.01</v>
      </c>
      <c r="I3512">
        <f>6437.438</f>
        <v>6437.4380000000001</v>
      </c>
      <c r="J3512">
        <f>1317.53</f>
        <v>1317.53</v>
      </c>
      <c r="K3512">
        <f>3925.95</f>
        <v>3925.95</v>
      </c>
      <c r="L3512">
        <f>988.88</f>
        <v>988.88</v>
      </c>
      <c r="M3512">
        <f>3928.58</f>
        <v>3928.58</v>
      </c>
      <c r="N3512">
        <f>143.414</f>
        <v>143.41399999999999</v>
      </c>
      <c r="O3512">
        <f>1496.29</f>
        <v>1496.29</v>
      </c>
      <c r="P3512">
        <f>88.29</f>
        <v>88.29</v>
      </c>
      <c r="Q3512">
        <f>793.39</f>
        <v>793.39</v>
      </c>
      <c r="R3512">
        <f>1889.1</f>
        <v>1889.1</v>
      </c>
      <c r="S3512">
        <f>1161.42</f>
        <v>1161.42</v>
      </c>
      <c r="T3512">
        <f>1227.476</f>
        <v>1227.4760000000001</v>
      </c>
      <c r="U3512">
        <f>28067</f>
        <v>28067</v>
      </c>
      <c r="V3512">
        <f>166.36</f>
        <v>166.36</v>
      </c>
    </row>
    <row r="3513" spans="1:22" x14ac:dyDescent="0.2">
      <c r="A3513" s="1">
        <v>40190</v>
      </c>
      <c r="B3513">
        <f>2201.05</f>
        <v>2201.0500000000002</v>
      </c>
      <c r="C3513">
        <f>7614.77</f>
        <v>7614.77</v>
      </c>
      <c r="D3513">
        <f>3476.75</f>
        <v>3476.75</v>
      </c>
      <c r="E3513">
        <f>1785.723</f>
        <v>1785.723</v>
      </c>
      <c r="F3513">
        <f>1163.26</f>
        <v>1163.26</v>
      </c>
      <c r="G3513">
        <f>5730.122</f>
        <v>5730.1220000000003</v>
      </c>
      <c r="H3513">
        <f>1772.7</f>
        <v>1772.7</v>
      </c>
      <c r="I3513">
        <f>6439.426</f>
        <v>6439.4260000000004</v>
      </c>
      <c r="J3513">
        <f>1308.48</f>
        <v>1308.48</v>
      </c>
      <c r="K3513">
        <f>3892.52</f>
        <v>3892.52</v>
      </c>
      <c r="L3513">
        <f>987.71</f>
        <v>987.71</v>
      </c>
      <c r="M3513">
        <f>3920.95</f>
        <v>3920.95</v>
      </c>
      <c r="N3513">
        <f>142.447</f>
        <v>142.447</v>
      </c>
      <c r="O3513">
        <f>1491.96</f>
        <v>1491.96</v>
      </c>
      <c r="P3513">
        <f>88.7</f>
        <v>88.7</v>
      </c>
      <c r="Q3513">
        <f>787.16</f>
        <v>787.16</v>
      </c>
      <c r="R3513">
        <f>1873.32</f>
        <v>1873.32</v>
      </c>
      <c r="S3513">
        <f>1173.86</f>
        <v>1173.8599999999999</v>
      </c>
      <c r="T3513">
        <f>1230.513</f>
        <v>1230.5129999999999</v>
      </c>
      <c r="U3513">
        <f>28057.68</f>
        <v>28057.68</v>
      </c>
      <c r="V3513">
        <f>166.88</f>
        <v>166.88</v>
      </c>
    </row>
    <row r="3514" spans="1:22" x14ac:dyDescent="0.2">
      <c r="A3514" s="1">
        <v>40189</v>
      </c>
      <c r="B3514">
        <f>2211.85</f>
        <v>2211.85</v>
      </c>
      <c r="C3514">
        <f>7672.91</f>
        <v>7672.91</v>
      </c>
      <c r="D3514">
        <f>3501.64</f>
        <v>3501.64</v>
      </c>
      <c r="E3514">
        <f>1797.762</f>
        <v>1797.7619999999999</v>
      </c>
      <c r="F3514">
        <f>1167.25</f>
        <v>1167.25</v>
      </c>
      <c r="G3514">
        <f>5763.382</f>
        <v>5763.3819999999996</v>
      </c>
      <c r="H3514">
        <f>1740.6</f>
        <v>1740.6</v>
      </c>
      <c r="I3514">
        <f>6515.061</f>
        <v>6515.0609999999997</v>
      </c>
      <c r="J3514">
        <f>1311.69</f>
        <v>1311.69</v>
      </c>
      <c r="K3514">
        <f>3929.92</f>
        <v>3929.92</v>
      </c>
      <c r="L3514">
        <f>994.17</f>
        <v>994.17</v>
      </c>
      <c r="M3514">
        <f>3946.66</f>
        <v>3946.66</v>
      </c>
      <c r="N3514">
        <f>143.146</f>
        <v>143.14599999999999</v>
      </c>
      <c r="O3514">
        <f>1504.84</f>
        <v>1504.84</v>
      </c>
      <c r="P3514" t="e">
        <f>NA()</f>
        <v>#N/A</v>
      </c>
      <c r="Q3514">
        <f>789.22</f>
        <v>789.22</v>
      </c>
      <c r="R3514">
        <f>1891.06</f>
        <v>1891.06</v>
      </c>
      <c r="S3514" t="e">
        <f>NA()</f>
        <v>#N/A</v>
      </c>
      <c r="T3514">
        <f>1239.497</f>
        <v>1239.4970000000001</v>
      </c>
      <c r="U3514">
        <f>28346.78</f>
        <v>28346.78</v>
      </c>
      <c r="V3514">
        <f>167.96</f>
        <v>167.96</v>
      </c>
    </row>
    <row r="3515" spans="1:22" x14ac:dyDescent="0.2">
      <c r="A3515" s="1">
        <v>40186</v>
      </c>
      <c r="B3515">
        <f>2205.73</f>
        <v>2205.73</v>
      </c>
      <c r="C3515">
        <f>7602.14</f>
        <v>7602.14</v>
      </c>
      <c r="D3515">
        <f>3499.22</f>
        <v>3499.22</v>
      </c>
      <c r="E3515">
        <f>1777.283</f>
        <v>1777.2829999999999</v>
      </c>
      <c r="F3515">
        <f>1145.91</f>
        <v>1145.9100000000001</v>
      </c>
      <c r="G3515">
        <f>5684.042</f>
        <v>5684.0420000000004</v>
      </c>
      <c r="H3515">
        <f>1721.5</f>
        <v>1721.5</v>
      </c>
      <c r="I3515">
        <f>6421.354</f>
        <v>6421.3540000000003</v>
      </c>
      <c r="J3515">
        <f>1304.18</f>
        <v>1304.18</v>
      </c>
      <c r="K3515">
        <f>3923.6</f>
        <v>3923.6</v>
      </c>
      <c r="L3515">
        <f>982.98</f>
        <v>982.98</v>
      </c>
      <c r="M3515">
        <f>3917.34</f>
        <v>3917.34</v>
      </c>
      <c r="N3515">
        <f>142.955</f>
        <v>142.95500000000001</v>
      </c>
      <c r="O3515">
        <f>1506.28</f>
        <v>1506.28</v>
      </c>
      <c r="P3515">
        <f>87.78</f>
        <v>87.78</v>
      </c>
      <c r="Q3515">
        <f>785.87</f>
        <v>785.87</v>
      </c>
      <c r="R3515">
        <f>1887.77</f>
        <v>1887.77</v>
      </c>
      <c r="S3515">
        <f>1158.06</f>
        <v>1158.06</v>
      </c>
      <c r="T3515">
        <f>1247.194</f>
        <v>1247.194</v>
      </c>
      <c r="U3515">
        <f>28266.54</f>
        <v>28266.54</v>
      </c>
      <c r="V3515">
        <f>169.16</f>
        <v>169.16</v>
      </c>
    </row>
    <row r="3516" spans="1:22" x14ac:dyDescent="0.2">
      <c r="A3516" s="1">
        <v>40185</v>
      </c>
      <c r="B3516">
        <f>2198.66</f>
        <v>2198.66</v>
      </c>
      <c r="C3516">
        <f>7583.53</f>
        <v>7583.53</v>
      </c>
      <c r="D3516">
        <f>3494.47</f>
        <v>3494.47</v>
      </c>
      <c r="E3516">
        <f>1773.802</f>
        <v>1773.8019999999999</v>
      </c>
      <c r="F3516">
        <f>1150.69</f>
        <v>1150.69</v>
      </c>
      <c r="G3516">
        <f>5667.372</f>
        <v>5667.3720000000003</v>
      </c>
      <c r="H3516">
        <f>1711.17</f>
        <v>1711.17</v>
      </c>
      <c r="I3516">
        <f>6392.836</f>
        <v>6392.8360000000002</v>
      </c>
      <c r="J3516">
        <f>1301.5</f>
        <v>1301.5</v>
      </c>
      <c r="K3516">
        <f>3911.65</f>
        <v>3911.65</v>
      </c>
      <c r="L3516">
        <f>981.63</f>
        <v>981.63</v>
      </c>
      <c r="M3516">
        <f>3899.83</f>
        <v>3899.83</v>
      </c>
      <c r="N3516">
        <f>142.696</f>
        <v>142.696</v>
      </c>
      <c r="O3516">
        <f>1499.81</f>
        <v>1499.81</v>
      </c>
      <c r="P3516">
        <f>87.26</f>
        <v>87.26</v>
      </c>
      <c r="Q3516">
        <f>785.83</f>
        <v>785.83</v>
      </c>
      <c r="R3516">
        <f>1882.34</f>
        <v>1882.34</v>
      </c>
      <c r="S3516">
        <f>1146.44</f>
        <v>1146.44</v>
      </c>
      <c r="T3516">
        <f>1240.964</f>
        <v>1240.9639999999999</v>
      </c>
      <c r="U3516">
        <f>28017.81</f>
        <v>28017.81</v>
      </c>
      <c r="V3516">
        <f>169.07</f>
        <v>169.07</v>
      </c>
    </row>
    <row r="3517" spans="1:22" x14ac:dyDescent="0.2">
      <c r="A3517" s="1">
        <v>40184</v>
      </c>
      <c r="B3517">
        <f>2213.14</f>
        <v>2213.14</v>
      </c>
      <c r="C3517">
        <f>7629.57</f>
        <v>7629.57</v>
      </c>
      <c r="D3517">
        <f>3496.56</f>
        <v>3496.56</v>
      </c>
      <c r="E3517">
        <f>1786.613</f>
        <v>1786.6130000000001</v>
      </c>
      <c r="F3517">
        <f>1162.17</f>
        <v>1162.17</v>
      </c>
      <c r="G3517">
        <f>5692.656</f>
        <v>5692.6559999999999</v>
      </c>
      <c r="H3517">
        <f>1714.23</f>
        <v>1714.23</v>
      </c>
      <c r="I3517">
        <f>6419.159</f>
        <v>6419.1589999999997</v>
      </c>
      <c r="J3517">
        <f>1298.78</f>
        <v>1298.78</v>
      </c>
      <c r="K3517">
        <f>3896.89</f>
        <v>3896.89</v>
      </c>
      <c r="L3517">
        <f>985.39</f>
        <v>985.39</v>
      </c>
      <c r="M3517">
        <f>3901.75</f>
        <v>3901.75</v>
      </c>
      <c r="N3517">
        <f>143.397</f>
        <v>143.39699999999999</v>
      </c>
      <c r="O3517">
        <f>1500.55</f>
        <v>1500.55</v>
      </c>
      <c r="P3517">
        <f>87.2</f>
        <v>87.2</v>
      </c>
      <c r="Q3517">
        <f>782.86</f>
        <v>782.86</v>
      </c>
      <c r="R3517">
        <f>1874.73</f>
        <v>1874.73</v>
      </c>
      <c r="S3517">
        <f>1145.56</f>
        <v>1145.56</v>
      </c>
      <c r="T3517">
        <f>1247.121</f>
        <v>1247.1210000000001</v>
      </c>
      <c r="U3517">
        <f>28080.36</f>
        <v>28080.36</v>
      </c>
      <c r="V3517">
        <f>170.02</f>
        <v>170.02</v>
      </c>
    </row>
    <row r="3518" spans="1:22" x14ac:dyDescent="0.2">
      <c r="A3518" s="1">
        <v>40183</v>
      </c>
      <c r="B3518">
        <f>2215.9</f>
        <v>2215.9</v>
      </c>
      <c r="C3518">
        <f>7590.27</f>
        <v>7590.27</v>
      </c>
      <c r="D3518">
        <f>3491.7</f>
        <v>3491.7</v>
      </c>
      <c r="E3518">
        <f>1775.257</f>
        <v>1775.2570000000001</v>
      </c>
      <c r="F3518">
        <f>1173.27</f>
        <v>1173.27</v>
      </c>
      <c r="G3518">
        <f>5697.462</f>
        <v>5697.4620000000004</v>
      </c>
      <c r="H3518">
        <f>1707.59</f>
        <v>1707.59</v>
      </c>
      <c r="I3518">
        <f>6426.125</f>
        <v>6426.125</v>
      </c>
      <c r="J3518">
        <f>1299.15</f>
        <v>1299.1500000000001</v>
      </c>
      <c r="K3518">
        <f>3891.9</f>
        <v>3891.9</v>
      </c>
      <c r="L3518">
        <f>987.26</f>
        <v>987.26</v>
      </c>
      <c r="M3518">
        <f>3898.87</f>
        <v>3898.87</v>
      </c>
      <c r="N3518">
        <f>143.667</f>
        <v>143.667</v>
      </c>
      <c r="O3518">
        <f>1498.97</f>
        <v>1498.97</v>
      </c>
      <c r="P3518">
        <f>86.31</f>
        <v>86.31</v>
      </c>
      <c r="Q3518">
        <f>779.38</f>
        <v>779.38</v>
      </c>
      <c r="R3518">
        <f>1872.9</f>
        <v>1872.9</v>
      </c>
      <c r="S3518">
        <f>1131.33</f>
        <v>1131.33</v>
      </c>
      <c r="T3518">
        <f>1246.782</f>
        <v>1246.7819999999999</v>
      </c>
      <c r="U3518">
        <f>27998.87</f>
        <v>27998.87</v>
      </c>
      <c r="V3518">
        <f>170.17</f>
        <v>170.17</v>
      </c>
    </row>
    <row r="3519" spans="1:22" x14ac:dyDescent="0.2">
      <c r="A3519" s="1">
        <v>40182</v>
      </c>
      <c r="B3519">
        <f>2206.41</f>
        <v>2206.41</v>
      </c>
      <c r="C3519">
        <f>7529.06</f>
        <v>7529.06</v>
      </c>
      <c r="D3519">
        <f>3477.69</f>
        <v>3477.69</v>
      </c>
      <c r="E3519">
        <f>1756.452</f>
        <v>1756.452</v>
      </c>
      <c r="F3519">
        <f>1184.68</f>
        <v>1184.68</v>
      </c>
      <c r="G3519">
        <f>5704.416</f>
        <v>5704.4160000000002</v>
      </c>
      <c r="H3519">
        <f>1680.55</f>
        <v>1680.55</v>
      </c>
      <c r="I3519">
        <f>6439.239</f>
        <v>6439.2389999999996</v>
      </c>
      <c r="J3519">
        <f>1302.17</f>
        <v>1302.17</v>
      </c>
      <c r="K3519">
        <f>3879.77</f>
        <v>3879.77</v>
      </c>
      <c r="L3519">
        <f>988.89</f>
        <v>988.89</v>
      </c>
      <c r="M3519">
        <f>3887.44</f>
        <v>3887.44</v>
      </c>
      <c r="N3519">
        <f>144.445</f>
        <v>144.44499999999999</v>
      </c>
      <c r="O3519">
        <f>1500.45</f>
        <v>1500.45</v>
      </c>
      <c r="P3519">
        <f>85.74</f>
        <v>85.74</v>
      </c>
      <c r="Q3519">
        <f>782.1</f>
        <v>782.1</v>
      </c>
      <c r="R3519">
        <f>1867.06</f>
        <v>1867.06</v>
      </c>
      <c r="S3519">
        <f>1126.63</f>
        <v>1126.6300000000001</v>
      </c>
      <c r="T3519">
        <f>1244.188</f>
        <v>1244.1880000000001</v>
      </c>
      <c r="U3519">
        <f>27895.19</f>
        <v>27895.19</v>
      </c>
      <c r="V3519">
        <f>169.09</f>
        <v>169.09</v>
      </c>
    </row>
    <row r="3520" spans="1:22" x14ac:dyDescent="0.2">
      <c r="A3520" s="1">
        <v>40179</v>
      </c>
      <c r="B3520">
        <f>2184.31</f>
        <v>2184.31</v>
      </c>
      <c r="C3520">
        <f>7426.06</f>
        <v>7426.06</v>
      </c>
      <c r="D3520">
        <f>3422.39</f>
        <v>3422.39</v>
      </c>
      <c r="E3520">
        <f>1729.963</f>
        <v>1729.963</v>
      </c>
      <c r="F3520">
        <f>1175.5</f>
        <v>1175.5</v>
      </c>
      <c r="G3520">
        <f>5623.493</f>
        <v>5623.4930000000004</v>
      </c>
      <c r="H3520">
        <f>1652.91</f>
        <v>1652.91</v>
      </c>
      <c r="I3520">
        <f>6287.248</f>
        <v>6287.2479999999996</v>
      </c>
      <c r="J3520">
        <f>1285.21</f>
        <v>1285.21</v>
      </c>
      <c r="K3520">
        <f>3817.62</f>
        <v>3817.62</v>
      </c>
      <c r="L3520">
        <f>973.54</f>
        <v>973.54</v>
      </c>
      <c r="M3520">
        <f>3818.86</f>
        <v>3818.86</v>
      </c>
      <c r="N3520" t="e">
        <f>NA()</f>
        <v>#N/A</v>
      </c>
      <c r="O3520" t="e">
        <f>NA()</f>
        <v>#N/A</v>
      </c>
      <c r="P3520" t="e">
        <f>NA()</f>
        <v>#N/A</v>
      </c>
      <c r="Q3520" t="e">
        <f>NA()</f>
        <v>#N/A</v>
      </c>
      <c r="R3520" t="e">
        <f>NA()</f>
        <v>#N/A</v>
      </c>
      <c r="S3520" t="e">
        <f>NA()</f>
        <v>#N/A</v>
      </c>
      <c r="T3520" t="e">
        <f>NA()</f>
        <v>#N/A</v>
      </c>
      <c r="U3520" t="e">
        <f>NA()</f>
        <v>#N/A</v>
      </c>
      <c r="V3520" t="e">
        <f>NA()</f>
        <v>#N/A</v>
      </c>
    </row>
    <row r="3521" spans="1:22" x14ac:dyDescent="0.2">
      <c r="A3521" s="1">
        <v>40178</v>
      </c>
      <c r="B3521">
        <f>2184.31</f>
        <v>2184.31</v>
      </c>
      <c r="C3521">
        <f>7426.06</f>
        <v>7426.06</v>
      </c>
      <c r="D3521">
        <f>3422.39</f>
        <v>3422.39</v>
      </c>
      <c r="E3521">
        <f>1729.963</f>
        <v>1729.963</v>
      </c>
      <c r="F3521">
        <f>1175.5</f>
        <v>1175.5</v>
      </c>
      <c r="G3521">
        <f>5623.493</f>
        <v>5623.4930000000004</v>
      </c>
      <c r="H3521">
        <f>1652.91</f>
        <v>1652.91</v>
      </c>
      <c r="I3521">
        <f>6287.248</f>
        <v>6287.2479999999996</v>
      </c>
      <c r="J3521">
        <f>1285.21</f>
        <v>1285.21</v>
      </c>
      <c r="K3521">
        <f>3817.62</f>
        <v>3817.62</v>
      </c>
      <c r="L3521">
        <f>973.54</f>
        <v>973.54</v>
      </c>
      <c r="M3521">
        <f>3818.86</f>
        <v>3818.86</v>
      </c>
      <c r="N3521">
        <f>143.509</f>
        <v>143.50899999999999</v>
      </c>
      <c r="O3521">
        <f>1479.3</f>
        <v>1479.3</v>
      </c>
      <c r="P3521" t="e">
        <f>NA()</f>
        <v>#N/A</v>
      </c>
      <c r="Q3521">
        <f>774.72</f>
        <v>774.72</v>
      </c>
      <c r="R3521">
        <f>1837.5</f>
        <v>1837.5</v>
      </c>
      <c r="S3521" t="e">
        <f>NA()</f>
        <v>#N/A</v>
      </c>
      <c r="T3521">
        <f>1247.464</f>
        <v>1247.4639999999999</v>
      </c>
      <c r="U3521">
        <f>27666.45</f>
        <v>27666.45</v>
      </c>
      <c r="V3521">
        <f>169.17</f>
        <v>169.17</v>
      </c>
    </row>
    <row r="3522" spans="1:22" x14ac:dyDescent="0.2">
      <c r="A3522" s="1">
        <v>40177</v>
      </c>
      <c r="B3522">
        <f>2180.96</f>
        <v>2180.96</v>
      </c>
      <c r="C3522">
        <f>7353.3</f>
        <v>7353.3</v>
      </c>
      <c r="D3522">
        <f>3412.89</f>
        <v>3412.89</v>
      </c>
      <c r="E3522">
        <f>1714.474</f>
        <v>1714.4739999999999</v>
      </c>
      <c r="F3522">
        <f>1164.84</f>
        <v>1164.8399999999999</v>
      </c>
      <c r="G3522">
        <f>5560.146</f>
        <v>5560.1459999999997</v>
      </c>
      <c r="H3522">
        <f>1660.31</f>
        <v>1660.31</v>
      </c>
      <c r="I3522">
        <f>6262.901</f>
        <v>6262.9009999999998</v>
      </c>
      <c r="J3522">
        <f>1299.71</f>
        <v>1299.71</v>
      </c>
      <c r="K3522">
        <f>3856.38</f>
        <v>3856.38</v>
      </c>
      <c r="L3522">
        <f>973.11</f>
        <v>973.11</v>
      </c>
      <c r="M3522">
        <f>3827.98</f>
        <v>3827.98</v>
      </c>
      <c r="N3522">
        <f>142.939</f>
        <v>142.93899999999999</v>
      </c>
      <c r="O3522">
        <f>1475.34</f>
        <v>1475.34</v>
      </c>
      <c r="P3522">
        <f>84.92</f>
        <v>84.92</v>
      </c>
      <c r="Q3522">
        <f>783.42</f>
        <v>783.42</v>
      </c>
      <c r="R3522">
        <f>1856.14</f>
        <v>1856.14</v>
      </c>
      <c r="S3522">
        <f>1116.6</f>
        <v>1116.5999999999999</v>
      </c>
      <c r="T3522">
        <f>1238.848</f>
        <v>1238.848</v>
      </c>
      <c r="U3522">
        <f>27475.25</f>
        <v>27475.25</v>
      </c>
      <c r="V3522">
        <f>167.84</f>
        <v>167.84</v>
      </c>
    </row>
    <row r="3523" spans="1:22" x14ac:dyDescent="0.2">
      <c r="A3523" s="1">
        <v>40176</v>
      </c>
      <c r="B3523">
        <f>2191.51</f>
        <v>2191.5100000000002</v>
      </c>
      <c r="C3523">
        <f>7361.24</f>
        <v>7361.24</v>
      </c>
      <c r="D3523">
        <f>3437.88</f>
        <v>3437.88</v>
      </c>
      <c r="E3523">
        <f>1714.29</f>
        <v>1714.29</v>
      </c>
      <c r="F3523">
        <f>1167.39</f>
        <v>1167.3900000000001</v>
      </c>
      <c r="G3523">
        <f>5585.175</f>
        <v>5585.1750000000002</v>
      </c>
      <c r="H3523">
        <f>1688.24</f>
        <v>1688.24</v>
      </c>
      <c r="I3523">
        <f>6354.158</f>
        <v>6354.1580000000004</v>
      </c>
      <c r="J3523">
        <f>1299.59</f>
        <v>1299.5899999999999</v>
      </c>
      <c r="K3523">
        <f>3855.26</f>
        <v>3855.26</v>
      </c>
      <c r="L3523">
        <f>978.85</f>
        <v>978.85</v>
      </c>
      <c r="M3523">
        <f>3849.49</f>
        <v>3849.49</v>
      </c>
      <c r="N3523">
        <f>142.976</f>
        <v>142.976</v>
      </c>
      <c r="O3523">
        <f>1480.12</f>
        <v>1480.12</v>
      </c>
      <c r="P3523">
        <f>85.76</f>
        <v>85.76</v>
      </c>
      <c r="Q3523">
        <f>783.13</f>
        <v>783.13</v>
      </c>
      <c r="R3523">
        <f>1855.61</f>
        <v>1855.61</v>
      </c>
      <c r="S3523">
        <f>1126.79</f>
        <v>1126.79</v>
      </c>
      <c r="T3523">
        <f>1243.722</f>
        <v>1243.722</v>
      </c>
      <c r="U3523">
        <f>27655.21</f>
        <v>27655.21</v>
      </c>
      <c r="V3523">
        <f>168.32</f>
        <v>168.32</v>
      </c>
    </row>
    <row r="3524" spans="1:22" x14ac:dyDescent="0.2">
      <c r="A3524" s="1">
        <v>40175</v>
      </c>
      <c r="B3524" t="e">
        <f>NA()</f>
        <v>#N/A</v>
      </c>
      <c r="C3524">
        <f>7356.93</f>
        <v>7356.93</v>
      </c>
      <c r="D3524" t="e">
        <f>NA()</f>
        <v>#N/A</v>
      </c>
      <c r="E3524">
        <f>1715.125</f>
        <v>1715.125</v>
      </c>
      <c r="F3524">
        <f>1163.27</f>
        <v>1163.27</v>
      </c>
      <c r="G3524">
        <f>5562.817</f>
        <v>5562.817</v>
      </c>
      <c r="H3524">
        <f>1686.07</f>
        <v>1686.07</v>
      </c>
      <c r="I3524">
        <f>6324.571</f>
        <v>6324.5709999999999</v>
      </c>
      <c r="J3524">
        <f>1299.2</f>
        <v>1299.2</v>
      </c>
      <c r="K3524">
        <f>3860.32</f>
        <v>3860.32</v>
      </c>
      <c r="L3524">
        <f>976</f>
        <v>976</v>
      </c>
      <c r="M3524">
        <f>3843.77</f>
        <v>3843.77</v>
      </c>
      <c r="N3524">
        <f>142.523</f>
        <v>142.523</v>
      </c>
      <c r="O3524">
        <f>1475.59</f>
        <v>1475.59</v>
      </c>
      <c r="P3524">
        <f>85.59</f>
        <v>85.59</v>
      </c>
      <c r="Q3524">
        <f>783.24</f>
        <v>783.24</v>
      </c>
      <c r="R3524">
        <f>1857.89</f>
        <v>1857.89</v>
      </c>
      <c r="S3524">
        <f>1125.45</f>
        <v>1125.45</v>
      </c>
      <c r="T3524">
        <f>1247.562</f>
        <v>1247.5619999999999</v>
      </c>
      <c r="U3524">
        <f>27888.91</f>
        <v>27888.91</v>
      </c>
      <c r="V3524">
        <f>169.03</f>
        <v>169.03</v>
      </c>
    </row>
    <row r="3525" spans="1:22" x14ac:dyDescent="0.2">
      <c r="A3525" s="1">
        <v>40172</v>
      </c>
      <c r="B3525" t="e">
        <f>NA()</f>
        <v>#N/A</v>
      </c>
      <c r="C3525">
        <f>7295.08</f>
        <v>7295.08</v>
      </c>
      <c r="D3525" t="e">
        <f>NA()</f>
        <v>#N/A</v>
      </c>
      <c r="E3525">
        <f>1702.98</f>
        <v>1702.98</v>
      </c>
      <c r="F3525">
        <f>1157.96</f>
        <v>1157.96</v>
      </c>
      <c r="G3525">
        <f>5537.441</f>
        <v>5537.4409999999998</v>
      </c>
      <c r="H3525">
        <f>1674.93</f>
        <v>1674.93</v>
      </c>
      <c r="I3525">
        <f>6269.225</f>
        <v>6269.2250000000004</v>
      </c>
      <c r="J3525">
        <f>1296.6</f>
        <v>1296.5999999999999</v>
      </c>
      <c r="K3525">
        <f>3855.44</f>
        <v>3855.44</v>
      </c>
      <c r="L3525">
        <f>970.87</f>
        <v>970.87</v>
      </c>
      <c r="M3525">
        <f>3827.47</f>
        <v>3827.47</v>
      </c>
      <c r="N3525" t="e">
        <f>NA()</f>
        <v>#N/A</v>
      </c>
      <c r="O3525" t="e">
        <f>NA()</f>
        <v>#N/A</v>
      </c>
      <c r="P3525">
        <f>84.85</f>
        <v>84.85</v>
      </c>
      <c r="Q3525" t="e">
        <f>NA()</f>
        <v>#N/A</v>
      </c>
      <c r="R3525" t="e">
        <f>NA()</f>
        <v>#N/A</v>
      </c>
      <c r="S3525">
        <f>1117.98</f>
        <v>1117.98</v>
      </c>
      <c r="T3525" t="e">
        <f>NA()</f>
        <v>#N/A</v>
      </c>
      <c r="U3525" t="e">
        <f>NA()</f>
        <v>#N/A</v>
      </c>
      <c r="V3525" t="e">
        <f>NA()</f>
        <v>#N/A</v>
      </c>
    </row>
    <row r="3526" spans="1:22" x14ac:dyDescent="0.2">
      <c r="A3526" s="1">
        <v>40171</v>
      </c>
      <c r="B3526">
        <f>2168.14</f>
        <v>2168.14</v>
      </c>
      <c r="C3526">
        <f>7291.74</f>
        <v>7291.74</v>
      </c>
      <c r="D3526">
        <f>3415.63</f>
        <v>3415.63</v>
      </c>
      <c r="E3526">
        <f>1702.4</f>
        <v>1702.4</v>
      </c>
      <c r="F3526">
        <f>1157.96</f>
        <v>1157.96</v>
      </c>
      <c r="G3526">
        <f>5537.441</f>
        <v>5537.4409999999998</v>
      </c>
      <c r="H3526">
        <f>1677.06</f>
        <v>1677.06</v>
      </c>
      <c r="I3526">
        <f>6269.225</f>
        <v>6269.2250000000004</v>
      </c>
      <c r="J3526">
        <f>1296.6</f>
        <v>1296.5999999999999</v>
      </c>
      <c r="K3526">
        <f>3855.44</f>
        <v>3855.44</v>
      </c>
      <c r="L3526">
        <f>970.89</f>
        <v>970.89</v>
      </c>
      <c r="M3526">
        <f>3829.46</f>
        <v>3829.46</v>
      </c>
      <c r="N3526">
        <f>142.058</f>
        <v>142.05799999999999</v>
      </c>
      <c r="O3526">
        <f>1468.73</f>
        <v>1468.73</v>
      </c>
      <c r="P3526">
        <f>85.28</f>
        <v>85.28</v>
      </c>
      <c r="Q3526">
        <f>782.45</f>
        <v>782.45</v>
      </c>
      <c r="R3526">
        <f>1855.5</f>
        <v>1855.5</v>
      </c>
      <c r="S3526">
        <f>1123.3</f>
        <v>1123.3</v>
      </c>
      <c r="T3526">
        <f>1234.678</f>
        <v>1234.6780000000001</v>
      </c>
      <c r="U3526">
        <f>27580.22</f>
        <v>27580.22</v>
      </c>
      <c r="V3526">
        <f>167.23</f>
        <v>167.23</v>
      </c>
    </row>
    <row r="3527" spans="1:22" x14ac:dyDescent="0.2">
      <c r="A3527" s="1">
        <v>40170</v>
      </c>
      <c r="B3527">
        <f>2166.94</f>
        <v>2166.94</v>
      </c>
      <c r="C3527">
        <f>7230.48</f>
        <v>7230.48</v>
      </c>
      <c r="D3527">
        <f>3396.64</f>
        <v>3396.64</v>
      </c>
      <c r="E3527">
        <f>1685.864</f>
        <v>1685.864</v>
      </c>
      <c r="F3527">
        <f>1158.78</f>
        <v>1158.78</v>
      </c>
      <c r="G3527">
        <f>5521.22</f>
        <v>5521.22</v>
      </c>
      <c r="H3527">
        <f>1671.16</f>
        <v>1671.16</v>
      </c>
      <c r="I3527">
        <f>6261.17</f>
        <v>6261.17</v>
      </c>
      <c r="J3527">
        <f>1291.63</f>
        <v>1291.6300000000001</v>
      </c>
      <c r="K3527">
        <f>3835.27</f>
        <v>3835.27</v>
      </c>
      <c r="L3527">
        <f>967.72</f>
        <v>967.72</v>
      </c>
      <c r="M3527">
        <f>3810.3</f>
        <v>3810.3</v>
      </c>
      <c r="N3527">
        <f>142.047</f>
        <v>142.047</v>
      </c>
      <c r="O3527">
        <f>1467.41</f>
        <v>1467.41</v>
      </c>
      <c r="P3527" t="e">
        <f>NA()</f>
        <v>#N/A</v>
      </c>
      <c r="Q3527">
        <f>778.94</f>
        <v>778.94</v>
      </c>
      <c r="R3527">
        <f>1845.8</f>
        <v>1845.8</v>
      </c>
      <c r="S3527" t="e">
        <f>NA()</f>
        <v>#N/A</v>
      </c>
      <c r="T3527">
        <f>1236.776</f>
        <v>1236.7760000000001</v>
      </c>
      <c r="U3527">
        <f>27607.92</f>
        <v>27607.919999999998</v>
      </c>
      <c r="V3527">
        <f>167.15</f>
        <v>167.15</v>
      </c>
    </row>
    <row r="3528" spans="1:22" x14ac:dyDescent="0.2">
      <c r="A3528" s="1">
        <v>40169</v>
      </c>
      <c r="B3528">
        <f>2164.42</f>
        <v>2164.42</v>
      </c>
      <c r="C3528">
        <f>7166.72</f>
        <v>7166.72</v>
      </c>
      <c r="D3528">
        <f>3368.57</f>
        <v>3368.57</v>
      </c>
      <c r="E3528">
        <f>1667.522</f>
        <v>1667.5219999999999</v>
      </c>
      <c r="F3528">
        <f>1149.41</f>
        <v>1149.4100000000001</v>
      </c>
      <c r="G3528">
        <f>5464.063</f>
        <v>5464.0630000000001</v>
      </c>
      <c r="H3528">
        <f>1664.6</f>
        <v>1664.6</v>
      </c>
      <c r="I3528">
        <f>6198.902</f>
        <v>6198.902</v>
      </c>
      <c r="J3528">
        <f>1291.24</f>
        <v>1291.24</v>
      </c>
      <c r="K3528">
        <f>3824.37</f>
        <v>3824.37</v>
      </c>
      <c r="L3528">
        <f>961.49</f>
        <v>961.49</v>
      </c>
      <c r="M3528">
        <f>3786.71</f>
        <v>3786.71</v>
      </c>
      <c r="N3528">
        <f>141.861</f>
        <v>141.86099999999999</v>
      </c>
      <c r="O3528">
        <f>1463.62</f>
        <v>1463.62</v>
      </c>
      <c r="P3528">
        <f>84.32</f>
        <v>84.32</v>
      </c>
      <c r="Q3528">
        <f>779.47</f>
        <v>779.47</v>
      </c>
      <c r="R3528">
        <f>1841.17</f>
        <v>1841.17</v>
      </c>
      <c r="S3528">
        <f>1110.19</f>
        <v>1110.19</v>
      </c>
      <c r="T3528">
        <f>1230.334</f>
        <v>1230.3340000000001</v>
      </c>
      <c r="U3528">
        <f>27621.93</f>
        <v>27621.93</v>
      </c>
      <c r="V3528">
        <f>166.64</f>
        <v>166.64</v>
      </c>
    </row>
    <row r="3529" spans="1:22" x14ac:dyDescent="0.2">
      <c r="A3529" s="1">
        <v>40168</v>
      </c>
      <c r="B3529">
        <f>2149.14</f>
        <v>2149.14</v>
      </c>
      <c r="C3529">
        <f>7107.73</f>
        <v>7107.73</v>
      </c>
      <c r="D3529">
        <f>3346.65</f>
        <v>3346.65</v>
      </c>
      <c r="E3529">
        <f>1654.279</f>
        <v>1654.279</v>
      </c>
      <c r="F3529">
        <f>1144.62</f>
        <v>1144.6199999999999</v>
      </c>
      <c r="G3529">
        <f>5474.205</f>
        <v>5474.2049999999999</v>
      </c>
      <c r="H3529">
        <f>1672.18</f>
        <v>1672.18</v>
      </c>
      <c r="I3529">
        <f>6185.822</f>
        <v>6185.8220000000001</v>
      </c>
      <c r="J3529">
        <f>1288.36</f>
        <v>1288.3599999999999</v>
      </c>
      <c r="K3529">
        <f>3810.6</f>
        <v>3810.6</v>
      </c>
      <c r="L3529">
        <f>958.22</f>
        <v>958.22</v>
      </c>
      <c r="M3529">
        <f>3775</f>
        <v>3775</v>
      </c>
      <c r="N3529">
        <f>140.843</f>
        <v>140.84299999999999</v>
      </c>
      <c r="O3529">
        <f>1453.59</f>
        <v>1453.59</v>
      </c>
      <c r="P3529">
        <f>83.55</f>
        <v>83.55</v>
      </c>
      <c r="Q3529">
        <f>776.61</f>
        <v>776.61</v>
      </c>
      <c r="R3529">
        <f>1834.59</f>
        <v>1834.59</v>
      </c>
      <c r="S3529">
        <f>1095.96</f>
        <v>1095.96</v>
      </c>
      <c r="T3529">
        <f>1222.307</f>
        <v>1222.307</v>
      </c>
      <c r="U3529">
        <f>27495.42</f>
        <v>27495.42</v>
      </c>
      <c r="V3529">
        <f>165.1</f>
        <v>165.1</v>
      </c>
    </row>
    <row r="3530" spans="1:22" x14ac:dyDescent="0.2">
      <c r="A3530" s="1">
        <v>40165</v>
      </c>
      <c r="B3530">
        <f>2121.22</f>
        <v>2121.2199999999998</v>
      </c>
      <c r="C3530">
        <f>7151.22</f>
        <v>7151.22</v>
      </c>
      <c r="D3530">
        <f>3285.21</f>
        <v>3285.21</v>
      </c>
      <c r="E3530">
        <f>1660.564</f>
        <v>1660.5640000000001</v>
      </c>
      <c r="F3530">
        <f>1132.73</f>
        <v>1132.73</v>
      </c>
      <c r="G3530">
        <f>5376.879</f>
        <v>5376.8789999999999</v>
      </c>
      <c r="H3530">
        <f>1683.34</f>
        <v>1683.34</v>
      </c>
      <c r="I3530">
        <f>6087.425</f>
        <v>6087.4250000000002</v>
      </c>
      <c r="J3530">
        <f>1278.15</f>
        <v>1278.1500000000001</v>
      </c>
      <c r="K3530">
        <f>3771.86</f>
        <v>3771.86</v>
      </c>
      <c r="L3530">
        <f>947.54</f>
        <v>947.54</v>
      </c>
      <c r="M3530">
        <f>3736.85</f>
        <v>3736.85</v>
      </c>
      <c r="N3530">
        <f>139.174</f>
        <v>139.17400000000001</v>
      </c>
      <c r="O3530">
        <f>1433.01</f>
        <v>1433.01</v>
      </c>
      <c r="P3530">
        <f>83.54</f>
        <v>83.54</v>
      </c>
      <c r="Q3530">
        <f>771.39</f>
        <v>771.39</v>
      </c>
      <c r="R3530">
        <f>1815.5</f>
        <v>1815.5</v>
      </c>
      <c r="S3530">
        <f>1098.56</f>
        <v>1098.56</v>
      </c>
      <c r="T3530">
        <f>1221.839</f>
        <v>1221.8389999999999</v>
      </c>
      <c r="U3530">
        <f>27346</f>
        <v>27346</v>
      </c>
      <c r="V3530">
        <f>165.3</f>
        <v>165.3</v>
      </c>
    </row>
    <row r="3531" spans="1:22" x14ac:dyDescent="0.2">
      <c r="A3531" s="1">
        <v>40164</v>
      </c>
      <c r="B3531">
        <f>2128.87</f>
        <v>2128.87</v>
      </c>
      <c r="C3531">
        <f>7193.57</f>
        <v>7193.57</v>
      </c>
      <c r="D3531">
        <f>3298.36</f>
        <v>3298.36</v>
      </c>
      <c r="E3531">
        <f>1668.761</f>
        <v>1668.761</v>
      </c>
      <c r="F3531">
        <f>1136.74</f>
        <v>1136.74</v>
      </c>
      <c r="G3531">
        <f>5414.329</f>
        <v>5414.3289999999997</v>
      </c>
      <c r="H3531">
        <f>1697.86</f>
        <v>1697.86</v>
      </c>
      <c r="I3531">
        <f>6148.687</f>
        <v>6148.6869999999999</v>
      </c>
      <c r="J3531">
        <f>1277.83</f>
        <v>1277.83</v>
      </c>
      <c r="K3531">
        <f>3749.34</f>
        <v>3749.34</v>
      </c>
      <c r="L3531">
        <f>951.17</f>
        <v>951.17</v>
      </c>
      <c r="M3531">
        <f>3740.89</f>
        <v>3740.89</v>
      </c>
      <c r="N3531">
        <f>139.614</f>
        <v>139.614</v>
      </c>
      <c r="O3531">
        <f>1440.45</f>
        <v>1440.45</v>
      </c>
      <c r="P3531">
        <f>83.55</f>
        <v>83.55</v>
      </c>
      <c r="Q3531">
        <f>772.3</f>
        <v>772.3</v>
      </c>
      <c r="R3531">
        <f>1804.96</f>
        <v>1804.96</v>
      </c>
      <c r="S3531">
        <f>1101.86</f>
        <v>1101.8599999999999</v>
      </c>
      <c r="T3531">
        <f>1217.419</f>
        <v>1217.4190000000001</v>
      </c>
      <c r="U3531">
        <f>27130.01</f>
        <v>27130.01</v>
      </c>
      <c r="V3531">
        <f>166.17</f>
        <v>166.17</v>
      </c>
    </row>
    <row r="3532" spans="1:22" x14ac:dyDescent="0.2">
      <c r="A3532" s="1">
        <v>40163</v>
      </c>
      <c r="B3532">
        <f>2158.4</f>
        <v>2158.4</v>
      </c>
      <c r="C3532">
        <f>7321.55</f>
        <v>7321.55</v>
      </c>
      <c r="D3532">
        <f>3363.25</f>
        <v>3363.25</v>
      </c>
      <c r="E3532">
        <f>1700.893</f>
        <v>1700.893</v>
      </c>
      <c r="F3532">
        <f>1171.92</f>
        <v>1171.92</v>
      </c>
      <c r="G3532">
        <f>5613.575</f>
        <v>5613.5749999999998</v>
      </c>
      <c r="H3532">
        <f>1713.88</f>
        <v>1713.88</v>
      </c>
      <c r="I3532">
        <f>6309.383</f>
        <v>6309.3829999999998</v>
      </c>
      <c r="J3532">
        <f>1290.22</f>
        <v>1290.22</v>
      </c>
      <c r="K3532">
        <f>3793.26</f>
        <v>3793.26</v>
      </c>
      <c r="L3532">
        <f>970.26</f>
        <v>970.26</v>
      </c>
      <c r="M3532">
        <f>3807.15</f>
        <v>3807.15</v>
      </c>
      <c r="N3532">
        <f>141.397</f>
        <v>141.39699999999999</v>
      </c>
      <c r="O3532">
        <f>1457.35</f>
        <v>1457.35</v>
      </c>
      <c r="P3532">
        <f>83.92</f>
        <v>83.92</v>
      </c>
      <c r="Q3532">
        <f>779.37</f>
        <v>779.37</v>
      </c>
      <c r="R3532">
        <f>1826.45</f>
        <v>1826.45</v>
      </c>
      <c r="S3532">
        <f>1104.33</f>
        <v>1104.33</v>
      </c>
      <c r="T3532" t="e">
        <f>NA()</f>
        <v>#N/A</v>
      </c>
      <c r="U3532" t="e">
        <f>NA()</f>
        <v>#N/A</v>
      </c>
      <c r="V3532" t="e">
        <f>NA()</f>
        <v>#N/A</v>
      </c>
    </row>
    <row r="3533" spans="1:22" x14ac:dyDescent="0.2">
      <c r="A3533" s="1">
        <v>40162</v>
      </c>
      <c r="B3533">
        <f>2140.06</f>
        <v>2140.06</v>
      </c>
      <c r="C3533">
        <f>7336.95</f>
        <v>7336.95</v>
      </c>
      <c r="D3533">
        <f>3341.26</f>
        <v>3341.26</v>
      </c>
      <c r="E3533">
        <f>1703.667</f>
        <v>1703.6669999999999</v>
      </c>
      <c r="F3533">
        <f>1155.75</f>
        <v>1155.75</v>
      </c>
      <c r="G3533">
        <f>5531.263</f>
        <v>5531.2629999999999</v>
      </c>
      <c r="H3533">
        <f>1685.05</f>
        <v>1685.05</v>
      </c>
      <c r="I3533">
        <f>6220.957</f>
        <v>6220.9570000000003</v>
      </c>
      <c r="J3533">
        <f>1293.09</f>
        <v>1293.0899999999999</v>
      </c>
      <c r="K3533">
        <f>3787.76</f>
        <v>3787.76</v>
      </c>
      <c r="L3533">
        <f>964.73</f>
        <v>964.73</v>
      </c>
      <c r="M3533">
        <f>3781.39</f>
        <v>3781.39</v>
      </c>
      <c r="N3533">
        <f>139.62</f>
        <v>139.62</v>
      </c>
      <c r="O3533">
        <f>1440.05</f>
        <v>1440.05</v>
      </c>
      <c r="P3533">
        <f>83.01</f>
        <v>83.01</v>
      </c>
      <c r="Q3533">
        <f>779.06</f>
        <v>779.06</v>
      </c>
      <c r="R3533">
        <f>1824.37</f>
        <v>1824.37</v>
      </c>
      <c r="S3533">
        <f>1087.53</f>
        <v>1087.53</v>
      </c>
      <c r="T3533">
        <f>1210.18</f>
        <v>1210.18</v>
      </c>
      <c r="U3533">
        <f>27098.45</f>
        <v>27098.45</v>
      </c>
      <c r="V3533">
        <f>164.49</f>
        <v>164.49</v>
      </c>
    </row>
    <row r="3534" spans="1:22" x14ac:dyDescent="0.2">
      <c r="A3534" s="1">
        <v>40161</v>
      </c>
      <c r="B3534">
        <f>2136.48</f>
        <v>2136.48</v>
      </c>
      <c r="C3534">
        <f>7362.96</f>
        <v>7362.96</v>
      </c>
      <c r="D3534">
        <f>3359.96</f>
        <v>3359.96</v>
      </c>
      <c r="E3534">
        <f>1711.005</f>
        <v>1711.0050000000001</v>
      </c>
      <c r="F3534">
        <f>1162.31</f>
        <v>1162.31</v>
      </c>
      <c r="G3534">
        <f>5562.506</f>
        <v>5562.5060000000003</v>
      </c>
      <c r="H3534">
        <f>1709.18</f>
        <v>1709.18</v>
      </c>
      <c r="I3534">
        <f>6259.369</f>
        <v>6259.3689999999997</v>
      </c>
      <c r="J3534">
        <f>1299.86</f>
        <v>1299.8599999999999</v>
      </c>
      <c r="K3534">
        <f>3807.54</f>
        <v>3807.54</v>
      </c>
      <c r="L3534">
        <f>970.26</f>
        <v>970.26</v>
      </c>
      <c r="M3534">
        <f>3804.06</f>
        <v>3804.06</v>
      </c>
      <c r="N3534">
        <f>139.228</f>
        <v>139.22800000000001</v>
      </c>
      <c r="O3534">
        <f>1439.59</f>
        <v>1439.59</v>
      </c>
      <c r="P3534">
        <f>83.34</f>
        <v>83.34</v>
      </c>
      <c r="Q3534">
        <f>782.94</f>
        <v>782.94</v>
      </c>
      <c r="R3534">
        <f>1834.55</f>
        <v>1834.55</v>
      </c>
      <c r="S3534">
        <f>1088.09</f>
        <v>1088.0899999999999</v>
      </c>
      <c r="T3534">
        <f>1209.67</f>
        <v>1209.67</v>
      </c>
      <c r="U3534">
        <f>27240.75</f>
        <v>27240.75</v>
      </c>
      <c r="V3534">
        <f>165.18</f>
        <v>165.18</v>
      </c>
    </row>
    <row r="3535" spans="1:22" x14ac:dyDescent="0.2">
      <c r="A3535" s="1">
        <v>40158</v>
      </c>
      <c r="B3535">
        <f>2124.25</f>
        <v>2124.25</v>
      </c>
      <c r="C3535">
        <f>7308.82</f>
        <v>7308.82</v>
      </c>
      <c r="D3535">
        <f>3325.97</f>
        <v>3325.97</v>
      </c>
      <c r="E3535">
        <f>1699.581</f>
        <v>1699.5809999999999</v>
      </c>
      <c r="F3535">
        <f>1152.72</f>
        <v>1152.72</v>
      </c>
      <c r="G3535">
        <f>5495.508</f>
        <v>5495.5079999999998</v>
      </c>
      <c r="H3535">
        <f>1706.68</f>
        <v>1706.68</v>
      </c>
      <c r="I3535">
        <f>6200.402</f>
        <v>6200.402</v>
      </c>
      <c r="J3535">
        <f>1292.61</f>
        <v>1292.6099999999999</v>
      </c>
      <c r="K3535">
        <f>3779.95</f>
        <v>3779.95</v>
      </c>
      <c r="L3535">
        <f>962.55</f>
        <v>962.55</v>
      </c>
      <c r="M3535">
        <f>3773.49</f>
        <v>3773.49</v>
      </c>
      <c r="N3535">
        <f>138.625</f>
        <v>138.625</v>
      </c>
      <c r="O3535">
        <f>1427.97</f>
        <v>1427.97</v>
      </c>
      <c r="P3535">
        <f>83.75</f>
        <v>83.75</v>
      </c>
      <c r="Q3535">
        <f>778.88</f>
        <v>778.88</v>
      </c>
      <c r="R3535">
        <f>1821.8</f>
        <v>1821.8</v>
      </c>
      <c r="S3535">
        <f>1092.38</f>
        <v>1092.3800000000001</v>
      </c>
      <c r="T3535">
        <f>1202.129</f>
        <v>1202.1289999999999</v>
      </c>
      <c r="U3535">
        <f>27108.89</f>
        <v>27108.89</v>
      </c>
      <c r="V3535">
        <f>163.9</f>
        <v>163.9</v>
      </c>
    </row>
    <row r="3536" spans="1:22" x14ac:dyDescent="0.2">
      <c r="A3536" s="1">
        <v>40157</v>
      </c>
      <c r="B3536">
        <f>2119.04</f>
        <v>2119.04</v>
      </c>
      <c r="C3536">
        <f>7247.37</f>
        <v>7247.37</v>
      </c>
      <c r="D3536">
        <f>3315.09</f>
        <v>3315.09</v>
      </c>
      <c r="E3536">
        <f>1686.319</f>
        <v>1686.319</v>
      </c>
      <c r="F3536">
        <f>1149.07</f>
        <v>1149.07</v>
      </c>
      <c r="G3536">
        <f>5485.22</f>
        <v>5485.22</v>
      </c>
      <c r="H3536">
        <f>1721.93</f>
        <v>1721.93</v>
      </c>
      <c r="I3536">
        <f>6221.786</f>
        <v>6221.7860000000001</v>
      </c>
      <c r="J3536">
        <f>1286.03</f>
        <v>1286.03</v>
      </c>
      <c r="K3536">
        <f>3766.44</f>
        <v>3766.44</v>
      </c>
      <c r="L3536">
        <f>961.45</f>
        <v>961.45</v>
      </c>
      <c r="M3536">
        <f>3768.33</f>
        <v>3768.33</v>
      </c>
      <c r="N3536">
        <f>137.686</f>
        <v>137.68600000000001</v>
      </c>
      <c r="O3536">
        <f>1420.4</f>
        <v>1420.4</v>
      </c>
      <c r="P3536">
        <f>82.54</f>
        <v>82.54</v>
      </c>
      <c r="Q3536">
        <f>772.94</f>
        <v>772.94</v>
      </c>
      <c r="R3536">
        <f>1814.81</f>
        <v>1814.81</v>
      </c>
      <c r="S3536">
        <f>1074.34</f>
        <v>1074.3399999999999</v>
      </c>
      <c r="T3536">
        <f>1193.971</f>
        <v>1193.971</v>
      </c>
      <c r="U3536">
        <f>26901.28</f>
        <v>26901.279999999999</v>
      </c>
      <c r="V3536">
        <f>162.26</f>
        <v>162.26</v>
      </c>
    </row>
    <row r="3537" spans="1:22" x14ac:dyDescent="0.2">
      <c r="A3537" s="1">
        <v>40156</v>
      </c>
      <c r="B3537">
        <f>2100.97</f>
        <v>2100.9699999999998</v>
      </c>
      <c r="C3537">
        <f>7230.43</f>
        <v>7230.43</v>
      </c>
      <c r="D3537">
        <f>3289.51</f>
        <v>3289.51</v>
      </c>
      <c r="E3537">
        <f>1681.651</f>
        <v>1681.6510000000001</v>
      </c>
      <c r="F3537">
        <f>1138.56</f>
        <v>1138.56</v>
      </c>
      <c r="G3537">
        <f>5430.897</f>
        <v>5430.8969999999999</v>
      </c>
      <c r="H3537">
        <f>1743.34</f>
        <v>1743.34</v>
      </c>
      <c r="I3537">
        <f>6172.231</f>
        <v>6172.2309999999998</v>
      </c>
      <c r="J3537">
        <f>1278.84</f>
        <v>1278.8399999999999</v>
      </c>
      <c r="K3537">
        <f>3743.53</f>
        <v>3743.53</v>
      </c>
      <c r="L3537">
        <f>955.24</f>
        <v>955.24</v>
      </c>
      <c r="M3537">
        <f>3751.37</f>
        <v>3751.37</v>
      </c>
      <c r="N3537">
        <f>136.205</f>
        <v>136.20500000000001</v>
      </c>
      <c r="O3537">
        <f>1407.15</f>
        <v>1407.15</v>
      </c>
      <c r="P3537">
        <f>83.49</f>
        <v>83.49</v>
      </c>
      <c r="Q3537">
        <f>768.84</f>
        <v>768.84</v>
      </c>
      <c r="R3537">
        <f>1804.1</f>
        <v>1804.1</v>
      </c>
      <c r="S3537">
        <f>1087.92</f>
        <v>1087.92</v>
      </c>
      <c r="T3537">
        <f>1183.805</f>
        <v>1183.8050000000001</v>
      </c>
      <c r="U3537">
        <f>26730.06</f>
        <v>26730.06</v>
      </c>
      <c r="V3537">
        <f>160.99</f>
        <v>160.99</v>
      </c>
    </row>
    <row r="3538" spans="1:22" x14ac:dyDescent="0.2">
      <c r="A3538" s="1">
        <v>40155</v>
      </c>
      <c r="B3538">
        <f>2121.05</f>
        <v>2121.0500000000002</v>
      </c>
      <c r="C3538">
        <f>7276.35</f>
        <v>7276.35</v>
      </c>
      <c r="D3538">
        <f>3301.48</f>
        <v>3301.48</v>
      </c>
      <c r="E3538">
        <f>1693.165</f>
        <v>1693.165</v>
      </c>
      <c r="F3538">
        <f>1147.94</f>
        <v>1147.94</v>
      </c>
      <c r="G3538">
        <f>5478.804</f>
        <v>5478.8040000000001</v>
      </c>
      <c r="H3538">
        <f>1747.07</f>
        <v>1747.07</v>
      </c>
      <c r="I3538">
        <f>6233.615</f>
        <v>6233.6149999999998</v>
      </c>
      <c r="J3538">
        <f>1275.07</f>
        <v>1275.07</v>
      </c>
      <c r="K3538">
        <f>3729.28</f>
        <v>3729.28</v>
      </c>
      <c r="L3538">
        <f>958.87</f>
        <v>958.87</v>
      </c>
      <c r="M3538">
        <f>3759.04</f>
        <v>3759.04</v>
      </c>
      <c r="N3538">
        <f>137.765</f>
        <v>137.76499999999999</v>
      </c>
      <c r="O3538">
        <f>1420.23</f>
        <v>1420.23</v>
      </c>
      <c r="P3538">
        <f>84.23</f>
        <v>84.23</v>
      </c>
      <c r="Q3538">
        <f>767.56</f>
        <v>767.56</v>
      </c>
      <c r="R3538">
        <f>1797.31</f>
        <v>1797.31</v>
      </c>
      <c r="S3538">
        <f>1102.37</f>
        <v>1102.3699999999999</v>
      </c>
      <c r="T3538">
        <f>1197.707</f>
        <v>1197.7070000000001</v>
      </c>
      <c r="U3538">
        <f>26990.92</f>
        <v>26990.92</v>
      </c>
      <c r="V3538">
        <f>163.54</f>
        <v>163.54</v>
      </c>
    </row>
    <row r="3539" spans="1:22" x14ac:dyDescent="0.2">
      <c r="A3539" s="1">
        <v>40154</v>
      </c>
      <c r="B3539">
        <f>2151</f>
        <v>2151</v>
      </c>
      <c r="C3539">
        <f>7389.95</f>
        <v>7389.95</v>
      </c>
      <c r="D3539">
        <f>3356.81</f>
        <v>3356.81</v>
      </c>
      <c r="E3539">
        <f>1712.581</f>
        <v>1712.5809999999999</v>
      </c>
      <c r="F3539">
        <f>1168.91</f>
        <v>1168.9100000000001</v>
      </c>
      <c r="G3539">
        <f>5614.12</f>
        <v>5614.12</v>
      </c>
      <c r="H3539">
        <f>1715.48</f>
        <v>1715.48</v>
      </c>
      <c r="I3539">
        <f>6366.695</f>
        <v>6366.6949999999997</v>
      </c>
      <c r="J3539">
        <f>1288.83</f>
        <v>1288.83</v>
      </c>
      <c r="K3539">
        <f>3767.91</f>
        <v>3767.91</v>
      </c>
      <c r="L3539">
        <f>974.31</f>
        <v>974.31</v>
      </c>
      <c r="M3539">
        <f>3804.31</f>
        <v>3804.31</v>
      </c>
      <c r="N3539">
        <f>139.907</f>
        <v>139.90700000000001</v>
      </c>
      <c r="O3539">
        <f>1443.35</f>
        <v>1443.35</v>
      </c>
      <c r="P3539">
        <f>83.87</f>
        <v>83.87</v>
      </c>
      <c r="Q3539">
        <f>774.21</f>
        <v>774.21</v>
      </c>
      <c r="R3539">
        <f>1815.7</f>
        <v>1815.7</v>
      </c>
      <c r="S3539">
        <f>1105.12</f>
        <v>1105.1199999999999</v>
      </c>
      <c r="T3539">
        <f>1197.79</f>
        <v>1197.79</v>
      </c>
      <c r="U3539">
        <f>27144.49</f>
        <v>27144.49</v>
      </c>
      <c r="V3539">
        <f>163.96</f>
        <v>163.96</v>
      </c>
    </row>
    <row r="3540" spans="1:22" x14ac:dyDescent="0.2">
      <c r="A3540" s="1">
        <v>40151</v>
      </c>
      <c r="B3540">
        <f>2149.96</f>
        <v>2149.96</v>
      </c>
      <c r="C3540">
        <f>7410.02</f>
        <v>7410.02</v>
      </c>
      <c r="D3540">
        <f>3364.2</f>
        <v>3364.2</v>
      </c>
      <c r="E3540">
        <f>1717.069</f>
        <v>1717.069</v>
      </c>
      <c r="F3540">
        <f>1182.11</f>
        <v>1182.1099999999999</v>
      </c>
      <c r="G3540">
        <f>5663.216</f>
        <v>5663.2160000000003</v>
      </c>
      <c r="H3540">
        <f>1706.81</f>
        <v>1706.81</v>
      </c>
      <c r="I3540">
        <f>6423.637</f>
        <v>6423.6369999999997</v>
      </c>
      <c r="J3540">
        <f>1287.32</f>
        <v>1287.32</v>
      </c>
      <c r="K3540">
        <f>3776.3</f>
        <v>3776.3</v>
      </c>
      <c r="L3540">
        <f>978.03</f>
        <v>978.03</v>
      </c>
      <c r="M3540">
        <f>3815.91</f>
        <v>3815.91</v>
      </c>
      <c r="N3540">
        <f>140.037</f>
        <v>140.03700000000001</v>
      </c>
      <c r="O3540">
        <f>1449.18</f>
        <v>1449.18</v>
      </c>
      <c r="P3540">
        <f>83.18</f>
        <v>83.18</v>
      </c>
      <c r="Q3540">
        <f>775.33</f>
        <v>775.33</v>
      </c>
      <c r="R3540">
        <f>1820.11</f>
        <v>1820.11</v>
      </c>
      <c r="S3540">
        <f>1094.83</f>
        <v>1094.83</v>
      </c>
      <c r="T3540">
        <f>1199.307</f>
        <v>1199.307</v>
      </c>
      <c r="U3540">
        <f>27390.31</f>
        <v>27390.31</v>
      </c>
      <c r="V3540">
        <f>164.46</f>
        <v>164.46</v>
      </c>
    </row>
    <row r="3541" spans="1:22" x14ac:dyDescent="0.2">
      <c r="A3541" s="1">
        <v>40150</v>
      </c>
      <c r="B3541">
        <f>2139.76</f>
        <v>2139.7600000000002</v>
      </c>
      <c r="C3541">
        <f>7464.39</f>
        <v>7464.39</v>
      </c>
      <c r="D3541">
        <f>3358.29</f>
        <v>3358.29</v>
      </c>
      <c r="E3541">
        <f>1721.826</f>
        <v>1721.826</v>
      </c>
      <c r="F3541">
        <f>1168.62</f>
        <v>1168.6199999999999</v>
      </c>
      <c r="G3541">
        <f>5667.906</f>
        <v>5667.9059999999999</v>
      </c>
      <c r="H3541">
        <f>1742.45</f>
        <v>1742.45</v>
      </c>
      <c r="I3541">
        <f>6442.367</f>
        <v>6442.3670000000002</v>
      </c>
      <c r="J3541">
        <f>1281.59</f>
        <v>1281.5899999999999</v>
      </c>
      <c r="K3541">
        <f>3756.59</f>
        <v>3756.59</v>
      </c>
      <c r="L3541">
        <f>979.52</f>
        <v>979.52</v>
      </c>
      <c r="M3541">
        <f>3821.33</f>
        <v>3821.33</v>
      </c>
      <c r="N3541">
        <f>138.651</f>
        <v>138.65100000000001</v>
      </c>
      <c r="O3541">
        <f>1433.46</f>
        <v>1433.46</v>
      </c>
      <c r="P3541">
        <f>83.17</f>
        <v>83.17</v>
      </c>
      <c r="Q3541">
        <f>769.24</f>
        <v>769.24</v>
      </c>
      <c r="R3541">
        <f>1810.13</f>
        <v>1810.13</v>
      </c>
      <c r="S3541">
        <f>1092.93</f>
        <v>1092.93</v>
      </c>
      <c r="T3541">
        <f>1200.969</f>
        <v>1200.9690000000001</v>
      </c>
      <c r="U3541">
        <f>27314.09</f>
        <v>27314.09</v>
      </c>
      <c r="V3541">
        <f>165.46</f>
        <v>165.46</v>
      </c>
    </row>
    <row r="3542" spans="1:22" x14ac:dyDescent="0.2">
      <c r="A3542" s="1">
        <v>40149</v>
      </c>
      <c r="B3542">
        <f>2139.76</f>
        <v>2139.7600000000002</v>
      </c>
      <c r="C3542">
        <f>7451.18</f>
        <v>7451.18</v>
      </c>
      <c r="D3542">
        <f>3367.38</f>
        <v>3367.38</v>
      </c>
      <c r="E3542">
        <f>1713.818</f>
        <v>1713.818</v>
      </c>
      <c r="F3542">
        <f>1179.07</f>
        <v>1179.07</v>
      </c>
      <c r="G3542">
        <f>5708.828</f>
        <v>5708.8280000000004</v>
      </c>
      <c r="H3542">
        <f>1730.78</f>
        <v>1730.78</v>
      </c>
      <c r="I3542">
        <f>6431.944</f>
        <v>6431.9440000000004</v>
      </c>
      <c r="J3542">
        <f>1287.09</f>
        <v>1287.0899999999999</v>
      </c>
      <c r="K3542">
        <f>3788.84</f>
        <v>3788.84</v>
      </c>
      <c r="L3542">
        <f>982.02</f>
        <v>982.02</v>
      </c>
      <c r="M3542">
        <f>3832.07</f>
        <v>3832.07</v>
      </c>
      <c r="N3542">
        <f>139.046</f>
        <v>139.04599999999999</v>
      </c>
      <c r="O3542">
        <f>1435.94</f>
        <v>1435.94</v>
      </c>
      <c r="P3542">
        <f>80.88</f>
        <v>80.88</v>
      </c>
      <c r="Q3542">
        <f>779.39</f>
        <v>779.39</v>
      </c>
      <c r="R3542">
        <f>1825.4</f>
        <v>1825.4</v>
      </c>
      <c r="S3542">
        <f>1056.88</f>
        <v>1056.8800000000001</v>
      </c>
      <c r="T3542">
        <f>1203.624</f>
        <v>1203.624</v>
      </c>
      <c r="U3542">
        <f>27429.76</f>
        <v>27429.759999999998</v>
      </c>
      <c r="V3542">
        <f>165.77</f>
        <v>165.77</v>
      </c>
    </row>
    <row r="3543" spans="1:22" x14ac:dyDescent="0.2">
      <c r="A3543" s="1">
        <v>40148</v>
      </c>
      <c r="B3543">
        <f>2130.91</f>
        <v>2130.91</v>
      </c>
      <c r="C3543">
        <f>7407.91</f>
        <v>7407.91</v>
      </c>
      <c r="D3543">
        <f>3356.25</f>
        <v>3356.25</v>
      </c>
      <c r="E3543">
        <f>1699.319</f>
        <v>1699.319</v>
      </c>
      <c r="F3543">
        <f>1170.14</f>
        <v>1170.1400000000001</v>
      </c>
      <c r="G3543">
        <f>5680.503</f>
        <v>5680.5029999999997</v>
      </c>
      <c r="H3543">
        <f>1739.46</f>
        <v>1739.46</v>
      </c>
      <c r="I3543">
        <f>6414.052</f>
        <v>6414.0519999999997</v>
      </c>
      <c r="J3543">
        <f>1284.34</f>
        <v>1284.3399999999999</v>
      </c>
      <c r="K3543">
        <f>3786.56</f>
        <v>3786.56</v>
      </c>
      <c r="L3543">
        <f>978.75</f>
        <v>978.75</v>
      </c>
      <c r="M3543">
        <f>3825.32</f>
        <v>3825.32</v>
      </c>
      <c r="N3543">
        <f>137.826</f>
        <v>137.82599999999999</v>
      </c>
      <c r="O3543">
        <f>1429.05</f>
        <v>1429.05</v>
      </c>
      <c r="P3543">
        <f>80.98</f>
        <v>80.98</v>
      </c>
      <c r="Q3543">
        <f>776.91</f>
        <v>776.91</v>
      </c>
      <c r="R3543">
        <f>1824.54</f>
        <v>1824.54</v>
      </c>
      <c r="S3543">
        <f>1055.67</f>
        <v>1055.67</v>
      </c>
      <c r="T3543">
        <f>1206.221</f>
        <v>1206.221</v>
      </c>
      <c r="U3543">
        <f>27277.5</f>
        <v>27277.5</v>
      </c>
      <c r="V3543">
        <f>165.15</f>
        <v>165.15</v>
      </c>
    </row>
    <row r="3544" spans="1:22" x14ac:dyDescent="0.2">
      <c r="A3544" s="1">
        <v>40147</v>
      </c>
      <c r="B3544">
        <f>2089.37</f>
        <v>2089.37</v>
      </c>
      <c r="C3544">
        <f>7257.19</f>
        <v>7257.19</v>
      </c>
      <c r="D3544">
        <f>3279.49</f>
        <v>3279.49</v>
      </c>
      <c r="E3544">
        <f>1664.043</f>
        <v>1664.0429999999999</v>
      </c>
      <c r="F3544">
        <f>1132.81</f>
        <v>1132.81</v>
      </c>
      <c r="G3544">
        <f>5479.248</f>
        <v>5479.2479999999996</v>
      </c>
      <c r="H3544">
        <f>1731.65</f>
        <v>1731.65</v>
      </c>
      <c r="I3544">
        <f>6224.835</f>
        <v>6224.835</v>
      </c>
      <c r="J3544">
        <f>1265.77</f>
        <v>1265.77</v>
      </c>
      <c r="K3544">
        <f>3740.56</f>
        <v>3740.56</v>
      </c>
      <c r="L3544">
        <f>955.94</f>
        <v>955.94</v>
      </c>
      <c r="M3544">
        <f>3750.31</f>
        <v>3750.31</v>
      </c>
      <c r="N3544">
        <f>134.279</f>
        <v>134.279</v>
      </c>
      <c r="O3544">
        <f>1392.52</f>
        <v>1392.52</v>
      </c>
      <c r="P3544">
        <f>79.69</f>
        <v>79.69</v>
      </c>
      <c r="Q3544">
        <f>766.61</f>
        <v>766.61</v>
      </c>
      <c r="R3544">
        <f>1802.68</f>
        <v>1802.68</v>
      </c>
      <c r="S3544">
        <f>1033.74</f>
        <v>1033.74</v>
      </c>
      <c r="T3544">
        <f>1192.801</f>
        <v>1192.8009999999999</v>
      </c>
      <c r="U3544">
        <f>26894.74</f>
        <v>26894.74</v>
      </c>
      <c r="V3544">
        <f>163.09</f>
        <v>163.09</v>
      </c>
    </row>
    <row r="3545" spans="1:22" x14ac:dyDescent="0.2">
      <c r="A3545" s="1">
        <v>40144</v>
      </c>
      <c r="B3545">
        <f>2116.53</f>
        <v>2116.5300000000002</v>
      </c>
      <c r="C3545">
        <f>7189.95</f>
        <v>7189.95</v>
      </c>
      <c r="D3545">
        <f>3314.28</f>
        <v>3314.28</v>
      </c>
      <c r="E3545">
        <f>1642.737</f>
        <v>1642.7370000000001</v>
      </c>
      <c r="F3545">
        <f>1154.07</f>
        <v>1154.07</v>
      </c>
      <c r="G3545">
        <f>5564.528</f>
        <v>5564.5280000000002</v>
      </c>
      <c r="H3545">
        <f>1665.39</f>
        <v>1665.39</v>
      </c>
      <c r="I3545">
        <f>6287.878</f>
        <v>6287.8779999999997</v>
      </c>
      <c r="J3545">
        <f>1265.82</f>
        <v>1265.82</v>
      </c>
      <c r="K3545">
        <f>3726.82</f>
        <v>3726.82</v>
      </c>
      <c r="L3545">
        <f>958.52</f>
        <v>958.52</v>
      </c>
      <c r="M3545">
        <f>3735.59</f>
        <v>3735.59</v>
      </c>
      <c r="N3545">
        <f>136.906</f>
        <v>136.90600000000001</v>
      </c>
      <c r="O3545">
        <f>1412.36</f>
        <v>1412.36</v>
      </c>
      <c r="P3545">
        <f>77.65</f>
        <v>77.650000000000006</v>
      </c>
      <c r="Q3545">
        <f>764.57</f>
        <v>764.57</v>
      </c>
      <c r="R3545">
        <f>1795.7</f>
        <v>1795.7</v>
      </c>
      <c r="S3545">
        <f>998.13</f>
        <v>998.13</v>
      </c>
      <c r="T3545">
        <f>1184.427</f>
        <v>1184.4269999999999</v>
      </c>
      <c r="U3545">
        <f>26808.74</f>
        <v>26808.74</v>
      </c>
      <c r="V3545">
        <f>162.47</f>
        <v>162.47</v>
      </c>
    </row>
    <row r="3546" spans="1:22" x14ac:dyDescent="0.2">
      <c r="A3546" s="1">
        <v>40143</v>
      </c>
      <c r="B3546">
        <f>2098.72</f>
        <v>2098.7199999999998</v>
      </c>
      <c r="C3546">
        <f>7296.1</f>
        <v>7296.1</v>
      </c>
      <c r="D3546">
        <f>3281.68</f>
        <v>3281.68</v>
      </c>
      <c r="E3546">
        <f>1672.365</f>
        <v>1672.365</v>
      </c>
      <c r="F3546">
        <f>1141.59</f>
        <v>1141.5899999999999</v>
      </c>
      <c r="G3546">
        <f>5509.932</f>
        <v>5509.9319999999998</v>
      </c>
      <c r="H3546">
        <f>1699.98</f>
        <v>1699.98</v>
      </c>
      <c r="I3546">
        <f>6218.02</f>
        <v>6218.02</v>
      </c>
      <c r="J3546">
        <f>1282.18</f>
        <v>1282.18</v>
      </c>
      <c r="K3546">
        <f>3790.81</f>
        <v>3790.81</v>
      </c>
      <c r="L3546">
        <f>961.12</f>
        <v>961.12</v>
      </c>
      <c r="M3546">
        <f>3768.7</f>
        <v>3768.7</v>
      </c>
      <c r="N3546">
        <f>135.606</f>
        <v>135.60599999999999</v>
      </c>
      <c r="O3546">
        <f>1396.82</f>
        <v>1396.82</v>
      </c>
      <c r="P3546">
        <f>78.79</f>
        <v>78.790000000000006</v>
      </c>
      <c r="Q3546" t="e">
        <f>NA()</f>
        <v>#N/A</v>
      </c>
      <c r="R3546" t="e">
        <f>NA()</f>
        <v>#N/A</v>
      </c>
      <c r="S3546">
        <f>1020.96</f>
        <v>1020.96</v>
      </c>
      <c r="T3546">
        <f>1192.113</f>
        <v>1192.1130000000001</v>
      </c>
      <c r="U3546">
        <f>27025.61</f>
        <v>27025.61</v>
      </c>
      <c r="V3546">
        <f>164.06</f>
        <v>164.06</v>
      </c>
    </row>
    <row r="3547" spans="1:22" x14ac:dyDescent="0.2">
      <c r="A3547" s="1">
        <v>40142</v>
      </c>
      <c r="B3547">
        <f>2147.43</f>
        <v>2147.4299999999998</v>
      </c>
      <c r="C3547">
        <f>7438.58</f>
        <v>7438.58</v>
      </c>
      <c r="D3547">
        <f>3389.51</f>
        <v>3389.51</v>
      </c>
      <c r="E3547">
        <f>1708.42</f>
        <v>1708.42</v>
      </c>
      <c r="F3547">
        <f>1176.37</f>
        <v>1176.3699999999999</v>
      </c>
      <c r="G3547">
        <f>5746.13</f>
        <v>5746.13</v>
      </c>
      <c r="H3547">
        <f>1689.1</f>
        <v>1689.1</v>
      </c>
      <c r="I3547">
        <f>6446.721</f>
        <v>6446.7209999999995</v>
      </c>
      <c r="J3547">
        <f>1282.18</f>
        <v>1282.18</v>
      </c>
      <c r="K3547">
        <f>3790.81</f>
        <v>3790.81</v>
      </c>
      <c r="L3547">
        <f>982.97</f>
        <v>982.97</v>
      </c>
      <c r="M3547">
        <f>3820.27</f>
        <v>3820.27</v>
      </c>
      <c r="N3547">
        <f>139.575</f>
        <v>139.57499999999999</v>
      </c>
      <c r="O3547">
        <f>1443.19</f>
        <v>1443.19</v>
      </c>
      <c r="P3547">
        <f>78.98</f>
        <v>78.98</v>
      </c>
      <c r="Q3547">
        <f>777.46</f>
        <v>777.46</v>
      </c>
      <c r="R3547">
        <f>1826.74</f>
        <v>1826.74</v>
      </c>
      <c r="S3547">
        <f>1025.51</f>
        <v>1025.51</v>
      </c>
      <c r="T3547">
        <f>1212.46</f>
        <v>1212.46</v>
      </c>
      <c r="U3547">
        <f>27489.24</f>
        <v>27489.24</v>
      </c>
      <c r="V3547">
        <f>166.55</f>
        <v>166.55</v>
      </c>
    </row>
    <row r="3548" spans="1:22" x14ac:dyDescent="0.2">
      <c r="A3548" s="1">
        <v>40141</v>
      </c>
      <c r="B3548">
        <f>2141.1</f>
        <v>2141.1</v>
      </c>
      <c r="C3548">
        <f>7387.44</f>
        <v>7387.44</v>
      </c>
      <c r="D3548">
        <f>3363.06</f>
        <v>3363.06</v>
      </c>
      <c r="E3548">
        <f>1697.108</f>
        <v>1697.1079999999999</v>
      </c>
      <c r="F3548">
        <f>1162.42</f>
        <v>1162.42</v>
      </c>
      <c r="G3548">
        <f>5677.973</f>
        <v>5677.973</v>
      </c>
      <c r="H3548">
        <f>1662.73</f>
        <v>1662.73</v>
      </c>
      <c r="I3548">
        <f>6372.944</f>
        <v>6372.9440000000004</v>
      </c>
      <c r="J3548">
        <f>1275.2</f>
        <v>1275.2</v>
      </c>
      <c r="K3548">
        <f>3772.44</f>
        <v>3772.44</v>
      </c>
      <c r="L3548">
        <f>972.48</f>
        <v>972.48</v>
      </c>
      <c r="M3548">
        <f>3785.44</f>
        <v>3785.44</v>
      </c>
      <c r="N3548">
        <f>139.479</f>
        <v>139.47900000000001</v>
      </c>
      <c r="O3548">
        <f>1436.76</f>
        <v>1436.76</v>
      </c>
      <c r="P3548">
        <f>78.63</f>
        <v>78.63</v>
      </c>
      <c r="Q3548">
        <f>772.68</f>
        <v>772.68</v>
      </c>
      <c r="R3548">
        <f>1818.31</f>
        <v>1818.31</v>
      </c>
      <c r="S3548">
        <f>1020.49</f>
        <v>1020.49</v>
      </c>
      <c r="T3548">
        <f>1212.662</f>
        <v>1212.662</v>
      </c>
      <c r="U3548">
        <f>27377.54</f>
        <v>27377.54</v>
      </c>
      <c r="V3548">
        <f>166.99</f>
        <v>166.99</v>
      </c>
    </row>
    <row r="3549" spans="1:22" x14ac:dyDescent="0.2">
      <c r="A3549" s="1">
        <v>40140</v>
      </c>
      <c r="B3549">
        <f>2146.49</f>
        <v>2146.4899999999998</v>
      </c>
      <c r="C3549">
        <f>7426.09</f>
        <v>7426.09</v>
      </c>
      <c r="D3549">
        <f>3382.98</f>
        <v>3382.98</v>
      </c>
      <c r="E3549">
        <f>1705.858</f>
        <v>1705.8579999999999</v>
      </c>
      <c r="F3549">
        <f>1165.76</f>
        <v>1165.76</v>
      </c>
      <c r="G3549">
        <f>5723.223</f>
        <v>5723.223</v>
      </c>
      <c r="H3549">
        <f>1669.92</f>
        <v>1669.92</v>
      </c>
      <c r="I3549">
        <f>6432.831</f>
        <v>6432.8310000000001</v>
      </c>
      <c r="J3549">
        <f>1271.87</f>
        <v>1271.8699999999999</v>
      </c>
      <c r="K3549">
        <f>3773.8</f>
        <v>3773.8</v>
      </c>
      <c r="L3549">
        <f>978.53</f>
        <v>978.53</v>
      </c>
      <c r="M3549">
        <f>3803.85</f>
        <v>3803.85</v>
      </c>
      <c r="N3549">
        <f>140.1</f>
        <v>140.1</v>
      </c>
      <c r="O3549">
        <f>1445.83</f>
        <v>1445.83</v>
      </c>
      <c r="P3549" t="e">
        <f>NA()</f>
        <v>#N/A</v>
      </c>
      <c r="Q3549">
        <f>772.49</f>
        <v>772.49</v>
      </c>
      <c r="R3549">
        <f>1819.17</f>
        <v>1819.17</v>
      </c>
      <c r="S3549" t="e">
        <f>NA()</f>
        <v>#N/A</v>
      </c>
      <c r="T3549">
        <f>1212.612</f>
        <v>1212.6120000000001</v>
      </c>
      <c r="U3549">
        <f>27423.47</f>
        <v>27423.47</v>
      </c>
      <c r="V3549">
        <f>166.78</f>
        <v>166.78</v>
      </c>
    </row>
    <row r="3550" spans="1:22" x14ac:dyDescent="0.2">
      <c r="A3550" s="1">
        <v>40137</v>
      </c>
      <c r="B3550">
        <f>2123.2</f>
        <v>2123.1999999999998</v>
      </c>
      <c r="C3550">
        <f>7329.34</f>
        <v>7329.34</v>
      </c>
      <c r="D3550">
        <f>3317.23</f>
        <v>3317.23</v>
      </c>
      <c r="E3550">
        <f>1684.655</f>
        <v>1684.655</v>
      </c>
      <c r="F3550">
        <f>1140.79</f>
        <v>1140.79</v>
      </c>
      <c r="G3550">
        <f>5577.391</f>
        <v>5577.3909999999996</v>
      </c>
      <c r="H3550">
        <f>1670.02</f>
        <v>1670.02</v>
      </c>
      <c r="I3550">
        <f>6237.464</f>
        <v>6237.4639999999999</v>
      </c>
      <c r="J3550">
        <f>1255.26</f>
        <v>1255.26</v>
      </c>
      <c r="K3550">
        <f>3724.73</f>
        <v>3724.73</v>
      </c>
      <c r="L3550">
        <f>956.91</f>
        <v>956.91</v>
      </c>
      <c r="M3550">
        <f>3737.84</f>
        <v>3737.84</v>
      </c>
      <c r="N3550">
        <f>138.167</f>
        <v>138.167</v>
      </c>
      <c r="O3550">
        <f>1416.01</f>
        <v>1416.01</v>
      </c>
      <c r="P3550">
        <f>79.36</f>
        <v>79.36</v>
      </c>
      <c r="Q3550">
        <f>764.52</f>
        <v>764.52</v>
      </c>
      <c r="R3550">
        <f>1794.65</f>
        <v>1794.65</v>
      </c>
      <c r="S3550">
        <f>1032.17</f>
        <v>1032.17</v>
      </c>
      <c r="T3550">
        <f>1193.433</f>
        <v>1193.433</v>
      </c>
      <c r="U3550">
        <f>26929.25</f>
        <v>26929.25</v>
      </c>
      <c r="V3550">
        <f>164.48</f>
        <v>164.48</v>
      </c>
    </row>
    <row r="3551" spans="1:22" x14ac:dyDescent="0.2">
      <c r="A3551" s="1">
        <v>40136</v>
      </c>
      <c r="B3551">
        <f>2130.21</f>
        <v>2130.21</v>
      </c>
      <c r="C3551">
        <f>7366.45</f>
        <v>7366.45</v>
      </c>
      <c r="D3551">
        <f>3327.52</f>
        <v>3327.52</v>
      </c>
      <c r="E3551">
        <f>1690.526</f>
        <v>1690.5260000000001</v>
      </c>
      <c r="F3551">
        <f>1150.02</f>
        <v>1150.02</v>
      </c>
      <c r="G3551">
        <f>5631.157</f>
        <v>5631.1570000000002</v>
      </c>
      <c r="H3551">
        <f>1674.03</f>
        <v>1674.03</v>
      </c>
      <c r="I3551">
        <f>6289.434</f>
        <v>6289.4340000000002</v>
      </c>
      <c r="J3551">
        <f>1253.7</f>
        <v>1253.7</v>
      </c>
      <c r="K3551">
        <f>3736.75</f>
        <v>3736.75</v>
      </c>
      <c r="L3551">
        <f>962.3</f>
        <v>962.3</v>
      </c>
      <c r="M3551">
        <f>3757.92</f>
        <v>3757.92</v>
      </c>
      <c r="N3551">
        <f>139.432</f>
        <v>139.43199999999999</v>
      </c>
      <c r="O3551">
        <f>1427.58</f>
        <v>1427.58</v>
      </c>
      <c r="P3551">
        <f>79.21</f>
        <v>79.209999999999994</v>
      </c>
      <c r="Q3551">
        <f>766.76</f>
        <v>766.76</v>
      </c>
      <c r="R3551">
        <f>1800.12</f>
        <v>1800.12</v>
      </c>
      <c r="S3551">
        <f>1030.94</f>
        <v>1030.94</v>
      </c>
      <c r="T3551">
        <f>1203.858</f>
        <v>1203.8579999999999</v>
      </c>
      <c r="U3551">
        <f>27059.21</f>
        <v>27059.21</v>
      </c>
      <c r="V3551">
        <f>165.79</f>
        <v>165.79</v>
      </c>
    </row>
    <row r="3552" spans="1:22" x14ac:dyDescent="0.2">
      <c r="A3552" s="1">
        <v>40135</v>
      </c>
      <c r="B3552">
        <f>2154.74</f>
        <v>2154.7399999999998</v>
      </c>
      <c r="C3552">
        <f>7489.65</f>
        <v>7489.65</v>
      </c>
      <c r="D3552">
        <f>3374.54</f>
        <v>3374.54</v>
      </c>
      <c r="E3552">
        <f>1713.79</f>
        <v>1713.79</v>
      </c>
      <c r="F3552">
        <f>1173.87</f>
        <v>1173.8699999999999</v>
      </c>
      <c r="G3552">
        <f>5758.185</f>
        <v>5758.1850000000004</v>
      </c>
      <c r="H3552">
        <f>1691.71</f>
        <v>1691.71</v>
      </c>
      <c r="I3552">
        <f>6445.281</f>
        <v>6445.2809999999999</v>
      </c>
      <c r="J3552">
        <f>1268.01</f>
        <v>1268.01</v>
      </c>
      <c r="K3552">
        <f>3787.89</f>
        <v>3787.89</v>
      </c>
      <c r="L3552">
        <f>979.75</f>
        <v>979.75</v>
      </c>
      <c r="M3552">
        <f>3821.72</f>
        <v>3821.72</v>
      </c>
      <c r="N3552">
        <f>141.809</f>
        <v>141.809</v>
      </c>
      <c r="O3552">
        <f>1450.87</f>
        <v>1450.87</v>
      </c>
      <c r="P3552">
        <f>79.66</f>
        <v>79.66</v>
      </c>
      <c r="Q3552">
        <f>775.72</f>
        <v>775.72</v>
      </c>
      <c r="R3552">
        <f>1824.61</f>
        <v>1824.61</v>
      </c>
      <c r="S3552">
        <f>1046.14</f>
        <v>1046.1400000000001</v>
      </c>
      <c r="T3552">
        <f>1204.777</f>
        <v>1204.777</v>
      </c>
      <c r="U3552">
        <f>27210.64</f>
        <v>27210.639999999999</v>
      </c>
      <c r="V3552">
        <f>167</f>
        <v>167</v>
      </c>
    </row>
    <row r="3553" spans="1:22" x14ac:dyDescent="0.2">
      <c r="A3553" s="1">
        <v>40134</v>
      </c>
      <c r="B3553">
        <f>2153.89</f>
        <v>2153.89</v>
      </c>
      <c r="C3553">
        <f>7499.2</f>
        <v>7499.2</v>
      </c>
      <c r="D3553">
        <f>3370</f>
        <v>3370</v>
      </c>
      <c r="E3553">
        <f>1711.354</f>
        <v>1711.354</v>
      </c>
      <c r="F3553">
        <f>1175.97</f>
        <v>1175.97</v>
      </c>
      <c r="G3553">
        <f>5762.663</f>
        <v>5762.6629999999996</v>
      </c>
      <c r="H3553">
        <f>1701.03</f>
        <v>1701.03</v>
      </c>
      <c r="I3553">
        <f>6381.786</f>
        <v>6381.7860000000001</v>
      </c>
      <c r="J3553">
        <f>1267.61</f>
        <v>1267.6099999999999</v>
      </c>
      <c r="K3553">
        <f>3790.06</f>
        <v>3790.06</v>
      </c>
      <c r="L3553">
        <f>975.32</f>
        <v>975.32</v>
      </c>
      <c r="M3553">
        <f>3813.95</f>
        <v>3813.95</v>
      </c>
      <c r="N3553">
        <f>142.355</f>
        <v>142.35499999999999</v>
      </c>
      <c r="O3553">
        <f>1454.4</f>
        <v>1454.4</v>
      </c>
      <c r="P3553">
        <f>79.74</f>
        <v>79.739999999999995</v>
      </c>
      <c r="Q3553">
        <f>777.81</f>
        <v>777.81</v>
      </c>
      <c r="R3553">
        <f>1825.18</f>
        <v>1825.18</v>
      </c>
      <c r="S3553">
        <f>1054.69</f>
        <v>1054.69</v>
      </c>
      <c r="T3553">
        <f>1203.113</f>
        <v>1203.1130000000001</v>
      </c>
      <c r="U3553">
        <f>27246.4</f>
        <v>27246.400000000001</v>
      </c>
      <c r="V3553">
        <f>167.33</f>
        <v>167.33</v>
      </c>
    </row>
    <row r="3554" spans="1:22" x14ac:dyDescent="0.2">
      <c r="A3554" s="1">
        <v>40133</v>
      </c>
      <c r="B3554">
        <f>2162.01</f>
        <v>2162.0100000000002</v>
      </c>
      <c r="C3554">
        <f>7521.77</f>
        <v>7521.77</v>
      </c>
      <c r="D3554">
        <f>3393.17</f>
        <v>3393.17</v>
      </c>
      <c r="E3554">
        <f>1714.834</f>
        <v>1714.8340000000001</v>
      </c>
      <c r="F3554">
        <f>1177.82</f>
        <v>1177.82</v>
      </c>
      <c r="G3554">
        <f>5794.302</f>
        <v>5794.3019999999997</v>
      </c>
      <c r="H3554">
        <f>1704.27</f>
        <v>1704.27</v>
      </c>
      <c r="I3554">
        <f>6486.919</f>
        <v>6486.9189999999999</v>
      </c>
      <c r="J3554">
        <f>1267.28</f>
        <v>1267.28</v>
      </c>
      <c r="K3554">
        <f>3785.78</f>
        <v>3785.78</v>
      </c>
      <c r="L3554">
        <f>983.44</f>
        <v>983.44</v>
      </c>
      <c r="M3554">
        <f>3832.76</f>
        <v>3832.76</v>
      </c>
      <c r="N3554">
        <f>142.681</f>
        <v>142.68100000000001</v>
      </c>
      <c r="O3554">
        <f>1460.96</f>
        <v>1460.96</v>
      </c>
      <c r="P3554">
        <f>80.28</f>
        <v>80.28</v>
      </c>
      <c r="Q3554">
        <f>778.21</f>
        <v>778.21</v>
      </c>
      <c r="R3554">
        <f>1823.29</f>
        <v>1823.29</v>
      </c>
      <c r="S3554">
        <f>1058.89</f>
        <v>1058.8900000000001</v>
      </c>
      <c r="T3554">
        <f>1205.091</f>
        <v>1205.0909999999999</v>
      </c>
      <c r="U3554">
        <f>27104.29</f>
        <v>27104.29</v>
      </c>
      <c r="V3554">
        <f>167.79</f>
        <v>167.79</v>
      </c>
    </row>
    <row r="3555" spans="1:22" x14ac:dyDescent="0.2">
      <c r="A3555" s="1">
        <v>40130</v>
      </c>
      <c r="B3555">
        <f>2146.18</f>
        <v>2146.1799999999998</v>
      </c>
      <c r="C3555">
        <f>7378.13</f>
        <v>7378.13</v>
      </c>
      <c r="D3555">
        <f>3338.77</f>
        <v>3338.77</v>
      </c>
      <c r="E3555">
        <f>1680.049</f>
        <v>1680.049</v>
      </c>
      <c r="F3555">
        <f>1156.96</f>
        <v>1156.96</v>
      </c>
      <c r="G3555">
        <f>5669.197</f>
        <v>5669.1970000000001</v>
      </c>
      <c r="H3555">
        <f>1703.83</f>
        <v>1703.83</v>
      </c>
      <c r="I3555">
        <f>6360.616</f>
        <v>6360.616</v>
      </c>
      <c r="J3555">
        <f>1248.13</f>
        <v>1248.1300000000001</v>
      </c>
      <c r="K3555">
        <f>3731.48</f>
        <v>3731.48</v>
      </c>
      <c r="L3555">
        <f>968.03</f>
        <v>968.03</v>
      </c>
      <c r="M3555">
        <f>3776.45</f>
        <v>3776.45</v>
      </c>
      <c r="N3555">
        <f>140.926</f>
        <v>140.92599999999999</v>
      </c>
      <c r="O3555">
        <f>1439.27</f>
        <v>1439.27</v>
      </c>
      <c r="P3555">
        <f>80.6</f>
        <v>80.599999999999994</v>
      </c>
      <c r="Q3555">
        <f>768.15</f>
        <v>768.15</v>
      </c>
      <c r="R3555">
        <f>1796.93</f>
        <v>1796.93</v>
      </c>
      <c r="S3555">
        <f>1066.75</f>
        <v>1066.75</v>
      </c>
      <c r="T3555">
        <f>1193.502</f>
        <v>1193.502</v>
      </c>
      <c r="U3555">
        <f>26695.24</f>
        <v>26695.24</v>
      </c>
      <c r="V3555">
        <f>166.13</f>
        <v>166.13</v>
      </c>
    </row>
    <row r="3556" spans="1:22" x14ac:dyDescent="0.2">
      <c r="A3556" s="1">
        <v>40129</v>
      </c>
      <c r="B3556">
        <f>2131.81</f>
        <v>2131.81</v>
      </c>
      <c r="C3556">
        <f>7357.17</f>
        <v>7357.17</v>
      </c>
      <c r="D3556">
        <f>3326.24</f>
        <v>3326.24</v>
      </c>
      <c r="E3556">
        <f>1673.591</f>
        <v>1673.5909999999999</v>
      </c>
      <c r="F3556">
        <f>1141.36</f>
        <v>1141.3599999999999</v>
      </c>
      <c r="G3556">
        <f>5603.409</f>
        <v>5603.4089999999997</v>
      </c>
      <c r="H3556">
        <f>1686.46</f>
        <v>1686.46</v>
      </c>
      <c r="I3556">
        <f>6345.224</f>
        <v>6345.2240000000002</v>
      </c>
      <c r="J3556">
        <f>1242.37</f>
        <v>1242.3699999999999</v>
      </c>
      <c r="K3556">
        <f>3709.78</f>
        <v>3709.78</v>
      </c>
      <c r="L3556">
        <f>964.49</f>
        <v>964.49</v>
      </c>
      <c r="M3556">
        <f>3756.75</f>
        <v>3756.75</v>
      </c>
      <c r="N3556">
        <f>139.617</f>
        <v>139.61699999999999</v>
      </c>
      <c r="O3556">
        <f>1432.18</f>
        <v>1432.18</v>
      </c>
      <c r="P3556">
        <f>80.42</f>
        <v>80.42</v>
      </c>
      <c r="Q3556">
        <f>764.5</f>
        <v>764.5</v>
      </c>
      <c r="R3556">
        <f>1786.66</f>
        <v>1786.66</v>
      </c>
      <c r="S3556">
        <f>1067.86</f>
        <v>1067.8599999999999</v>
      </c>
      <c r="T3556">
        <f>1197.085</f>
        <v>1197.085</v>
      </c>
      <c r="U3556">
        <f>26687.98</f>
        <v>26687.98</v>
      </c>
      <c r="V3556">
        <f>166.55</f>
        <v>166.55</v>
      </c>
    </row>
    <row r="3557" spans="1:22" x14ac:dyDescent="0.2">
      <c r="A3557" s="1">
        <v>40128</v>
      </c>
      <c r="B3557">
        <f>2113.74</f>
        <v>2113.7399999999998</v>
      </c>
      <c r="C3557">
        <f>7433.4</f>
        <v>7433.4</v>
      </c>
      <c r="D3557">
        <f>3320.09</f>
        <v>3320.09</v>
      </c>
      <c r="E3557">
        <f>1696.564</f>
        <v>1696.5640000000001</v>
      </c>
      <c r="F3557">
        <f>1141.41</f>
        <v>1141.4100000000001</v>
      </c>
      <c r="G3557">
        <f>5605.112</f>
        <v>5605.1120000000001</v>
      </c>
      <c r="H3557">
        <f>1700.11</f>
        <v>1700.11</v>
      </c>
      <c r="I3557">
        <f>6397.489</f>
        <v>6397.4889999999996</v>
      </c>
      <c r="J3557">
        <f>1250.84</f>
        <v>1250.8399999999999</v>
      </c>
      <c r="K3557">
        <f>3747.82</f>
        <v>3747.82</v>
      </c>
      <c r="L3557">
        <f>968.36</f>
        <v>968.36</v>
      </c>
      <c r="M3557">
        <f>3788.04</f>
        <v>3788.04</v>
      </c>
      <c r="N3557">
        <f>139.035</f>
        <v>139.035</v>
      </c>
      <c r="O3557">
        <f>1430.14</f>
        <v>1430.14</v>
      </c>
      <c r="P3557">
        <f>81.72</f>
        <v>81.72</v>
      </c>
      <c r="Q3557">
        <f>771.94</f>
        <v>771.94</v>
      </c>
      <c r="R3557">
        <f>1804.93</f>
        <v>1804.93</v>
      </c>
      <c r="S3557">
        <f>1073.5</f>
        <v>1073.5</v>
      </c>
      <c r="T3557">
        <f>1196.981</f>
        <v>1196.981</v>
      </c>
      <c r="U3557">
        <f>26662.54</f>
        <v>26662.54</v>
      </c>
      <c r="V3557">
        <f>166.91</f>
        <v>166.91</v>
      </c>
    </row>
    <row r="3558" spans="1:22" x14ac:dyDescent="0.2">
      <c r="A3558" s="1">
        <v>40127</v>
      </c>
      <c r="B3558">
        <f>2100.95</f>
        <v>2100.9499999999998</v>
      </c>
      <c r="C3558">
        <f>7366.32</f>
        <v>7366.32</v>
      </c>
      <c r="D3558">
        <f>3292.89</f>
        <v>3292.89</v>
      </c>
      <c r="E3558">
        <f>1680.849</f>
        <v>1680.8489999999999</v>
      </c>
      <c r="F3558">
        <f>1155.2</f>
        <v>1155.2</v>
      </c>
      <c r="G3558">
        <f>5608.792</f>
        <v>5608.7920000000004</v>
      </c>
      <c r="H3558">
        <f>1695.14</f>
        <v>1695.14</v>
      </c>
      <c r="I3558">
        <f>6342.682</f>
        <v>6342.6819999999998</v>
      </c>
      <c r="J3558">
        <f>1247.88</f>
        <v>1247.8800000000001</v>
      </c>
      <c r="K3558">
        <f>3729.37</f>
        <v>3729.37</v>
      </c>
      <c r="L3558">
        <f>966.21</f>
        <v>966.21</v>
      </c>
      <c r="M3558">
        <f>3769.6</f>
        <v>3769.6</v>
      </c>
      <c r="N3558">
        <f>138.714</f>
        <v>138.714</v>
      </c>
      <c r="O3558">
        <f>1423.11</f>
        <v>1423.11</v>
      </c>
      <c r="P3558">
        <f>81.89</f>
        <v>81.89</v>
      </c>
      <c r="Q3558">
        <f>769.09</f>
        <v>769.09</v>
      </c>
      <c r="R3558">
        <f>1795.9</f>
        <v>1795.9</v>
      </c>
      <c r="S3558">
        <f>1073.69</f>
        <v>1073.69</v>
      </c>
      <c r="T3558">
        <f>1180.053</f>
        <v>1180.0530000000001</v>
      </c>
      <c r="U3558">
        <f>26375.93</f>
        <v>26375.93</v>
      </c>
      <c r="V3558">
        <f>164.48</f>
        <v>164.48</v>
      </c>
    </row>
    <row r="3559" spans="1:22" x14ac:dyDescent="0.2">
      <c r="A3559" s="1">
        <v>40126</v>
      </c>
      <c r="B3559">
        <f>2110.8</f>
        <v>2110.8000000000002</v>
      </c>
      <c r="C3559">
        <f>7319.45</f>
        <v>7319.45</v>
      </c>
      <c r="D3559">
        <f>3295.8</f>
        <v>3295.8</v>
      </c>
      <c r="E3559">
        <f>1674.852</f>
        <v>1674.8520000000001</v>
      </c>
      <c r="F3559">
        <f>1164.5</f>
        <v>1164.5</v>
      </c>
      <c r="G3559">
        <f>5620.534</f>
        <v>5620.5339999999997</v>
      </c>
      <c r="H3559">
        <f>1701.26</f>
        <v>1701.26</v>
      </c>
      <c r="I3559">
        <f>6377.136</f>
        <v>6377.1360000000004</v>
      </c>
      <c r="J3559">
        <f>1244.38</f>
        <v>1244.3800000000001</v>
      </c>
      <c r="K3559">
        <f>3728.66</f>
        <v>3728.66</v>
      </c>
      <c r="L3559">
        <f>964.52</f>
        <v>964.52</v>
      </c>
      <c r="M3559">
        <f>3771.97</f>
        <v>3771.97</v>
      </c>
      <c r="N3559">
        <f>139.25</f>
        <v>139.25</v>
      </c>
      <c r="O3559">
        <f>1425.31</f>
        <v>1425.31</v>
      </c>
      <c r="P3559">
        <f>82.16</f>
        <v>82.16</v>
      </c>
      <c r="Q3559">
        <f>769.7</f>
        <v>769.7</v>
      </c>
      <c r="R3559">
        <f>1795.56</f>
        <v>1795.56</v>
      </c>
      <c r="S3559">
        <f>1071.51</f>
        <v>1071.51</v>
      </c>
      <c r="T3559">
        <f>1173.901</f>
        <v>1173.9010000000001</v>
      </c>
      <c r="U3559">
        <f>26345.01</f>
        <v>26345.01</v>
      </c>
      <c r="V3559">
        <f>163.25</f>
        <v>163.25</v>
      </c>
    </row>
    <row r="3560" spans="1:22" x14ac:dyDescent="0.2">
      <c r="A3560" s="1">
        <v>40123</v>
      </c>
      <c r="B3560">
        <f>2079.28</f>
        <v>2079.2800000000002</v>
      </c>
      <c r="C3560">
        <f>7140.75</f>
        <v>7140.75</v>
      </c>
      <c r="D3560">
        <f>3237.6</f>
        <v>3237.6</v>
      </c>
      <c r="E3560">
        <f>1634.124</f>
        <v>1634.124</v>
      </c>
      <c r="F3560">
        <f>1134.61</f>
        <v>1134.6099999999999</v>
      </c>
      <c r="G3560">
        <f>5476.632</f>
        <v>5476.6319999999996</v>
      </c>
      <c r="H3560">
        <f>1712.9</f>
        <v>1712.9</v>
      </c>
      <c r="I3560">
        <f>6190.213</f>
        <v>6190.2129999999997</v>
      </c>
      <c r="J3560">
        <f>1220.45</f>
        <v>1220.45</v>
      </c>
      <c r="K3560">
        <f>3647.2</f>
        <v>3647.2</v>
      </c>
      <c r="L3560">
        <f>939.93</f>
        <v>939.93</v>
      </c>
      <c r="M3560">
        <f>3688.05</f>
        <v>3688.05</v>
      </c>
      <c r="N3560">
        <f>137.223</f>
        <v>137.22300000000001</v>
      </c>
      <c r="O3560">
        <f>1398.84</f>
        <v>1398.84</v>
      </c>
      <c r="P3560">
        <f>82.56</f>
        <v>82.56</v>
      </c>
      <c r="Q3560">
        <f>752.75</f>
        <v>752.75</v>
      </c>
      <c r="R3560">
        <f>1756.07</f>
        <v>1756.07</v>
      </c>
      <c r="S3560">
        <f>1075.62</f>
        <v>1075.6199999999999</v>
      </c>
      <c r="T3560">
        <f>1162.113</f>
        <v>1162.1130000000001</v>
      </c>
      <c r="U3560">
        <f>25933.45</f>
        <v>25933.45</v>
      </c>
      <c r="V3560">
        <f>160.15</f>
        <v>160.15</v>
      </c>
    </row>
    <row r="3561" spans="1:22" x14ac:dyDescent="0.2">
      <c r="A3561" s="1">
        <v>40122</v>
      </c>
      <c r="B3561">
        <f>2073.98</f>
        <v>2073.98</v>
      </c>
      <c r="C3561">
        <f>7106.2</f>
        <v>7106.2</v>
      </c>
      <c r="D3561">
        <f>3226.84</f>
        <v>3226.84</v>
      </c>
      <c r="E3561">
        <f>1623.154</f>
        <v>1623.154</v>
      </c>
      <c r="F3561">
        <f>1140.87</f>
        <v>1140.8699999999999</v>
      </c>
      <c r="G3561">
        <f>5456.372</f>
        <v>5456.3720000000003</v>
      </c>
      <c r="H3561">
        <f>1706.76</f>
        <v>1706.76</v>
      </c>
      <c r="I3561">
        <f>6195.15</f>
        <v>6195.15</v>
      </c>
      <c r="J3561">
        <f>1214.8</f>
        <v>1214.8</v>
      </c>
      <c r="K3561">
        <f>3638.53</f>
        <v>3638.53</v>
      </c>
      <c r="L3561">
        <f>936.83</f>
        <v>936.83</v>
      </c>
      <c r="M3561">
        <f>3675.32</f>
        <v>3675.32</v>
      </c>
      <c r="N3561">
        <f>136.942</f>
        <v>136.94200000000001</v>
      </c>
      <c r="O3561">
        <f>1396.12</f>
        <v>1396.12</v>
      </c>
      <c r="P3561">
        <f>82.66</f>
        <v>82.66</v>
      </c>
      <c r="Q3561">
        <f>750.71</f>
        <v>750.71</v>
      </c>
      <c r="R3561">
        <f>1751.45</f>
        <v>1751.45</v>
      </c>
      <c r="S3561">
        <f>1076.79</f>
        <v>1076.79</v>
      </c>
      <c r="T3561">
        <f>1160.517</f>
        <v>1160.5170000000001</v>
      </c>
      <c r="U3561">
        <f>25897.8</f>
        <v>25897.8</v>
      </c>
      <c r="V3561">
        <f>161.11</f>
        <v>161.11000000000001</v>
      </c>
    </row>
    <row r="3562" spans="1:22" x14ac:dyDescent="0.2">
      <c r="A3562" s="1">
        <v>40121</v>
      </c>
      <c r="B3562">
        <f>2067.25</f>
        <v>2067.25</v>
      </c>
      <c r="C3562">
        <f>7073.54</f>
        <v>7073.54</v>
      </c>
      <c r="D3562">
        <f>3215.66</f>
        <v>3215.66</v>
      </c>
      <c r="E3562">
        <f>1616.254</f>
        <v>1616.2539999999999</v>
      </c>
      <c r="F3562">
        <f>1127.48</f>
        <v>1127.48</v>
      </c>
      <c r="G3562">
        <f>5430.829</f>
        <v>5430.8289999999997</v>
      </c>
      <c r="H3562">
        <f>1708.41</f>
        <v>1708.41</v>
      </c>
      <c r="I3562">
        <f>6123.157</f>
        <v>6123.1570000000002</v>
      </c>
      <c r="J3562">
        <f>1193.58</f>
        <v>1193.58</v>
      </c>
      <c r="K3562">
        <f>3569.87</f>
        <v>3569.87</v>
      </c>
      <c r="L3562">
        <f>927.79</f>
        <v>927.79</v>
      </c>
      <c r="M3562">
        <f>3632.56</f>
        <v>3632.56</v>
      </c>
      <c r="N3562">
        <f>136.207</f>
        <v>136.20699999999999</v>
      </c>
      <c r="O3562">
        <f>1387.48</f>
        <v>1387.48</v>
      </c>
      <c r="P3562">
        <f>83.08</f>
        <v>83.08</v>
      </c>
      <c r="Q3562">
        <f>734.89</f>
        <v>734.89</v>
      </c>
      <c r="R3562">
        <f>1718.21</f>
        <v>1718.21</v>
      </c>
      <c r="S3562">
        <f>1084.55</f>
        <v>1084.55</v>
      </c>
      <c r="T3562">
        <f>1170.448</f>
        <v>1170.4480000000001</v>
      </c>
      <c r="U3562">
        <f>25924.5</f>
        <v>25924.5</v>
      </c>
      <c r="V3562">
        <f>162.09</f>
        <v>162.09</v>
      </c>
    </row>
    <row r="3563" spans="1:22" x14ac:dyDescent="0.2">
      <c r="A3563" s="1">
        <v>40120</v>
      </c>
      <c r="B3563">
        <f>2034.98</f>
        <v>2034.98</v>
      </c>
      <c r="C3563">
        <f>6910.86</f>
        <v>6910.86</v>
      </c>
      <c r="D3563">
        <f>3165.59</f>
        <v>3165.59</v>
      </c>
      <c r="E3563">
        <f>1576.674</f>
        <v>1576.674</v>
      </c>
      <c r="F3563">
        <f>1104.88</f>
        <v>1104.8800000000001</v>
      </c>
      <c r="G3563">
        <f>5287.166</f>
        <v>5287.1660000000002</v>
      </c>
      <c r="H3563">
        <f>1706.64</f>
        <v>1706.64</v>
      </c>
      <c r="I3563">
        <f>5948.7</f>
        <v>5948.7</v>
      </c>
      <c r="J3563">
        <f>1187.64</f>
        <v>1187.6400000000001</v>
      </c>
      <c r="K3563">
        <f>3564.54</f>
        <v>3564.54</v>
      </c>
      <c r="L3563">
        <f>912.33</f>
        <v>912.33</v>
      </c>
      <c r="M3563">
        <f>3594.61</f>
        <v>3594.61</v>
      </c>
      <c r="N3563">
        <f>133.469</f>
        <v>133.46899999999999</v>
      </c>
      <c r="O3563">
        <f>1364.66</f>
        <v>1364.66</v>
      </c>
      <c r="P3563" t="e">
        <f>NA()</f>
        <v>#N/A</v>
      </c>
      <c r="Q3563">
        <f>735.39</f>
        <v>735.39</v>
      </c>
      <c r="R3563">
        <f>1715.81</f>
        <v>1715.81</v>
      </c>
      <c r="S3563" t="e">
        <f>NA()</f>
        <v>#N/A</v>
      </c>
      <c r="T3563">
        <f>1172.168</f>
        <v>1172.1679999999999</v>
      </c>
      <c r="U3563">
        <f>25755.6</f>
        <v>25755.599999999999</v>
      </c>
      <c r="V3563">
        <f>162.75</f>
        <v>162.75</v>
      </c>
    </row>
    <row r="3564" spans="1:22" x14ac:dyDescent="0.2">
      <c r="A3564" s="1">
        <v>40119</v>
      </c>
      <c r="B3564">
        <f>2052.61</f>
        <v>2052.61</v>
      </c>
      <c r="C3564">
        <f>6977.33</f>
        <v>6977.33</v>
      </c>
      <c r="D3564">
        <f>3207.88</f>
        <v>3207.88</v>
      </c>
      <c r="E3564">
        <f>1590.025</f>
        <v>1590.0250000000001</v>
      </c>
      <c r="F3564">
        <f>1114.7</f>
        <v>1114.7</v>
      </c>
      <c r="G3564">
        <f>5352.844</f>
        <v>5352.8440000000001</v>
      </c>
      <c r="H3564">
        <f>1703.53</f>
        <v>1703.53</v>
      </c>
      <c r="I3564">
        <f>6098.149</f>
        <v>6098.1490000000003</v>
      </c>
      <c r="J3564">
        <f>1191.87</f>
        <v>1191.8699999999999</v>
      </c>
      <c r="K3564">
        <f>3553.25</f>
        <v>3553.25</v>
      </c>
      <c r="L3564">
        <f>923.55</f>
        <v>923.55</v>
      </c>
      <c r="M3564">
        <f>3611.39</f>
        <v>3611.39</v>
      </c>
      <c r="N3564">
        <f>133.831</f>
        <v>133.83099999999999</v>
      </c>
      <c r="O3564">
        <f>1380.58</f>
        <v>1380.58</v>
      </c>
      <c r="P3564">
        <f>83.18</f>
        <v>83.18</v>
      </c>
      <c r="Q3564">
        <f>732.62</f>
        <v>732.62</v>
      </c>
      <c r="R3564">
        <f>1711.65</f>
        <v>1711.65</v>
      </c>
      <c r="S3564">
        <f>1083.66</f>
        <v>1083.6600000000001</v>
      </c>
      <c r="T3564">
        <f>1192.695</f>
        <v>1192.6949999999999</v>
      </c>
      <c r="U3564">
        <f>26112.73</f>
        <v>26112.73</v>
      </c>
      <c r="V3564">
        <f>165.37</f>
        <v>165.37</v>
      </c>
    </row>
    <row r="3565" spans="1:22" x14ac:dyDescent="0.2">
      <c r="A3565" s="1">
        <v>40116</v>
      </c>
      <c r="B3565">
        <f>2049.94</f>
        <v>2049.94</v>
      </c>
      <c r="C3565">
        <f>7021.59</f>
        <v>7021.59</v>
      </c>
      <c r="D3565">
        <f>3170.2</f>
        <v>3170.2</v>
      </c>
      <c r="E3565">
        <f>1595.43</f>
        <v>1595.43</v>
      </c>
      <c r="F3565">
        <f>1103.73</f>
        <v>1103.73</v>
      </c>
      <c r="G3565">
        <f>5324.425</f>
        <v>5324.4250000000002</v>
      </c>
      <c r="H3565">
        <f>1728.4</f>
        <v>1728.4</v>
      </c>
      <c r="I3565">
        <f>6046.269</f>
        <v>6046.2690000000002</v>
      </c>
      <c r="J3565">
        <f>1184.88</f>
        <v>1184.8800000000001</v>
      </c>
      <c r="K3565">
        <f>3530.52</f>
        <v>3530.52</v>
      </c>
      <c r="L3565">
        <f>920.65</f>
        <v>920.65</v>
      </c>
      <c r="M3565">
        <f>3601.32</f>
        <v>3601.32</v>
      </c>
      <c r="N3565">
        <f>134.55</f>
        <v>134.55000000000001</v>
      </c>
      <c r="O3565">
        <f>1375.42</f>
        <v>1375.42</v>
      </c>
      <c r="P3565">
        <f>83.44</f>
        <v>83.44</v>
      </c>
      <c r="Q3565">
        <f>725.51</f>
        <v>725.51</v>
      </c>
      <c r="R3565">
        <f>1700.67</f>
        <v>1700.67</v>
      </c>
      <c r="S3565">
        <f>1101.04</f>
        <v>1101.04</v>
      </c>
      <c r="T3565">
        <f>1207.954</f>
        <v>1207.954</v>
      </c>
      <c r="U3565">
        <f>26360.55</f>
        <v>26360.55</v>
      </c>
      <c r="V3565">
        <f>168.41</f>
        <v>168.41</v>
      </c>
    </row>
    <row r="3566" spans="1:22" x14ac:dyDescent="0.2">
      <c r="A3566" s="1">
        <v>40115</v>
      </c>
      <c r="B3566">
        <f>2068.12</f>
        <v>2068.12</v>
      </c>
      <c r="C3566">
        <f>7047.32</f>
        <v>7047.32</v>
      </c>
      <c r="D3566">
        <f>3228.75</f>
        <v>3228.75</v>
      </c>
      <c r="E3566">
        <f>1607.712</f>
        <v>1607.712</v>
      </c>
      <c r="F3566">
        <f>1136.13</f>
        <v>1136.1300000000001</v>
      </c>
      <c r="G3566">
        <f>5446.039</f>
        <v>5446.0389999999998</v>
      </c>
      <c r="H3566">
        <f>1692.79</f>
        <v>1692.79</v>
      </c>
      <c r="I3566">
        <f>6203.403</f>
        <v>6203.4030000000002</v>
      </c>
      <c r="J3566">
        <f>1211.9</f>
        <v>1211.9000000000001</v>
      </c>
      <c r="K3566">
        <f>3631.37</f>
        <v>3631.37</v>
      </c>
      <c r="L3566">
        <f>939.51</f>
        <v>939.51</v>
      </c>
      <c r="M3566">
        <f>3671.79</f>
        <v>3671.79</v>
      </c>
      <c r="N3566">
        <f>135.815</f>
        <v>135.815</v>
      </c>
      <c r="O3566">
        <f>1402.91</f>
        <v>1402.91</v>
      </c>
      <c r="P3566">
        <f>82.95</f>
        <v>82.95</v>
      </c>
      <c r="Q3566">
        <f>744.6</f>
        <v>744.6</v>
      </c>
      <c r="R3566">
        <f>1749.76</f>
        <v>1749.76</v>
      </c>
      <c r="S3566">
        <f>1085.77</f>
        <v>1085.77</v>
      </c>
      <c r="T3566">
        <f>1207.44</f>
        <v>1207.44</v>
      </c>
      <c r="U3566">
        <f>26549.41</f>
        <v>26549.41</v>
      </c>
      <c r="V3566">
        <f>168.91</f>
        <v>168.91</v>
      </c>
    </row>
    <row r="3567" spans="1:22" x14ac:dyDescent="0.2">
      <c r="A3567" s="1">
        <v>40114</v>
      </c>
      <c r="B3567">
        <f>2054.33</f>
        <v>2054.33</v>
      </c>
      <c r="C3567">
        <f>7034.89</f>
        <v>7034.89</v>
      </c>
      <c r="D3567">
        <f>3192.74</f>
        <v>3192.74</v>
      </c>
      <c r="E3567">
        <f>1599.496</f>
        <v>1599.4960000000001</v>
      </c>
      <c r="F3567">
        <f>1118.51</f>
        <v>1118.51</v>
      </c>
      <c r="G3567">
        <f>5326.14</f>
        <v>5326.14</v>
      </c>
      <c r="H3567">
        <f>1710.13</f>
        <v>1710.13</v>
      </c>
      <c r="I3567">
        <f>6076.378</f>
        <v>6076.3779999999997</v>
      </c>
      <c r="J3567">
        <f>1191.65</f>
        <v>1191.6500000000001</v>
      </c>
      <c r="K3567">
        <f>3552.04</f>
        <v>3552.04</v>
      </c>
      <c r="L3567">
        <f>926.86</f>
        <v>926.86</v>
      </c>
      <c r="M3567">
        <f>3610.32</f>
        <v>3610.32</v>
      </c>
      <c r="N3567">
        <f>133.93</f>
        <v>133.93</v>
      </c>
      <c r="O3567">
        <f>1381.9</f>
        <v>1381.9</v>
      </c>
      <c r="P3567">
        <f>83.9</f>
        <v>83.9</v>
      </c>
      <c r="Q3567">
        <f>729.11</f>
        <v>729.11</v>
      </c>
      <c r="R3567">
        <f>1711.09</f>
        <v>1711.09</v>
      </c>
      <c r="S3567">
        <f>1093.81</f>
        <v>1093.81</v>
      </c>
      <c r="T3567">
        <f>1193.779</f>
        <v>1193.779</v>
      </c>
      <c r="U3567">
        <f>26056.48</f>
        <v>26056.48</v>
      </c>
      <c r="V3567">
        <f>166.66</f>
        <v>166.66</v>
      </c>
    </row>
    <row r="3568" spans="1:22" x14ac:dyDescent="0.2">
      <c r="A3568" s="1">
        <v>40113</v>
      </c>
      <c r="B3568">
        <f>2103.15</f>
        <v>2103.15</v>
      </c>
      <c r="C3568">
        <f>7242.8</f>
        <v>7242.8</v>
      </c>
      <c r="D3568">
        <f>3268.5</f>
        <v>3268.5</v>
      </c>
      <c r="E3568">
        <f>1652.329</f>
        <v>1652.329</v>
      </c>
      <c r="F3568">
        <f>1128.82</f>
        <v>1128.82</v>
      </c>
      <c r="G3568">
        <f>5439.402</f>
        <v>5439.402</v>
      </c>
      <c r="H3568">
        <f>1693.32</f>
        <v>1693.32</v>
      </c>
      <c r="I3568">
        <f>6228.271</f>
        <v>6228.2709999999997</v>
      </c>
      <c r="J3568">
        <f>1205.02</f>
        <v>1205.02</v>
      </c>
      <c r="K3568">
        <f>3624.41</f>
        <v>3624.41</v>
      </c>
      <c r="L3568">
        <f>942.1</f>
        <v>942.1</v>
      </c>
      <c r="M3568">
        <f>3683.12</f>
        <v>3683.12</v>
      </c>
      <c r="N3568">
        <f>136.989</f>
        <v>136.989</v>
      </c>
      <c r="O3568">
        <f>1407.7</f>
        <v>1407.7</v>
      </c>
      <c r="P3568">
        <f>84.39</f>
        <v>84.39</v>
      </c>
      <c r="Q3568">
        <f>742.26</f>
        <v>742.26</v>
      </c>
      <c r="R3568">
        <f>1744.95</f>
        <v>1744.95</v>
      </c>
      <c r="S3568">
        <f>1102.03</f>
        <v>1102.03</v>
      </c>
      <c r="T3568">
        <f>1201.351</f>
        <v>1201.3510000000001</v>
      </c>
      <c r="U3568">
        <f>26518.72</f>
        <v>26518.720000000001</v>
      </c>
      <c r="V3568">
        <f>168.51</f>
        <v>168.51</v>
      </c>
    </row>
    <row r="3569" spans="1:22" x14ac:dyDescent="0.2">
      <c r="A3569" s="1">
        <v>40112</v>
      </c>
      <c r="B3569">
        <f>2100.29</f>
        <v>2100.29</v>
      </c>
      <c r="C3569">
        <f>7379.33</f>
        <v>7379.33</v>
      </c>
      <c r="D3569">
        <f>3262.7</f>
        <v>3262.7</v>
      </c>
      <c r="E3569">
        <f>1686.298</f>
        <v>1686.298</v>
      </c>
      <c r="F3569">
        <f>1100.37</f>
        <v>1100.3699999999999</v>
      </c>
      <c r="G3569">
        <f>5433.478</f>
        <v>5433.4780000000001</v>
      </c>
      <c r="H3569">
        <f>1726.04</f>
        <v>1726.04</v>
      </c>
      <c r="I3569">
        <f>6283.573</f>
        <v>6283.5730000000003</v>
      </c>
      <c r="J3569">
        <f>1203.88</f>
        <v>1203.8800000000001</v>
      </c>
      <c r="K3569">
        <f>3637.5</f>
        <v>3637.5</v>
      </c>
      <c r="L3569">
        <f>943.81</f>
        <v>943.81</v>
      </c>
      <c r="M3569">
        <f>3710.51</f>
        <v>3710.51</v>
      </c>
      <c r="N3569">
        <f>136.392</f>
        <v>136.392</v>
      </c>
      <c r="O3569">
        <f>1402.89</f>
        <v>1402.89</v>
      </c>
      <c r="P3569">
        <f>85.44</f>
        <v>85.44</v>
      </c>
      <c r="Q3569">
        <f>747.26</f>
        <v>747.26</v>
      </c>
      <c r="R3569">
        <f>1750.75</f>
        <v>1750.75</v>
      </c>
      <c r="S3569">
        <f>1120.76</f>
        <v>1120.76</v>
      </c>
      <c r="T3569">
        <f>1213.261</f>
        <v>1213.261</v>
      </c>
      <c r="U3569">
        <f>26910.08</f>
        <v>26910.080000000002</v>
      </c>
      <c r="V3569">
        <f>169.71</f>
        <v>169.71</v>
      </c>
    </row>
    <row r="3570" spans="1:22" x14ac:dyDescent="0.2">
      <c r="A3570" s="1">
        <v>40109</v>
      </c>
      <c r="B3570">
        <f>2114.76</f>
        <v>2114.7600000000002</v>
      </c>
      <c r="C3570">
        <f>7415</f>
        <v>7415</v>
      </c>
      <c r="D3570">
        <f>3294.65</f>
        <v>3294.65</v>
      </c>
      <c r="E3570">
        <f>1688.97</f>
        <v>1688.97</v>
      </c>
      <c r="F3570">
        <f>1101.9</f>
        <v>1101.9000000000001</v>
      </c>
      <c r="G3570">
        <f>5483.195</f>
        <v>5483.1949999999997</v>
      </c>
      <c r="H3570">
        <f>1712.78</f>
        <v>1712.78</v>
      </c>
      <c r="I3570">
        <f>6417.373</f>
        <v>6417.3729999999996</v>
      </c>
      <c r="J3570">
        <f>1217.39</f>
        <v>1217.3900000000001</v>
      </c>
      <c r="K3570">
        <f>3680.87</f>
        <v>3680.87</v>
      </c>
      <c r="L3570">
        <f>955.43</f>
        <v>955.43</v>
      </c>
      <c r="M3570">
        <f>3754.62</f>
        <v>3754.62</v>
      </c>
      <c r="N3570">
        <f>137.392</f>
        <v>137.392</v>
      </c>
      <c r="O3570">
        <f>1419.13</f>
        <v>1419.13</v>
      </c>
      <c r="P3570">
        <f>85.03</f>
        <v>85.03</v>
      </c>
      <c r="Q3570">
        <f>757.01</f>
        <v>757.01</v>
      </c>
      <c r="R3570">
        <f>1771.5</f>
        <v>1771.5</v>
      </c>
      <c r="S3570">
        <f>1110.06</f>
        <v>1110.06</v>
      </c>
      <c r="T3570">
        <f>1212.595</f>
        <v>1212.595</v>
      </c>
      <c r="U3570">
        <f>26802.07</f>
        <v>26802.07</v>
      </c>
      <c r="V3570">
        <f>170.18</f>
        <v>170.18</v>
      </c>
    </row>
    <row r="3571" spans="1:22" x14ac:dyDescent="0.2">
      <c r="A3571" s="1">
        <v>40108</v>
      </c>
      <c r="B3571">
        <f>2119.92</f>
        <v>2119.92</v>
      </c>
      <c r="C3571">
        <f>7370.19</f>
        <v>7370.19</v>
      </c>
      <c r="D3571">
        <f>3272.52</f>
        <v>3272.52</v>
      </c>
      <c r="E3571">
        <f>1677.635</f>
        <v>1677.635</v>
      </c>
      <c r="F3571">
        <f>1124.64</f>
        <v>1124.6400000000001</v>
      </c>
      <c r="G3571">
        <f>5525.004</f>
        <v>5525.0039999999999</v>
      </c>
      <c r="H3571">
        <f>1737.24</f>
        <v>1737.24</v>
      </c>
      <c r="I3571">
        <f>6439.167</f>
        <v>6439.1670000000004</v>
      </c>
      <c r="J3571">
        <f>1233.97</f>
        <v>1233.97</v>
      </c>
      <c r="K3571">
        <f>3725.92</f>
        <v>3725.92</v>
      </c>
      <c r="L3571">
        <f>961.91</f>
        <v>961.91</v>
      </c>
      <c r="M3571">
        <f>3787.43</f>
        <v>3787.43</v>
      </c>
      <c r="N3571">
        <f>139.044</f>
        <v>139.04400000000001</v>
      </c>
      <c r="O3571">
        <f>1427.91</f>
        <v>1427.91</v>
      </c>
      <c r="P3571">
        <f>85.39</f>
        <v>85.39</v>
      </c>
      <c r="Q3571">
        <f>766.33</f>
        <v>766.33</v>
      </c>
      <c r="R3571">
        <f>1793.34</f>
        <v>1793.34</v>
      </c>
      <c r="S3571">
        <f>1118.15</f>
        <v>1118.1500000000001</v>
      </c>
      <c r="T3571">
        <f>1207.512</f>
        <v>1207.5119999999999</v>
      </c>
      <c r="U3571">
        <f>26731.89</f>
        <v>26731.89</v>
      </c>
      <c r="V3571">
        <f>169.27</f>
        <v>169.27</v>
      </c>
    </row>
    <row r="3572" spans="1:22" x14ac:dyDescent="0.2">
      <c r="A3572" s="1">
        <v>40107</v>
      </c>
      <c r="B3572">
        <f>2136.55</f>
        <v>2136.5500000000002</v>
      </c>
      <c r="C3572">
        <f>7409.95</f>
        <v>7409.95</v>
      </c>
      <c r="D3572">
        <f>3304.25</f>
        <v>3304.25</v>
      </c>
      <c r="E3572">
        <f>1689.529</f>
        <v>1689.529</v>
      </c>
      <c r="F3572">
        <f>1123.47</f>
        <v>1123.47</v>
      </c>
      <c r="G3572">
        <f>5594.003</f>
        <v>5594.0029999999997</v>
      </c>
      <c r="H3572">
        <f>1752.41</f>
        <v>1752.41</v>
      </c>
      <c r="I3572">
        <f>6508.646</f>
        <v>6508.6459999999997</v>
      </c>
      <c r="J3572">
        <f>1224.44</f>
        <v>1224.44</v>
      </c>
      <c r="K3572">
        <f>3687.41</f>
        <v>3687.41</v>
      </c>
      <c r="L3572">
        <f>965.5</f>
        <v>965.5</v>
      </c>
      <c r="M3572">
        <f>3787.23</f>
        <v>3787.23</v>
      </c>
      <c r="N3572">
        <f>139.679</f>
        <v>139.679</v>
      </c>
      <c r="O3572">
        <f>1443.19</f>
        <v>1443.19</v>
      </c>
      <c r="P3572">
        <f>86.01</f>
        <v>86.01</v>
      </c>
      <c r="Q3572">
        <f>755.47</f>
        <v>755.47</v>
      </c>
      <c r="R3572">
        <f>1774.33</f>
        <v>1774.33</v>
      </c>
      <c r="S3572">
        <f>1124.43</f>
        <v>1124.43</v>
      </c>
      <c r="T3572">
        <f>1204.671</f>
        <v>1204.671</v>
      </c>
      <c r="U3572">
        <f>26564.65</f>
        <v>26564.65</v>
      </c>
      <c r="V3572">
        <f>169.23</f>
        <v>169.23</v>
      </c>
    </row>
    <row r="3573" spans="1:22" x14ac:dyDescent="0.2">
      <c r="A3573" s="1">
        <v>40106</v>
      </c>
      <c r="B3573">
        <f>2138.98</f>
        <v>2138.98</v>
      </c>
      <c r="C3573">
        <f>7435.87</f>
        <v>7435.87</v>
      </c>
      <c r="D3573">
        <f>3294.02</f>
        <v>3294.02</v>
      </c>
      <c r="E3573">
        <f>1696.355</f>
        <v>1696.355</v>
      </c>
      <c r="F3573">
        <f>1103.02</f>
        <v>1103.02</v>
      </c>
      <c r="G3573">
        <f>5517.458</f>
        <v>5517.4579999999996</v>
      </c>
      <c r="H3573">
        <f>1760.72</f>
        <v>1760.72</v>
      </c>
      <c r="I3573">
        <f>6471.198</f>
        <v>6471.1980000000003</v>
      </c>
      <c r="J3573">
        <f>1234.49</f>
        <v>1234.49</v>
      </c>
      <c r="K3573">
        <f>3719.74</f>
        <v>3719.74</v>
      </c>
      <c r="L3573">
        <f>962.4</f>
        <v>962.4</v>
      </c>
      <c r="M3573">
        <f>3795.05</f>
        <v>3795.05</v>
      </c>
      <c r="N3573">
        <f>139.381</f>
        <v>139.381</v>
      </c>
      <c r="O3573">
        <f>1436.82</f>
        <v>1436.82</v>
      </c>
      <c r="P3573">
        <f>85.98</f>
        <v>85.98</v>
      </c>
      <c r="Q3573">
        <f>762.4</f>
        <v>762.4</v>
      </c>
      <c r="R3573">
        <f>1789.93</f>
        <v>1789.93</v>
      </c>
      <c r="S3573">
        <f>1124.13</f>
        <v>1124.1300000000001</v>
      </c>
      <c r="T3573">
        <f>1199.569</f>
        <v>1199.569</v>
      </c>
      <c r="U3573">
        <f>26444.03</f>
        <v>26444.03</v>
      </c>
      <c r="V3573">
        <f>168.06</f>
        <v>168.06</v>
      </c>
    </row>
    <row r="3574" spans="1:22" x14ac:dyDescent="0.2">
      <c r="A3574" s="1">
        <v>40105</v>
      </c>
      <c r="B3574">
        <f>2140.24</f>
        <v>2140.2399999999998</v>
      </c>
      <c r="C3574">
        <f>7455.43</f>
        <v>7455.43</v>
      </c>
      <c r="D3574">
        <f>3317.98</f>
        <v>3317.98</v>
      </c>
      <c r="E3574">
        <f>1704.7</f>
        <v>1704.7</v>
      </c>
      <c r="F3574">
        <f>1105.35</f>
        <v>1105.3499999999999</v>
      </c>
      <c r="G3574">
        <f>5539.01</f>
        <v>5539.01</v>
      </c>
      <c r="H3574">
        <f>1759.06</f>
        <v>1759.06</v>
      </c>
      <c r="I3574">
        <f>6504.003</f>
        <v>6504.0029999999997</v>
      </c>
      <c r="J3574">
        <f>1242.31</f>
        <v>1242.31</v>
      </c>
      <c r="K3574">
        <f>3743.48</f>
        <v>3743.48</v>
      </c>
      <c r="L3574">
        <f>965.79</f>
        <v>965.79</v>
      </c>
      <c r="M3574">
        <f>3810</f>
        <v>3810</v>
      </c>
      <c r="N3574">
        <f>139.759</f>
        <v>139.75899999999999</v>
      </c>
      <c r="O3574">
        <f>1444.33</f>
        <v>1444.33</v>
      </c>
      <c r="P3574">
        <f>85.48</f>
        <v>85.48</v>
      </c>
      <c r="Q3574">
        <f>769.3</f>
        <v>769.3</v>
      </c>
      <c r="R3574">
        <f>1801.12</f>
        <v>1801.12</v>
      </c>
      <c r="S3574">
        <f>1114.71</f>
        <v>1114.71</v>
      </c>
      <c r="T3574">
        <f>1208.015</f>
        <v>1208.0150000000001</v>
      </c>
      <c r="U3574">
        <f>26425.06</f>
        <v>26425.06</v>
      </c>
      <c r="V3574">
        <f>168.27</f>
        <v>168.27</v>
      </c>
    </row>
    <row r="3575" spans="1:22" x14ac:dyDescent="0.2">
      <c r="A3575" s="1">
        <v>40102</v>
      </c>
      <c r="B3575">
        <f>2116.65</f>
        <v>2116.65</v>
      </c>
      <c r="C3575">
        <f>7362.46</f>
        <v>7362.46</v>
      </c>
      <c r="D3575">
        <f>3260.62</f>
        <v>3260.62</v>
      </c>
      <c r="E3575">
        <f>1685.061</f>
        <v>1685.0609999999999</v>
      </c>
      <c r="F3575">
        <f>1082.94</f>
        <v>1082.94</v>
      </c>
      <c r="G3575">
        <f>5429.218</f>
        <v>5429.2179999999998</v>
      </c>
      <c r="H3575">
        <f>1748.8</f>
        <v>1748.8</v>
      </c>
      <c r="I3575">
        <f>6373.486</f>
        <v>6373.4859999999999</v>
      </c>
      <c r="J3575">
        <f>1230.87</f>
        <v>1230.8699999999999</v>
      </c>
      <c r="K3575">
        <f>3707.95</f>
        <v>3707.95</v>
      </c>
      <c r="L3575">
        <f>952.39</f>
        <v>952.39</v>
      </c>
      <c r="M3575">
        <f>3762.97</f>
        <v>3762.97</v>
      </c>
      <c r="N3575">
        <f>137.822</f>
        <v>137.822</v>
      </c>
      <c r="O3575">
        <f>1420.68</f>
        <v>1420.68</v>
      </c>
      <c r="P3575">
        <f>85.74</f>
        <v>85.74</v>
      </c>
      <c r="Q3575">
        <f>760.79</f>
        <v>760.79</v>
      </c>
      <c r="R3575">
        <f>1784.35</f>
        <v>1784.35</v>
      </c>
      <c r="S3575">
        <f>1108.74</f>
        <v>1108.74</v>
      </c>
      <c r="T3575">
        <f>1195.732</f>
        <v>1195.732</v>
      </c>
      <c r="U3575">
        <f>25997.65</f>
        <v>25997.65</v>
      </c>
      <c r="V3575">
        <f>166.2</f>
        <v>166.2</v>
      </c>
    </row>
    <row r="3576" spans="1:22" x14ac:dyDescent="0.2">
      <c r="A3576" s="1">
        <v>40101</v>
      </c>
      <c r="B3576">
        <f>2131.28</f>
        <v>2131.2800000000002</v>
      </c>
      <c r="C3576">
        <f>7436.05</f>
        <v>7436.05</v>
      </c>
      <c r="D3576">
        <f>3281.17</f>
        <v>3281.17</v>
      </c>
      <c r="E3576">
        <f>1701.974</f>
        <v>1701.9739999999999</v>
      </c>
      <c r="F3576">
        <f>1084.47</f>
        <v>1084.47</v>
      </c>
      <c r="G3576">
        <f>5436.006</f>
        <v>5436.0060000000003</v>
      </c>
      <c r="H3576">
        <f>1760.57</f>
        <v>1760.57</v>
      </c>
      <c r="I3576">
        <f>6470.459</f>
        <v>6470.4589999999998</v>
      </c>
      <c r="J3576">
        <f>1237.23</f>
        <v>1237.23</v>
      </c>
      <c r="K3576">
        <f>3737.24</f>
        <v>3737.24</v>
      </c>
      <c r="L3576">
        <f>960.69</f>
        <v>960.69</v>
      </c>
      <c r="M3576">
        <f>3796.72</f>
        <v>3796.72</v>
      </c>
      <c r="N3576">
        <f>138.469</f>
        <v>138.46899999999999</v>
      </c>
      <c r="O3576">
        <f>1429.96</f>
        <v>1429.96</v>
      </c>
      <c r="P3576">
        <f>85.47</f>
        <v>85.47</v>
      </c>
      <c r="Q3576">
        <f>765.71</f>
        <v>765.71</v>
      </c>
      <c r="R3576">
        <f>1798.91</f>
        <v>1798.91</v>
      </c>
      <c r="S3576">
        <f>1112.63</f>
        <v>1112.6300000000001</v>
      </c>
      <c r="T3576">
        <f>1200.382</f>
        <v>1200.3820000000001</v>
      </c>
      <c r="U3576">
        <f>26182.65</f>
        <v>26182.65</v>
      </c>
      <c r="V3576">
        <f>167.19</f>
        <v>167.19</v>
      </c>
    </row>
    <row r="3577" spans="1:22" x14ac:dyDescent="0.2">
      <c r="A3577" s="1">
        <v>40100</v>
      </c>
      <c r="B3577">
        <f>2135.05</f>
        <v>2135.0500000000002</v>
      </c>
      <c r="C3577">
        <f>7403.01</f>
        <v>7403.01</v>
      </c>
      <c r="D3577">
        <f>3302</f>
        <v>3302</v>
      </c>
      <c r="E3577">
        <f>1695.467</f>
        <v>1695.4670000000001</v>
      </c>
      <c r="F3577">
        <f>1064.86</f>
        <v>1064.8599999999999</v>
      </c>
      <c r="G3577">
        <f>5366.229</f>
        <v>5366.2290000000003</v>
      </c>
      <c r="H3577">
        <f>1758.64</f>
        <v>1758.64</v>
      </c>
      <c r="I3577">
        <f>6473.649</f>
        <v>6473.6490000000003</v>
      </c>
      <c r="J3577">
        <f>1230.16</f>
        <v>1230.1600000000001</v>
      </c>
      <c r="K3577">
        <f>3722.03</f>
        <v>3722.03</v>
      </c>
      <c r="L3577">
        <f>955.61</f>
        <v>955.61</v>
      </c>
      <c r="M3577">
        <f>3783.43</f>
        <v>3783.43</v>
      </c>
      <c r="N3577">
        <f>137.575</f>
        <v>137.57499999999999</v>
      </c>
      <c r="O3577">
        <f>1429.12</f>
        <v>1429.12</v>
      </c>
      <c r="P3577">
        <f>84.39</f>
        <v>84.39</v>
      </c>
      <c r="Q3577">
        <f>761.11</f>
        <v>761.11</v>
      </c>
      <c r="R3577">
        <f>1791.47</f>
        <v>1791.47</v>
      </c>
      <c r="S3577">
        <f>1100.6</f>
        <v>1100.5999999999999</v>
      </c>
      <c r="T3577">
        <f>1196.947</f>
        <v>1196.9469999999999</v>
      </c>
      <c r="U3577">
        <f>26056.41</f>
        <v>26056.41</v>
      </c>
      <c r="V3577">
        <f>167.27</f>
        <v>167.27</v>
      </c>
    </row>
    <row r="3578" spans="1:22" x14ac:dyDescent="0.2">
      <c r="A3578" s="1">
        <v>40099</v>
      </c>
      <c r="B3578">
        <f>2121.73</f>
        <v>2121.73</v>
      </c>
      <c r="C3578">
        <f>7237.09</f>
        <v>7237.09</v>
      </c>
      <c r="D3578">
        <f>3236.99</f>
        <v>3236.99</v>
      </c>
      <c r="E3578">
        <f>1658.651</f>
        <v>1658.6510000000001</v>
      </c>
      <c r="F3578">
        <f>1040.41</f>
        <v>1040.4100000000001</v>
      </c>
      <c r="G3578">
        <f>5226.729</f>
        <v>5226.7290000000003</v>
      </c>
      <c r="H3578">
        <f>1761.32</f>
        <v>1761.32</v>
      </c>
      <c r="I3578">
        <f>6308.47</f>
        <v>6308.47</v>
      </c>
      <c r="J3578">
        <f>1215.18</f>
        <v>1215.18</v>
      </c>
      <c r="K3578">
        <f>3658.29</f>
        <v>3658.29</v>
      </c>
      <c r="L3578">
        <f>937.29</f>
        <v>937.29</v>
      </c>
      <c r="M3578">
        <f>3716.69</f>
        <v>3716.69</v>
      </c>
      <c r="N3578">
        <f>135.649</f>
        <v>135.649</v>
      </c>
      <c r="O3578">
        <f>1400.16</f>
        <v>1400.16</v>
      </c>
      <c r="P3578">
        <f>84.65</f>
        <v>84.65</v>
      </c>
      <c r="Q3578">
        <f>749.52</f>
        <v>749.52</v>
      </c>
      <c r="R3578">
        <f>1760.51</f>
        <v>1760.51</v>
      </c>
      <c r="S3578">
        <f>1109.29</f>
        <v>1109.29</v>
      </c>
      <c r="T3578">
        <f>1192.527</f>
        <v>1192.527</v>
      </c>
      <c r="U3578">
        <f>25670.29</f>
        <v>25670.29</v>
      </c>
      <c r="V3578">
        <f>165.59</f>
        <v>165.59</v>
      </c>
    </row>
    <row r="3579" spans="1:22" x14ac:dyDescent="0.2">
      <c r="A3579" s="1">
        <v>40098</v>
      </c>
      <c r="B3579">
        <f>2144.42</f>
        <v>2144.42</v>
      </c>
      <c r="C3579">
        <f>7207.15</f>
        <v>7207.15</v>
      </c>
      <c r="D3579">
        <f>3272.17</f>
        <v>3272.17</v>
      </c>
      <c r="E3579">
        <f>1657.486</f>
        <v>1657.4860000000001</v>
      </c>
      <c r="F3579">
        <f>1045.67</f>
        <v>1045.67</v>
      </c>
      <c r="G3579">
        <f>5263.126</f>
        <v>5263.1260000000002</v>
      </c>
      <c r="H3579">
        <f>1756.64</f>
        <v>1756.64</v>
      </c>
      <c r="I3579">
        <f>6368.364</f>
        <v>6368.3639999999996</v>
      </c>
      <c r="J3579">
        <f>1218.94</f>
        <v>1218.94</v>
      </c>
      <c r="K3579">
        <f>3668.35</f>
        <v>3668.35</v>
      </c>
      <c r="L3579">
        <f>942.5</f>
        <v>942.5</v>
      </c>
      <c r="M3579">
        <f>3728.83</f>
        <v>3728.83</v>
      </c>
      <c r="N3579">
        <f>136.662</f>
        <v>136.66200000000001</v>
      </c>
      <c r="O3579">
        <f>1413.23</f>
        <v>1413.23</v>
      </c>
      <c r="P3579" t="e">
        <f>NA()</f>
        <v>#N/A</v>
      </c>
      <c r="Q3579">
        <f>751.6</f>
        <v>751.6</v>
      </c>
      <c r="R3579">
        <f>1765.31</f>
        <v>1765.31</v>
      </c>
      <c r="S3579" t="e">
        <f>NA()</f>
        <v>#N/A</v>
      </c>
      <c r="T3579">
        <f>1192.45</f>
        <v>1192.45</v>
      </c>
      <c r="U3579">
        <f>25630.16</f>
        <v>25630.16</v>
      </c>
      <c r="V3579">
        <f>165.19</f>
        <v>165.19</v>
      </c>
    </row>
    <row r="3580" spans="1:22" x14ac:dyDescent="0.2">
      <c r="A3580" s="1">
        <v>40095</v>
      </c>
      <c r="B3580">
        <f>2132.74</f>
        <v>2132.7399999999998</v>
      </c>
      <c r="C3580">
        <f>7157.95</f>
        <v>7157.95</v>
      </c>
      <c r="D3580">
        <f>3241.83</f>
        <v>3241.83</v>
      </c>
      <c r="E3580">
        <f>1649.996</f>
        <v>1649.9960000000001</v>
      </c>
      <c r="F3580">
        <f>1038.99</f>
        <v>1038.99</v>
      </c>
      <c r="G3580">
        <f>5262.752</f>
        <v>5262.7520000000004</v>
      </c>
      <c r="H3580">
        <f>1762.44</f>
        <v>1762.44</v>
      </c>
      <c r="I3580">
        <f>6275.045</f>
        <v>6275.0450000000001</v>
      </c>
      <c r="J3580">
        <f>1213.09</f>
        <v>1213.0899999999999</v>
      </c>
      <c r="K3580">
        <f>3652.45</f>
        <v>3652.45</v>
      </c>
      <c r="L3580">
        <f>936.78</f>
        <v>936.78</v>
      </c>
      <c r="M3580">
        <f>3708.95</f>
        <v>3708.95</v>
      </c>
      <c r="N3580">
        <f>136.607</f>
        <v>136.607</v>
      </c>
      <c r="O3580">
        <f>1403.95</f>
        <v>1403.95</v>
      </c>
      <c r="P3580">
        <f>84.7</f>
        <v>84.7</v>
      </c>
      <c r="Q3580">
        <f>748.37</f>
        <v>748.37</v>
      </c>
      <c r="R3580">
        <f>1757.6</f>
        <v>1757.6</v>
      </c>
      <c r="S3580">
        <f>1104.9</f>
        <v>1104.9000000000001</v>
      </c>
      <c r="T3580">
        <f>1171.362</f>
        <v>1171.3620000000001</v>
      </c>
      <c r="U3580">
        <f>25380.05</f>
        <v>25380.05</v>
      </c>
      <c r="V3580">
        <f>162.25</f>
        <v>162.25</v>
      </c>
    </row>
    <row r="3581" spans="1:22" x14ac:dyDescent="0.2">
      <c r="A3581" s="1">
        <v>40094</v>
      </c>
      <c r="B3581">
        <f>2128.24</f>
        <v>2128.2399999999998</v>
      </c>
      <c r="C3581">
        <f>7140.98</f>
        <v>7140.98</v>
      </c>
      <c r="D3581">
        <f>3237.3</f>
        <v>3237.3</v>
      </c>
      <c r="E3581">
        <f>1638.876</f>
        <v>1638.876</v>
      </c>
      <c r="F3581">
        <f>1058.06</f>
        <v>1058.06</v>
      </c>
      <c r="G3581">
        <f>5310.021</f>
        <v>5310.0209999999997</v>
      </c>
      <c r="H3581">
        <f>1767.82</f>
        <v>1767.82</v>
      </c>
      <c r="I3581">
        <f>6280.315</f>
        <v>6280.3149999999996</v>
      </c>
      <c r="J3581">
        <f>1208.4</f>
        <v>1208.4000000000001</v>
      </c>
      <c r="K3581">
        <f>3632.25</f>
        <v>3632.25</v>
      </c>
      <c r="L3581">
        <f>937.41</f>
        <v>937.41</v>
      </c>
      <c r="M3581">
        <f>3701.56</f>
        <v>3701.56</v>
      </c>
      <c r="N3581">
        <f>136.984</f>
        <v>136.98400000000001</v>
      </c>
      <c r="O3581">
        <f>1406.8</f>
        <v>1406.8</v>
      </c>
      <c r="P3581">
        <f>83.81</f>
        <v>83.81</v>
      </c>
      <c r="Q3581">
        <f>744.02</f>
        <v>744.02</v>
      </c>
      <c r="R3581">
        <f>1747.7</f>
        <v>1747.7</v>
      </c>
      <c r="S3581">
        <f>1092.29</f>
        <v>1092.29</v>
      </c>
      <c r="T3581">
        <f>1168.541</f>
        <v>1168.5409999999999</v>
      </c>
      <c r="U3581">
        <f>25528.4</f>
        <v>25528.400000000001</v>
      </c>
      <c r="V3581">
        <f>162.36</f>
        <v>162.36000000000001</v>
      </c>
    </row>
    <row r="3582" spans="1:22" x14ac:dyDescent="0.2">
      <c r="A3582" s="1">
        <v>40093</v>
      </c>
      <c r="B3582">
        <f>2114.52</f>
        <v>2114.52</v>
      </c>
      <c r="C3582">
        <f>7107.88</f>
        <v>7107.88</v>
      </c>
      <c r="D3582">
        <f>3208.57</f>
        <v>3208.57</v>
      </c>
      <c r="E3582">
        <f>1619.641</f>
        <v>1619.6410000000001</v>
      </c>
      <c r="F3582">
        <f>1044.57</f>
        <v>1044.57</v>
      </c>
      <c r="G3582">
        <f>5203.164</f>
        <v>5203.1639999999998</v>
      </c>
      <c r="H3582">
        <f>1744.54</f>
        <v>1744.54</v>
      </c>
      <c r="I3582">
        <f>6171.882</f>
        <v>6171.8819999999996</v>
      </c>
      <c r="J3582">
        <f>1199.41</f>
        <v>1199.4100000000001</v>
      </c>
      <c r="K3582">
        <f>3603.75</f>
        <v>3603.75</v>
      </c>
      <c r="L3582">
        <f>924.12</f>
        <v>924.12</v>
      </c>
      <c r="M3582">
        <f>3654.01</f>
        <v>3654.01</v>
      </c>
      <c r="N3582">
        <f>135.093</f>
        <v>135.09299999999999</v>
      </c>
      <c r="O3582">
        <f>1389.75</f>
        <v>1389.75</v>
      </c>
      <c r="P3582">
        <f>83.36</f>
        <v>83.36</v>
      </c>
      <c r="Q3582">
        <f>734.22</f>
        <v>734.22</v>
      </c>
      <c r="R3582">
        <f>1734.74</f>
        <v>1734.74</v>
      </c>
      <c r="S3582">
        <f>1089.96</f>
        <v>1089.96</v>
      </c>
      <c r="T3582">
        <f>1161.773</f>
        <v>1161.7729999999999</v>
      </c>
      <c r="U3582">
        <f>25298.97</f>
        <v>25298.97</v>
      </c>
      <c r="V3582">
        <f>161.48</f>
        <v>161.47999999999999</v>
      </c>
    </row>
    <row r="3583" spans="1:22" x14ac:dyDescent="0.2">
      <c r="A3583" s="1">
        <v>40092</v>
      </c>
      <c r="B3583">
        <f>2109.07</f>
        <v>2109.0700000000002</v>
      </c>
      <c r="C3583">
        <f>7075.68</f>
        <v>7075.68</v>
      </c>
      <c r="D3583">
        <f>3226.5</f>
        <v>3226.5</v>
      </c>
      <c r="E3583">
        <f>1614.511</f>
        <v>1614.511</v>
      </c>
      <c r="F3583">
        <f>1062.47</f>
        <v>1062.47</v>
      </c>
      <c r="G3583">
        <f>5238.727</f>
        <v>5238.7269999999999</v>
      </c>
      <c r="H3583">
        <f>1732.12</f>
        <v>1732.12</v>
      </c>
      <c r="I3583">
        <f>6227.253</f>
        <v>6227.2529999999997</v>
      </c>
      <c r="J3583">
        <f>1200.51</f>
        <v>1200.51</v>
      </c>
      <c r="K3583">
        <f>3592.1</f>
        <v>3592.1</v>
      </c>
      <c r="L3583">
        <f>927.48</f>
        <v>927.48</v>
      </c>
      <c r="M3583">
        <f>3648.71</f>
        <v>3648.71</v>
      </c>
      <c r="N3583">
        <f>135.074</f>
        <v>135.07400000000001</v>
      </c>
      <c r="O3583">
        <f>1394.89</f>
        <v>1394.89</v>
      </c>
      <c r="P3583">
        <f>83.24</f>
        <v>83.24</v>
      </c>
      <c r="Q3583">
        <f>733.29</f>
        <v>733.29</v>
      </c>
      <c r="R3583">
        <f>1729.14</f>
        <v>1729.14</v>
      </c>
      <c r="S3583">
        <f>1072.65</f>
        <v>1072.6500000000001</v>
      </c>
      <c r="T3583">
        <f>1151.143</f>
        <v>1151.143</v>
      </c>
      <c r="U3583">
        <f>25019.72</f>
        <v>25019.72</v>
      </c>
      <c r="V3583">
        <f>161.03</f>
        <v>161.03</v>
      </c>
    </row>
    <row r="3584" spans="1:22" x14ac:dyDescent="0.2">
      <c r="A3584" s="1">
        <v>40091</v>
      </c>
      <c r="B3584">
        <f>2086.68</f>
        <v>2086.6799999999998</v>
      </c>
      <c r="C3584">
        <f>6922.75</f>
        <v>6922.75</v>
      </c>
      <c r="D3584">
        <f>3155.13</f>
        <v>3155.13</v>
      </c>
      <c r="E3584">
        <f>1581.486</f>
        <v>1581.4860000000001</v>
      </c>
      <c r="F3584">
        <f>1046.98</f>
        <v>1046.98</v>
      </c>
      <c r="G3584">
        <f>5128.148</f>
        <v>5128.1480000000001</v>
      </c>
      <c r="H3584">
        <f>1709.35</f>
        <v>1709.35</v>
      </c>
      <c r="I3584">
        <f>6025.125</f>
        <v>6025.125</v>
      </c>
      <c r="J3584">
        <f>1186.56</f>
        <v>1186.56</v>
      </c>
      <c r="K3584">
        <f>3543.19</f>
        <v>3543.19</v>
      </c>
      <c r="L3584">
        <f>908.71</f>
        <v>908.71</v>
      </c>
      <c r="M3584">
        <f>3576.5</f>
        <v>3576.5</v>
      </c>
      <c r="N3584">
        <f>133.188</f>
        <v>133.18799999999999</v>
      </c>
      <c r="O3584">
        <f>1365.63</f>
        <v>1365.63</v>
      </c>
      <c r="P3584">
        <f>83.66</f>
        <v>83.66</v>
      </c>
      <c r="Q3584">
        <f>723.8</f>
        <v>723.8</v>
      </c>
      <c r="R3584">
        <f>1705.73</f>
        <v>1705.73</v>
      </c>
      <c r="S3584">
        <f>1067.31</f>
        <v>1067.31</v>
      </c>
      <c r="T3584">
        <f>1142.716</f>
        <v>1142.7159999999999</v>
      </c>
      <c r="U3584">
        <f>24661.53</f>
        <v>24661.53</v>
      </c>
      <c r="V3584">
        <f>160</f>
        <v>160</v>
      </c>
    </row>
    <row r="3585" spans="1:22" x14ac:dyDescent="0.2">
      <c r="A3585" s="1">
        <v>40088</v>
      </c>
      <c r="B3585">
        <f>2070.98</f>
        <v>2070.98</v>
      </c>
      <c r="C3585">
        <f>6835.14</f>
        <v>6835.14</v>
      </c>
      <c r="D3585">
        <f>3132.75</f>
        <v>3132.75</v>
      </c>
      <c r="E3585">
        <f>1571.64</f>
        <v>1571.64</v>
      </c>
      <c r="F3585">
        <f>1037.59</f>
        <v>1037.5899999999999</v>
      </c>
      <c r="G3585">
        <f>5076.195</f>
        <v>5076.1949999999997</v>
      </c>
      <c r="H3585">
        <f>1721.46</f>
        <v>1721.46</v>
      </c>
      <c r="I3585">
        <f>5966.258</f>
        <v>5966.2579999999998</v>
      </c>
      <c r="J3585">
        <f>1173.08</f>
        <v>1173.08</v>
      </c>
      <c r="K3585">
        <f>3491.99</f>
        <v>3491.99</v>
      </c>
      <c r="L3585">
        <f>899.33</f>
        <v>899.33</v>
      </c>
      <c r="M3585">
        <f>3542.17</f>
        <v>3542.17</v>
      </c>
      <c r="N3585">
        <f>132.094</f>
        <v>132.09399999999999</v>
      </c>
      <c r="O3585">
        <f>1355.47</f>
        <v>1355.47</v>
      </c>
      <c r="P3585">
        <f>84.07</f>
        <v>84.07</v>
      </c>
      <c r="Q3585">
        <f>713.5</f>
        <v>713.5</v>
      </c>
      <c r="R3585">
        <f>1680.7</f>
        <v>1680.7</v>
      </c>
      <c r="S3585">
        <f>1076.4</f>
        <v>1076.4000000000001</v>
      </c>
      <c r="T3585">
        <f>1145.11</f>
        <v>1145.1099999999999</v>
      </c>
      <c r="U3585">
        <f>24519.76</f>
        <v>24519.759999999998</v>
      </c>
      <c r="V3585">
        <f>159.47</f>
        <v>159.47</v>
      </c>
    </row>
    <row r="3586" spans="1:22" x14ac:dyDescent="0.2">
      <c r="A3586" s="1">
        <v>40087</v>
      </c>
      <c r="B3586">
        <f>2096.09</f>
        <v>2096.09</v>
      </c>
      <c r="C3586">
        <f>6960.1</f>
        <v>6960.1</v>
      </c>
      <c r="D3586">
        <f>3169.87</f>
        <v>3169.87</v>
      </c>
      <c r="E3586">
        <f>1588.821</f>
        <v>1588.8209999999999</v>
      </c>
      <c r="F3586">
        <f>1056.16</f>
        <v>1056.1600000000001</v>
      </c>
      <c r="G3586">
        <f>5167.966</f>
        <v>5167.9660000000003</v>
      </c>
      <c r="H3586">
        <f>1755.31</f>
        <v>1755.31</v>
      </c>
      <c r="I3586">
        <f>6056.146</f>
        <v>6056.1459999999997</v>
      </c>
      <c r="J3586">
        <f>1178.11</f>
        <v>1178.1099999999999</v>
      </c>
      <c r="K3586">
        <f>3508.17</f>
        <v>3508.17</v>
      </c>
      <c r="L3586">
        <f>911.94</f>
        <v>911.94</v>
      </c>
      <c r="M3586">
        <f>3584.72</f>
        <v>3584.72</v>
      </c>
      <c r="N3586">
        <f>134.956</f>
        <v>134.95599999999999</v>
      </c>
      <c r="O3586">
        <f>1380.7</f>
        <v>1380.7</v>
      </c>
      <c r="P3586">
        <f>85.86</f>
        <v>85.86</v>
      </c>
      <c r="Q3586">
        <f>717.84</f>
        <v>717.84</v>
      </c>
      <c r="R3586">
        <f>1688.24</f>
        <v>1688.24</v>
      </c>
      <c r="S3586">
        <f>1102.8</f>
        <v>1102.8</v>
      </c>
      <c r="T3586">
        <f>1160.924</f>
        <v>1160.924</v>
      </c>
      <c r="U3586">
        <f>24966.87</f>
        <v>24966.87</v>
      </c>
      <c r="V3586">
        <f>162.63</f>
        <v>162.63</v>
      </c>
    </row>
    <row r="3587" spans="1:22" x14ac:dyDescent="0.2">
      <c r="A3587" s="1">
        <v>40086</v>
      </c>
      <c r="B3587">
        <f>2119.75</f>
        <v>2119.75</v>
      </c>
      <c r="C3587">
        <f>6971.23</f>
        <v>6971.23</v>
      </c>
      <c r="D3587">
        <f>3223.93</f>
        <v>3223.93</v>
      </c>
      <c r="E3587">
        <f>1593.312</f>
        <v>1593.3119999999999</v>
      </c>
      <c r="F3587">
        <f>1070.35</f>
        <v>1070.3499999999999</v>
      </c>
      <c r="G3587">
        <f>5256.779</f>
        <v>5256.7790000000005</v>
      </c>
      <c r="H3587">
        <f>1775.13</f>
        <v>1775.13</v>
      </c>
      <c r="I3587">
        <f>6186.052</f>
        <v>6186.0519999999997</v>
      </c>
      <c r="J3587">
        <f>1201.54</f>
        <v>1201.54</v>
      </c>
      <c r="K3587">
        <f>3600.26</f>
        <v>3600.26</v>
      </c>
      <c r="L3587">
        <f>928.66</f>
        <v>928.66</v>
      </c>
      <c r="M3587">
        <f>3665.76</f>
        <v>3665.76</v>
      </c>
      <c r="N3587">
        <f>136.029</f>
        <v>136.029</v>
      </c>
      <c r="O3587">
        <f>1403.38</f>
        <v>1403.38</v>
      </c>
      <c r="P3587">
        <f>86.87</f>
        <v>86.87</v>
      </c>
      <c r="Q3587">
        <f>733.62</f>
        <v>733.62</v>
      </c>
      <c r="R3587">
        <f>1732.86</f>
        <v>1732.86</v>
      </c>
      <c r="S3587">
        <f>1119.67</f>
        <v>1119.67</v>
      </c>
      <c r="T3587">
        <f>1160.776</f>
        <v>1160.7760000000001</v>
      </c>
      <c r="U3587">
        <f>24910.85</f>
        <v>24910.85</v>
      </c>
      <c r="V3587">
        <f>162.59</f>
        <v>162.59</v>
      </c>
    </row>
    <row r="3588" spans="1:22" x14ac:dyDescent="0.2">
      <c r="A3588" s="1">
        <v>40085</v>
      </c>
      <c r="B3588">
        <f>2115.51</f>
        <v>2115.5100000000002</v>
      </c>
      <c r="C3588">
        <f>6960.58</f>
        <v>6960.58</v>
      </c>
      <c r="D3588">
        <f>3239.68</f>
        <v>3239.68</v>
      </c>
      <c r="E3588">
        <f>1591.758</f>
        <v>1591.758</v>
      </c>
      <c r="F3588">
        <f>1075.04</f>
        <v>1075.04</v>
      </c>
      <c r="G3588">
        <f>5263.776</f>
        <v>5263.7759999999998</v>
      </c>
      <c r="H3588">
        <f>1748.04</f>
        <v>1748.04</v>
      </c>
      <c r="I3588">
        <f>6179.893</f>
        <v>6179.893</v>
      </c>
      <c r="J3588">
        <f>1206.04</f>
        <v>1206.04</v>
      </c>
      <c r="K3588">
        <f>3611.45</f>
        <v>3611.45</v>
      </c>
      <c r="L3588">
        <f>928.16</f>
        <v>928.16</v>
      </c>
      <c r="M3588">
        <f>3660.96</f>
        <v>3660.96</v>
      </c>
      <c r="N3588">
        <f>136.251</f>
        <v>136.251</v>
      </c>
      <c r="O3588">
        <f>1409.72</f>
        <v>1409.72</v>
      </c>
      <c r="P3588">
        <f>86.13</f>
        <v>86.13</v>
      </c>
      <c r="Q3588">
        <f>735.15</f>
        <v>735.15</v>
      </c>
      <c r="R3588">
        <f>1738.48</f>
        <v>1738.48</v>
      </c>
      <c r="S3588">
        <f>1112.5</f>
        <v>1112.5</v>
      </c>
      <c r="T3588">
        <f>1157.805</f>
        <v>1157.8050000000001</v>
      </c>
      <c r="U3588">
        <f>24855.11</f>
        <v>24855.11</v>
      </c>
      <c r="V3588">
        <f>161.93</f>
        <v>161.93</v>
      </c>
    </row>
    <row r="3589" spans="1:22" x14ac:dyDescent="0.2">
      <c r="A3589" s="1">
        <v>40084</v>
      </c>
      <c r="B3589">
        <f>2115.88</f>
        <v>2115.88</v>
      </c>
      <c r="C3589">
        <f>6891.71</f>
        <v>6891.71</v>
      </c>
      <c r="D3589">
        <f>3243.44</f>
        <v>3243.44</v>
      </c>
      <c r="E3589">
        <f>1576.667</f>
        <v>1576.6669999999999</v>
      </c>
      <c r="F3589">
        <f>1078.69</f>
        <v>1078.69</v>
      </c>
      <c r="G3589">
        <f>5251.796</f>
        <v>5251.7960000000003</v>
      </c>
      <c r="H3589">
        <f>1764.77</f>
        <v>1764.77</v>
      </c>
      <c r="I3589">
        <f>6227.167</f>
        <v>6227.1670000000004</v>
      </c>
      <c r="J3589">
        <f>1208.52</f>
        <v>1208.52</v>
      </c>
      <c r="K3589">
        <f>3618.51</f>
        <v>3618.51</v>
      </c>
      <c r="L3589">
        <f>929.98</f>
        <v>929.98</v>
      </c>
      <c r="M3589">
        <f>3667.42</f>
        <v>3667.42</v>
      </c>
      <c r="N3589">
        <f>135.389</f>
        <v>135.38900000000001</v>
      </c>
      <c r="O3589">
        <f>1408.64</f>
        <v>1408.64</v>
      </c>
      <c r="P3589">
        <f>86.13</f>
        <v>86.13</v>
      </c>
      <c r="Q3589">
        <f>729.55</f>
        <v>729.55</v>
      </c>
      <c r="R3589">
        <f>1742.32</f>
        <v>1742.32</v>
      </c>
      <c r="S3589">
        <f>1111.07</f>
        <v>1111.07</v>
      </c>
      <c r="T3589">
        <f>1161.73</f>
        <v>1161.73</v>
      </c>
      <c r="U3589">
        <f>24993.96</f>
        <v>24993.96</v>
      </c>
      <c r="V3589">
        <f>162.86</f>
        <v>162.86000000000001</v>
      </c>
    </row>
    <row r="3590" spans="1:22" x14ac:dyDescent="0.2">
      <c r="A3590" s="1">
        <v>40081</v>
      </c>
      <c r="B3590">
        <f>2091.58</f>
        <v>2091.58</v>
      </c>
      <c r="C3590">
        <f>6920.87</f>
        <v>6920.87</v>
      </c>
      <c r="D3590">
        <f>3191.02</f>
        <v>3191.02</v>
      </c>
      <c r="E3590">
        <f>1582.715</f>
        <v>1582.7149999999999</v>
      </c>
      <c r="F3590">
        <f>1065.37</f>
        <v>1065.3699999999999</v>
      </c>
      <c r="G3590">
        <f>5187.903</f>
        <v>5187.9030000000002</v>
      </c>
      <c r="H3590">
        <f>1796.22</f>
        <v>1796.22</v>
      </c>
      <c r="I3590">
        <f>6140.03</f>
        <v>6140.03</v>
      </c>
      <c r="J3590">
        <f>1191.23</f>
        <v>1191.23</v>
      </c>
      <c r="K3590">
        <f>3554.55</f>
        <v>3554.55</v>
      </c>
      <c r="L3590">
        <f>918.05</f>
        <v>918.05</v>
      </c>
      <c r="M3590">
        <f>3627.31</f>
        <v>3627.31</v>
      </c>
      <c r="N3590">
        <f>133.713</f>
        <v>133.71299999999999</v>
      </c>
      <c r="O3590">
        <f>1384.61</f>
        <v>1384.61</v>
      </c>
      <c r="P3590">
        <f>87.38</f>
        <v>87.38</v>
      </c>
      <c r="Q3590">
        <f>715.79</f>
        <v>715.79</v>
      </c>
      <c r="R3590">
        <f>1711.53</f>
        <v>1711.53</v>
      </c>
      <c r="S3590">
        <f>1135.47</f>
        <v>1135.47</v>
      </c>
      <c r="T3590">
        <f>1158.837</f>
        <v>1158.837</v>
      </c>
      <c r="U3590">
        <f>24944.83</f>
        <v>24944.83</v>
      </c>
      <c r="V3590">
        <f>162.65</f>
        <v>162.65</v>
      </c>
    </row>
    <row r="3591" spans="1:22" x14ac:dyDescent="0.2">
      <c r="A3591" s="1">
        <v>40080</v>
      </c>
      <c r="B3591">
        <f>2093.36</f>
        <v>2093.36</v>
      </c>
      <c r="C3591">
        <f>6947.07</f>
        <v>6947.07</v>
      </c>
      <c r="D3591">
        <f>3189.17</f>
        <v>3189.17</v>
      </c>
      <c r="E3591">
        <f>1582.78</f>
        <v>1582.78</v>
      </c>
      <c r="F3591">
        <f>1072.51</f>
        <v>1072.51</v>
      </c>
      <c r="G3591">
        <f>5224.516</f>
        <v>5224.5159999999996</v>
      </c>
      <c r="H3591">
        <f>1811.81</f>
        <v>1811.81</v>
      </c>
      <c r="I3591">
        <f>6167.933</f>
        <v>6167.933</v>
      </c>
      <c r="J3591">
        <f>1196.04</f>
        <v>1196.04</v>
      </c>
      <c r="K3591">
        <f>3575.22</f>
        <v>3575.22</v>
      </c>
      <c r="L3591">
        <f>921.54</f>
        <v>921.54</v>
      </c>
      <c r="M3591">
        <f>3649.23</f>
        <v>3649.23</v>
      </c>
      <c r="N3591">
        <f>134.11</f>
        <v>134.11000000000001</v>
      </c>
      <c r="O3591">
        <f>1389.59</f>
        <v>1389.59</v>
      </c>
      <c r="P3591">
        <f>88.7</f>
        <v>88.7</v>
      </c>
      <c r="Q3591">
        <f>720.4</f>
        <v>720.4</v>
      </c>
      <c r="R3591">
        <f>1722.02</f>
        <v>1722.02</v>
      </c>
      <c r="S3591">
        <f>1160.87</f>
        <v>1160.8699999999999</v>
      </c>
      <c r="T3591" t="e">
        <f>NA()</f>
        <v>#N/A</v>
      </c>
      <c r="U3591" t="e">
        <f>NA()</f>
        <v>#N/A</v>
      </c>
      <c r="V3591" t="e">
        <f>NA()</f>
        <v>#N/A</v>
      </c>
    </row>
    <row r="3592" spans="1:22" x14ac:dyDescent="0.2">
      <c r="A3592" s="1">
        <v>40079</v>
      </c>
      <c r="B3592">
        <f>2117.88</f>
        <v>2117.88</v>
      </c>
      <c r="C3592">
        <f>7030.7</f>
        <v>7030.7</v>
      </c>
      <c r="D3592">
        <f>3226.91</f>
        <v>3226.91</v>
      </c>
      <c r="E3592">
        <f>1600.929</f>
        <v>1600.9290000000001</v>
      </c>
      <c r="F3592">
        <f>1107.54</f>
        <v>1107.54</v>
      </c>
      <c r="G3592">
        <f>5402.085</f>
        <v>5402.085</v>
      </c>
      <c r="H3592">
        <f>1797.21</f>
        <v>1797.21</v>
      </c>
      <c r="I3592">
        <f>6293.716</f>
        <v>6293.7160000000003</v>
      </c>
      <c r="J3592">
        <f>1203.83</f>
        <v>1203.83</v>
      </c>
      <c r="K3592">
        <f>3610.17</f>
        <v>3610.17</v>
      </c>
      <c r="L3592">
        <f>939.43</f>
        <v>939.43</v>
      </c>
      <c r="M3592">
        <f>3697.56</f>
        <v>3697.56</v>
      </c>
      <c r="N3592">
        <f>137.596</f>
        <v>137.596</v>
      </c>
      <c r="O3592">
        <f>1417.21</f>
        <v>1417.21</v>
      </c>
      <c r="P3592" t="e">
        <f>NA()</f>
        <v>#N/A</v>
      </c>
      <c r="Q3592">
        <f>726.39</f>
        <v>726.39</v>
      </c>
      <c r="R3592">
        <f>1738.32</f>
        <v>1738.32</v>
      </c>
      <c r="S3592" t="e">
        <f>NA()</f>
        <v>#N/A</v>
      </c>
      <c r="T3592">
        <f>1159.417</f>
        <v>1159.4169999999999</v>
      </c>
      <c r="U3592">
        <f>25362.93</f>
        <v>25362.93</v>
      </c>
      <c r="V3592">
        <f>162.83</f>
        <v>162.83000000000001</v>
      </c>
    </row>
    <row r="3593" spans="1:22" x14ac:dyDescent="0.2">
      <c r="A3593" s="1">
        <v>40078</v>
      </c>
      <c r="B3593">
        <f>2118.85</f>
        <v>2118.85</v>
      </c>
      <c r="C3593">
        <f>7063.93</f>
        <v>7063.93</v>
      </c>
      <c r="D3593">
        <f>3227.73</f>
        <v>3227.73</v>
      </c>
      <c r="E3593">
        <f>1607.376</f>
        <v>1607.376</v>
      </c>
      <c r="F3593">
        <f>1107.96</f>
        <v>1107.96</v>
      </c>
      <c r="G3593">
        <f>5388.093</f>
        <v>5388.0929999999998</v>
      </c>
      <c r="H3593">
        <f>1801.94</f>
        <v>1801.94</v>
      </c>
      <c r="I3593">
        <f>6290.236</f>
        <v>6290.2359999999999</v>
      </c>
      <c r="J3593">
        <f>1208.11</f>
        <v>1208.1099999999999</v>
      </c>
      <c r="K3593">
        <f>3647.99</f>
        <v>3647.99</v>
      </c>
      <c r="L3593">
        <f>939.29</f>
        <v>939.29</v>
      </c>
      <c r="M3593">
        <f>3715.25</f>
        <v>3715.25</v>
      </c>
      <c r="N3593">
        <f>137.467</f>
        <v>137.46700000000001</v>
      </c>
      <c r="O3593">
        <f>1414.15</f>
        <v>1414.15</v>
      </c>
      <c r="P3593" t="e">
        <f>NA()</f>
        <v>#N/A</v>
      </c>
      <c r="Q3593">
        <f>733.71</f>
        <v>733.71</v>
      </c>
      <c r="R3593">
        <f>1755.99</f>
        <v>1755.99</v>
      </c>
      <c r="S3593" t="e">
        <f>NA()</f>
        <v>#N/A</v>
      </c>
      <c r="T3593">
        <f>1158.738</f>
        <v>1158.7380000000001</v>
      </c>
      <c r="U3593">
        <f>25456.11</f>
        <v>25456.11</v>
      </c>
      <c r="V3593">
        <f>163.82</f>
        <v>163.82</v>
      </c>
    </row>
    <row r="3594" spans="1:22" x14ac:dyDescent="0.2">
      <c r="A3594" s="1">
        <v>40077</v>
      </c>
      <c r="B3594">
        <f>2121.97</f>
        <v>2121.9699999999998</v>
      </c>
      <c r="C3594">
        <f>6994.84</f>
        <v>6994.84</v>
      </c>
      <c r="D3594">
        <f>3222.55</f>
        <v>3222.55</v>
      </c>
      <c r="E3594">
        <f>1587.007</f>
        <v>1587.0070000000001</v>
      </c>
      <c r="F3594">
        <f>1086.9</f>
        <v>1086.9000000000001</v>
      </c>
      <c r="G3594">
        <f>5316.548</f>
        <v>5316.5479999999998</v>
      </c>
      <c r="H3594">
        <f>1780.65</f>
        <v>1780.65</v>
      </c>
      <c r="I3594">
        <f>6196.514</f>
        <v>6196.5140000000001</v>
      </c>
      <c r="J3594">
        <f>1204.44</f>
        <v>1204.44</v>
      </c>
      <c r="K3594">
        <f>3623.6</f>
        <v>3623.6</v>
      </c>
      <c r="L3594">
        <f>927.26</f>
        <v>927.26</v>
      </c>
      <c r="M3594">
        <f>3674.52</f>
        <v>3674.52</v>
      </c>
      <c r="N3594">
        <f>136.748</f>
        <v>136.74799999999999</v>
      </c>
      <c r="O3594">
        <f>1407.33</f>
        <v>1407.33</v>
      </c>
      <c r="P3594" t="e">
        <f>NA()</f>
        <v>#N/A</v>
      </c>
      <c r="Q3594">
        <f>731.32</f>
        <v>731.32</v>
      </c>
      <c r="R3594">
        <f>1744.47</f>
        <v>1744.47</v>
      </c>
      <c r="S3594" t="e">
        <f>NA()</f>
        <v>#N/A</v>
      </c>
      <c r="T3594">
        <f>1158.773</f>
        <v>1158.7729999999999</v>
      </c>
      <c r="U3594">
        <f>25340.64</f>
        <v>25340.639999999999</v>
      </c>
      <c r="V3594">
        <f>162.66</f>
        <v>162.66</v>
      </c>
    </row>
    <row r="3595" spans="1:22" x14ac:dyDescent="0.2">
      <c r="A3595" s="1">
        <v>40074</v>
      </c>
      <c r="B3595">
        <f>2133.86</f>
        <v>2133.86</v>
      </c>
      <c r="C3595">
        <f>7056.58</f>
        <v>7056.58</v>
      </c>
      <c r="D3595">
        <f>3246.74</f>
        <v>3246.74</v>
      </c>
      <c r="E3595">
        <f>1601.26</f>
        <v>1601.26</v>
      </c>
      <c r="F3595">
        <f>1094.68</f>
        <v>1094.68</v>
      </c>
      <c r="G3595">
        <f>5392.688</f>
        <v>5392.6880000000001</v>
      </c>
      <c r="H3595">
        <f>1798.49</f>
        <v>1798.49</v>
      </c>
      <c r="I3595">
        <f>6266.267</f>
        <v>6266.2669999999998</v>
      </c>
      <c r="J3595">
        <f>1209.01</f>
        <v>1209.01</v>
      </c>
      <c r="K3595">
        <f>3635.01</f>
        <v>3635.01</v>
      </c>
      <c r="L3595">
        <f>934</f>
        <v>934</v>
      </c>
      <c r="M3595">
        <f>3701.92</f>
        <v>3701.92</v>
      </c>
      <c r="N3595">
        <f>137.708</f>
        <v>137.708</v>
      </c>
      <c r="O3595">
        <f>1416.69</f>
        <v>1416.69</v>
      </c>
      <c r="P3595">
        <f>87.51</f>
        <v>87.51</v>
      </c>
      <c r="Q3595">
        <f>736.36</f>
        <v>736.36</v>
      </c>
      <c r="R3595">
        <f>1750.43</f>
        <v>1750.43</v>
      </c>
      <c r="S3595">
        <f>1147.72</f>
        <v>1147.72</v>
      </c>
      <c r="T3595">
        <f>1173.868</f>
        <v>1173.8679999999999</v>
      </c>
      <c r="U3595">
        <f>25792.05</f>
        <v>25792.05</v>
      </c>
      <c r="V3595">
        <f>164.21</f>
        <v>164.21</v>
      </c>
    </row>
    <row r="3596" spans="1:22" x14ac:dyDescent="0.2">
      <c r="A3596" s="1">
        <v>40073</v>
      </c>
      <c r="B3596">
        <f>2164.88</f>
        <v>2164.88</v>
      </c>
      <c r="C3596">
        <f>7060.91</f>
        <v>7060.91</v>
      </c>
      <c r="D3596">
        <f>3241.13</f>
        <v>3241.13</v>
      </c>
      <c r="E3596">
        <f>1602.948</f>
        <v>1602.9480000000001</v>
      </c>
      <c r="F3596">
        <f>1113.58</f>
        <v>1113.58</v>
      </c>
      <c r="G3596">
        <f>5462.426</f>
        <v>5462.4260000000004</v>
      </c>
      <c r="H3596">
        <f>1796.71</f>
        <v>1796.71</v>
      </c>
      <c r="I3596">
        <f>6282.949</f>
        <v>6282.9489999999996</v>
      </c>
      <c r="J3596">
        <f>1201.54</f>
        <v>1201.54</v>
      </c>
      <c r="K3596">
        <f>3626.65</f>
        <v>3626.65</v>
      </c>
      <c r="L3596">
        <f>935.98</f>
        <v>935.98</v>
      </c>
      <c r="M3596">
        <f>3711.2</f>
        <v>3711.2</v>
      </c>
      <c r="N3596">
        <f>137.925</f>
        <v>137.92500000000001</v>
      </c>
      <c r="O3596">
        <f>1423.17</f>
        <v>1423.17</v>
      </c>
      <c r="P3596">
        <f>87.64</f>
        <v>87.64</v>
      </c>
      <c r="Q3596">
        <f>731.3</f>
        <v>731.3</v>
      </c>
      <c r="R3596">
        <f>1745.8</f>
        <v>1745.8</v>
      </c>
      <c r="S3596">
        <f>1147.82</f>
        <v>1147.82</v>
      </c>
      <c r="T3596">
        <f>1155.915</f>
        <v>1155.915</v>
      </c>
      <c r="U3596">
        <f>25920.77</f>
        <v>25920.77</v>
      </c>
      <c r="V3596">
        <f>162.86</f>
        <v>162.86000000000001</v>
      </c>
    </row>
    <row r="3597" spans="1:22" x14ac:dyDescent="0.2">
      <c r="A3597" s="1">
        <v>40072</v>
      </c>
      <c r="B3597">
        <f>2154.17</f>
        <v>2154.17</v>
      </c>
      <c r="C3597">
        <f>7020.8</f>
        <v>7020.8</v>
      </c>
      <c r="D3597">
        <f>3216.14</f>
        <v>3216.14</v>
      </c>
      <c r="E3597">
        <f>1591.804</f>
        <v>1591.8040000000001</v>
      </c>
      <c r="F3597">
        <f>1098.74</f>
        <v>1098.74</v>
      </c>
      <c r="G3597">
        <f>5408.634</f>
        <v>5408.634</v>
      </c>
      <c r="H3597">
        <f>1784.76</f>
        <v>1784.76</v>
      </c>
      <c r="I3597">
        <f>6229.857</f>
        <v>6229.857</v>
      </c>
      <c r="J3597">
        <f>1205.99</f>
        <v>1205.99</v>
      </c>
      <c r="K3597">
        <f>3637.73</f>
        <v>3637.73</v>
      </c>
      <c r="L3597">
        <f>929.54</f>
        <v>929.54</v>
      </c>
      <c r="M3597">
        <f>3698.08</f>
        <v>3698.08</v>
      </c>
      <c r="N3597">
        <f>137.564</f>
        <v>137.56399999999999</v>
      </c>
      <c r="O3597">
        <f>1416.18</f>
        <v>1416.18</v>
      </c>
      <c r="P3597">
        <f>86.86</f>
        <v>86.86</v>
      </c>
      <c r="Q3597">
        <f>735.71</f>
        <v>735.71</v>
      </c>
      <c r="R3597">
        <f>1750.91</f>
        <v>1750.91</v>
      </c>
      <c r="S3597">
        <f>1137.94</f>
        <v>1137.94</v>
      </c>
      <c r="T3597">
        <f>1137.021</f>
        <v>1137.021</v>
      </c>
      <c r="U3597">
        <f>25578.75</f>
        <v>25578.75</v>
      </c>
      <c r="V3597">
        <f>159.06</f>
        <v>159.06</v>
      </c>
    </row>
    <row r="3598" spans="1:22" x14ac:dyDescent="0.2">
      <c r="A3598" s="1">
        <v>40071</v>
      </c>
      <c r="B3598">
        <f>2130.79</f>
        <v>2130.79</v>
      </c>
      <c r="C3598">
        <f>6886.94</f>
        <v>6886.94</v>
      </c>
      <c r="D3598">
        <f>3164.33</f>
        <v>3164.33</v>
      </c>
      <c r="E3598">
        <f>1557.736</f>
        <v>1557.7360000000001</v>
      </c>
      <c r="F3598">
        <f>1087.09</f>
        <v>1087.0899999999999</v>
      </c>
      <c r="G3598">
        <f>5298.532</f>
        <v>5298.5320000000002</v>
      </c>
      <c r="H3598">
        <f>1791.5</f>
        <v>1791.5</v>
      </c>
      <c r="I3598">
        <f>6106.298</f>
        <v>6106.2979999999998</v>
      </c>
      <c r="J3598">
        <f>1192.54</f>
        <v>1192.54</v>
      </c>
      <c r="K3598">
        <f>3582.82</f>
        <v>3582.82</v>
      </c>
      <c r="L3598">
        <f>913.27</f>
        <v>913.27</v>
      </c>
      <c r="M3598">
        <f>3638.13</f>
        <v>3638.13</v>
      </c>
      <c r="N3598">
        <f>135.963</f>
        <v>135.96299999999999</v>
      </c>
      <c r="O3598">
        <f>1396.88</f>
        <v>1396.88</v>
      </c>
      <c r="P3598">
        <f>86.95</f>
        <v>86.95</v>
      </c>
      <c r="Q3598">
        <f>721.05</f>
        <v>721.05</v>
      </c>
      <c r="R3598">
        <f>1724.45</f>
        <v>1724.45</v>
      </c>
      <c r="S3598">
        <f>1139.27</f>
        <v>1139.27</v>
      </c>
      <c r="T3598">
        <f>1127.878</f>
        <v>1127.8779999999999</v>
      </c>
      <c r="U3598">
        <f>25217.56</f>
        <v>25217.56</v>
      </c>
      <c r="V3598">
        <f>158.16</f>
        <v>158.16</v>
      </c>
    </row>
    <row r="3599" spans="1:22" x14ac:dyDescent="0.2">
      <c r="A3599" s="1">
        <v>40070</v>
      </c>
      <c r="B3599">
        <f>2130.64</f>
        <v>2130.64</v>
      </c>
      <c r="C3599">
        <f>6824.49</f>
        <v>6824.49</v>
      </c>
      <c r="D3599">
        <f>3149.72</f>
        <v>3149.72</v>
      </c>
      <c r="E3599">
        <f>1541.305</f>
        <v>1541.3050000000001</v>
      </c>
      <c r="F3599">
        <f>1094.23</f>
        <v>1094.23</v>
      </c>
      <c r="G3599">
        <f>5333.367</f>
        <v>5333.3670000000002</v>
      </c>
      <c r="H3599">
        <f>1806.81</f>
        <v>1806.81</v>
      </c>
      <c r="I3599">
        <f>6093.414</f>
        <v>6093.4139999999998</v>
      </c>
      <c r="J3599">
        <f>1185.94</f>
        <v>1185.94</v>
      </c>
      <c r="K3599">
        <f>3571.29</f>
        <v>3571.29</v>
      </c>
      <c r="L3599">
        <f>911.69</f>
        <v>911.69</v>
      </c>
      <c r="M3599">
        <f>3632.9</f>
        <v>3632.9</v>
      </c>
      <c r="N3599">
        <f>135.499</f>
        <v>135.499</v>
      </c>
      <c r="O3599">
        <f>1395.27</f>
        <v>1395.27</v>
      </c>
      <c r="P3599">
        <f>87.02</f>
        <v>87.02</v>
      </c>
      <c r="Q3599">
        <f>716.18</f>
        <v>716.18</v>
      </c>
      <c r="R3599">
        <f>1719.04</f>
        <v>1719.04</v>
      </c>
      <c r="S3599">
        <f>1141.13</f>
        <v>1141.1300000000001</v>
      </c>
      <c r="T3599">
        <f>1125.902</f>
        <v>1125.902</v>
      </c>
      <c r="U3599">
        <f>25164.26</f>
        <v>25164.26</v>
      </c>
      <c r="V3599">
        <f>157.85</f>
        <v>157.85</v>
      </c>
    </row>
    <row r="3600" spans="1:22" x14ac:dyDescent="0.2">
      <c r="A3600" s="1">
        <v>40067</v>
      </c>
      <c r="B3600">
        <f>2130.51</f>
        <v>2130.5100000000002</v>
      </c>
      <c r="C3600">
        <f>6896.58</f>
        <v>6896.58</v>
      </c>
      <c r="D3600">
        <f>3145.08</f>
        <v>3145.08</v>
      </c>
      <c r="E3600">
        <f>1557.315</f>
        <v>1557.3150000000001</v>
      </c>
      <c r="F3600">
        <f>1097.37</f>
        <v>1097.3699999999999</v>
      </c>
      <c r="G3600">
        <f>5355.196</f>
        <v>5355.1959999999999</v>
      </c>
      <c r="H3600">
        <f>1832.7</f>
        <v>1832.7</v>
      </c>
      <c r="I3600">
        <f>6097.525</f>
        <v>6097.5249999999996</v>
      </c>
      <c r="J3600">
        <f>1177.42</f>
        <v>1177.42</v>
      </c>
      <c r="K3600">
        <f>3549.34</f>
        <v>3549.34</v>
      </c>
      <c r="L3600">
        <f>911.19</f>
        <v>911.19</v>
      </c>
      <c r="M3600">
        <f>3635.75</f>
        <v>3635.75</v>
      </c>
      <c r="N3600">
        <f>136.587</f>
        <v>136.58699999999999</v>
      </c>
      <c r="O3600">
        <f>1399.85</f>
        <v>1399.85</v>
      </c>
      <c r="P3600">
        <f>88.13</f>
        <v>88.13</v>
      </c>
      <c r="Q3600">
        <f>709.15</f>
        <v>709.15</v>
      </c>
      <c r="R3600">
        <f>1708.18</f>
        <v>1708.18</v>
      </c>
      <c r="S3600">
        <f>1161.11</f>
        <v>1161.1099999999999</v>
      </c>
      <c r="T3600">
        <f>1140.828</f>
        <v>1140.828</v>
      </c>
      <c r="U3600">
        <f>25567.39</f>
        <v>25567.39</v>
      </c>
      <c r="V3600">
        <f>160.59</f>
        <v>160.59</v>
      </c>
    </row>
    <row r="3601" spans="1:22" x14ac:dyDescent="0.2">
      <c r="A3601" s="1">
        <v>40066</v>
      </c>
      <c r="B3601">
        <f>2123.82</f>
        <v>2123.8200000000002</v>
      </c>
      <c r="C3601">
        <f>6844.28</f>
        <v>6844.28</v>
      </c>
      <c r="D3601">
        <f>3130.15</f>
        <v>3130.15</v>
      </c>
      <c r="E3601">
        <f>1544.563</f>
        <v>1544.5630000000001</v>
      </c>
      <c r="F3601">
        <f>1098.9</f>
        <v>1098.9000000000001</v>
      </c>
      <c r="G3601">
        <f>5319.602</f>
        <v>5319.6019999999999</v>
      </c>
      <c r="H3601">
        <f>1825.33</f>
        <v>1825.33</v>
      </c>
      <c r="I3601">
        <f>6042.511</f>
        <v>6042.5110000000004</v>
      </c>
      <c r="J3601">
        <f>1178.46</f>
        <v>1178.46</v>
      </c>
      <c r="K3601">
        <f>3552.24</f>
        <v>3552.24</v>
      </c>
      <c r="L3601">
        <f>906.5</f>
        <v>906.5</v>
      </c>
      <c r="M3601">
        <f>3620.93</f>
        <v>3620.93</v>
      </c>
      <c r="N3601">
        <f>135.643</f>
        <v>135.643</v>
      </c>
      <c r="O3601">
        <f>1391.95</f>
        <v>1391.95</v>
      </c>
      <c r="P3601">
        <f>88.43</f>
        <v>88.43</v>
      </c>
      <c r="Q3601">
        <f>710.09</f>
        <v>710.09</v>
      </c>
      <c r="R3601">
        <f>1710.14</f>
        <v>1710.14</v>
      </c>
      <c r="S3601">
        <f>1170.99</f>
        <v>1170.99</v>
      </c>
      <c r="T3601">
        <f>1126.47</f>
        <v>1126.47</v>
      </c>
      <c r="U3601">
        <f>25315.86</f>
        <v>25315.86</v>
      </c>
      <c r="V3601">
        <f>157.87</f>
        <v>157.87</v>
      </c>
    </row>
    <row r="3602" spans="1:22" x14ac:dyDescent="0.2">
      <c r="A3602" s="1">
        <v>40065</v>
      </c>
      <c r="B3602">
        <f>2124.64</f>
        <v>2124.64</v>
      </c>
      <c r="C3602">
        <f>6797.02</f>
        <v>6797.02</v>
      </c>
      <c r="D3602">
        <f>3140.59</f>
        <v>3140.59</v>
      </c>
      <c r="E3602">
        <f>1531.815</f>
        <v>1531.8150000000001</v>
      </c>
      <c r="F3602">
        <f>1100.84</f>
        <v>1100.8399999999999</v>
      </c>
      <c r="G3602">
        <f>5303.435</f>
        <v>5303.4350000000004</v>
      </c>
      <c r="H3602">
        <f>1785.29</f>
        <v>1785.29</v>
      </c>
      <c r="I3602">
        <f>6050.394</f>
        <v>6050.3940000000002</v>
      </c>
      <c r="J3602">
        <f>1169.08</f>
        <v>1169.08</v>
      </c>
      <c r="K3602">
        <f>3516.08</f>
        <v>3516.08</v>
      </c>
      <c r="L3602">
        <f>905.47</f>
        <v>905.47</v>
      </c>
      <c r="M3602">
        <f>3593.33</f>
        <v>3593.33</v>
      </c>
      <c r="N3602">
        <f>135.3</f>
        <v>135.30000000000001</v>
      </c>
      <c r="O3602">
        <f>1391.64</f>
        <v>1391.64</v>
      </c>
      <c r="P3602">
        <f>86.98</f>
        <v>86.98</v>
      </c>
      <c r="Q3602">
        <f>703.03</f>
        <v>703.03</v>
      </c>
      <c r="R3602">
        <f>1692.48</f>
        <v>1692.48</v>
      </c>
      <c r="S3602">
        <f>1148.2</f>
        <v>1148.2</v>
      </c>
      <c r="T3602">
        <f>1121.216</f>
        <v>1121.2159999999999</v>
      </c>
      <c r="U3602">
        <f>25085.92</f>
        <v>25085.919999999998</v>
      </c>
      <c r="V3602">
        <f>156.52</f>
        <v>156.52000000000001</v>
      </c>
    </row>
    <row r="3603" spans="1:22" x14ac:dyDescent="0.2">
      <c r="A3603" s="1">
        <v>40064</v>
      </c>
      <c r="B3603">
        <f>2104</f>
        <v>2104</v>
      </c>
      <c r="C3603">
        <f>6810.37</f>
        <v>6810.37</v>
      </c>
      <c r="D3603">
        <f>3103.44</f>
        <v>3103.44</v>
      </c>
      <c r="E3603">
        <f>1533.038</f>
        <v>1533.038</v>
      </c>
      <c r="F3603">
        <f>1083.67</f>
        <v>1083.67</v>
      </c>
      <c r="G3603">
        <f>5240.25</f>
        <v>5240.25</v>
      </c>
      <c r="H3603">
        <f>1788.29</f>
        <v>1788.29</v>
      </c>
      <c r="I3603">
        <f>5960.717</f>
        <v>5960.7169999999996</v>
      </c>
      <c r="J3603">
        <f>1161.73</f>
        <v>1161.73</v>
      </c>
      <c r="K3603">
        <f>3488.78</f>
        <v>3488.78</v>
      </c>
      <c r="L3603">
        <f>897.85</f>
        <v>897.85</v>
      </c>
      <c r="M3603">
        <f>3567.87</f>
        <v>3567.87</v>
      </c>
      <c r="N3603">
        <f>133.713</f>
        <v>133.71299999999999</v>
      </c>
      <c r="O3603">
        <f>1377.16</f>
        <v>1377.16</v>
      </c>
      <c r="P3603">
        <f>87.08</f>
        <v>87.08</v>
      </c>
      <c r="Q3603">
        <f>697.29</f>
        <v>697.29</v>
      </c>
      <c r="R3603">
        <f>1679.32</f>
        <v>1679.32</v>
      </c>
      <c r="S3603">
        <f>1156.21</f>
        <v>1156.21</v>
      </c>
      <c r="T3603">
        <f>1119.913</f>
        <v>1119.913</v>
      </c>
      <c r="U3603">
        <f>25226.16</f>
        <v>25226.16</v>
      </c>
      <c r="V3603">
        <f>156.59</f>
        <v>156.59</v>
      </c>
    </row>
    <row r="3604" spans="1:22" x14ac:dyDescent="0.2">
      <c r="A3604" s="1">
        <v>40063</v>
      </c>
      <c r="B3604">
        <f>2089.57</f>
        <v>2089.5700000000002</v>
      </c>
      <c r="C3604">
        <f>6691.15</f>
        <v>6691.15</v>
      </c>
      <c r="D3604">
        <f>3094.56</f>
        <v>3094.56</v>
      </c>
      <c r="E3604">
        <f>1505.413</f>
        <v>1505.413</v>
      </c>
      <c r="F3604">
        <f>1061.36</f>
        <v>1061.3599999999999</v>
      </c>
      <c r="G3604">
        <f>5166.157</f>
        <v>5166.1570000000002</v>
      </c>
      <c r="H3604">
        <f>1772.81</f>
        <v>1772.81</v>
      </c>
      <c r="I3604">
        <f>5867.07</f>
        <v>5867.07</v>
      </c>
      <c r="J3604">
        <f>1149.77</f>
        <v>1149.77</v>
      </c>
      <c r="K3604">
        <f>3456.39</f>
        <v>3456.39</v>
      </c>
      <c r="L3604">
        <f>885.8</f>
        <v>885.8</v>
      </c>
      <c r="M3604">
        <f>3524.29</f>
        <v>3524.29</v>
      </c>
      <c r="N3604">
        <f>133.087</f>
        <v>133.08699999999999</v>
      </c>
      <c r="O3604">
        <f>1374.11</f>
        <v>1374.11</v>
      </c>
      <c r="P3604">
        <f>86.7</f>
        <v>86.7</v>
      </c>
      <c r="Q3604" t="e">
        <f>NA()</f>
        <v>#N/A</v>
      </c>
      <c r="R3604" t="e">
        <f>NA()</f>
        <v>#N/A</v>
      </c>
      <c r="S3604">
        <f>1154.02</f>
        <v>1154.02</v>
      </c>
      <c r="T3604">
        <f>1123.835</f>
        <v>1123.835</v>
      </c>
      <c r="U3604">
        <f>25020.93</f>
        <v>25020.93</v>
      </c>
      <c r="V3604">
        <f>156.41</f>
        <v>156.41</v>
      </c>
    </row>
    <row r="3605" spans="1:22" x14ac:dyDescent="0.2">
      <c r="A3605" s="1">
        <v>40060</v>
      </c>
      <c r="B3605">
        <f>2044.83</f>
        <v>2044.83</v>
      </c>
      <c r="C3605">
        <f>6602.62</f>
        <v>6602.62</v>
      </c>
      <c r="D3605">
        <f>3043.45</f>
        <v>3043.45</v>
      </c>
      <c r="E3605">
        <f>1484.831</f>
        <v>1484.8309999999999</v>
      </c>
      <c r="F3605">
        <f>1049.43</f>
        <v>1049.43</v>
      </c>
      <c r="G3605">
        <f>5070.169</f>
        <v>5070.1689999999999</v>
      </c>
      <c r="H3605">
        <f>1763.49</f>
        <v>1763.49</v>
      </c>
      <c r="I3605">
        <f>5737.203</f>
        <v>5737.2030000000004</v>
      </c>
      <c r="J3605">
        <f>1149.77</f>
        <v>1149.77</v>
      </c>
      <c r="K3605">
        <f>3456.39</f>
        <v>3456.39</v>
      </c>
      <c r="L3605">
        <f>875.19</f>
        <v>875.19</v>
      </c>
      <c r="M3605">
        <f>3492.16</f>
        <v>3492.16</v>
      </c>
      <c r="N3605">
        <f>131.112</f>
        <v>131.11199999999999</v>
      </c>
      <c r="O3605">
        <f>1355.4</f>
        <v>1355.4</v>
      </c>
      <c r="P3605">
        <f>86.01</f>
        <v>86.01</v>
      </c>
      <c r="Q3605">
        <f>695.05</f>
        <v>695.05</v>
      </c>
      <c r="R3605">
        <f>1664.34</f>
        <v>1664.34</v>
      </c>
      <c r="S3605">
        <f>1143.21</f>
        <v>1143.21</v>
      </c>
      <c r="T3605">
        <f>1118.196</f>
        <v>1118.1959999999999</v>
      </c>
      <c r="U3605">
        <f>24719.17</f>
        <v>24719.17</v>
      </c>
      <c r="V3605">
        <f>156.53</f>
        <v>156.53</v>
      </c>
    </row>
    <row r="3606" spans="1:22" x14ac:dyDescent="0.2">
      <c r="A3606" s="1">
        <v>40059</v>
      </c>
      <c r="B3606">
        <f>2013.13</f>
        <v>2013.13</v>
      </c>
      <c r="C3606">
        <f>6508.73</f>
        <v>6508.73</v>
      </c>
      <c r="D3606">
        <f>3008.98</f>
        <v>3008.98</v>
      </c>
      <c r="E3606">
        <f>1463.365</f>
        <v>1463.365</v>
      </c>
      <c r="F3606">
        <f>1038.36</f>
        <v>1038.3599999999999</v>
      </c>
      <c r="G3606">
        <f>5010.613</f>
        <v>5010.6130000000003</v>
      </c>
      <c r="H3606">
        <f>1783.11</f>
        <v>1783.11</v>
      </c>
      <c r="I3606">
        <f>5672.18</f>
        <v>5672.18</v>
      </c>
      <c r="J3606">
        <f>1137.12</f>
        <v>1137.1199999999999</v>
      </c>
      <c r="K3606">
        <f>3411.54</f>
        <v>3411.54</v>
      </c>
      <c r="L3606">
        <f>864.79</f>
        <v>864.79</v>
      </c>
      <c r="M3606">
        <f>3455.81</f>
        <v>3455.81</v>
      </c>
      <c r="N3606">
        <f>129.145</f>
        <v>129.14500000000001</v>
      </c>
      <c r="O3606">
        <f>1337.52</f>
        <v>1337.52</v>
      </c>
      <c r="P3606">
        <f>86.7</f>
        <v>86.7</v>
      </c>
      <c r="Q3606">
        <f>687.85</f>
        <v>687.85</v>
      </c>
      <c r="R3606">
        <f>1642.68</f>
        <v>1642.68</v>
      </c>
      <c r="S3606">
        <f>1151.8</f>
        <v>1151.8</v>
      </c>
      <c r="T3606">
        <f>1118.566</f>
        <v>1118.566</v>
      </c>
      <c r="U3606">
        <f>24623.08</f>
        <v>24623.08</v>
      </c>
      <c r="V3606">
        <f>155.9</f>
        <v>155.9</v>
      </c>
    </row>
    <row r="3607" spans="1:22" x14ac:dyDescent="0.2">
      <c r="A3607" s="1">
        <v>40058</v>
      </c>
      <c r="B3607">
        <f>2017.74</f>
        <v>2017.74</v>
      </c>
      <c r="C3607">
        <f>6431.8</f>
        <v>6431.8</v>
      </c>
      <c r="D3607">
        <f>3022.03</f>
        <v>3022.03</v>
      </c>
      <c r="E3607">
        <f>1446.007</f>
        <v>1446.0070000000001</v>
      </c>
      <c r="F3607">
        <f>1037.99</f>
        <v>1037.99</v>
      </c>
      <c r="G3607">
        <f>5005.914</f>
        <v>5005.9139999999998</v>
      </c>
      <c r="H3607">
        <f>1797.72</f>
        <v>1797.72</v>
      </c>
      <c r="I3607">
        <f>5663.862</f>
        <v>5663.8620000000001</v>
      </c>
      <c r="J3607">
        <f>1133.01</f>
        <v>1133.01</v>
      </c>
      <c r="K3607">
        <f>3381.07</f>
        <v>3381.07</v>
      </c>
      <c r="L3607">
        <f>864.12</f>
        <v>864.12</v>
      </c>
      <c r="M3607">
        <f>3438.39</f>
        <v>3438.39</v>
      </c>
      <c r="N3607">
        <f>128.592</f>
        <v>128.59200000000001</v>
      </c>
      <c r="O3607">
        <f>1338.02</f>
        <v>1338.02</v>
      </c>
      <c r="P3607">
        <f>87.03</f>
        <v>87.03</v>
      </c>
      <c r="Q3607">
        <f>686.18</f>
        <v>686.18</v>
      </c>
      <c r="R3607">
        <f>1628.66</f>
        <v>1628.66</v>
      </c>
      <c r="S3607">
        <f>1160.4</f>
        <v>1160.4000000000001</v>
      </c>
      <c r="T3607">
        <f>1114.284</f>
        <v>1114.2840000000001</v>
      </c>
      <c r="U3607">
        <f>24536.21</f>
        <v>24536.21</v>
      </c>
      <c r="V3607">
        <f>155.81</f>
        <v>155.81</v>
      </c>
    </row>
    <row r="3608" spans="1:22" x14ac:dyDescent="0.2">
      <c r="A3608" s="1">
        <v>40057</v>
      </c>
      <c r="B3608">
        <f>2039.87</f>
        <v>2039.87</v>
      </c>
      <c r="C3608">
        <f>6538.33</f>
        <v>6538.33</v>
      </c>
      <c r="D3608">
        <f>3021.62</f>
        <v>3021.62</v>
      </c>
      <c r="E3608">
        <f>1465.17</f>
        <v>1465.17</v>
      </c>
      <c r="F3608">
        <f>1022.47</f>
        <v>1022.47</v>
      </c>
      <c r="G3608">
        <f>4998.547</f>
        <v>4998.5469999999996</v>
      </c>
      <c r="H3608">
        <f>1820.63</f>
        <v>1820.63</v>
      </c>
      <c r="I3608">
        <f>5739.532</f>
        <v>5739.5320000000002</v>
      </c>
      <c r="J3608">
        <f>1137.73</f>
        <v>1137.73</v>
      </c>
      <c r="K3608">
        <f>3391.47</f>
        <v>3391.47</v>
      </c>
      <c r="L3608">
        <f>870.55</f>
        <v>870.55</v>
      </c>
      <c r="M3608">
        <f>3462.64</f>
        <v>3462.64</v>
      </c>
      <c r="N3608">
        <f>129.564</f>
        <v>129.56399999999999</v>
      </c>
      <c r="O3608">
        <f>1342.81</f>
        <v>1342.81</v>
      </c>
      <c r="P3608">
        <f>88.37</f>
        <v>88.37</v>
      </c>
      <c r="Q3608">
        <f>689.65</f>
        <v>689.65</v>
      </c>
      <c r="R3608">
        <f>1633.63</f>
        <v>1633.63</v>
      </c>
      <c r="S3608">
        <f>1183.57</f>
        <v>1183.57</v>
      </c>
      <c r="T3608">
        <f>1135.54</f>
        <v>1135.54</v>
      </c>
      <c r="U3608">
        <f>24812.2</f>
        <v>24812.2</v>
      </c>
      <c r="V3608">
        <f>159.1</f>
        <v>159.1</v>
      </c>
    </row>
    <row r="3609" spans="1:22" x14ac:dyDescent="0.2">
      <c r="A3609" s="1">
        <v>40056</v>
      </c>
      <c r="B3609" t="e">
        <f>NA()</f>
        <v>#N/A</v>
      </c>
      <c r="C3609">
        <f>6501.33</f>
        <v>6501.33</v>
      </c>
      <c r="D3609" t="e">
        <f>NA()</f>
        <v>#N/A</v>
      </c>
      <c r="E3609">
        <f>1460.503</f>
        <v>1460.5029999999999</v>
      </c>
      <c r="F3609">
        <f>1044.81</f>
        <v>1044.81</v>
      </c>
      <c r="G3609">
        <f>5114.242</f>
        <v>5114.2420000000002</v>
      </c>
      <c r="H3609">
        <f>1823.8</f>
        <v>1823.8</v>
      </c>
      <c r="I3609">
        <f>5862.384</f>
        <v>5862.384</v>
      </c>
      <c r="J3609">
        <f>1159.25</f>
        <v>1159.25</v>
      </c>
      <c r="K3609">
        <f>3465.82</f>
        <v>3465.82</v>
      </c>
      <c r="L3609">
        <f>886.15</f>
        <v>886.15</v>
      </c>
      <c r="M3609">
        <f>3524.07</f>
        <v>3524.07</v>
      </c>
      <c r="N3609">
        <f>132.156</f>
        <v>132.15600000000001</v>
      </c>
      <c r="O3609">
        <f>1368.23</f>
        <v>1368.23</v>
      </c>
      <c r="P3609">
        <f>88.36</f>
        <v>88.36</v>
      </c>
      <c r="Q3609">
        <f>705.12</f>
        <v>705.12</v>
      </c>
      <c r="R3609">
        <f>1670.52</f>
        <v>1670.52</v>
      </c>
      <c r="S3609">
        <f>1179.85</f>
        <v>1179.8499999999999</v>
      </c>
      <c r="T3609">
        <f>1141.727</f>
        <v>1141.7270000000001</v>
      </c>
      <c r="U3609">
        <f>24929.42</f>
        <v>24929.42</v>
      </c>
      <c r="V3609">
        <f>158.82</f>
        <v>158.82</v>
      </c>
    </row>
    <row r="3610" spans="1:22" x14ac:dyDescent="0.2">
      <c r="A3610" s="1">
        <v>40053</v>
      </c>
      <c r="B3610">
        <f>2083.83</f>
        <v>2083.83</v>
      </c>
      <c r="C3610">
        <f>6561.71</f>
        <v>6561.71</v>
      </c>
      <c r="D3610">
        <f>3077.54</f>
        <v>3077.54</v>
      </c>
      <c r="E3610">
        <f>1481.362</f>
        <v>1481.3620000000001</v>
      </c>
      <c r="F3610">
        <f>1045.64</f>
        <v>1045.6400000000001</v>
      </c>
      <c r="G3610">
        <f>5118.322</f>
        <v>5118.3220000000001</v>
      </c>
      <c r="H3610">
        <f>1809.97</f>
        <v>1809.97</v>
      </c>
      <c r="I3610">
        <f>5926.499</f>
        <v>5926.4989999999998</v>
      </c>
      <c r="J3610">
        <f>1164.89</f>
        <v>1164.8900000000001</v>
      </c>
      <c r="K3610">
        <f>3494.93</f>
        <v>3494.93</v>
      </c>
      <c r="L3610">
        <f>892.23</f>
        <v>892.23</v>
      </c>
      <c r="M3610">
        <f>3551.26</f>
        <v>3551.26</v>
      </c>
      <c r="N3610">
        <f>132.808</f>
        <v>132.80799999999999</v>
      </c>
      <c r="O3610">
        <f>1377.19</f>
        <v>1377.19</v>
      </c>
      <c r="P3610">
        <f>88.18</f>
        <v>88.18</v>
      </c>
      <c r="Q3610">
        <f>710.68</f>
        <v>710.68</v>
      </c>
      <c r="R3610">
        <f>1684.05</f>
        <v>1684.05</v>
      </c>
      <c r="S3610">
        <f>1184.22</f>
        <v>1184.22</v>
      </c>
      <c r="T3610">
        <f>1147.492</f>
        <v>1147.492</v>
      </c>
      <c r="U3610">
        <f>25241.25</f>
        <v>25241.25</v>
      </c>
      <c r="V3610">
        <f>158.22</f>
        <v>158.22</v>
      </c>
    </row>
    <row r="3611" spans="1:22" x14ac:dyDescent="0.2">
      <c r="A3611" s="1">
        <v>40052</v>
      </c>
      <c r="B3611">
        <f>2074.11</f>
        <v>2074.11</v>
      </c>
      <c r="C3611">
        <f>6490.67</f>
        <v>6490.67</v>
      </c>
      <c r="D3611">
        <f>3052.74</f>
        <v>3052.74</v>
      </c>
      <c r="E3611">
        <f>1468.33</f>
        <v>1468.33</v>
      </c>
      <c r="F3611">
        <f>1031.06</f>
        <v>1031.06</v>
      </c>
      <c r="G3611">
        <f>5034.031</f>
        <v>5034.0309999999999</v>
      </c>
      <c r="H3611">
        <f>1797.04</f>
        <v>1797.04</v>
      </c>
      <c r="I3611">
        <f>5801.755</f>
        <v>5801.7550000000001</v>
      </c>
      <c r="J3611">
        <f>1167.55</f>
        <v>1167.55</v>
      </c>
      <c r="K3611">
        <f>3500.61</f>
        <v>3500.61</v>
      </c>
      <c r="L3611">
        <f>882.82</f>
        <v>882.82</v>
      </c>
      <c r="M3611">
        <f>3523.69</f>
        <v>3523.69</v>
      </c>
      <c r="N3611">
        <f>131.607</f>
        <v>131.607</v>
      </c>
      <c r="O3611">
        <f>1362.64</f>
        <v>1362.64</v>
      </c>
      <c r="P3611">
        <f>87.52</f>
        <v>87.52</v>
      </c>
      <c r="Q3611">
        <f>709.52</f>
        <v>709.52</v>
      </c>
      <c r="R3611">
        <f>1687.16</f>
        <v>1687.16</v>
      </c>
      <c r="S3611">
        <f>1178.02</f>
        <v>1178.02</v>
      </c>
      <c r="T3611">
        <f>1129.321</f>
        <v>1129.3209999999999</v>
      </c>
      <c r="U3611">
        <f>24994.65</f>
        <v>24994.65</v>
      </c>
      <c r="V3611">
        <f>156.4</f>
        <v>156.4</v>
      </c>
    </row>
    <row r="3612" spans="1:22" x14ac:dyDescent="0.2">
      <c r="A3612" s="1">
        <v>40051</v>
      </c>
      <c r="B3612">
        <f>2079.94</f>
        <v>2079.94</v>
      </c>
      <c r="C3612">
        <f>6527.07</f>
        <v>6527.07</v>
      </c>
      <c r="D3612">
        <f>3066.05</f>
        <v>3066.05</v>
      </c>
      <c r="E3612">
        <f>1482.049</f>
        <v>1482.049</v>
      </c>
      <c r="F3612">
        <f>1036.49</f>
        <v>1036.49</v>
      </c>
      <c r="G3612">
        <f>5068.25</f>
        <v>5068.25</v>
      </c>
      <c r="H3612">
        <f>1806.01</f>
        <v>1806.01</v>
      </c>
      <c r="I3612">
        <f>5829.561</f>
        <v>5829.5609999999997</v>
      </c>
      <c r="J3612">
        <f>1166.28</f>
        <v>1166.28</v>
      </c>
      <c r="K3612">
        <f>3490.67</f>
        <v>3490.67</v>
      </c>
      <c r="L3612">
        <f>883.43</f>
        <v>883.43</v>
      </c>
      <c r="M3612">
        <f>3526.09</f>
        <v>3526.09</v>
      </c>
      <c r="N3612">
        <f>132.318</f>
        <v>132.31800000000001</v>
      </c>
      <c r="O3612">
        <f>1370.39</f>
        <v>1370.39</v>
      </c>
      <c r="P3612">
        <f>88.44</f>
        <v>88.44</v>
      </c>
      <c r="Q3612">
        <f>707.52</f>
        <v>707.52</v>
      </c>
      <c r="R3612">
        <f>1682.29</f>
        <v>1682.29</v>
      </c>
      <c r="S3612">
        <f>1191.9</f>
        <v>1191.9000000000001</v>
      </c>
      <c r="T3612">
        <f>1126.479</f>
        <v>1126.479</v>
      </c>
      <c r="U3612">
        <f>25113.88</f>
        <v>25113.88</v>
      </c>
      <c r="V3612">
        <f>155.96</f>
        <v>155.96</v>
      </c>
    </row>
    <row r="3613" spans="1:22" x14ac:dyDescent="0.2">
      <c r="A3613" s="1">
        <v>40050</v>
      </c>
      <c r="B3613">
        <f>2097.78</f>
        <v>2097.7800000000002</v>
      </c>
      <c r="C3613">
        <f>6594.15</f>
        <v>6594.15</v>
      </c>
      <c r="D3613">
        <f>3082.39</f>
        <v>3082.39</v>
      </c>
      <c r="E3613">
        <f>1493.041</f>
        <v>1493.0409999999999</v>
      </c>
      <c r="F3613">
        <f>1056.87</f>
        <v>1056.8699999999999</v>
      </c>
      <c r="G3613">
        <f>5145.044</f>
        <v>5145.0439999999999</v>
      </c>
      <c r="H3613">
        <f>1786.61</f>
        <v>1786.61</v>
      </c>
      <c r="I3613">
        <f>5895.23</f>
        <v>5895.23</v>
      </c>
      <c r="J3613">
        <f>1166.34</f>
        <v>1166.3399999999999</v>
      </c>
      <c r="K3613">
        <f>3490.54</f>
        <v>3490.54</v>
      </c>
      <c r="L3613">
        <f>890.6</f>
        <v>890.6</v>
      </c>
      <c r="M3613">
        <f>3538.82</f>
        <v>3538.82</v>
      </c>
      <c r="N3613">
        <f>133.021</f>
        <v>133.02099999999999</v>
      </c>
      <c r="O3613">
        <f>1377.74</f>
        <v>1377.74</v>
      </c>
      <c r="P3613">
        <f>87.58</f>
        <v>87.58</v>
      </c>
      <c r="Q3613">
        <f>704.19</f>
        <v>704.19</v>
      </c>
      <c r="R3613">
        <f>1681.92</f>
        <v>1681.92</v>
      </c>
      <c r="S3613">
        <f>1178.84</f>
        <v>1178.8399999999999</v>
      </c>
      <c r="T3613">
        <f>1124.915</f>
        <v>1124.915</v>
      </c>
      <c r="U3613">
        <f>25186.1</f>
        <v>25186.1</v>
      </c>
      <c r="V3613">
        <f>155.53</f>
        <v>155.53</v>
      </c>
    </row>
    <row r="3614" spans="1:22" x14ac:dyDescent="0.2">
      <c r="A3614" s="1">
        <v>40049</v>
      </c>
      <c r="B3614">
        <f>2082.88</f>
        <v>2082.88</v>
      </c>
      <c r="C3614">
        <f>6605.85</f>
        <v>6605.85</v>
      </c>
      <c r="D3614">
        <f>3069.49</f>
        <v>3069.49</v>
      </c>
      <c r="E3614">
        <f>1498.34</f>
        <v>1498.34</v>
      </c>
      <c r="F3614">
        <f>1043.48</f>
        <v>1043.48</v>
      </c>
      <c r="G3614">
        <f>5134.889</f>
        <v>5134.8890000000001</v>
      </c>
      <c r="H3614">
        <f>1782.55</f>
        <v>1782.55</v>
      </c>
      <c r="I3614">
        <f>5858.671</f>
        <v>5858.6710000000003</v>
      </c>
      <c r="J3614">
        <f>1163.6</f>
        <v>1163.5999999999999</v>
      </c>
      <c r="K3614">
        <f>3483.13</f>
        <v>3483.13</v>
      </c>
      <c r="L3614">
        <f>885.43</f>
        <v>885.43</v>
      </c>
      <c r="M3614">
        <f>3529.31</f>
        <v>3529.31</v>
      </c>
      <c r="N3614">
        <f>132.242</f>
        <v>132.24199999999999</v>
      </c>
      <c r="O3614">
        <f>1372.4</f>
        <v>1372.4</v>
      </c>
      <c r="P3614">
        <f>87.67</f>
        <v>87.67</v>
      </c>
      <c r="Q3614">
        <f>699.52</f>
        <v>699.52</v>
      </c>
      <c r="R3614">
        <f>1677.94</f>
        <v>1677.94</v>
      </c>
      <c r="S3614">
        <f>1185.15</f>
        <v>1185.1500000000001</v>
      </c>
      <c r="T3614">
        <f>1131.171</f>
        <v>1131.171</v>
      </c>
      <c r="U3614">
        <f>25274.69</f>
        <v>25274.69</v>
      </c>
      <c r="V3614">
        <f>156.07</f>
        <v>156.07</v>
      </c>
    </row>
    <row r="3615" spans="1:22" x14ac:dyDescent="0.2">
      <c r="A3615" s="1">
        <v>40046</v>
      </c>
      <c r="B3615">
        <f>2054.36</f>
        <v>2054.36</v>
      </c>
      <c r="C3615">
        <f>6468.86</f>
        <v>6468.86</v>
      </c>
      <c r="D3615">
        <f>3041.07</f>
        <v>3041.07</v>
      </c>
      <c r="E3615">
        <f>1470.391</f>
        <v>1470.3910000000001</v>
      </c>
      <c r="F3615">
        <f>1049.05</f>
        <v>1049.05</v>
      </c>
      <c r="G3615">
        <f>5117.7</f>
        <v>5117.7</v>
      </c>
      <c r="H3615">
        <f>1748.86</f>
        <v>1748.86</v>
      </c>
      <c r="I3615">
        <f>5788.768</f>
        <v>5788.768</v>
      </c>
      <c r="J3615">
        <f>1162.68</f>
        <v>1162.68</v>
      </c>
      <c r="K3615">
        <f>3485.29</f>
        <v>3485.29</v>
      </c>
      <c r="L3615">
        <f>878.92</f>
        <v>878.92</v>
      </c>
      <c r="M3615">
        <f>3505.74</f>
        <v>3505.74</v>
      </c>
      <c r="N3615">
        <f>130.992</f>
        <v>130.99199999999999</v>
      </c>
      <c r="O3615">
        <f>1361.12</f>
        <v>1361.12</v>
      </c>
      <c r="P3615">
        <f>85.67</f>
        <v>85.67</v>
      </c>
      <c r="Q3615">
        <f>702.11</f>
        <v>702.11</v>
      </c>
      <c r="R3615">
        <f>1678.84</f>
        <v>1678.84</v>
      </c>
      <c r="S3615">
        <f>1157.13</f>
        <v>1157.1300000000001</v>
      </c>
      <c r="T3615">
        <f>1114.375</f>
        <v>1114.375</v>
      </c>
      <c r="U3615">
        <f>24878.71</f>
        <v>24878.71</v>
      </c>
      <c r="V3615">
        <f>152.33</f>
        <v>152.33000000000001</v>
      </c>
    </row>
    <row r="3616" spans="1:22" x14ac:dyDescent="0.2">
      <c r="A3616" s="1">
        <v>40045</v>
      </c>
      <c r="B3616">
        <f>2011.69</f>
        <v>2011.69</v>
      </c>
      <c r="C3616">
        <f>6416.85</f>
        <v>6416.85</v>
      </c>
      <c r="D3616">
        <f>2981.95</f>
        <v>2981.95</v>
      </c>
      <c r="E3616">
        <f>1455.78</f>
        <v>1455.78</v>
      </c>
      <c r="F3616">
        <f>1032.67</f>
        <v>1032.67</v>
      </c>
      <c r="G3616">
        <f>5011.951</f>
        <v>5011.951</v>
      </c>
      <c r="H3616">
        <f>1778.92</f>
        <v>1778.92</v>
      </c>
      <c r="I3616">
        <f>5614.799</f>
        <v>5614.799</v>
      </c>
      <c r="J3616">
        <f>1141.7</f>
        <v>1141.7</v>
      </c>
      <c r="K3616">
        <f>3422.35</f>
        <v>3422.35</v>
      </c>
      <c r="L3616">
        <f>860.17</f>
        <v>860.17</v>
      </c>
      <c r="M3616">
        <f>3448.82</f>
        <v>3448.82</v>
      </c>
      <c r="N3616">
        <f>128.737</f>
        <v>128.73699999999999</v>
      </c>
      <c r="O3616">
        <f>1330.64</f>
        <v>1330.64</v>
      </c>
      <c r="P3616">
        <f>86.3</f>
        <v>86.3</v>
      </c>
      <c r="Q3616">
        <f>689.78</f>
        <v>689.78</v>
      </c>
      <c r="R3616">
        <f>1647.85</f>
        <v>1647.85</v>
      </c>
      <c r="S3616">
        <f>1170.87</f>
        <v>1170.8699999999999</v>
      </c>
      <c r="T3616">
        <f>1100.847</f>
        <v>1100.847</v>
      </c>
      <c r="U3616">
        <f>24601.69</f>
        <v>24601.69</v>
      </c>
      <c r="V3616">
        <f>150.53</f>
        <v>150.53</v>
      </c>
    </row>
    <row r="3617" spans="1:22" x14ac:dyDescent="0.2">
      <c r="A3617" s="1">
        <v>40044</v>
      </c>
      <c r="B3617">
        <f>1993.23</f>
        <v>1993.23</v>
      </c>
      <c r="C3617">
        <f>6322.68</f>
        <v>6322.68</v>
      </c>
      <c r="D3617">
        <f>2940</f>
        <v>2940</v>
      </c>
      <c r="E3617">
        <f>1430.952</f>
        <v>1430.952</v>
      </c>
      <c r="F3617">
        <f>1016.05</f>
        <v>1016.05</v>
      </c>
      <c r="G3617">
        <f>4946.226</f>
        <v>4946.2259999999997</v>
      </c>
      <c r="H3617">
        <f>1765.47</f>
        <v>1765.47</v>
      </c>
      <c r="I3617">
        <f>5526.932</f>
        <v>5526.9319999999998</v>
      </c>
      <c r="J3617">
        <f>1135.05</f>
        <v>1135.05</v>
      </c>
      <c r="K3617">
        <f>3386.19</f>
        <v>3386.19</v>
      </c>
      <c r="L3617">
        <f>850.64</f>
        <v>850.64</v>
      </c>
      <c r="M3617">
        <f>3408.26</f>
        <v>3408.26</v>
      </c>
      <c r="N3617">
        <f>126.769</f>
        <v>126.76900000000001</v>
      </c>
      <c r="O3617">
        <f>1312.37</f>
        <v>1312.37</v>
      </c>
      <c r="P3617">
        <f>85.22</f>
        <v>85.22</v>
      </c>
      <c r="Q3617">
        <f>684.23</f>
        <v>684.23</v>
      </c>
      <c r="R3617">
        <f>1629.92</f>
        <v>1629.92</v>
      </c>
      <c r="S3617">
        <f>1152.14</f>
        <v>1152.1400000000001</v>
      </c>
      <c r="T3617">
        <f>1084.942</f>
        <v>1084.942</v>
      </c>
      <c r="U3617">
        <f>24259.54</f>
        <v>24259.54</v>
      </c>
      <c r="V3617">
        <f>147.55</f>
        <v>147.55000000000001</v>
      </c>
    </row>
    <row r="3618" spans="1:22" x14ac:dyDescent="0.2">
      <c r="A3618" s="1">
        <v>40043</v>
      </c>
      <c r="B3618">
        <f>1992.97</f>
        <v>1992.97</v>
      </c>
      <c r="C3618">
        <f>6352.96</f>
        <v>6352.96</v>
      </c>
      <c r="D3618">
        <f>2931.52</f>
        <v>2931.52</v>
      </c>
      <c r="E3618">
        <f>1434.946</f>
        <v>1434.9459999999999</v>
      </c>
      <c r="F3618">
        <f>1010.67</f>
        <v>1010.67</v>
      </c>
      <c r="G3618">
        <f>4940.084</f>
        <v>4940.0839999999998</v>
      </c>
      <c r="H3618">
        <f>1756.11</f>
        <v>1756.11</v>
      </c>
      <c r="I3618">
        <f>5483.268</f>
        <v>5483.268</v>
      </c>
      <c r="J3618">
        <f>1125.98</f>
        <v>1125.98</v>
      </c>
      <c r="K3618">
        <f>3362.02</f>
        <v>3362.02</v>
      </c>
      <c r="L3618">
        <f>845.97</f>
        <v>845.97</v>
      </c>
      <c r="M3618">
        <f>3389.35</f>
        <v>3389.35</v>
      </c>
      <c r="N3618">
        <f>127.519</f>
        <v>127.51900000000001</v>
      </c>
      <c r="O3618">
        <f>1315.73</f>
        <v>1315.73</v>
      </c>
      <c r="P3618">
        <f>85.82</f>
        <v>85.82</v>
      </c>
      <c r="Q3618">
        <f>679.32</f>
        <v>679.32</v>
      </c>
      <c r="R3618">
        <f>1618.6</f>
        <v>1618.6</v>
      </c>
      <c r="S3618">
        <f>1159.98</f>
        <v>1159.98</v>
      </c>
      <c r="T3618">
        <f>1087.373</f>
        <v>1087.373</v>
      </c>
      <c r="U3618">
        <f>24255.88</f>
        <v>24255.88</v>
      </c>
      <c r="V3618">
        <f>148.53</f>
        <v>148.53</v>
      </c>
    </row>
    <row r="3619" spans="1:22" x14ac:dyDescent="0.2">
      <c r="A3619" s="1">
        <v>40042</v>
      </c>
      <c r="B3619">
        <f>1974.75</f>
        <v>1974.75</v>
      </c>
      <c r="C3619">
        <f>6329.82</f>
        <v>6329.82</v>
      </c>
      <c r="D3619">
        <f>2906.02</f>
        <v>2906.02</v>
      </c>
      <c r="E3619">
        <f>1425.262</f>
        <v>1425.2619999999999</v>
      </c>
      <c r="F3619">
        <f>990.59</f>
        <v>990.59</v>
      </c>
      <c r="G3619">
        <f>4832.225</f>
        <v>4832.2250000000004</v>
      </c>
      <c r="H3619">
        <f>1758.7</f>
        <v>1758.7</v>
      </c>
      <c r="I3619">
        <f>5414.762</f>
        <v>5414.7619999999997</v>
      </c>
      <c r="J3619">
        <f>1118.38</f>
        <v>1118.3800000000001</v>
      </c>
      <c r="K3619">
        <f>3327.29</f>
        <v>3327.29</v>
      </c>
      <c r="L3619">
        <f>835.77</f>
        <v>835.77</v>
      </c>
      <c r="M3619">
        <f>3353.89</f>
        <v>3353.89</v>
      </c>
      <c r="N3619">
        <f>125.618</f>
        <v>125.61799999999999</v>
      </c>
      <c r="O3619">
        <f>1298.09</f>
        <v>1298.0899999999999</v>
      </c>
      <c r="P3619">
        <f>86.04</f>
        <v>86.04</v>
      </c>
      <c r="Q3619">
        <f>672.23</f>
        <v>672.23</v>
      </c>
      <c r="R3619">
        <f>1602.06</f>
        <v>1602.06</v>
      </c>
      <c r="S3619">
        <f>1159.89</f>
        <v>1159.8900000000001</v>
      </c>
      <c r="T3619">
        <f>1075.482</f>
        <v>1075.482</v>
      </c>
      <c r="U3619">
        <f>24074.12</f>
        <v>24074.12</v>
      </c>
      <c r="V3619">
        <f>146.51</f>
        <v>146.51</v>
      </c>
    </row>
    <row r="3620" spans="1:22" x14ac:dyDescent="0.2">
      <c r="A3620" s="1">
        <v>40039</v>
      </c>
      <c r="B3620">
        <f>2020.46</f>
        <v>2020.46</v>
      </c>
      <c r="C3620">
        <f>6538.05</f>
        <v>6538.05</v>
      </c>
      <c r="D3620">
        <f>2949.16</f>
        <v>2949.16</v>
      </c>
      <c r="E3620">
        <f>1482.099</f>
        <v>1482.0989999999999</v>
      </c>
      <c r="F3620">
        <f>1009.84</f>
        <v>1009.84</v>
      </c>
      <c r="G3620">
        <f>4970.925</f>
        <v>4970.9250000000002</v>
      </c>
      <c r="H3620">
        <f>1802.94</f>
        <v>1802.94</v>
      </c>
      <c r="I3620">
        <f>5594.212</f>
        <v>5594.2120000000004</v>
      </c>
      <c r="J3620">
        <f>1137.32</f>
        <v>1137.32</v>
      </c>
      <c r="K3620">
        <f>3409.65</f>
        <v>3409.65</v>
      </c>
      <c r="L3620">
        <f>859.26</f>
        <v>859.26</v>
      </c>
      <c r="M3620">
        <f>3449.57</f>
        <v>3449.57</v>
      </c>
      <c r="N3620">
        <f>128.004</f>
        <v>128.00399999999999</v>
      </c>
      <c r="O3620">
        <f>1324.47</f>
        <v>1324.47</v>
      </c>
      <c r="P3620">
        <f>87.5</f>
        <v>87.5</v>
      </c>
      <c r="Q3620">
        <f>687.86</f>
        <v>687.86</v>
      </c>
      <c r="R3620">
        <f>1641.54</f>
        <v>1641.54</v>
      </c>
      <c r="S3620">
        <f>1189.15</f>
        <v>1189.1500000000001</v>
      </c>
      <c r="T3620">
        <f>1099.416</f>
        <v>1099.4159999999999</v>
      </c>
      <c r="U3620">
        <f>24815.77</f>
        <v>24815.77</v>
      </c>
      <c r="V3620">
        <f>149.24</f>
        <v>149.24</v>
      </c>
    </row>
    <row r="3621" spans="1:22" x14ac:dyDescent="0.2">
      <c r="A3621" s="1">
        <v>40038</v>
      </c>
      <c r="B3621">
        <f>2022.02</f>
        <v>2022.02</v>
      </c>
      <c r="C3621">
        <f>6566.44</f>
        <v>6566.44</v>
      </c>
      <c r="D3621">
        <f>2975.11</f>
        <v>2975.11</v>
      </c>
      <c r="E3621">
        <f>1487.024</f>
        <v>1487.0239999999999</v>
      </c>
      <c r="F3621">
        <f>1020.92</f>
        <v>1020.92</v>
      </c>
      <c r="G3621">
        <f>5032.094</f>
        <v>5032.0940000000001</v>
      </c>
      <c r="H3621">
        <f>1776.43</f>
        <v>1776.43</v>
      </c>
      <c r="I3621">
        <f>5661.58</f>
        <v>5661.58</v>
      </c>
      <c r="J3621">
        <f>1144.02</f>
        <v>1144.02</v>
      </c>
      <c r="K3621">
        <f>3439.66</f>
        <v>3439.66</v>
      </c>
      <c r="L3621">
        <f>866.31</f>
        <v>866.31</v>
      </c>
      <c r="M3621">
        <f>3472.47</f>
        <v>3472.47</v>
      </c>
      <c r="N3621">
        <f>128.024</f>
        <v>128.024</v>
      </c>
      <c r="O3621">
        <f>1334.19</f>
        <v>1334.19</v>
      </c>
      <c r="P3621">
        <f>87.54</f>
        <v>87.54</v>
      </c>
      <c r="Q3621">
        <f>692.57</f>
        <v>692.57</v>
      </c>
      <c r="R3621">
        <f>1655.66</f>
        <v>1655.66</v>
      </c>
      <c r="S3621">
        <f>1182.85</f>
        <v>1182.8499999999999</v>
      </c>
      <c r="T3621">
        <f>1098.51</f>
        <v>1098.51</v>
      </c>
      <c r="U3621">
        <f>25009.89</f>
        <v>25009.89</v>
      </c>
      <c r="V3621">
        <f>149.93</f>
        <v>149.93</v>
      </c>
    </row>
    <row r="3622" spans="1:22" x14ac:dyDescent="0.2">
      <c r="A3622" s="1">
        <v>40037</v>
      </c>
      <c r="B3622">
        <f>1989.37</f>
        <v>1989.37</v>
      </c>
      <c r="C3622">
        <f>6452.01</f>
        <v>6452.01</v>
      </c>
      <c r="D3622">
        <f>2950.9</f>
        <v>2950.9</v>
      </c>
      <c r="E3622">
        <f>1460.192</f>
        <v>1460.192</v>
      </c>
      <c r="F3622">
        <f>1020.03</f>
        <v>1020.03</v>
      </c>
      <c r="G3622">
        <f>4973.832</f>
        <v>4973.8320000000003</v>
      </c>
      <c r="H3622">
        <f>1748.96</f>
        <v>1748.96</v>
      </c>
      <c r="I3622">
        <f>5584.48</f>
        <v>5584.48</v>
      </c>
      <c r="J3622">
        <f>1141.83</f>
        <v>1141.83</v>
      </c>
      <c r="K3622">
        <f>3415.4</f>
        <v>3415.4</v>
      </c>
      <c r="L3622">
        <f>857.56</f>
        <v>857.56</v>
      </c>
      <c r="M3622">
        <f>3431.86</f>
        <v>3431.86</v>
      </c>
      <c r="N3622">
        <f>127.057</f>
        <v>127.057</v>
      </c>
      <c r="O3622">
        <f>1324.77</f>
        <v>1324.77</v>
      </c>
      <c r="P3622">
        <f>86.77</f>
        <v>86.77</v>
      </c>
      <c r="Q3622">
        <f>690.68</f>
        <v>690.68</v>
      </c>
      <c r="R3622">
        <f>1644.23</f>
        <v>1644.23</v>
      </c>
      <c r="S3622">
        <f>1172.41</f>
        <v>1172.4100000000001</v>
      </c>
      <c r="T3622">
        <f>1093.968</f>
        <v>1093.9680000000001</v>
      </c>
      <c r="U3622">
        <f>24588.45</f>
        <v>24588.45</v>
      </c>
      <c r="V3622">
        <f>149.39</f>
        <v>149.38999999999999</v>
      </c>
    </row>
    <row r="3623" spans="1:22" x14ac:dyDescent="0.2">
      <c r="A3623" s="1">
        <v>40036</v>
      </c>
      <c r="B3623">
        <f>1971.16</f>
        <v>1971.16</v>
      </c>
      <c r="C3623">
        <f>6464.81</f>
        <v>6464.81</v>
      </c>
      <c r="D3623">
        <f>2917.08</f>
        <v>2917.08</v>
      </c>
      <c r="E3623">
        <f>1468.08</f>
        <v>1468.08</v>
      </c>
      <c r="F3623">
        <f>1010.22</f>
        <v>1010.22</v>
      </c>
      <c r="G3623">
        <f>4905.675</f>
        <v>4905.6750000000002</v>
      </c>
      <c r="H3623">
        <f>1783.65</f>
        <v>1783.65</v>
      </c>
      <c r="I3623">
        <f>5490.863</f>
        <v>5490.8630000000003</v>
      </c>
      <c r="J3623">
        <f>1133.44</f>
        <v>1133.44</v>
      </c>
      <c r="K3623">
        <f>3375.34</f>
        <v>3375.34</v>
      </c>
      <c r="L3623">
        <f>847.66</f>
        <v>847.66</v>
      </c>
      <c r="M3623">
        <f>3400.72</f>
        <v>3400.72</v>
      </c>
      <c r="N3623">
        <f>126.066</f>
        <v>126.066</v>
      </c>
      <c r="O3623">
        <f>1310.27</f>
        <v>1310.27</v>
      </c>
      <c r="P3623">
        <f>87.6</f>
        <v>87.6</v>
      </c>
      <c r="Q3623">
        <f>684.01</f>
        <v>684.01</v>
      </c>
      <c r="R3623">
        <f>1624.91</f>
        <v>1624.91</v>
      </c>
      <c r="S3623">
        <f>1189.07</f>
        <v>1189.07</v>
      </c>
      <c r="T3623">
        <f>1106.79</f>
        <v>1106.79</v>
      </c>
      <c r="U3623">
        <f>24681.68</f>
        <v>24681.68</v>
      </c>
      <c r="V3623">
        <f>150.77</f>
        <v>150.77000000000001</v>
      </c>
    </row>
    <row r="3624" spans="1:22" x14ac:dyDescent="0.2">
      <c r="A3624" s="1">
        <v>40035</v>
      </c>
      <c r="B3624">
        <f>2000.66</f>
        <v>2000.66</v>
      </c>
      <c r="C3624">
        <f>6518.58</f>
        <v>6518.58</v>
      </c>
      <c r="D3624">
        <f>2948.84</f>
        <v>2948.84</v>
      </c>
      <c r="E3624">
        <f>1485.18</f>
        <v>1485.18</v>
      </c>
      <c r="F3624">
        <f>1017.28</f>
        <v>1017.28</v>
      </c>
      <c r="G3624">
        <f>4969.939</f>
        <v>4969.9390000000003</v>
      </c>
      <c r="H3624">
        <f>1752.94</f>
        <v>1752.94</v>
      </c>
      <c r="I3624">
        <f>5582.713</f>
        <v>5582.7129999999997</v>
      </c>
      <c r="J3624">
        <f>1142.87</f>
        <v>1142.8699999999999</v>
      </c>
      <c r="K3624">
        <f>3417.28</f>
        <v>3417.28</v>
      </c>
      <c r="L3624">
        <f>856.41</f>
        <v>856.41</v>
      </c>
      <c r="M3624">
        <f>3435.09</f>
        <v>3435.09</v>
      </c>
      <c r="N3624">
        <f>128.011</f>
        <v>128.011</v>
      </c>
      <c r="O3624">
        <f>1327.62</f>
        <v>1327.62</v>
      </c>
      <c r="P3624">
        <f>86.72</f>
        <v>86.72</v>
      </c>
      <c r="Q3624">
        <f>691.08</f>
        <v>691.08</v>
      </c>
      <c r="R3624">
        <f>1645.26</f>
        <v>1645.26</v>
      </c>
      <c r="S3624">
        <f>1183.86</f>
        <v>1183.8599999999999</v>
      </c>
      <c r="T3624" t="e">
        <f>NA()</f>
        <v>#N/A</v>
      </c>
      <c r="U3624" t="e">
        <f>NA()</f>
        <v>#N/A</v>
      </c>
      <c r="V3624" t="e">
        <f>NA()</f>
        <v>#N/A</v>
      </c>
    </row>
    <row r="3625" spans="1:22" x14ac:dyDescent="0.2">
      <c r="A3625" s="1">
        <v>40032</v>
      </c>
      <c r="B3625">
        <f>2000.96</f>
        <v>2000.96</v>
      </c>
      <c r="C3625">
        <f>6484.56</f>
        <v>6484.56</v>
      </c>
      <c r="D3625">
        <f>2954.69</f>
        <v>2954.69</v>
      </c>
      <c r="E3625">
        <f>1481.89</f>
        <v>1481.89</v>
      </c>
      <c r="F3625">
        <f>1017.93</f>
        <v>1017.93</v>
      </c>
      <c r="G3625">
        <f>5022.621</f>
        <v>5022.6210000000001</v>
      </c>
      <c r="H3625">
        <f>1731.32</f>
        <v>1731.32</v>
      </c>
      <c r="I3625">
        <f>5623.767</f>
        <v>5623.7669999999998</v>
      </c>
      <c r="J3625">
        <f>1143.89</f>
        <v>1143.8900000000001</v>
      </c>
      <c r="K3625">
        <f>3428.78</f>
        <v>3428.78</v>
      </c>
      <c r="L3625">
        <f>860.47</f>
        <v>860.47</v>
      </c>
      <c r="M3625">
        <f>3444.96</f>
        <v>3444.96</v>
      </c>
      <c r="N3625">
        <f>127.935</f>
        <v>127.935</v>
      </c>
      <c r="O3625">
        <f>1336.26</f>
        <v>1336.26</v>
      </c>
      <c r="P3625">
        <f>86.22</f>
        <v>86.22</v>
      </c>
      <c r="Q3625">
        <f>694.3</f>
        <v>694.3</v>
      </c>
      <c r="R3625">
        <f>1650.73</f>
        <v>1650.73</v>
      </c>
      <c r="S3625">
        <f>1168.62</f>
        <v>1168.6199999999999</v>
      </c>
      <c r="T3625">
        <f>1109.837</f>
        <v>1109.837</v>
      </c>
      <c r="U3625">
        <f>25071.01</f>
        <v>25071.01</v>
      </c>
      <c r="V3625">
        <f>152.44</f>
        <v>152.44</v>
      </c>
    </row>
    <row r="3626" spans="1:22" x14ac:dyDescent="0.2">
      <c r="A3626" s="1">
        <v>40031</v>
      </c>
      <c r="B3626">
        <f>1989.38</f>
        <v>1989.38</v>
      </c>
      <c r="C3626">
        <f>6492.73</f>
        <v>6492.73</v>
      </c>
      <c r="D3626">
        <f>2929.07</f>
        <v>2929.07</v>
      </c>
      <c r="E3626">
        <f>1486.346</f>
        <v>1486.346</v>
      </c>
      <c r="F3626">
        <f>1003.94</f>
        <v>1003.94</v>
      </c>
      <c r="G3626">
        <f>5014.482</f>
        <v>5014.482</v>
      </c>
      <c r="H3626">
        <f>1767.84</f>
        <v>1767.84</v>
      </c>
      <c r="I3626">
        <f>5616.658</f>
        <v>5616.6580000000004</v>
      </c>
      <c r="J3626">
        <f>1130.72</f>
        <v>1130.72</v>
      </c>
      <c r="K3626">
        <f>3384.1</f>
        <v>3384.1</v>
      </c>
      <c r="L3626">
        <f>856.5</f>
        <v>856.5</v>
      </c>
      <c r="M3626">
        <f>3432.07</f>
        <v>3432.07</v>
      </c>
      <c r="N3626">
        <f>126.077</f>
        <v>126.077</v>
      </c>
      <c r="O3626">
        <f>1317.93</f>
        <v>1317.93</v>
      </c>
      <c r="P3626">
        <f>86.32</f>
        <v>86.32</v>
      </c>
      <c r="Q3626">
        <f>682.11</f>
        <v>682.11</v>
      </c>
      <c r="R3626">
        <f>1628.82</f>
        <v>1628.82</v>
      </c>
      <c r="S3626">
        <f>1169.53</f>
        <v>1169.53</v>
      </c>
      <c r="T3626">
        <f>1107.82</f>
        <v>1107.82</v>
      </c>
      <c r="U3626">
        <f>25045.68</f>
        <v>25045.68</v>
      </c>
      <c r="V3626">
        <f>152.43</f>
        <v>152.43</v>
      </c>
    </row>
    <row r="3627" spans="1:22" x14ac:dyDescent="0.2">
      <c r="A3627" s="1">
        <v>40030</v>
      </c>
      <c r="B3627">
        <f>1958.75</f>
        <v>1958.75</v>
      </c>
      <c r="C3627">
        <f>6464.29</f>
        <v>6464.29</v>
      </c>
      <c r="D3627">
        <f>2901.97</f>
        <v>2901.97</v>
      </c>
      <c r="E3627">
        <f>1484.482</f>
        <v>1484.482</v>
      </c>
      <c r="F3627">
        <f>1016.99</f>
        <v>1016.99</v>
      </c>
      <c r="G3627">
        <f>5014.015</f>
        <v>5014.0150000000003</v>
      </c>
      <c r="H3627">
        <f>1758.82</f>
        <v>1758.82</v>
      </c>
      <c r="I3627">
        <f>5593.063</f>
        <v>5593.0630000000001</v>
      </c>
      <c r="J3627">
        <f>1135.43</f>
        <v>1135.43</v>
      </c>
      <c r="K3627">
        <f>3402.65</f>
        <v>3402.65</v>
      </c>
      <c r="L3627">
        <f>858.15</f>
        <v>858.15</v>
      </c>
      <c r="M3627">
        <f>3439.62</f>
        <v>3439.62</v>
      </c>
      <c r="N3627">
        <f>125.128</f>
        <v>125.128</v>
      </c>
      <c r="O3627">
        <f>1312.04</f>
        <v>1312.04</v>
      </c>
      <c r="P3627">
        <f>86.41</f>
        <v>86.41</v>
      </c>
      <c r="Q3627">
        <f>687.02</f>
        <v>687.02</v>
      </c>
      <c r="R3627">
        <f>1637.81</f>
        <v>1637.81</v>
      </c>
      <c r="S3627">
        <f>1159.84</f>
        <v>1159.8399999999999</v>
      </c>
      <c r="T3627">
        <f>1107.592</f>
        <v>1107.5920000000001</v>
      </c>
      <c r="U3627">
        <f>24908.79</f>
        <v>24908.79</v>
      </c>
      <c r="V3627">
        <f>153.23</f>
        <v>153.22999999999999</v>
      </c>
    </row>
    <row r="3628" spans="1:22" x14ac:dyDescent="0.2">
      <c r="A3628" s="1">
        <v>40029</v>
      </c>
      <c r="B3628">
        <f>1942.52</f>
        <v>1942.52</v>
      </c>
      <c r="C3628">
        <f>6531.87</f>
        <v>6531.87</v>
      </c>
      <c r="D3628">
        <f>2910.77</f>
        <v>2910.77</v>
      </c>
      <c r="E3628">
        <f>1494.935</f>
        <v>1494.9349999999999</v>
      </c>
      <c r="F3628">
        <f>1024.16</f>
        <v>1024.1600000000001</v>
      </c>
      <c r="G3628">
        <f>5009.473</f>
        <v>5009.473</v>
      </c>
      <c r="H3628">
        <f>1765.8</f>
        <v>1765.8</v>
      </c>
      <c r="I3628">
        <f>5636.373</f>
        <v>5636.3729999999996</v>
      </c>
      <c r="J3628">
        <f>1143.51</f>
        <v>1143.51</v>
      </c>
      <c r="K3628">
        <f>3411.88</f>
        <v>3411.88</v>
      </c>
      <c r="L3628">
        <f>863.7</f>
        <v>863.7</v>
      </c>
      <c r="M3628">
        <f>3454.81</f>
        <v>3454.81</v>
      </c>
      <c r="N3628">
        <f>124.796</f>
        <v>124.79600000000001</v>
      </c>
      <c r="O3628">
        <f>1318.39</f>
        <v>1318.39</v>
      </c>
      <c r="P3628">
        <f>87.15</f>
        <v>87.15</v>
      </c>
      <c r="Q3628">
        <f>688.45</f>
        <v>688.45</v>
      </c>
      <c r="R3628">
        <f>1642.03</f>
        <v>1642.03</v>
      </c>
      <c r="S3628">
        <f>1171.37</f>
        <v>1171.3699999999999</v>
      </c>
      <c r="T3628">
        <f>1104.792</f>
        <v>1104.7919999999999</v>
      </c>
      <c r="U3628">
        <f>24835.58</f>
        <v>24835.58</v>
      </c>
      <c r="V3628">
        <f>153.05</f>
        <v>153.05000000000001</v>
      </c>
    </row>
    <row r="3629" spans="1:22" x14ac:dyDescent="0.2">
      <c r="A3629" s="1">
        <v>40028</v>
      </c>
      <c r="B3629">
        <f>1929.53</f>
        <v>1929.53</v>
      </c>
      <c r="C3629">
        <f>6588.49</f>
        <v>6588.49</v>
      </c>
      <c r="D3629">
        <f>2917.68</f>
        <v>2917.68</v>
      </c>
      <c r="E3629">
        <f>1501.958</f>
        <v>1501.9580000000001</v>
      </c>
      <c r="F3629">
        <f>1025.16</f>
        <v>1025.1600000000001</v>
      </c>
      <c r="G3629">
        <f>5026.785</f>
        <v>5026.7849999999999</v>
      </c>
      <c r="H3629">
        <f>1762.71</f>
        <v>1762.71</v>
      </c>
      <c r="I3629">
        <f>5663.226</f>
        <v>5663.2259999999997</v>
      </c>
      <c r="J3629">
        <f>1142.72</f>
        <v>1142.72</v>
      </c>
      <c r="K3629">
        <f>3402.42</f>
        <v>3402.42</v>
      </c>
      <c r="L3629">
        <f>864.27</f>
        <v>864.27</v>
      </c>
      <c r="M3629">
        <f>3450.85</f>
        <v>3450.85</v>
      </c>
      <c r="N3629">
        <f>124.085</f>
        <v>124.08499999999999</v>
      </c>
      <c r="O3629">
        <f>1322.03</f>
        <v>1322.03</v>
      </c>
      <c r="P3629">
        <f>86.46</f>
        <v>86.46</v>
      </c>
      <c r="Q3629">
        <f>687.19</f>
        <v>687.19</v>
      </c>
      <c r="R3629">
        <f>1637.06</f>
        <v>1637.06</v>
      </c>
      <c r="S3629">
        <f>1169.59</f>
        <v>1169.5899999999999</v>
      </c>
      <c r="T3629">
        <f>1104.504</f>
        <v>1104.5039999999999</v>
      </c>
      <c r="U3629">
        <f>24805.91</f>
        <v>24805.91</v>
      </c>
      <c r="V3629">
        <f>153.39</f>
        <v>153.38999999999999</v>
      </c>
    </row>
    <row r="3630" spans="1:22" x14ac:dyDescent="0.2">
      <c r="A3630" s="1">
        <v>40025</v>
      </c>
      <c r="B3630">
        <f>1894.87</f>
        <v>1894.87</v>
      </c>
      <c r="C3630">
        <f>6454.44</f>
        <v>6454.44</v>
      </c>
      <c r="D3630">
        <f>2871.51</f>
        <v>2871.51</v>
      </c>
      <c r="E3630">
        <f>1465.355</f>
        <v>1465.355</v>
      </c>
      <c r="F3630">
        <f>982.48</f>
        <v>982.48</v>
      </c>
      <c r="G3630">
        <f>4846.037</f>
        <v>4846.0370000000003</v>
      </c>
      <c r="H3630">
        <f>1754.54</f>
        <v>1754.54</v>
      </c>
      <c r="I3630">
        <f>5494.417</f>
        <v>5494.4170000000004</v>
      </c>
      <c r="J3630">
        <f>1132.59</f>
        <v>1132.5899999999999</v>
      </c>
      <c r="K3630">
        <f>3349.33</f>
        <v>3349.33</v>
      </c>
      <c r="L3630">
        <f>845.62</f>
        <v>845.62</v>
      </c>
      <c r="M3630">
        <f>3383.01</f>
        <v>3383.01</v>
      </c>
      <c r="N3630">
        <f>122.571</f>
        <v>122.571</v>
      </c>
      <c r="O3630">
        <f>1302.03</f>
        <v>1302.03</v>
      </c>
      <c r="P3630">
        <f>86.56</f>
        <v>86.56</v>
      </c>
      <c r="Q3630">
        <f>677.62</f>
        <v>677.62</v>
      </c>
      <c r="R3630">
        <f>1612.31</f>
        <v>1612.31</v>
      </c>
      <c r="S3630">
        <f>1160.68</f>
        <v>1160.68</v>
      </c>
      <c r="T3630">
        <f>1084.865</f>
        <v>1084.865</v>
      </c>
      <c r="U3630">
        <f>24258.51</f>
        <v>24258.51</v>
      </c>
      <c r="V3630">
        <f>150.58</f>
        <v>150.58000000000001</v>
      </c>
    </row>
    <row r="3631" spans="1:22" x14ac:dyDescent="0.2">
      <c r="A3631" s="1">
        <v>40024</v>
      </c>
      <c r="B3631">
        <f>1899.21</f>
        <v>1899.21</v>
      </c>
      <c r="C3631">
        <f>6381.89</f>
        <v>6381.89</v>
      </c>
      <c r="D3631">
        <f>2885.99</f>
        <v>2885.99</v>
      </c>
      <c r="E3631">
        <f>1447.056</f>
        <v>1447.056</v>
      </c>
      <c r="F3631">
        <f>985.23</f>
        <v>985.23</v>
      </c>
      <c r="G3631">
        <f>4844.432</f>
        <v>4844.4319999999998</v>
      </c>
      <c r="H3631">
        <f>1724.6</f>
        <v>1724.6</v>
      </c>
      <c r="I3631">
        <f>5449.005</f>
        <v>5449.0050000000001</v>
      </c>
      <c r="J3631">
        <f>1133.41</f>
        <v>1133.4100000000001</v>
      </c>
      <c r="K3631">
        <f>3346.73</f>
        <v>3346.73</v>
      </c>
      <c r="L3631">
        <f>842.53</f>
        <v>842.53</v>
      </c>
      <c r="M3631">
        <f>3363.69</f>
        <v>3363.69</v>
      </c>
      <c r="N3631">
        <f>122.214</f>
        <v>122.214</v>
      </c>
      <c r="O3631">
        <f>1304.28</f>
        <v>1304.28</v>
      </c>
      <c r="P3631">
        <f>85.4</f>
        <v>85.4</v>
      </c>
      <c r="Q3631">
        <f>678.07</f>
        <v>678.07</v>
      </c>
      <c r="R3631">
        <f>1611.14</f>
        <v>1611.14</v>
      </c>
      <c r="S3631">
        <f>1144.4</f>
        <v>1144.4000000000001</v>
      </c>
      <c r="T3631">
        <f>1074.71</f>
        <v>1074.71</v>
      </c>
      <c r="U3631">
        <f>24067.41</f>
        <v>24067.41</v>
      </c>
      <c r="V3631">
        <f>148.32</f>
        <v>148.32</v>
      </c>
    </row>
    <row r="3632" spans="1:22" x14ac:dyDescent="0.2">
      <c r="A3632" s="1">
        <v>40023</v>
      </c>
      <c r="B3632">
        <f>1859.52</f>
        <v>1859.52</v>
      </c>
      <c r="C3632">
        <f>6314.56</f>
        <v>6314.56</v>
      </c>
      <c r="D3632">
        <f>2833.61</f>
        <v>2833.61</v>
      </c>
      <c r="E3632">
        <f>1427.513</f>
        <v>1427.5129999999999</v>
      </c>
      <c r="F3632">
        <f>962.53</f>
        <v>962.53</v>
      </c>
      <c r="G3632">
        <f>4733.444</f>
        <v>4733.4440000000004</v>
      </c>
      <c r="H3632">
        <f>1717.88</f>
        <v>1717.88</v>
      </c>
      <c r="I3632">
        <f>5335.934</f>
        <v>5335.9340000000002</v>
      </c>
      <c r="J3632">
        <f>1120.77</f>
        <v>1120.77</v>
      </c>
      <c r="K3632">
        <f>3307.35</f>
        <v>3307.35</v>
      </c>
      <c r="L3632">
        <f>826.2</f>
        <v>826.2</v>
      </c>
      <c r="M3632">
        <f>3313.74</f>
        <v>3313.74</v>
      </c>
      <c r="N3632">
        <f>120.293</f>
        <v>120.29300000000001</v>
      </c>
      <c r="O3632">
        <f>1276.51</f>
        <v>1276.51</v>
      </c>
      <c r="P3632">
        <f>85.03</f>
        <v>85.03</v>
      </c>
      <c r="Q3632">
        <f>670.84</f>
        <v>670.84</v>
      </c>
      <c r="R3632">
        <f>1592</f>
        <v>1592</v>
      </c>
      <c r="S3632">
        <f>1136.37</f>
        <v>1136.3699999999999</v>
      </c>
      <c r="T3632">
        <f>1067.366</f>
        <v>1067.366</v>
      </c>
      <c r="U3632">
        <f>23589.29</f>
        <v>23589.29</v>
      </c>
      <c r="V3632">
        <f>147.94</f>
        <v>147.94</v>
      </c>
    </row>
    <row r="3633" spans="1:22" x14ac:dyDescent="0.2">
      <c r="A3633" s="1">
        <v>40022</v>
      </c>
      <c r="B3633">
        <f>1848.03</f>
        <v>1848.03</v>
      </c>
      <c r="C3633">
        <f>6414.95</f>
        <v>6414.95</v>
      </c>
      <c r="D3633">
        <f>2820.16</f>
        <v>2820.16</v>
      </c>
      <c r="E3633">
        <f>1452.034</f>
        <v>1452.0340000000001</v>
      </c>
      <c r="F3633">
        <f>963.74</f>
        <v>963.74</v>
      </c>
      <c r="G3633">
        <f>4728.182</f>
        <v>4728.1819999999998</v>
      </c>
      <c r="H3633">
        <f>1732.83</f>
        <v>1732.83</v>
      </c>
      <c r="I3633">
        <f>5336.144</f>
        <v>5336.1440000000002</v>
      </c>
      <c r="J3633">
        <f>1123.33</f>
        <v>1123.33</v>
      </c>
      <c r="K3633">
        <f>3323.64</f>
        <v>3323.64</v>
      </c>
      <c r="L3633">
        <f>828.33</f>
        <v>828.33</v>
      </c>
      <c r="M3633">
        <f>3328.65</f>
        <v>3328.65</v>
      </c>
      <c r="N3633">
        <f>119.228</f>
        <v>119.22799999999999</v>
      </c>
      <c r="O3633">
        <f>1264.99</f>
        <v>1264.99</v>
      </c>
      <c r="P3633">
        <f>84.18</f>
        <v>84.18</v>
      </c>
      <c r="Q3633">
        <f>674.58</f>
        <v>674.58</v>
      </c>
      <c r="R3633">
        <f>1599.09</f>
        <v>1599.09</v>
      </c>
      <c r="S3633">
        <f>1136.09</f>
        <v>1136.0899999999999</v>
      </c>
      <c r="T3633">
        <f>1077.458</f>
        <v>1077.4580000000001</v>
      </c>
      <c r="U3633">
        <f>23768.39</f>
        <v>23768.39</v>
      </c>
      <c r="V3633">
        <f>149.56</f>
        <v>149.56</v>
      </c>
    </row>
    <row r="3634" spans="1:22" x14ac:dyDescent="0.2">
      <c r="A3634" s="1">
        <v>40021</v>
      </c>
      <c r="B3634">
        <f>1871.24</f>
        <v>1871.24</v>
      </c>
      <c r="C3634">
        <f>6379.66</f>
        <v>6379.66</v>
      </c>
      <c r="D3634">
        <f>2855.83</f>
        <v>2855.83</v>
      </c>
      <c r="E3634">
        <f>1446.902</f>
        <v>1446.902</v>
      </c>
      <c r="F3634">
        <f>986.18</f>
        <v>986.18</v>
      </c>
      <c r="G3634">
        <f>4795.412</f>
        <v>4795.4120000000003</v>
      </c>
      <c r="H3634">
        <f>1706.24</f>
        <v>1706.24</v>
      </c>
      <c r="I3634">
        <f>5395.959</f>
        <v>5395.9589999999998</v>
      </c>
      <c r="J3634">
        <f>1128.78</f>
        <v>1128.78</v>
      </c>
      <c r="K3634">
        <f>3332.66</f>
        <v>3332.66</v>
      </c>
      <c r="L3634">
        <f>832.48</f>
        <v>832.48</v>
      </c>
      <c r="M3634">
        <f>3341.74</f>
        <v>3341.74</v>
      </c>
      <c r="N3634">
        <f>120.133</f>
        <v>120.133</v>
      </c>
      <c r="O3634">
        <f>1277.1</f>
        <v>1277.0999999999999</v>
      </c>
      <c r="P3634">
        <f>84.55</f>
        <v>84.55</v>
      </c>
      <c r="Q3634">
        <f>675.89</f>
        <v>675.89</v>
      </c>
      <c r="R3634">
        <f>1603.26</f>
        <v>1603.26</v>
      </c>
      <c r="S3634">
        <f>1133.76</f>
        <v>1133.76</v>
      </c>
      <c r="T3634">
        <f>1078.944</f>
        <v>1078.944</v>
      </c>
      <c r="U3634">
        <f>23931.64</f>
        <v>23931.64</v>
      </c>
      <c r="V3634">
        <f>149.79</f>
        <v>149.79</v>
      </c>
    </row>
    <row r="3635" spans="1:22" x14ac:dyDescent="0.2">
      <c r="A3635" s="1">
        <v>40018</v>
      </c>
      <c r="B3635">
        <f>1893.65</f>
        <v>1893.65</v>
      </c>
      <c r="C3635">
        <f>6313.45</f>
        <v>6313.45</v>
      </c>
      <c r="D3635">
        <f>2849.91</f>
        <v>2849.91</v>
      </c>
      <c r="E3635">
        <f>1429.515</f>
        <v>1429.5150000000001</v>
      </c>
      <c r="F3635">
        <f>977.38</f>
        <v>977.38</v>
      </c>
      <c r="G3635">
        <f>4761.916</f>
        <v>4761.9160000000002</v>
      </c>
      <c r="H3635">
        <f>1700.54</f>
        <v>1700.54</v>
      </c>
      <c r="I3635">
        <f>5365.356</f>
        <v>5365.3559999999998</v>
      </c>
      <c r="J3635">
        <f>1125.67</f>
        <v>1125.67</v>
      </c>
      <c r="K3635">
        <f>3324.2</f>
        <v>3324.2</v>
      </c>
      <c r="L3635">
        <f>825.33</f>
        <v>825.33</v>
      </c>
      <c r="M3635">
        <f>3326.29</f>
        <v>3326.29</v>
      </c>
      <c r="N3635">
        <f>120.258</f>
        <v>120.258</v>
      </c>
      <c r="O3635">
        <f>1271.04</f>
        <v>1271.04</v>
      </c>
      <c r="P3635">
        <f>83.93</f>
        <v>83.93</v>
      </c>
      <c r="Q3635">
        <f>668.62</f>
        <v>668.62</v>
      </c>
      <c r="R3635">
        <f>1598.5</f>
        <v>1598.5</v>
      </c>
      <c r="S3635">
        <f>1124.26</f>
        <v>1124.26</v>
      </c>
      <c r="T3635">
        <f>1074.746</f>
        <v>1074.7460000000001</v>
      </c>
      <c r="U3635">
        <f>23943.98</f>
        <v>23943.98</v>
      </c>
      <c r="V3635">
        <f>150.02</f>
        <v>150.02000000000001</v>
      </c>
    </row>
    <row r="3636" spans="1:22" x14ac:dyDescent="0.2">
      <c r="A3636" s="1">
        <v>40017</v>
      </c>
      <c r="B3636">
        <f>1881.78</f>
        <v>1881.78</v>
      </c>
      <c r="C3636">
        <f>6306.68</f>
        <v>6306.68</v>
      </c>
      <c r="D3636">
        <f>2839.44</f>
        <v>2839.44</v>
      </c>
      <c r="E3636">
        <f>1426.522</f>
        <v>1426.5219999999999</v>
      </c>
      <c r="F3636">
        <f>973.53</f>
        <v>973.53</v>
      </c>
      <c r="G3636">
        <f>4777.011</f>
        <v>4777.0110000000004</v>
      </c>
      <c r="H3636">
        <f>1680.52</f>
        <v>1680.52</v>
      </c>
      <c r="I3636">
        <f>5387.526</f>
        <v>5387.5259999999998</v>
      </c>
      <c r="J3636">
        <f>1114.96</f>
        <v>1114.96</v>
      </c>
      <c r="K3636">
        <f>3312.06</f>
        <v>3312.06</v>
      </c>
      <c r="L3636">
        <f>821.97</f>
        <v>821.97</v>
      </c>
      <c r="M3636">
        <f>3317.27</f>
        <v>3317.27</v>
      </c>
      <c r="N3636">
        <f>120.116</f>
        <v>120.116</v>
      </c>
      <c r="O3636">
        <f>1272.06</f>
        <v>1272.06</v>
      </c>
      <c r="P3636">
        <f>82.56</f>
        <v>82.56</v>
      </c>
      <c r="Q3636">
        <f>663.6</f>
        <v>663.6</v>
      </c>
      <c r="R3636">
        <f>1593.65</f>
        <v>1593.65</v>
      </c>
      <c r="S3636">
        <f>1109.86</f>
        <v>1109.8599999999999</v>
      </c>
      <c r="T3636">
        <f>1073.267</f>
        <v>1073.2670000000001</v>
      </c>
      <c r="U3636">
        <f>23913.55</f>
        <v>23913.55</v>
      </c>
      <c r="V3636">
        <f>148.81</f>
        <v>148.81</v>
      </c>
    </row>
    <row r="3637" spans="1:22" x14ac:dyDescent="0.2">
      <c r="A3637" s="1">
        <v>40016</v>
      </c>
      <c r="B3637">
        <f>1860.24</f>
        <v>1860.24</v>
      </c>
      <c r="C3637">
        <f>6184.52</f>
        <v>6184.52</v>
      </c>
      <c r="D3637">
        <f>2798.3</f>
        <v>2798.3</v>
      </c>
      <c r="E3637">
        <f>1399.341</f>
        <v>1399.3409999999999</v>
      </c>
      <c r="F3637">
        <f>955.36</f>
        <v>955.36</v>
      </c>
      <c r="G3637">
        <f>4681.404</f>
        <v>4681.4040000000005</v>
      </c>
      <c r="H3637">
        <f>1694.84</f>
        <v>1694.84</v>
      </c>
      <c r="I3637">
        <f>5265.535</f>
        <v>5265.5349999999999</v>
      </c>
      <c r="J3637">
        <f>1090.89</f>
        <v>1090.8900000000001</v>
      </c>
      <c r="K3637">
        <f>3236.23</f>
        <v>3236.23</v>
      </c>
      <c r="L3637">
        <f>804.55</f>
        <v>804.55</v>
      </c>
      <c r="M3637">
        <f>3254.26</f>
        <v>3254.26</v>
      </c>
      <c r="N3637">
        <f>118.625</f>
        <v>118.625</v>
      </c>
      <c r="O3637">
        <f>1247.06</f>
        <v>1247.06</v>
      </c>
      <c r="P3637">
        <f>82.44</f>
        <v>82.44</v>
      </c>
      <c r="Q3637">
        <f>648.35</f>
        <v>648.35</v>
      </c>
      <c r="R3637">
        <f>1557.37</f>
        <v>1557.37</v>
      </c>
      <c r="S3637">
        <f>1107.28</f>
        <v>1107.28</v>
      </c>
      <c r="T3637">
        <f>1068.018</f>
        <v>1068.018</v>
      </c>
      <c r="U3637">
        <f>23607.81</f>
        <v>23607.81</v>
      </c>
      <c r="V3637">
        <f>146.65</f>
        <v>146.65</v>
      </c>
    </row>
    <row r="3638" spans="1:22" x14ac:dyDescent="0.2">
      <c r="A3638" s="1">
        <v>40015</v>
      </c>
      <c r="B3638">
        <f>1851.5</f>
        <v>1851.5</v>
      </c>
      <c r="C3638">
        <f>6208.63</f>
        <v>6208.63</v>
      </c>
      <c r="D3638">
        <f>2790.39</f>
        <v>2790.39</v>
      </c>
      <c r="E3638">
        <f>1406.11</f>
        <v>1406.11</v>
      </c>
      <c r="F3638">
        <f>951.72</f>
        <v>951.72</v>
      </c>
      <c r="G3638">
        <f>4674.408</f>
        <v>4674.4080000000004</v>
      </c>
      <c r="H3638">
        <f>1694.3</f>
        <v>1694.3</v>
      </c>
      <c r="I3638">
        <f>5256.784</f>
        <v>5256.7839999999997</v>
      </c>
      <c r="J3638">
        <f>1090.11</f>
        <v>1090.1099999999999</v>
      </c>
      <c r="K3638">
        <f>3237.12</f>
        <v>3237.12</v>
      </c>
      <c r="L3638">
        <f>803.17</f>
        <v>803.17</v>
      </c>
      <c r="M3638">
        <f>3252.35</f>
        <v>3252.35</v>
      </c>
      <c r="N3638">
        <f>118.121</f>
        <v>118.121</v>
      </c>
      <c r="O3638">
        <f>1243.58</f>
        <v>1243.58</v>
      </c>
      <c r="P3638">
        <f>81.72</f>
        <v>81.72</v>
      </c>
      <c r="Q3638">
        <f>644.9</f>
        <v>644.9</v>
      </c>
      <c r="R3638">
        <f>1557.91</f>
        <v>1557.91</v>
      </c>
      <c r="S3638">
        <f>1101.14</f>
        <v>1101.1400000000001</v>
      </c>
      <c r="T3638">
        <f>1066.146</f>
        <v>1066.146</v>
      </c>
      <c r="U3638">
        <f>23857.98</f>
        <v>23857.98</v>
      </c>
      <c r="V3638">
        <f>146.27</f>
        <v>146.27000000000001</v>
      </c>
    </row>
    <row r="3639" spans="1:22" x14ac:dyDescent="0.2">
      <c r="A3639" s="1">
        <v>40014</v>
      </c>
      <c r="B3639">
        <f>1846.12</f>
        <v>1846.12</v>
      </c>
      <c r="C3639">
        <f>6163.58</f>
        <v>6163.58</v>
      </c>
      <c r="D3639">
        <f>2767.01</f>
        <v>2767.01</v>
      </c>
      <c r="E3639">
        <f>1399.864</f>
        <v>1399.864</v>
      </c>
      <c r="F3639">
        <f>949.68</f>
        <v>949.68</v>
      </c>
      <c r="G3639">
        <f>4640.095</f>
        <v>4640.0950000000003</v>
      </c>
      <c r="H3639">
        <f>1641.96</f>
        <v>1641.96</v>
      </c>
      <c r="I3639">
        <f>5203.248</f>
        <v>5203.2479999999996</v>
      </c>
      <c r="J3639">
        <f>1084.68</f>
        <v>1084.68</v>
      </c>
      <c r="K3639">
        <f>3223.63</f>
        <v>3223.63</v>
      </c>
      <c r="L3639">
        <f>797.3</f>
        <v>797.3</v>
      </c>
      <c r="M3639">
        <f>3222.82</f>
        <v>3222.82</v>
      </c>
      <c r="N3639">
        <f>117.367</f>
        <v>117.367</v>
      </c>
      <c r="O3639">
        <f>1234.73</f>
        <v>1234.73</v>
      </c>
      <c r="P3639" t="e">
        <f>NA()</f>
        <v>#N/A</v>
      </c>
      <c r="Q3639">
        <f>644.97</f>
        <v>644.97</v>
      </c>
      <c r="R3639">
        <f>1552.26</f>
        <v>1552.26</v>
      </c>
      <c r="S3639" t="e">
        <f>NA()</f>
        <v>#N/A</v>
      </c>
      <c r="T3639">
        <f>1062.376</f>
        <v>1062.376</v>
      </c>
      <c r="U3639">
        <f>23655.48</f>
        <v>23655.48</v>
      </c>
      <c r="V3639">
        <f>146.02</f>
        <v>146.02000000000001</v>
      </c>
    </row>
    <row r="3640" spans="1:22" x14ac:dyDescent="0.2">
      <c r="A3640" s="1">
        <v>40011</v>
      </c>
      <c r="B3640">
        <f>1819.62</f>
        <v>1819.62</v>
      </c>
      <c r="C3640">
        <f>6011.59</f>
        <v>6011.59</v>
      </c>
      <c r="D3640">
        <f>2732.85</f>
        <v>2732.85</v>
      </c>
      <c r="E3640">
        <f>1357.482</f>
        <v>1357.482</v>
      </c>
      <c r="F3640">
        <f>931.5</f>
        <v>931.5</v>
      </c>
      <c r="G3640">
        <f>4541.151</f>
        <v>4541.1509999999998</v>
      </c>
      <c r="H3640">
        <f>1650.07</f>
        <v>1650.07</v>
      </c>
      <c r="I3640">
        <f>5112.075</f>
        <v>5112.0749999999998</v>
      </c>
      <c r="J3640">
        <f>1073.78</f>
        <v>1073.78</v>
      </c>
      <c r="K3640">
        <f>3187.19</f>
        <v>3187.19</v>
      </c>
      <c r="L3640">
        <f>783.23</f>
        <v>783.23</v>
      </c>
      <c r="M3640">
        <f>3180.18</f>
        <v>3180.18</v>
      </c>
      <c r="N3640">
        <f>116.122</f>
        <v>116.122</v>
      </c>
      <c r="O3640">
        <f>1219.62</f>
        <v>1219.6199999999999</v>
      </c>
      <c r="P3640">
        <f>79.33</f>
        <v>79.33</v>
      </c>
      <c r="Q3640">
        <f>635.05</f>
        <v>635.04999999999995</v>
      </c>
      <c r="R3640">
        <f>1534.71</f>
        <v>1534.71</v>
      </c>
      <c r="S3640">
        <f>1072.74</f>
        <v>1072.74</v>
      </c>
      <c r="T3640">
        <f>1053.794</f>
        <v>1053.7940000000001</v>
      </c>
      <c r="U3640">
        <f>23543.11</f>
        <v>23543.11</v>
      </c>
      <c r="V3640">
        <f>145.25</f>
        <v>145.25</v>
      </c>
    </row>
    <row r="3641" spans="1:22" x14ac:dyDescent="0.2">
      <c r="A3641" s="1">
        <v>40010</v>
      </c>
      <c r="B3641">
        <f>1819.55</f>
        <v>1819.55</v>
      </c>
      <c r="C3641">
        <f>5952.88</f>
        <v>5952.88</v>
      </c>
      <c r="D3641">
        <f>2716.09</f>
        <v>2716.09</v>
      </c>
      <c r="E3641">
        <f>1341.186</f>
        <v>1341.1859999999999</v>
      </c>
      <c r="F3641">
        <f>937.38</f>
        <v>937.38</v>
      </c>
      <c r="G3641">
        <f>4544.182</f>
        <v>4544.1819999999998</v>
      </c>
      <c r="H3641">
        <f>1644.61</f>
        <v>1644.61</v>
      </c>
      <c r="I3641">
        <f>5083.288</f>
        <v>5083.2879999999996</v>
      </c>
      <c r="J3641">
        <f>1076.96</f>
        <v>1076.96</v>
      </c>
      <c r="K3641">
        <f>3188.16</f>
        <v>3188.16</v>
      </c>
      <c r="L3641">
        <f>783.41</f>
        <v>783.41</v>
      </c>
      <c r="M3641">
        <f>3173.97</f>
        <v>3173.97</v>
      </c>
      <c r="N3641">
        <f>115.322</f>
        <v>115.322</v>
      </c>
      <c r="O3641">
        <f>1214.27</f>
        <v>1214.27</v>
      </c>
      <c r="P3641">
        <f>79.09</f>
        <v>79.09</v>
      </c>
      <c r="Q3641">
        <f>636.69</f>
        <v>636.69000000000005</v>
      </c>
      <c r="R3641">
        <f>1535.3</f>
        <v>1535.3</v>
      </c>
      <c r="S3641">
        <f>1065.35</f>
        <v>1065.3499999999999</v>
      </c>
      <c r="T3641">
        <f>1051.515</f>
        <v>1051.5150000000001</v>
      </c>
      <c r="U3641">
        <f>23499.99</f>
        <v>23499.99</v>
      </c>
      <c r="V3641">
        <f>145</f>
        <v>145</v>
      </c>
    </row>
    <row r="3642" spans="1:22" x14ac:dyDescent="0.2">
      <c r="A3642" s="1">
        <v>40009</v>
      </c>
      <c r="B3642">
        <f>1811.79</f>
        <v>1811.79</v>
      </c>
      <c r="C3642">
        <f>5901.88</f>
        <v>5901.88</v>
      </c>
      <c r="D3642">
        <f>2706.51</f>
        <v>2706.51</v>
      </c>
      <c r="E3642">
        <f>1328.274</f>
        <v>1328.2739999999999</v>
      </c>
      <c r="F3642">
        <f>933.7</f>
        <v>933.7</v>
      </c>
      <c r="G3642">
        <f>4524.605</f>
        <v>4524.6049999999996</v>
      </c>
      <c r="H3642">
        <f>1628.46</f>
        <v>1628.46</v>
      </c>
      <c r="I3642">
        <f>5048.664</f>
        <v>5048.6639999999998</v>
      </c>
      <c r="J3642">
        <f>1069.13</f>
        <v>1069.1300000000001</v>
      </c>
      <c r="K3642">
        <f>3159.66</f>
        <v>3159.66</v>
      </c>
      <c r="L3642">
        <f>777.4</f>
        <v>777.4</v>
      </c>
      <c r="M3642">
        <f>3146.93</f>
        <v>3146.93</v>
      </c>
      <c r="N3642">
        <f>115.259</f>
        <v>115.259</v>
      </c>
      <c r="O3642">
        <f>1209.16</f>
        <v>1209.1600000000001</v>
      </c>
      <c r="P3642">
        <f>78.63</f>
        <v>78.63</v>
      </c>
      <c r="Q3642">
        <f>631.87</f>
        <v>631.87</v>
      </c>
      <c r="R3642">
        <f>1522.09</f>
        <v>1522.09</v>
      </c>
      <c r="S3642">
        <f>1058.18</f>
        <v>1058.18</v>
      </c>
      <c r="T3642">
        <f>1049.836</f>
        <v>1049.836</v>
      </c>
      <c r="U3642">
        <f>23569.19</f>
        <v>23569.19</v>
      </c>
      <c r="V3642">
        <f>145.41</f>
        <v>145.41</v>
      </c>
    </row>
    <row r="3643" spans="1:22" x14ac:dyDescent="0.2">
      <c r="A3643" s="1">
        <v>40008</v>
      </c>
      <c r="B3643">
        <f>1766.42</f>
        <v>1766.42</v>
      </c>
      <c r="C3643">
        <f>5733.02</f>
        <v>5733.02</v>
      </c>
      <c r="D3643">
        <f>2638.63</f>
        <v>2638.63</v>
      </c>
      <c r="E3643">
        <f>1281.149</f>
        <v>1281.1489999999999</v>
      </c>
      <c r="F3643">
        <f>901.85</f>
        <v>901.85</v>
      </c>
      <c r="G3643">
        <f>4372.898</f>
        <v>4372.8980000000001</v>
      </c>
      <c r="H3643">
        <f>1652.44</f>
        <v>1652.44</v>
      </c>
      <c r="I3643">
        <f>4858.301</f>
        <v>4858.3010000000004</v>
      </c>
      <c r="J3643">
        <f>1043.43</f>
        <v>1043.43</v>
      </c>
      <c r="K3643">
        <f>3069.14</f>
        <v>3069.14</v>
      </c>
      <c r="L3643">
        <f>753.1</f>
        <v>753.1</v>
      </c>
      <c r="M3643">
        <f>3060.99</f>
        <v>3060.99</v>
      </c>
      <c r="N3643">
        <f>112.954</f>
        <v>112.95399999999999</v>
      </c>
      <c r="O3643">
        <f>1176.98</f>
        <v>1176.98</v>
      </c>
      <c r="P3643">
        <f>78.45</f>
        <v>78.45</v>
      </c>
      <c r="Q3643">
        <f>612.73</f>
        <v>612.73</v>
      </c>
      <c r="R3643">
        <f>1478.24</f>
        <v>1478.24</v>
      </c>
      <c r="S3643">
        <f>1060.86</f>
        <v>1060.8599999999999</v>
      </c>
      <c r="T3643">
        <f>1033.922</f>
        <v>1033.922</v>
      </c>
      <c r="U3643">
        <f>22956.47</f>
        <v>22956.47</v>
      </c>
      <c r="V3643">
        <f>142.27</f>
        <v>142.27000000000001</v>
      </c>
    </row>
    <row r="3644" spans="1:22" x14ac:dyDescent="0.2">
      <c r="A3644" s="1">
        <v>40007</v>
      </c>
      <c r="B3644">
        <f>1742.27</f>
        <v>1742.27</v>
      </c>
      <c r="C3644">
        <f>5611.36</f>
        <v>5611.36</v>
      </c>
      <c r="D3644">
        <f>2616.49</f>
        <v>2616.4899999999998</v>
      </c>
      <c r="E3644">
        <f>1252.125</f>
        <v>1252.125</v>
      </c>
      <c r="F3644">
        <f>895.29</f>
        <v>895.29</v>
      </c>
      <c r="G3644">
        <f>4292.274</f>
        <v>4292.2740000000003</v>
      </c>
      <c r="H3644">
        <f>1630.46</f>
        <v>1630.46</v>
      </c>
      <c r="I3644">
        <f>4810.017</f>
        <v>4810.0169999999998</v>
      </c>
      <c r="J3644">
        <f>1036.82</f>
        <v>1036.82</v>
      </c>
      <c r="K3644">
        <f>3052.14</f>
        <v>3052.14</v>
      </c>
      <c r="L3644">
        <f>743.78</f>
        <v>743.78</v>
      </c>
      <c r="M3644">
        <f>3025.58</f>
        <v>3025.58</v>
      </c>
      <c r="N3644">
        <f>111.608</f>
        <v>111.608</v>
      </c>
      <c r="O3644">
        <f>1163.05</f>
        <v>1163.05</v>
      </c>
      <c r="P3644">
        <f>76.84</f>
        <v>76.84</v>
      </c>
      <c r="Q3644">
        <f>609.38</f>
        <v>609.38</v>
      </c>
      <c r="R3644">
        <f>1470.43</f>
        <v>1470.43</v>
      </c>
      <c r="S3644">
        <f>1041.13</f>
        <v>1041.1300000000001</v>
      </c>
      <c r="T3644">
        <f>1017.213</f>
        <v>1017.213</v>
      </c>
      <c r="U3644">
        <f>22469.77</f>
        <v>22469.77</v>
      </c>
      <c r="V3644">
        <f>140.1</f>
        <v>140.1</v>
      </c>
    </row>
    <row r="3645" spans="1:22" x14ac:dyDescent="0.2">
      <c r="A3645" s="1">
        <v>40004</v>
      </c>
      <c r="B3645">
        <f>1710.71</f>
        <v>1710.71</v>
      </c>
      <c r="C3645">
        <f>5710.42</f>
        <v>5710.42</v>
      </c>
      <c r="D3645">
        <f>2569.82</f>
        <v>2569.8200000000002</v>
      </c>
      <c r="E3645">
        <f>1274.397</f>
        <v>1274.3969999999999</v>
      </c>
      <c r="F3645">
        <f>880.13</f>
        <v>880.13</v>
      </c>
      <c r="G3645">
        <f>4240.195</f>
        <v>4240.1949999999997</v>
      </c>
      <c r="H3645">
        <f>1663.65</f>
        <v>1663.65</v>
      </c>
      <c r="I3645">
        <f>4708.726</f>
        <v>4708.7259999999997</v>
      </c>
      <c r="J3645">
        <f>1015.23</f>
        <v>1015.23</v>
      </c>
      <c r="K3645">
        <f>2979.24</f>
        <v>2979.24</v>
      </c>
      <c r="L3645">
        <f>731.49</f>
        <v>731.49</v>
      </c>
      <c r="M3645">
        <f>2982.11</f>
        <v>2982.11</v>
      </c>
      <c r="N3645">
        <f>109.725</f>
        <v>109.72499999999999</v>
      </c>
      <c r="O3645">
        <f>1140.85</f>
        <v>1140.8499999999999</v>
      </c>
      <c r="P3645">
        <f>79.31</f>
        <v>79.31</v>
      </c>
      <c r="Q3645">
        <f>594.97</f>
        <v>594.97</v>
      </c>
      <c r="R3645">
        <f>1434.5</f>
        <v>1434.5</v>
      </c>
      <c r="S3645">
        <f>1065.65</f>
        <v>1065.6500000000001</v>
      </c>
      <c r="T3645">
        <f>1018.137</f>
        <v>1018.1369999999999</v>
      </c>
      <c r="U3645">
        <f>22313.41</f>
        <v>22313.41</v>
      </c>
      <c r="V3645">
        <f>139.34</f>
        <v>139.34</v>
      </c>
    </row>
    <row r="3646" spans="1:22" x14ac:dyDescent="0.2">
      <c r="A3646" s="1">
        <v>40003</v>
      </c>
      <c r="B3646">
        <f>1715.03</f>
        <v>1715.03</v>
      </c>
      <c r="C3646">
        <f>5738</f>
        <v>5738</v>
      </c>
      <c r="D3646">
        <f>2589.43</f>
        <v>2589.4299999999998</v>
      </c>
      <c r="E3646">
        <f>1284.29</f>
        <v>1284.29</v>
      </c>
      <c r="F3646">
        <f>889.74</f>
        <v>889.74</v>
      </c>
      <c r="G3646">
        <f>4280.038</f>
        <v>4280.0379999999996</v>
      </c>
      <c r="H3646">
        <f>1647.19</f>
        <v>1647.19</v>
      </c>
      <c r="I3646">
        <f>4780.075</f>
        <v>4780.0749999999998</v>
      </c>
      <c r="J3646">
        <f>1018.73</f>
        <v>1018.73</v>
      </c>
      <c r="K3646">
        <f>2991.12</f>
        <v>2991.12</v>
      </c>
      <c r="L3646">
        <f>737.7</f>
        <v>737.7</v>
      </c>
      <c r="M3646">
        <f>2998.81</f>
        <v>2998.81</v>
      </c>
      <c r="N3646">
        <f>110.457</f>
        <v>110.45699999999999</v>
      </c>
      <c r="O3646">
        <f>1153.03</f>
        <v>1153.03</v>
      </c>
      <c r="P3646">
        <f>79.14</f>
        <v>79.14</v>
      </c>
      <c r="Q3646">
        <f>596.61</f>
        <v>596.61</v>
      </c>
      <c r="R3646">
        <f>1440.3</f>
        <v>1440.3</v>
      </c>
      <c r="S3646">
        <f>1067.37</f>
        <v>1067.3699999999999</v>
      </c>
      <c r="T3646">
        <f>1017.521</f>
        <v>1017.521</v>
      </c>
      <c r="U3646">
        <f>22157.88</f>
        <v>22157.88</v>
      </c>
      <c r="V3646">
        <f>139.12</f>
        <v>139.12</v>
      </c>
    </row>
    <row r="3647" spans="1:22" x14ac:dyDescent="0.2">
      <c r="A3647" s="1">
        <v>40002</v>
      </c>
      <c r="B3647">
        <f>1706.62</f>
        <v>1706.62</v>
      </c>
      <c r="C3647">
        <f>5699.7</f>
        <v>5699.7</v>
      </c>
      <c r="D3647">
        <f>2577.95</f>
        <v>2577.9499999999998</v>
      </c>
      <c r="E3647">
        <f>1279.794</f>
        <v>1279.7940000000001</v>
      </c>
      <c r="F3647">
        <f>883.99</f>
        <v>883.99</v>
      </c>
      <c r="G3647">
        <f>4223.321</f>
        <v>4223.3209999999999</v>
      </c>
      <c r="H3647">
        <f>1654.97</f>
        <v>1654.97</v>
      </c>
      <c r="I3647">
        <f>4719.802</f>
        <v>4719.8019999999997</v>
      </c>
      <c r="J3647">
        <f>1020.1</f>
        <v>1020.1</v>
      </c>
      <c r="K3647">
        <f>2980.11</f>
        <v>2980.11</v>
      </c>
      <c r="L3647">
        <f>733.29</f>
        <v>733.29</v>
      </c>
      <c r="M3647">
        <f>2981.05</f>
        <v>2981.05</v>
      </c>
      <c r="N3647">
        <f>109.81</f>
        <v>109.81</v>
      </c>
      <c r="O3647">
        <f>1144.07</f>
        <v>1144.07</v>
      </c>
      <c r="P3647">
        <f>80.72</f>
        <v>80.72</v>
      </c>
      <c r="Q3647">
        <f>595.23</f>
        <v>595.23</v>
      </c>
      <c r="R3647">
        <f>1435.2</f>
        <v>1435.2</v>
      </c>
      <c r="S3647">
        <f>1085.25</f>
        <v>1085.25</v>
      </c>
      <c r="T3647">
        <f>1008.525</f>
        <v>1008.525</v>
      </c>
      <c r="U3647">
        <f>22014.05</f>
        <v>22014.05</v>
      </c>
      <c r="V3647">
        <f>138.53</f>
        <v>138.53</v>
      </c>
    </row>
    <row r="3648" spans="1:22" x14ac:dyDescent="0.2">
      <c r="A3648" s="1">
        <v>40001</v>
      </c>
      <c r="B3648">
        <f>1746.01</f>
        <v>1746.01</v>
      </c>
      <c r="C3648">
        <f>5779.6</f>
        <v>5779.6</v>
      </c>
      <c r="D3648">
        <f>2606.88</f>
        <v>2606.88</v>
      </c>
      <c r="E3648">
        <f>1299.346</f>
        <v>1299.346</v>
      </c>
      <c r="F3648">
        <f>891.73</f>
        <v>891.73</v>
      </c>
      <c r="G3648">
        <f>4296.804</f>
        <v>4296.8040000000001</v>
      </c>
      <c r="H3648">
        <f>1675.34</f>
        <v>1675.34</v>
      </c>
      <c r="I3648">
        <f>4808.425</f>
        <v>4808.4250000000002</v>
      </c>
      <c r="J3648">
        <f>1020.98</f>
        <v>1020.98</v>
      </c>
      <c r="K3648">
        <f>2982.76</f>
        <v>2982.76</v>
      </c>
      <c r="L3648">
        <f>742.41</f>
        <v>742.41</v>
      </c>
      <c r="M3648">
        <f>3008.52</f>
        <v>3008.52</v>
      </c>
      <c r="N3648">
        <f>111.439</f>
        <v>111.43899999999999</v>
      </c>
      <c r="O3648">
        <f>1157.24</f>
        <v>1157.24</v>
      </c>
      <c r="P3648">
        <f>82.67</f>
        <v>82.67</v>
      </c>
      <c r="Q3648">
        <f>594</f>
        <v>594</v>
      </c>
      <c r="R3648">
        <f>1436.74</f>
        <v>1436.74</v>
      </c>
      <c r="S3648">
        <f>1110.39</f>
        <v>1110.3900000000001</v>
      </c>
      <c r="T3648">
        <f>1006.013</f>
        <v>1006.013</v>
      </c>
      <c r="U3648">
        <f>21880.64</f>
        <v>21880.639999999999</v>
      </c>
      <c r="V3648">
        <f>137.87</f>
        <v>137.87</v>
      </c>
    </row>
    <row r="3649" spans="1:22" x14ac:dyDescent="0.2">
      <c r="A3649" s="1">
        <v>40000</v>
      </c>
      <c r="B3649">
        <f>1750.76</f>
        <v>1750.76</v>
      </c>
      <c r="C3649">
        <f>5759.16</f>
        <v>5759.16</v>
      </c>
      <c r="D3649">
        <f>2611.81</f>
        <v>2611.81</v>
      </c>
      <c r="E3649">
        <f>1300.332</f>
        <v>1300.3320000000001</v>
      </c>
      <c r="F3649">
        <f>896.22</f>
        <v>896.22</v>
      </c>
      <c r="G3649">
        <f>4308.223</f>
        <v>4308.223</v>
      </c>
      <c r="H3649">
        <f>1679.49</f>
        <v>1679.49</v>
      </c>
      <c r="I3649">
        <f>4815.238</f>
        <v>4815.2380000000003</v>
      </c>
      <c r="J3649">
        <f>1039.85</f>
        <v>1039.8499999999999</v>
      </c>
      <c r="K3649">
        <f>3043.13</f>
        <v>3043.13</v>
      </c>
      <c r="L3649">
        <f>749.08</f>
        <v>749.08</v>
      </c>
      <c r="M3649">
        <f>3043.98</f>
        <v>3043.98</v>
      </c>
      <c r="N3649">
        <f>112.21</f>
        <v>112.21</v>
      </c>
      <c r="O3649">
        <f>1166.17</f>
        <v>1166.17</v>
      </c>
      <c r="P3649">
        <f>82.74</f>
        <v>82.74</v>
      </c>
      <c r="Q3649">
        <f>605.3</f>
        <v>605.29999999999995</v>
      </c>
      <c r="R3649">
        <f>1465.58</f>
        <v>1465.58</v>
      </c>
      <c r="S3649">
        <f>1114.41</f>
        <v>1114.4100000000001</v>
      </c>
      <c r="T3649">
        <f>997.391</f>
        <v>997.39099999999996</v>
      </c>
      <c r="U3649">
        <f>21665.9</f>
        <v>21665.9</v>
      </c>
      <c r="V3649">
        <f>136.58</f>
        <v>136.58000000000001</v>
      </c>
    </row>
    <row r="3650" spans="1:22" x14ac:dyDescent="0.2">
      <c r="A3650" s="1">
        <v>39997</v>
      </c>
      <c r="B3650">
        <f>1761.95</f>
        <v>1761.95</v>
      </c>
      <c r="C3650">
        <f>5862.73</f>
        <v>5862.73</v>
      </c>
      <c r="D3650">
        <f>2637.57</f>
        <v>2637.57</v>
      </c>
      <c r="E3650">
        <f>1325.391</f>
        <v>1325.3910000000001</v>
      </c>
      <c r="F3650">
        <f>910.88</f>
        <v>910.88</v>
      </c>
      <c r="G3650">
        <f>4389.394</f>
        <v>4389.3940000000002</v>
      </c>
      <c r="H3650">
        <f>1666.28</f>
        <v>1666.28</v>
      </c>
      <c r="I3650">
        <f>4896.893</f>
        <v>4896.893</v>
      </c>
      <c r="J3650">
        <f>1033.24</f>
        <v>1033.24</v>
      </c>
      <c r="K3650">
        <f>3037.8</f>
        <v>3037.8</v>
      </c>
      <c r="L3650">
        <f>755.51</f>
        <v>755.51</v>
      </c>
      <c r="M3650">
        <f>3063.11</f>
        <v>3063.11</v>
      </c>
      <c r="N3650">
        <f>113.276</f>
        <v>113.276</v>
      </c>
      <c r="O3650">
        <f>1179.13</f>
        <v>1179.1300000000001</v>
      </c>
      <c r="P3650">
        <f>83.72</f>
        <v>83.72</v>
      </c>
      <c r="Q3650" t="e">
        <f>NA()</f>
        <v>#N/A</v>
      </c>
      <c r="R3650" t="e">
        <f>NA()</f>
        <v>#N/A</v>
      </c>
      <c r="S3650">
        <f>1124.43</f>
        <v>1124.43</v>
      </c>
      <c r="T3650">
        <f>1007.394</f>
        <v>1007.394</v>
      </c>
      <c r="U3650">
        <f>22234.35</f>
        <v>22234.35</v>
      </c>
      <c r="V3650">
        <f>138.45</f>
        <v>138.44999999999999</v>
      </c>
    </row>
    <row r="3651" spans="1:22" x14ac:dyDescent="0.2">
      <c r="A3651" s="1">
        <v>39996</v>
      </c>
      <c r="B3651">
        <f>1763.35</f>
        <v>1763.35</v>
      </c>
      <c r="C3651">
        <f>5885.02</f>
        <v>5885.02</v>
      </c>
      <c r="D3651">
        <f>2636.31</f>
        <v>2636.31</v>
      </c>
      <c r="E3651">
        <f>1325.049</f>
        <v>1325.049</v>
      </c>
      <c r="F3651">
        <f>919.49</f>
        <v>919.49</v>
      </c>
      <c r="G3651">
        <f>4393.607</f>
        <v>4393.607</v>
      </c>
      <c r="H3651">
        <f>1678.36</f>
        <v>1678.36</v>
      </c>
      <c r="I3651">
        <f>4903.738</f>
        <v>4903.7380000000003</v>
      </c>
      <c r="J3651">
        <f>1033.24</f>
        <v>1033.24</v>
      </c>
      <c r="K3651">
        <f>3037.8</f>
        <v>3037.8</v>
      </c>
      <c r="L3651">
        <f>755.71</f>
        <v>755.71</v>
      </c>
      <c r="M3651">
        <f>3065.9</f>
        <v>3065.9</v>
      </c>
      <c r="N3651">
        <f>113.146</f>
        <v>113.146</v>
      </c>
      <c r="O3651">
        <f>1179.99</f>
        <v>1179.99</v>
      </c>
      <c r="P3651">
        <f>83.88</f>
        <v>83.88</v>
      </c>
      <c r="Q3651">
        <f>600.29</f>
        <v>600.29</v>
      </c>
      <c r="R3651">
        <f>1461.8</f>
        <v>1461.8</v>
      </c>
      <c r="S3651">
        <f>1128.59</f>
        <v>1128.5899999999999</v>
      </c>
      <c r="T3651">
        <f>1007.403</f>
        <v>1007.403</v>
      </c>
      <c r="U3651">
        <f>22185.47</f>
        <v>22185.47</v>
      </c>
      <c r="V3651">
        <f>138.74</f>
        <v>138.74</v>
      </c>
    </row>
    <row r="3652" spans="1:22" x14ac:dyDescent="0.2">
      <c r="A3652" s="1">
        <v>39995</v>
      </c>
      <c r="B3652">
        <f>1797.27</f>
        <v>1797.27</v>
      </c>
      <c r="C3652">
        <f>5931.01</f>
        <v>5931.01</v>
      </c>
      <c r="D3652">
        <f>2702.59</f>
        <v>2702.59</v>
      </c>
      <c r="E3652">
        <f>1336.981</f>
        <v>1336.981</v>
      </c>
      <c r="F3652">
        <f>948.06</f>
        <v>948.06</v>
      </c>
      <c r="G3652">
        <f>4534.624</f>
        <v>4534.6239999999998</v>
      </c>
      <c r="H3652">
        <f>1678.29</f>
        <v>1678.29</v>
      </c>
      <c r="I3652">
        <f>5079.576</f>
        <v>5079.576</v>
      </c>
      <c r="J3652">
        <f>1059.41</f>
        <v>1059.4100000000001</v>
      </c>
      <c r="K3652">
        <f>3127.74</f>
        <v>3127.74</v>
      </c>
      <c r="L3652">
        <f>778.03</f>
        <v>778.03</v>
      </c>
      <c r="M3652">
        <f>3147.06</f>
        <v>3147.06</v>
      </c>
      <c r="N3652">
        <f>115.159</f>
        <v>115.15900000000001</v>
      </c>
      <c r="O3652">
        <f>1210.66</f>
        <v>1210.6600000000001</v>
      </c>
      <c r="P3652">
        <f>83.78</f>
        <v>83.78</v>
      </c>
      <c r="Q3652">
        <f>619.59</f>
        <v>619.59</v>
      </c>
      <c r="R3652">
        <f>1505.64</f>
        <v>1505.64</v>
      </c>
      <c r="S3652">
        <f>1133.81</f>
        <v>1133.81</v>
      </c>
      <c r="T3652">
        <f>1011.395</f>
        <v>1011.395</v>
      </c>
      <c r="U3652">
        <f>22710.16</f>
        <v>22710.16</v>
      </c>
      <c r="V3652">
        <f>139.62</f>
        <v>139.62</v>
      </c>
    </row>
    <row r="3653" spans="1:22" x14ac:dyDescent="0.2">
      <c r="A3653" s="1">
        <v>39994</v>
      </c>
      <c r="B3653">
        <f>1782.39</f>
        <v>1782.39</v>
      </c>
      <c r="C3653">
        <f>5834.52</f>
        <v>5834.52</v>
      </c>
      <c r="D3653">
        <f>2644.74</f>
        <v>2644.74</v>
      </c>
      <c r="E3653">
        <f>1316.389</f>
        <v>1316.3889999999999</v>
      </c>
      <c r="F3653">
        <f>925.63</f>
        <v>925.63</v>
      </c>
      <c r="G3653">
        <f>4435.034</f>
        <v>4435.0339999999997</v>
      </c>
      <c r="H3653">
        <f>1684.71</f>
        <v>1684.71</v>
      </c>
      <c r="I3653">
        <f>4944.26</f>
        <v>4944.26</v>
      </c>
      <c r="J3653">
        <f>1049.74</f>
        <v>1049.74</v>
      </c>
      <c r="K3653">
        <f>3114.56</f>
        <v>3114.56</v>
      </c>
      <c r="L3653">
        <f>766.2</f>
        <v>766.2</v>
      </c>
      <c r="M3653">
        <f>3117.98</f>
        <v>3117.98</v>
      </c>
      <c r="N3653">
        <f>113.596</f>
        <v>113.596</v>
      </c>
      <c r="O3653">
        <f>1189.41</f>
        <v>1189.4100000000001</v>
      </c>
      <c r="P3653">
        <f>84.11</f>
        <v>84.11</v>
      </c>
      <c r="Q3653">
        <f>614.98</f>
        <v>614.98</v>
      </c>
      <c r="R3653">
        <f>1498.94</f>
        <v>1498.94</v>
      </c>
      <c r="S3653">
        <f>1135.59</f>
        <v>1135.5899999999999</v>
      </c>
      <c r="T3653">
        <f>992.386</f>
        <v>992.38599999999997</v>
      </c>
      <c r="U3653">
        <f>22049.42</f>
        <v>22049.42</v>
      </c>
      <c r="V3653">
        <f>136.22</f>
        <v>136.22</v>
      </c>
    </row>
    <row r="3654" spans="1:22" x14ac:dyDescent="0.2">
      <c r="A3654" s="1">
        <v>39993</v>
      </c>
      <c r="B3654">
        <f>1797.59</f>
        <v>1797.59</v>
      </c>
      <c r="C3654">
        <f>5806.81</f>
        <v>5806.81</v>
      </c>
      <c r="D3654">
        <f>2672.63</f>
        <v>2672.63</v>
      </c>
      <c r="E3654">
        <f>1322.208</f>
        <v>1322.2080000000001</v>
      </c>
      <c r="F3654">
        <f>938.25</f>
        <v>938.25</v>
      </c>
      <c r="G3654">
        <f>4503.489</f>
        <v>4503.4889999999996</v>
      </c>
      <c r="H3654">
        <f>1667.62</f>
        <v>1667.62</v>
      </c>
      <c r="I3654">
        <f>5002.983</f>
        <v>5002.9830000000002</v>
      </c>
      <c r="J3654">
        <f>1058.04</f>
        <v>1058.04</v>
      </c>
      <c r="K3654">
        <f>3139.48</f>
        <v>3139.48</v>
      </c>
      <c r="L3654">
        <f>774.17</f>
        <v>774.17</v>
      </c>
      <c r="M3654">
        <f>3139.62</f>
        <v>3139.62</v>
      </c>
      <c r="N3654">
        <f>114.516</f>
        <v>114.51600000000001</v>
      </c>
      <c r="O3654">
        <f>1202.56</f>
        <v>1202.56</v>
      </c>
      <c r="P3654">
        <f>82.09</f>
        <v>82.09</v>
      </c>
      <c r="Q3654">
        <f>621.88</f>
        <v>621.88</v>
      </c>
      <c r="R3654">
        <f>1511.7</f>
        <v>1511.7</v>
      </c>
      <c r="S3654">
        <f>1117.96</f>
        <v>1117.96</v>
      </c>
      <c r="T3654">
        <f>987.896</f>
        <v>987.89599999999996</v>
      </c>
      <c r="U3654">
        <f>22304.23</f>
        <v>22304.23</v>
      </c>
      <c r="V3654">
        <f>135.92</f>
        <v>135.91999999999999</v>
      </c>
    </row>
    <row r="3655" spans="1:22" x14ac:dyDescent="0.2">
      <c r="A3655" s="1">
        <v>39990</v>
      </c>
      <c r="B3655">
        <f>1768.15</f>
        <v>1768.15</v>
      </c>
      <c r="C3655">
        <f>5806.48</f>
        <v>5806.48</v>
      </c>
      <c r="D3655">
        <f>2639.63</f>
        <v>2639.63</v>
      </c>
      <c r="E3655">
        <f>1317.303</f>
        <v>1317.3030000000001</v>
      </c>
      <c r="F3655">
        <f>921.54</f>
        <v>921.54</v>
      </c>
      <c r="G3655">
        <f>4438.803</f>
        <v>4438.8029999999999</v>
      </c>
      <c r="H3655">
        <f>1696.58</f>
        <v>1696.58</v>
      </c>
      <c r="I3655">
        <f>4914.448</f>
        <v>4914.4480000000003</v>
      </c>
      <c r="J3655">
        <f>1048.5</f>
        <v>1048.5</v>
      </c>
      <c r="K3655">
        <f>3112.43</f>
        <v>3112.43</v>
      </c>
      <c r="L3655">
        <f>765.47</f>
        <v>765.47</v>
      </c>
      <c r="M3655">
        <f>3116.86</f>
        <v>3116.86</v>
      </c>
      <c r="N3655">
        <f>112.886</f>
        <v>112.886</v>
      </c>
      <c r="O3655">
        <f>1182.23</f>
        <v>1182.23</v>
      </c>
      <c r="P3655">
        <f>82.79</f>
        <v>82.79</v>
      </c>
      <c r="Q3655">
        <f>616.19</f>
        <v>616.19000000000005</v>
      </c>
      <c r="R3655">
        <f>1498.08</f>
        <v>1498.08</v>
      </c>
      <c r="S3655">
        <f>1131.97</f>
        <v>1131.97</v>
      </c>
      <c r="T3655">
        <f>981.108</f>
        <v>981.10799999999995</v>
      </c>
      <c r="U3655">
        <f>22308.28</f>
        <v>22308.28</v>
      </c>
      <c r="V3655">
        <f>134.99</f>
        <v>134.99</v>
      </c>
    </row>
    <row r="3656" spans="1:22" x14ac:dyDescent="0.2">
      <c r="A3656" s="1">
        <v>39989</v>
      </c>
      <c r="B3656">
        <f>1762.32</f>
        <v>1762.32</v>
      </c>
      <c r="C3656">
        <f>5732.7</f>
        <v>5732.7</v>
      </c>
      <c r="D3656">
        <f>2646.83</f>
        <v>2646.83</v>
      </c>
      <c r="E3656">
        <f>1297.047</f>
        <v>1297.047</v>
      </c>
      <c r="F3656">
        <f>914.78</f>
        <v>914.78</v>
      </c>
      <c r="G3656">
        <f>4391.332</f>
        <v>4391.3320000000003</v>
      </c>
      <c r="H3656">
        <f>1676.29</f>
        <v>1676.29</v>
      </c>
      <c r="I3656">
        <f>4863.943</f>
        <v>4863.9430000000002</v>
      </c>
      <c r="J3656">
        <f>1050.46</f>
        <v>1050.46</v>
      </c>
      <c r="K3656">
        <f>3115.06</f>
        <v>3115.06</v>
      </c>
      <c r="L3656">
        <f>758.67</f>
        <v>758.67</v>
      </c>
      <c r="M3656">
        <f>3096.36</f>
        <v>3096.36</v>
      </c>
      <c r="N3656">
        <f>112.764</f>
        <v>112.764</v>
      </c>
      <c r="O3656">
        <f>1183.38</f>
        <v>1183.3800000000001</v>
      </c>
      <c r="P3656">
        <f>82.04</f>
        <v>82.04</v>
      </c>
      <c r="Q3656">
        <f>616.89</f>
        <v>616.89</v>
      </c>
      <c r="R3656">
        <f>1499.98</f>
        <v>1499.98</v>
      </c>
      <c r="S3656">
        <f>1123.39</f>
        <v>1123.3900000000001</v>
      </c>
      <c r="T3656">
        <f>972.057</f>
        <v>972.05700000000002</v>
      </c>
      <c r="U3656">
        <f>22156.17</f>
        <v>22156.17</v>
      </c>
      <c r="V3656">
        <f>133.87</f>
        <v>133.87</v>
      </c>
    </row>
    <row r="3657" spans="1:22" x14ac:dyDescent="0.2">
      <c r="A3657" s="1">
        <v>39988</v>
      </c>
      <c r="B3657">
        <f>1762.89</f>
        <v>1762.89</v>
      </c>
      <c r="C3657">
        <f>5672.26</f>
        <v>5672.26</v>
      </c>
      <c r="D3657">
        <f>2663.89</f>
        <v>2663.89</v>
      </c>
      <c r="E3657">
        <f>1282.451</f>
        <v>1282.451</v>
      </c>
      <c r="F3657">
        <f>929.84</f>
        <v>929.84</v>
      </c>
      <c r="G3657">
        <f>4472.79</f>
        <v>4472.79</v>
      </c>
      <c r="H3657">
        <f>1669.54</f>
        <v>1669.54</v>
      </c>
      <c r="I3657">
        <f>4946.262</f>
        <v>4946.2619999999997</v>
      </c>
      <c r="J3657">
        <f>1030.18</f>
        <v>1030.18</v>
      </c>
      <c r="K3657">
        <f>3050.46</f>
        <v>3050.46</v>
      </c>
      <c r="L3657">
        <f>761.27</f>
        <v>761.27</v>
      </c>
      <c r="M3657">
        <f>3075.14</f>
        <v>3075.14</v>
      </c>
      <c r="N3657">
        <f>113.59</f>
        <v>113.59</v>
      </c>
      <c r="O3657">
        <f>1193.98</f>
        <v>1193.98</v>
      </c>
      <c r="P3657">
        <f>80.39</f>
        <v>80.39</v>
      </c>
      <c r="Q3657">
        <f>604.01</f>
        <v>604.01</v>
      </c>
      <c r="R3657">
        <f>1468.48</f>
        <v>1468.48</v>
      </c>
      <c r="S3657">
        <f>1101.55</f>
        <v>1101.55</v>
      </c>
      <c r="T3657">
        <f>970.604</f>
        <v>970.60400000000004</v>
      </c>
      <c r="U3657">
        <f>22391.38</f>
        <v>22391.38</v>
      </c>
      <c r="V3657">
        <f>134.66</f>
        <v>134.66</v>
      </c>
    </row>
    <row r="3658" spans="1:22" x14ac:dyDescent="0.2">
      <c r="A3658" s="1">
        <v>39987</v>
      </c>
      <c r="B3658">
        <f>1749.75</f>
        <v>1749.75</v>
      </c>
      <c r="C3658">
        <f>5524.55</f>
        <v>5524.55</v>
      </c>
      <c r="D3658">
        <f>2632.41</f>
        <v>2632.41</v>
      </c>
      <c r="E3658">
        <f>1251.194</f>
        <v>1251.194</v>
      </c>
      <c r="F3658">
        <f>914.87</f>
        <v>914.87</v>
      </c>
      <c r="G3658">
        <f>4372.3</f>
        <v>4372.3</v>
      </c>
      <c r="H3658">
        <f>1665.58</f>
        <v>1665.58</v>
      </c>
      <c r="I3658">
        <f>4819.557</f>
        <v>4819.5569999999998</v>
      </c>
      <c r="J3658">
        <f>1025.86</f>
        <v>1025.8599999999999</v>
      </c>
      <c r="K3658">
        <f>3029.12</f>
        <v>3029.12</v>
      </c>
      <c r="L3658">
        <f>748.67</f>
        <v>748.67</v>
      </c>
      <c r="M3658">
        <f>3033.59</f>
        <v>3033.59</v>
      </c>
      <c r="N3658">
        <f>111.201</f>
        <v>111.20099999999999</v>
      </c>
      <c r="O3658">
        <f>1166.29</f>
        <v>1166.29</v>
      </c>
      <c r="P3658">
        <f>79.76</f>
        <v>79.760000000000005</v>
      </c>
      <c r="Q3658">
        <f>599.18</f>
        <v>599.17999999999995</v>
      </c>
      <c r="R3658">
        <f>1458.92</f>
        <v>1458.92</v>
      </c>
      <c r="S3658">
        <f>1100.61</f>
        <v>1100.6099999999999</v>
      </c>
      <c r="T3658">
        <f>957.203</f>
        <v>957.20299999999997</v>
      </c>
      <c r="U3658">
        <f>21842.45</f>
        <v>21842.45</v>
      </c>
      <c r="V3658">
        <f>131.8</f>
        <v>131.80000000000001</v>
      </c>
    </row>
    <row r="3659" spans="1:22" x14ac:dyDescent="0.2">
      <c r="A3659" s="1">
        <v>39986</v>
      </c>
      <c r="B3659">
        <f>1755.09</f>
        <v>1755.09</v>
      </c>
      <c r="C3659">
        <f>5617.6</f>
        <v>5617.6</v>
      </c>
      <c r="D3659">
        <f>2634.92</f>
        <v>2634.92</v>
      </c>
      <c r="E3659">
        <f>1273.236</f>
        <v>1273.2360000000001</v>
      </c>
      <c r="F3659">
        <f>924.35</f>
        <v>924.35</v>
      </c>
      <c r="G3659">
        <f>4399.623</f>
        <v>4399.6229999999996</v>
      </c>
      <c r="H3659">
        <f>1690.21</f>
        <v>1690.21</v>
      </c>
      <c r="I3659">
        <f>4774.883</f>
        <v>4774.8829999999998</v>
      </c>
      <c r="J3659">
        <f>1026.57</f>
        <v>1026.57</v>
      </c>
      <c r="K3659">
        <f>3022.17</f>
        <v>3022.17</v>
      </c>
      <c r="L3659">
        <f>749.29</f>
        <v>749.29</v>
      </c>
      <c r="M3659">
        <f>3036.31</f>
        <v>3036.31</v>
      </c>
      <c r="N3659">
        <f>111.832</f>
        <v>111.83199999999999</v>
      </c>
      <c r="O3659">
        <f>1171.46</f>
        <v>1171.46</v>
      </c>
      <c r="P3659">
        <f>81.91</f>
        <v>81.91</v>
      </c>
      <c r="Q3659">
        <f>600.54</f>
        <v>600.54</v>
      </c>
      <c r="R3659">
        <f>1455.54</f>
        <v>1455.54</v>
      </c>
      <c r="S3659">
        <f>1125.99</f>
        <v>1125.99</v>
      </c>
      <c r="T3659">
        <f>962.719</f>
        <v>962.71900000000005</v>
      </c>
      <c r="U3659">
        <f>21941.34</f>
        <v>21941.34</v>
      </c>
      <c r="V3659">
        <f>131.72</f>
        <v>131.72</v>
      </c>
    </row>
    <row r="3660" spans="1:22" x14ac:dyDescent="0.2">
      <c r="A3660" s="1">
        <v>39983</v>
      </c>
      <c r="B3660">
        <f>1801.65</f>
        <v>1801.65</v>
      </c>
      <c r="C3660">
        <f>5685.51</f>
        <v>5685.51</v>
      </c>
      <c r="D3660">
        <f>2704.54</f>
        <v>2704.54</v>
      </c>
      <c r="E3660">
        <f>1297.384</f>
        <v>1297.384</v>
      </c>
      <c r="F3660">
        <f>953.84</f>
        <v>953.84</v>
      </c>
      <c r="G3660">
        <f>4526.241</f>
        <v>4526.241</v>
      </c>
      <c r="H3660">
        <f>1677.18</f>
        <v>1677.18</v>
      </c>
      <c r="I3660">
        <f>4932.069</f>
        <v>4932.0690000000004</v>
      </c>
      <c r="J3660">
        <f>1044.7</f>
        <v>1044.7</v>
      </c>
      <c r="K3660">
        <f>3116.93</f>
        <v>3116.93</v>
      </c>
      <c r="L3660">
        <f>768.48</f>
        <v>768.48</v>
      </c>
      <c r="M3660">
        <f>3118.37</f>
        <v>3118.37</v>
      </c>
      <c r="N3660">
        <f>115.173</f>
        <v>115.173</v>
      </c>
      <c r="O3660">
        <f>1205.18</f>
        <v>1205.18</v>
      </c>
      <c r="P3660">
        <f>81.61</f>
        <v>81.61</v>
      </c>
      <c r="Q3660">
        <f>615.66</f>
        <v>615.66</v>
      </c>
      <c r="R3660">
        <f>1501.25</f>
        <v>1501.25</v>
      </c>
      <c r="S3660">
        <f>1121.7</f>
        <v>1121.7</v>
      </c>
      <c r="T3660">
        <f>975.894</f>
        <v>975.89400000000001</v>
      </c>
      <c r="U3660">
        <f>22394.57</f>
        <v>22394.57</v>
      </c>
      <c r="V3660">
        <f>134.13</f>
        <v>134.13</v>
      </c>
    </row>
    <row r="3661" spans="1:22" x14ac:dyDescent="0.2">
      <c r="A3661" s="1">
        <v>39982</v>
      </c>
      <c r="B3661">
        <f>1765.1</f>
        <v>1765.1</v>
      </c>
      <c r="C3661">
        <f>5638.98</f>
        <v>5638.98</v>
      </c>
      <c r="D3661">
        <f>2664.05</f>
        <v>2664.05</v>
      </c>
      <c r="E3661">
        <f>1285.661</f>
        <v>1285.6610000000001</v>
      </c>
      <c r="F3661">
        <f>939.74</f>
        <v>939.74</v>
      </c>
      <c r="G3661">
        <f>4434.257</f>
        <v>4434.2569999999996</v>
      </c>
      <c r="H3661">
        <f>1666.16</f>
        <v>1666.16</v>
      </c>
      <c r="I3661">
        <f>4903.916</f>
        <v>4903.9160000000002</v>
      </c>
      <c r="J3661">
        <f>1047.27</f>
        <v>1047.27</v>
      </c>
      <c r="K3661">
        <f>3106.9</f>
        <v>3106.9</v>
      </c>
      <c r="L3661">
        <f>761.96</f>
        <v>761.96</v>
      </c>
      <c r="M3661">
        <f>3097.91</f>
        <v>3097.91</v>
      </c>
      <c r="N3661">
        <f>112.221</f>
        <v>112.221</v>
      </c>
      <c r="O3661">
        <f>1188.71</f>
        <v>1188.71</v>
      </c>
      <c r="P3661">
        <f>81.71</f>
        <v>81.709999999999994</v>
      </c>
      <c r="Q3661">
        <f>615.68</f>
        <v>615.67999999999995</v>
      </c>
      <c r="R3661">
        <f>1496.59</f>
        <v>1496.59</v>
      </c>
      <c r="S3661">
        <f>1112.23</f>
        <v>1112.23</v>
      </c>
      <c r="T3661">
        <f>971.983</f>
        <v>971.98299999999995</v>
      </c>
      <c r="U3661">
        <f>22156.41</f>
        <v>22156.41</v>
      </c>
      <c r="V3661">
        <f>134.17</f>
        <v>134.16999999999999</v>
      </c>
    </row>
    <row r="3662" spans="1:22" x14ac:dyDescent="0.2">
      <c r="A3662" s="1">
        <v>39981</v>
      </c>
      <c r="B3662">
        <f>1779.65</f>
        <v>1779.65</v>
      </c>
      <c r="C3662">
        <f>5663.03</f>
        <v>5663.03</v>
      </c>
      <c r="D3662">
        <f>2662.56</f>
        <v>2662.56</v>
      </c>
      <c r="E3662">
        <f>1294.138</f>
        <v>1294.1379999999999</v>
      </c>
      <c r="F3662">
        <f>933.64</f>
        <v>933.64</v>
      </c>
      <c r="G3662">
        <f>4415.965</f>
        <v>4415.9650000000001</v>
      </c>
      <c r="H3662">
        <f>1693.75</f>
        <v>1693.75</v>
      </c>
      <c r="I3662">
        <f>4826.283</f>
        <v>4826.2830000000004</v>
      </c>
      <c r="J3662">
        <f>1036.43</f>
        <v>1036.43</v>
      </c>
      <c r="K3662">
        <f>3081.91</f>
        <v>3081.91</v>
      </c>
      <c r="L3662">
        <f>752.69</f>
        <v>752.69</v>
      </c>
      <c r="M3662">
        <f>3078.15</f>
        <v>3078.15</v>
      </c>
      <c r="N3662">
        <f>112.7</f>
        <v>112.7</v>
      </c>
      <c r="O3662">
        <f>1183.33</f>
        <v>1183.33</v>
      </c>
      <c r="P3662">
        <f>82.22</f>
        <v>82.22</v>
      </c>
      <c r="Q3662">
        <f>612.35</f>
        <v>612.35</v>
      </c>
      <c r="R3662">
        <f>1483.9</f>
        <v>1483.9</v>
      </c>
      <c r="S3662">
        <f>1126.66</f>
        <v>1126.6600000000001</v>
      </c>
      <c r="T3662">
        <f>968.025</f>
        <v>968.02499999999998</v>
      </c>
      <c r="U3662">
        <f>21948.66</f>
        <v>21948.66</v>
      </c>
      <c r="V3662">
        <f>133.6</f>
        <v>133.6</v>
      </c>
    </row>
    <row r="3663" spans="1:22" x14ac:dyDescent="0.2">
      <c r="A3663" s="1">
        <v>39980</v>
      </c>
      <c r="B3663">
        <f>1815.79</f>
        <v>1815.79</v>
      </c>
      <c r="C3663">
        <f>5768.22</f>
        <v>5768.22</v>
      </c>
      <c r="D3663">
        <f>2692.48</f>
        <v>2692.48</v>
      </c>
      <c r="E3663">
        <f>1320.742</f>
        <v>1320.742</v>
      </c>
      <c r="F3663">
        <f>942.93</f>
        <v>942.93</v>
      </c>
      <c r="G3663">
        <f>4504.496</f>
        <v>4504.4960000000001</v>
      </c>
      <c r="H3663">
        <f>1670.11</f>
        <v>1670.11</v>
      </c>
      <c r="I3663">
        <f>4934.317</f>
        <v>4934.317</v>
      </c>
      <c r="J3663">
        <f>1036.21</f>
        <v>1036.21</v>
      </c>
      <c r="K3663">
        <f>3086.12</f>
        <v>3086.12</v>
      </c>
      <c r="L3663">
        <f>762.58</f>
        <v>762.58</v>
      </c>
      <c r="M3663">
        <f>3102.45</f>
        <v>3102.45</v>
      </c>
      <c r="N3663">
        <f>115.131</f>
        <v>115.131</v>
      </c>
      <c r="O3663">
        <f>1206.39</f>
        <v>1206.3900000000001</v>
      </c>
      <c r="P3663">
        <f>80.93</f>
        <v>80.930000000000007</v>
      </c>
      <c r="Q3663">
        <f>612.45</f>
        <v>612.45000000000005</v>
      </c>
      <c r="R3663">
        <f>1485.92</f>
        <v>1485.92</v>
      </c>
      <c r="S3663">
        <f>1116.56</f>
        <v>1116.56</v>
      </c>
      <c r="T3663" t="e">
        <f>NA()</f>
        <v>#N/A</v>
      </c>
      <c r="U3663" t="e">
        <f>NA()</f>
        <v>#N/A</v>
      </c>
      <c r="V3663" t="e">
        <f>NA()</f>
        <v>#N/A</v>
      </c>
    </row>
    <row r="3664" spans="1:22" x14ac:dyDescent="0.2">
      <c r="A3664" s="1">
        <v>39979</v>
      </c>
      <c r="B3664">
        <f>1816.09</f>
        <v>1816.09</v>
      </c>
      <c r="C3664">
        <f>5792.89</f>
        <v>5792.89</v>
      </c>
      <c r="D3664">
        <f>2690.88</f>
        <v>2690.88</v>
      </c>
      <c r="E3664">
        <f>1329.72</f>
        <v>1329.72</v>
      </c>
      <c r="F3664">
        <f>929.14</f>
        <v>929.14</v>
      </c>
      <c r="G3664">
        <f>4474.012</f>
        <v>4474.0119999999997</v>
      </c>
      <c r="H3664">
        <f>1694.65</f>
        <v>1694.65</v>
      </c>
      <c r="I3664">
        <f>4928.703</f>
        <v>4928.7030000000004</v>
      </c>
      <c r="J3664">
        <f>1048.43</f>
        <v>1048.43</v>
      </c>
      <c r="K3664">
        <f>3126.84</f>
        <v>3126.84</v>
      </c>
      <c r="L3664">
        <f>763.29</f>
        <v>763.29</v>
      </c>
      <c r="M3664">
        <f>3129.83</f>
        <v>3129.83</v>
      </c>
      <c r="N3664">
        <f>114.664</f>
        <v>114.664</v>
      </c>
      <c r="O3664">
        <f>1206.71</f>
        <v>1206.71</v>
      </c>
      <c r="P3664">
        <f>83.7</f>
        <v>83.7</v>
      </c>
      <c r="Q3664">
        <f>622.95</f>
        <v>622.95000000000005</v>
      </c>
      <c r="R3664">
        <f>1505.06</f>
        <v>1505.06</v>
      </c>
      <c r="S3664">
        <f>1155.7</f>
        <v>1155.7</v>
      </c>
      <c r="T3664">
        <f>985.952</f>
        <v>985.952</v>
      </c>
      <c r="U3664">
        <f>22618.89</f>
        <v>22618.89</v>
      </c>
      <c r="V3664">
        <f>137.25</f>
        <v>137.25</v>
      </c>
    </row>
    <row r="3665" spans="1:22" x14ac:dyDescent="0.2">
      <c r="A3665" s="1">
        <v>39976</v>
      </c>
      <c r="B3665">
        <f>1866.68</f>
        <v>1866.68</v>
      </c>
      <c r="C3665">
        <f>5931.2</f>
        <v>5931.2</v>
      </c>
      <c r="D3665">
        <f>2763</f>
        <v>2763</v>
      </c>
      <c r="E3665">
        <f>1364.644</f>
        <v>1364.644</v>
      </c>
      <c r="F3665">
        <f>954.1</f>
        <v>954.1</v>
      </c>
      <c r="G3665">
        <f>4626.909</f>
        <v>4626.9089999999997</v>
      </c>
      <c r="H3665">
        <f>1697.58</f>
        <v>1697.58</v>
      </c>
      <c r="I3665">
        <f>5124.025</f>
        <v>5124.0249999999996</v>
      </c>
      <c r="J3665">
        <f>1073.79</f>
        <v>1073.79</v>
      </c>
      <c r="K3665">
        <f>3202.34</f>
        <v>3202.34</v>
      </c>
      <c r="L3665">
        <f>786.02</f>
        <v>786.02</v>
      </c>
      <c r="M3665">
        <f>3213.5</f>
        <v>3213.5</v>
      </c>
      <c r="N3665">
        <f>117.924</f>
        <v>117.92400000000001</v>
      </c>
      <c r="O3665">
        <f>1238.81</f>
        <v>1238.81</v>
      </c>
      <c r="P3665">
        <f>83.82</f>
        <v>83.82</v>
      </c>
      <c r="Q3665">
        <f>637.35</f>
        <v>637.35</v>
      </c>
      <c r="R3665">
        <f>1541.7</f>
        <v>1541.7</v>
      </c>
      <c r="S3665">
        <f>1160.23</f>
        <v>1160.23</v>
      </c>
      <c r="T3665">
        <f>984.143</f>
        <v>984.14300000000003</v>
      </c>
      <c r="U3665">
        <f>22915.06</f>
        <v>22915.06</v>
      </c>
      <c r="V3665">
        <f>139.13</f>
        <v>139.13</v>
      </c>
    </row>
    <row r="3666" spans="1:22" x14ac:dyDescent="0.2">
      <c r="A3666" s="1">
        <v>39975</v>
      </c>
      <c r="B3666">
        <f>1874.35</f>
        <v>1874.35</v>
      </c>
      <c r="C3666">
        <f>5940.75</f>
        <v>5940.75</v>
      </c>
      <c r="D3666">
        <f>2775.39</f>
        <v>2775.39</v>
      </c>
      <c r="E3666">
        <f>1365.941</f>
        <v>1365.941</v>
      </c>
      <c r="F3666">
        <f>964.39</f>
        <v>964.39</v>
      </c>
      <c r="G3666">
        <f>4665.351</f>
        <v>4665.3509999999997</v>
      </c>
      <c r="H3666">
        <f>1691.75</f>
        <v>1691.75</v>
      </c>
      <c r="I3666">
        <f>5163.799</f>
        <v>5163.799</v>
      </c>
      <c r="J3666">
        <f>1069.47</f>
        <v>1069.47</v>
      </c>
      <c r="K3666">
        <f>3199.19</f>
        <v>3199.19</v>
      </c>
      <c r="L3666">
        <f>788.7</f>
        <v>788.7</v>
      </c>
      <c r="M3666">
        <f>3221.41</f>
        <v>3221.41</v>
      </c>
      <c r="N3666">
        <f>118.007</f>
        <v>118.00700000000001</v>
      </c>
      <c r="O3666">
        <f>1241.36</f>
        <v>1241.3599999999999</v>
      </c>
      <c r="P3666">
        <f>83.35</f>
        <v>83.35</v>
      </c>
      <c r="Q3666">
        <f>637.6</f>
        <v>637.6</v>
      </c>
      <c r="R3666">
        <f>1539.5</f>
        <v>1539.5</v>
      </c>
      <c r="S3666">
        <f>1148.15</f>
        <v>1148.1500000000001</v>
      </c>
      <c r="T3666">
        <f>985.465</f>
        <v>985.46500000000003</v>
      </c>
      <c r="U3666">
        <f>23057.32</f>
        <v>23057.32</v>
      </c>
      <c r="V3666">
        <f>139.18</f>
        <v>139.18</v>
      </c>
    </row>
    <row r="3667" spans="1:22" x14ac:dyDescent="0.2">
      <c r="A3667" s="1">
        <v>39974</v>
      </c>
      <c r="B3667">
        <f>1854.52</f>
        <v>1854.52</v>
      </c>
      <c r="C3667">
        <f>5917.9</f>
        <v>5917.9</v>
      </c>
      <c r="D3667">
        <f>2759.77</f>
        <v>2759.77</v>
      </c>
      <c r="E3667">
        <f>1362.535</f>
        <v>1362.5350000000001</v>
      </c>
      <c r="F3667">
        <f>955.56</f>
        <v>955.56</v>
      </c>
      <c r="G3667">
        <f>4592.814</f>
        <v>4592.8140000000003</v>
      </c>
      <c r="H3667">
        <f>1692.29</f>
        <v>1692.29</v>
      </c>
      <c r="I3667">
        <f>5097.561</f>
        <v>5097.5609999999997</v>
      </c>
      <c r="J3667">
        <f>1059.64</f>
        <v>1059.6400000000001</v>
      </c>
      <c r="K3667">
        <f>3178.38</f>
        <v>3178.38</v>
      </c>
      <c r="L3667">
        <f>778.43</f>
        <v>778.43</v>
      </c>
      <c r="M3667">
        <f>3190.73</f>
        <v>3190.73</v>
      </c>
      <c r="N3667">
        <f>116.854</f>
        <v>116.854</v>
      </c>
      <c r="O3667">
        <f>1229.65</f>
        <v>1229.6500000000001</v>
      </c>
      <c r="P3667">
        <f>83.17</f>
        <v>83.17</v>
      </c>
      <c r="Q3667">
        <f>634.78</f>
        <v>634.78</v>
      </c>
      <c r="R3667">
        <f>1529.76</f>
        <v>1529.76</v>
      </c>
      <c r="S3667">
        <f>1143.72</f>
        <v>1143.72</v>
      </c>
      <c r="T3667">
        <f>996.646</f>
        <v>996.64599999999996</v>
      </c>
      <c r="U3667">
        <f>23286.73</f>
        <v>23286.73</v>
      </c>
      <c r="V3667">
        <f>140.33</f>
        <v>140.33000000000001</v>
      </c>
    </row>
    <row r="3668" spans="1:22" x14ac:dyDescent="0.2">
      <c r="A3668" s="1">
        <v>39973</v>
      </c>
      <c r="B3668">
        <f>1844.29</f>
        <v>1844.29</v>
      </c>
      <c r="C3668">
        <f>5794.95</f>
        <v>5794.95</v>
      </c>
      <c r="D3668">
        <f>2739.75</f>
        <v>2739.75</v>
      </c>
      <c r="E3668">
        <f>1331.477</f>
        <v>1331.4770000000001</v>
      </c>
      <c r="F3668">
        <f>953.09</f>
        <v>953.09</v>
      </c>
      <c r="G3668">
        <f>4534.582</f>
        <v>4534.5820000000003</v>
      </c>
      <c r="H3668">
        <f>1672.45</f>
        <v>1672.45</v>
      </c>
      <c r="I3668">
        <f>5037.681</f>
        <v>5037.6809999999996</v>
      </c>
      <c r="J3668">
        <f>1061.37</f>
        <v>1061.3699999999999</v>
      </c>
      <c r="K3668">
        <f>3188.52</f>
        <v>3188.52</v>
      </c>
      <c r="L3668">
        <f>772.54</f>
        <v>772.54</v>
      </c>
      <c r="M3668">
        <f>3174.71</f>
        <v>3174.71</v>
      </c>
      <c r="N3668">
        <f>115.914</f>
        <v>115.914</v>
      </c>
      <c r="O3668">
        <f>1214.46</f>
        <v>1214.46</v>
      </c>
      <c r="P3668">
        <f>81.75</f>
        <v>81.75</v>
      </c>
      <c r="Q3668">
        <f>638.35</f>
        <v>638.35</v>
      </c>
      <c r="R3668">
        <f>1535.03</f>
        <v>1535.03</v>
      </c>
      <c r="S3668">
        <f>1120.8</f>
        <v>1120.8</v>
      </c>
      <c r="T3668">
        <f>989.698</f>
        <v>989.69799999999998</v>
      </c>
      <c r="U3668">
        <f>23049.43</f>
        <v>23049.43</v>
      </c>
      <c r="V3668">
        <f>140.69</f>
        <v>140.69</v>
      </c>
    </row>
    <row r="3669" spans="1:22" x14ac:dyDescent="0.2">
      <c r="A3669" s="1">
        <v>39972</v>
      </c>
      <c r="B3669">
        <f>1832.43</f>
        <v>1832.43</v>
      </c>
      <c r="C3669">
        <f>5801.95</f>
        <v>5801.95</v>
      </c>
      <c r="D3669">
        <f>2740.01</f>
        <v>2740.01</v>
      </c>
      <c r="E3669">
        <f>1333.28</f>
        <v>1333.28</v>
      </c>
      <c r="F3669">
        <f>928.35</f>
        <v>928.35</v>
      </c>
      <c r="G3669">
        <f>4454.542</f>
        <v>4454.5420000000004</v>
      </c>
      <c r="H3669">
        <f>1668.05</f>
        <v>1668.05</v>
      </c>
      <c r="I3669">
        <f>4968.034</f>
        <v>4968.0339999999997</v>
      </c>
      <c r="J3669">
        <f>1061.31</f>
        <v>1061.31</v>
      </c>
      <c r="K3669">
        <f>3175.13</f>
        <v>3175.13</v>
      </c>
      <c r="L3669">
        <f>765.34</f>
        <v>765.34</v>
      </c>
      <c r="M3669">
        <f>3150.53</f>
        <v>3150.53</v>
      </c>
      <c r="N3669">
        <f>114.744</f>
        <v>114.744</v>
      </c>
      <c r="O3669">
        <f>1208.02</f>
        <v>1208.02</v>
      </c>
      <c r="P3669">
        <f>82.82</f>
        <v>82.82</v>
      </c>
      <c r="Q3669">
        <f>635.18</f>
        <v>635.17999999999995</v>
      </c>
      <c r="R3669">
        <f>1529.59</f>
        <v>1529.59</v>
      </c>
      <c r="S3669">
        <f>1131.37</f>
        <v>1131.3699999999999</v>
      </c>
      <c r="T3669">
        <f>987.45</f>
        <v>987.45</v>
      </c>
      <c r="U3669">
        <f>22949.09</f>
        <v>22949.09</v>
      </c>
      <c r="V3669">
        <f>139.79</f>
        <v>139.79</v>
      </c>
    </row>
    <row r="3670" spans="1:22" x14ac:dyDescent="0.2">
      <c r="A3670" s="1">
        <v>39969</v>
      </c>
      <c r="B3670">
        <f>1846.44</f>
        <v>1846.44</v>
      </c>
      <c r="C3670">
        <f>5935.42</f>
        <v>5935.42</v>
      </c>
      <c r="D3670">
        <f>2760.75</f>
        <v>2760.75</v>
      </c>
      <c r="E3670">
        <f>1358.641</f>
        <v>1358.6410000000001</v>
      </c>
      <c r="F3670">
        <f>928.39</f>
        <v>928.39</v>
      </c>
      <c r="G3670">
        <f>4496.615</f>
        <v>4496.6149999999998</v>
      </c>
      <c r="H3670">
        <f>1660.34</f>
        <v>1660.34</v>
      </c>
      <c r="I3670">
        <f>5075.988</f>
        <v>5075.9880000000003</v>
      </c>
      <c r="J3670">
        <f>1064.53</f>
        <v>1064.53</v>
      </c>
      <c r="K3670">
        <f>3178.62</f>
        <v>3178.62</v>
      </c>
      <c r="L3670">
        <f>774.26</f>
        <v>774.26</v>
      </c>
      <c r="M3670">
        <f>3173.12</f>
        <v>3173.12</v>
      </c>
      <c r="N3670">
        <f>115.264</f>
        <v>115.264</v>
      </c>
      <c r="O3670">
        <f>1217.79</f>
        <v>1217.79</v>
      </c>
      <c r="P3670">
        <f>82.18</f>
        <v>82.18</v>
      </c>
      <c r="Q3670">
        <f>633.74</f>
        <v>633.74</v>
      </c>
      <c r="R3670">
        <f>1530.82</f>
        <v>1530.82</v>
      </c>
      <c r="S3670">
        <f>1118.76</f>
        <v>1118.76</v>
      </c>
      <c r="T3670">
        <f>991.042</f>
        <v>991.04200000000003</v>
      </c>
      <c r="U3670">
        <f>23166.38</f>
        <v>23166.38</v>
      </c>
      <c r="V3670">
        <f>140.74</f>
        <v>140.74</v>
      </c>
    </row>
    <row r="3671" spans="1:22" x14ac:dyDescent="0.2">
      <c r="A3671" s="1">
        <v>39968</v>
      </c>
      <c r="B3671">
        <f>1819.17</f>
        <v>1819.17</v>
      </c>
      <c r="C3671">
        <f>5900.27</f>
        <v>5900.27</v>
      </c>
      <c r="D3671">
        <f>2728.65</f>
        <v>2728.65</v>
      </c>
      <c r="E3671">
        <f>1349.553</f>
        <v>1349.5530000000001</v>
      </c>
      <c r="F3671">
        <f>936.76</f>
        <v>936.76</v>
      </c>
      <c r="G3671">
        <f>4498.825</f>
        <v>4498.8249999999998</v>
      </c>
      <c r="H3671">
        <f>1676.39</f>
        <v>1676.39</v>
      </c>
      <c r="I3671">
        <f>5124.764</f>
        <v>5124.7640000000001</v>
      </c>
      <c r="J3671">
        <f>1068.36</f>
        <v>1068.3599999999999</v>
      </c>
      <c r="K3671">
        <f>3186.38</f>
        <v>3186.38</v>
      </c>
      <c r="L3671">
        <f>780.16</f>
        <v>780.16</v>
      </c>
      <c r="M3671">
        <f>3185.09</f>
        <v>3185.09</v>
      </c>
      <c r="N3671">
        <f>114.31</f>
        <v>114.31</v>
      </c>
      <c r="O3671">
        <f>1208.98</f>
        <v>1208.98</v>
      </c>
      <c r="P3671">
        <f>81.9</f>
        <v>81.900000000000006</v>
      </c>
      <c r="Q3671">
        <f>635.51</f>
        <v>635.51</v>
      </c>
      <c r="R3671">
        <f>1534.59</f>
        <v>1534.59</v>
      </c>
      <c r="S3671">
        <f>1113.68</f>
        <v>1113.68</v>
      </c>
      <c r="T3671">
        <f>981.928</f>
        <v>981.928</v>
      </c>
      <c r="U3671">
        <f>22862.54</f>
        <v>22862.54</v>
      </c>
      <c r="V3671">
        <f>139.12</f>
        <v>139.12</v>
      </c>
    </row>
    <row r="3672" spans="1:22" x14ac:dyDescent="0.2">
      <c r="A3672" s="1">
        <v>39967</v>
      </c>
      <c r="B3672">
        <f>1819.34</f>
        <v>1819.34</v>
      </c>
      <c r="C3672">
        <f>5930.56</f>
        <v>5930.56</v>
      </c>
      <c r="D3672">
        <f>2726.45</f>
        <v>2726.45</v>
      </c>
      <c r="E3672">
        <f>1353.538</f>
        <v>1353.538</v>
      </c>
      <c r="F3672">
        <f>944.17</f>
        <v>944.17</v>
      </c>
      <c r="G3672">
        <f>4543.155</f>
        <v>4543.1549999999997</v>
      </c>
      <c r="H3672">
        <f>1698.93</f>
        <v>1698.93</v>
      </c>
      <c r="I3672">
        <f>5116.635</f>
        <v>5116.6350000000002</v>
      </c>
      <c r="J3672">
        <f>1063.07</f>
        <v>1063.07</v>
      </c>
      <c r="K3672">
        <f>3149.97</f>
        <v>3149.97</v>
      </c>
      <c r="L3672">
        <f>780.89</f>
        <v>780.89</v>
      </c>
      <c r="M3672">
        <f>3174.78</f>
        <v>3174.78</v>
      </c>
      <c r="N3672">
        <f>114.817</f>
        <v>114.81699999999999</v>
      </c>
      <c r="O3672">
        <f>1212.27</f>
        <v>1212.27</v>
      </c>
      <c r="P3672">
        <f>81.99</f>
        <v>81.99</v>
      </c>
      <c r="Q3672">
        <f>630.51</f>
        <v>630.51</v>
      </c>
      <c r="R3672">
        <f>1516.88</f>
        <v>1516.88</v>
      </c>
      <c r="S3672">
        <f>1117.97</f>
        <v>1117.97</v>
      </c>
      <c r="T3672">
        <f>978.624</f>
        <v>978.62400000000002</v>
      </c>
      <c r="U3672">
        <f>23063.18</f>
        <v>23063.18</v>
      </c>
      <c r="V3672">
        <f>139.45</f>
        <v>139.44999999999999</v>
      </c>
    </row>
    <row r="3673" spans="1:22" x14ac:dyDescent="0.2">
      <c r="A3673" s="1">
        <v>39966</v>
      </c>
      <c r="B3673">
        <f>1852.88</f>
        <v>1852.88</v>
      </c>
      <c r="C3673">
        <f>5998.64</f>
        <v>5998.64</v>
      </c>
      <c r="D3673">
        <f>2775.1</f>
        <v>2775.1</v>
      </c>
      <c r="E3673">
        <f>1373.094</f>
        <v>1373.0940000000001</v>
      </c>
      <c r="F3673">
        <f>968.5</f>
        <v>968.5</v>
      </c>
      <c r="G3673">
        <f>4674.294</f>
        <v>4674.2939999999999</v>
      </c>
      <c r="H3673">
        <f>1706.82</f>
        <v>1706.82</v>
      </c>
      <c r="I3673">
        <f>5256.446</f>
        <v>5256.4459999999999</v>
      </c>
      <c r="J3673">
        <f>1075.99</f>
        <v>1075.99</v>
      </c>
      <c r="K3673">
        <f>3195.13</f>
        <v>3195.13</v>
      </c>
      <c r="L3673">
        <f>797.43</f>
        <v>797.43</v>
      </c>
      <c r="M3673">
        <f>3228.51</f>
        <v>3228.51</v>
      </c>
      <c r="N3673">
        <f>117.213</f>
        <v>117.21299999999999</v>
      </c>
      <c r="O3673">
        <f>1235.46</f>
        <v>1235.46</v>
      </c>
      <c r="P3673">
        <f>81.68</f>
        <v>81.680000000000007</v>
      </c>
      <c r="Q3673">
        <f>640.43</f>
        <v>640.42999999999995</v>
      </c>
      <c r="R3673">
        <f>1537.69</f>
        <v>1537.69</v>
      </c>
      <c r="S3673">
        <f>1116.82</f>
        <v>1116.82</v>
      </c>
      <c r="T3673">
        <f>989.753</f>
        <v>989.75300000000004</v>
      </c>
      <c r="U3673">
        <f>23661.87</f>
        <v>23661.87</v>
      </c>
      <c r="V3673">
        <f>142.27</f>
        <v>142.27000000000001</v>
      </c>
    </row>
    <row r="3674" spans="1:22" x14ac:dyDescent="0.2">
      <c r="A3674" s="1">
        <v>39965</v>
      </c>
      <c r="B3674">
        <f>1861.16</f>
        <v>1861.16</v>
      </c>
      <c r="C3674">
        <f>6040.94</f>
        <v>6040.94</v>
      </c>
      <c r="D3674">
        <f>2793.18</f>
        <v>2793.18</v>
      </c>
      <c r="E3674">
        <f>1384.356</f>
        <v>1384.356</v>
      </c>
      <c r="F3674">
        <f>951.31</f>
        <v>951.31</v>
      </c>
      <c r="G3674">
        <f>4668.784</f>
        <v>4668.7839999999997</v>
      </c>
      <c r="H3674">
        <f>1694.73</f>
        <v>1694.73</v>
      </c>
      <c r="I3674">
        <f>5184.908</f>
        <v>5184.9080000000004</v>
      </c>
      <c r="J3674">
        <f>1070.41</f>
        <v>1070.4100000000001</v>
      </c>
      <c r="K3674">
        <f>3188.59</f>
        <v>3188.59</v>
      </c>
      <c r="L3674">
        <f>791.63</f>
        <v>791.63</v>
      </c>
      <c r="M3674">
        <f>3209.99</f>
        <v>3209.99</v>
      </c>
      <c r="N3674">
        <f>119.3</f>
        <v>119.3</v>
      </c>
      <c r="O3674">
        <f>1236.16</f>
        <v>1236.1600000000001</v>
      </c>
      <c r="P3674">
        <f>81.18</f>
        <v>81.180000000000007</v>
      </c>
      <c r="Q3674">
        <f>637.77</f>
        <v>637.77</v>
      </c>
      <c r="R3674">
        <f>1534.65</f>
        <v>1534.65</v>
      </c>
      <c r="S3674">
        <f>1115.54</f>
        <v>1115.54</v>
      </c>
      <c r="T3674">
        <f>988.487</f>
        <v>988.48699999999997</v>
      </c>
      <c r="U3674">
        <f>23548.65</f>
        <v>23548.65</v>
      </c>
      <c r="V3674">
        <f>142.81</f>
        <v>142.81</v>
      </c>
    </row>
    <row r="3675" spans="1:22" x14ac:dyDescent="0.2">
      <c r="A3675" s="1">
        <v>39962</v>
      </c>
      <c r="B3675">
        <f>1812.84</f>
        <v>1812.84</v>
      </c>
      <c r="C3675">
        <f>5837.94</f>
        <v>5837.94</v>
      </c>
      <c r="D3675">
        <f>2738.47</f>
        <v>2738.47</v>
      </c>
      <c r="E3675">
        <f>1334.095</f>
        <v>1334.095</v>
      </c>
      <c r="F3675">
        <f>912.49</f>
        <v>912.49</v>
      </c>
      <c r="G3675">
        <f>4492.222</f>
        <v>4492.2219999999998</v>
      </c>
      <c r="H3675">
        <f>1689.35</f>
        <v>1689.35</v>
      </c>
      <c r="I3675">
        <f>5056.781</f>
        <v>5056.7809999999999</v>
      </c>
      <c r="J3675">
        <f>1046.81</f>
        <v>1046.81</v>
      </c>
      <c r="K3675">
        <f>3107.53</f>
        <v>3107.53</v>
      </c>
      <c r="L3675">
        <f>771.79</f>
        <v>771.79</v>
      </c>
      <c r="M3675">
        <f>3130.79</f>
        <v>3130.79</v>
      </c>
      <c r="N3675">
        <f>114.936</f>
        <v>114.93600000000001</v>
      </c>
      <c r="O3675">
        <f>1201.76</f>
        <v>1201.76</v>
      </c>
      <c r="P3675">
        <f>80.26</f>
        <v>80.260000000000005</v>
      </c>
      <c r="Q3675">
        <f>619.35</f>
        <v>619.35</v>
      </c>
      <c r="R3675">
        <f>1495.97</f>
        <v>1495.97</v>
      </c>
      <c r="S3675">
        <f>1097.69</f>
        <v>1097.69</v>
      </c>
      <c r="T3675">
        <f>965.485</f>
        <v>965.48500000000001</v>
      </c>
      <c r="U3675">
        <f>22770.62</f>
        <v>22770.62</v>
      </c>
      <c r="V3675">
        <f>137.08</f>
        <v>137.08000000000001</v>
      </c>
    </row>
    <row r="3676" spans="1:22" x14ac:dyDescent="0.2">
      <c r="A3676" s="1">
        <v>39961</v>
      </c>
      <c r="B3676">
        <f>1806.44</f>
        <v>1806.44</v>
      </c>
      <c r="C3676">
        <f>5756.62</f>
        <v>5756.62</v>
      </c>
      <c r="D3676">
        <f>2719.63</f>
        <v>2719.63</v>
      </c>
      <c r="E3676">
        <f>1314.433</f>
        <v>1314.433</v>
      </c>
      <c r="F3676">
        <f>898.76</f>
        <v>898.76</v>
      </c>
      <c r="G3676">
        <f>4415.524</f>
        <v>4415.5240000000003</v>
      </c>
      <c r="H3676">
        <f>1660.69</f>
        <v>1660.69</v>
      </c>
      <c r="I3676">
        <f>4974.998</f>
        <v>4974.9979999999996</v>
      </c>
      <c r="J3676">
        <f>1030.37</f>
        <v>1030.3699999999999</v>
      </c>
      <c r="K3676">
        <f>3065.9</f>
        <v>3065.9</v>
      </c>
      <c r="L3676">
        <f>759.03</f>
        <v>759.03</v>
      </c>
      <c r="M3676">
        <f>3082.11</f>
        <v>3082.11</v>
      </c>
      <c r="N3676">
        <f>114.608</f>
        <v>114.608</v>
      </c>
      <c r="O3676">
        <f>1198.76</f>
        <v>1198.76</v>
      </c>
      <c r="P3676">
        <f>79.43</f>
        <v>79.430000000000007</v>
      </c>
      <c r="Q3676">
        <f>611.98</f>
        <v>611.98</v>
      </c>
      <c r="R3676">
        <f>1475.94</f>
        <v>1475.94</v>
      </c>
      <c r="S3676">
        <f>1094.85</f>
        <v>1094.8499999999999</v>
      </c>
      <c r="T3676">
        <f>964.556</f>
        <v>964.55600000000004</v>
      </c>
      <c r="U3676">
        <f>22315.32</f>
        <v>22315.32</v>
      </c>
      <c r="V3676">
        <f>135.71</f>
        <v>135.71</v>
      </c>
    </row>
    <row r="3677" spans="1:22" x14ac:dyDescent="0.2">
      <c r="A3677" s="1">
        <v>39960</v>
      </c>
      <c r="B3677">
        <f>1828.99</f>
        <v>1828.99</v>
      </c>
      <c r="C3677">
        <f>5738.6</f>
        <v>5738.6</v>
      </c>
      <c r="D3677">
        <f>2737.42</f>
        <v>2737.42</v>
      </c>
      <c r="E3677">
        <f>1301.351</f>
        <v>1301.3510000000001</v>
      </c>
      <c r="F3677">
        <f>920.46</f>
        <v>920.46</v>
      </c>
      <c r="G3677">
        <f>4465.208</f>
        <v>4465.2079999999996</v>
      </c>
      <c r="H3677">
        <f>1675.36</f>
        <v>1675.36</v>
      </c>
      <c r="I3677">
        <f>5024.505</f>
        <v>5024.5050000000001</v>
      </c>
      <c r="J3677">
        <f>1012.02</f>
        <v>1012.02</v>
      </c>
      <c r="K3677">
        <f>3019.44</f>
        <v>3019.44</v>
      </c>
      <c r="L3677">
        <f>758.15</f>
        <v>758.15</v>
      </c>
      <c r="M3677">
        <f>3072.7</f>
        <v>3072.7</v>
      </c>
      <c r="N3677">
        <f>117.106</f>
        <v>117.10599999999999</v>
      </c>
      <c r="O3677">
        <f>1214.07</f>
        <v>1214.07</v>
      </c>
      <c r="P3677">
        <f>78.84</f>
        <v>78.84</v>
      </c>
      <c r="Q3677">
        <f>605.66</f>
        <v>605.66</v>
      </c>
      <c r="R3677">
        <f>1453.28</f>
        <v>1453.28</v>
      </c>
      <c r="S3677">
        <f>1091.51</f>
        <v>1091.51</v>
      </c>
      <c r="T3677">
        <f>964.518</f>
        <v>964.51800000000003</v>
      </c>
      <c r="U3677">
        <f>22521.68</f>
        <v>22521.68</v>
      </c>
      <c r="V3677">
        <f>136.49</f>
        <v>136.49</v>
      </c>
    </row>
    <row r="3678" spans="1:22" x14ac:dyDescent="0.2">
      <c r="A3678" s="1">
        <v>39959</v>
      </c>
      <c r="B3678">
        <f>1814.95</f>
        <v>1814.95</v>
      </c>
      <c r="C3678">
        <f>5592.74</f>
        <v>5592.74</v>
      </c>
      <c r="D3678">
        <f>2733.96</f>
        <v>2733.96</v>
      </c>
      <c r="E3678">
        <f>1275.937</f>
        <v>1275.9369999999999</v>
      </c>
      <c r="F3678">
        <f>911.03</f>
        <v>911.03</v>
      </c>
      <c r="G3678">
        <f>4433.151</f>
        <v>4433.1509999999998</v>
      </c>
      <c r="H3678">
        <f>1658.55</f>
        <v>1658.55</v>
      </c>
      <c r="I3678">
        <f>5018.612</f>
        <v>5018.6120000000001</v>
      </c>
      <c r="J3678">
        <f>1035.2</f>
        <v>1035.2</v>
      </c>
      <c r="K3678">
        <f>3075.91</f>
        <v>3075.91</v>
      </c>
      <c r="L3678">
        <f>762.51</f>
        <v>762.51</v>
      </c>
      <c r="M3678">
        <f>3091.76</f>
        <v>3091.76</v>
      </c>
      <c r="N3678">
        <f>115.383</f>
        <v>115.383</v>
      </c>
      <c r="O3678">
        <f>1205.16</f>
        <v>1205.1600000000001</v>
      </c>
      <c r="P3678">
        <f>78.14</f>
        <v>78.14</v>
      </c>
      <c r="Q3678">
        <f>622.03</f>
        <v>622.03</v>
      </c>
      <c r="R3678">
        <f>1481.1</f>
        <v>1481.1</v>
      </c>
      <c r="S3678">
        <f>1080.4</f>
        <v>1080.4000000000001</v>
      </c>
      <c r="T3678">
        <f>956.324</f>
        <v>956.32399999999996</v>
      </c>
      <c r="U3678">
        <f>22440.84</f>
        <v>22440.84</v>
      </c>
      <c r="V3678">
        <f>133.43</f>
        <v>133.43</v>
      </c>
    </row>
    <row r="3679" spans="1:22" x14ac:dyDescent="0.2">
      <c r="A3679" s="1">
        <v>39958</v>
      </c>
      <c r="B3679" t="e">
        <f>NA()</f>
        <v>#N/A</v>
      </c>
      <c r="C3679">
        <f>5626.27</f>
        <v>5626.27</v>
      </c>
      <c r="D3679" t="e">
        <f>NA()</f>
        <v>#N/A</v>
      </c>
      <c r="E3679">
        <f>1288.189</f>
        <v>1288.1890000000001</v>
      </c>
      <c r="F3679">
        <f>899.41</f>
        <v>899.41</v>
      </c>
      <c r="G3679">
        <f>4376.578</f>
        <v>4376.5780000000004</v>
      </c>
      <c r="H3679">
        <f>1656.29</f>
        <v>1656.29</v>
      </c>
      <c r="I3679">
        <f>5000.121</f>
        <v>5000.1210000000001</v>
      </c>
      <c r="J3679">
        <f>1010.45</f>
        <v>1010.45</v>
      </c>
      <c r="K3679">
        <f>2997.33</f>
        <v>2997.33</v>
      </c>
      <c r="L3679">
        <f>750.2</f>
        <v>750.2</v>
      </c>
      <c r="M3679">
        <f>3041.34</f>
        <v>3041.34</v>
      </c>
      <c r="N3679">
        <f>114.601</f>
        <v>114.601</v>
      </c>
      <c r="O3679">
        <f>1195.29</f>
        <v>1195.29</v>
      </c>
      <c r="P3679">
        <f>78.39</f>
        <v>78.39</v>
      </c>
      <c r="Q3679" t="e">
        <f>NA()</f>
        <v>#N/A</v>
      </c>
      <c r="R3679" t="e">
        <f>NA()</f>
        <v>#N/A</v>
      </c>
      <c r="S3679">
        <f>1079.42</f>
        <v>1079.42</v>
      </c>
      <c r="T3679">
        <f>962.7</f>
        <v>962.7</v>
      </c>
      <c r="U3679">
        <f>22407.28</f>
        <v>22407.279999999999</v>
      </c>
      <c r="V3679">
        <f>133.78</f>
        <v>133.78</v>
      </c>
    </row>
    <row r="3680" spans="1:22" x14ac:dyDescent="0.2">
      <c r="A3680" s="1">
        <v>39955</v>
      </c>
      <c r="B3680">
        <f>1805.27</f>
        <v>1805.27</v>
      </c>
      <c r="C3680">
        <f>5638.82</f>
        <v>5638.82</v>
      </c>
      <c r="D3680">
        <f>2705.18</f>
        <v>2705.18</v>
      </c>
      <c r="E3680">
        <f>1285.903</f>
        <v>1285.903</v>
      </c>
      <c r="F3680">
        <f>898.2</f>
        <v>898.2</v>
      </c>
      <c r="G3680">
        <f>4370.66</f>
        <v>4370.66</v>
      </c>
      <c r="H3680">
        <f>1650.84</f>
        <v>1650.84</v>
      </c>
      <c r="I3680">
        <f>4981.01</f>
        <v>4981.01</v>
      </c>
      <c r="J3680">
        <f>1010.45</f>
        <v>1010.45</v>
      </c>
      <c r="K3680">
        <f>2997.33</f>
        <v>2997.33</v>
      </c>
      <c r="L3680">
        <f>749.66</f>
        <v>749.66</v>
      </c>
      <c r="M3680">
        <f>3036.71</f>
        <v>3036.71</v>
      </c>
      <c r="N3680">
        <f>114.216</f>
        <v>114.21599999999999</v>
      </c>
      <c r="O3680">
        <f>1192.61</f>
        <v>1192.6099999999999</v>
      </c>
      <c r="P3680">
        <f>77.51</f>
        <v>77.510000000000005</v>
      </c>
      <c r="Q3680">
        <f>602.45</f>
        <v>602.45000000000005</v>
      </c>
      <c r="R3680">
        <f>1443.14</f>
        <v>1443.14</v>
      </c>
      <c r="S3680">
        <f>1070.71</f>
        <v>1070.71</v>
      </c>
      <c r="T3680">
        <f>962.43</f>
        <v>962.43</v>
      </c>
      <c r="U3680">
        <f>22425.54</f>
        <v>22425.54</v>
      </c>
      <c r="V3680">
        <f>133.86</f>
        <v>133.86000000000001</v>
      </c>
    </row>
    <row r="3681" spans="1:22" x14ac:dyDescent="0.2">
      <c r="A3681" s="1">
        <v>39954</v>
      </c>
      <c r="B3681">
        <f>1799.66</f>
        <v>1799.66</v>
      </c>
      <c r="C3681">
        <f>5603.6</f>
        <v>5603.6</v>
      </c>
      <c r="D3681">
        <f>2692.9</f>
        <v>2692.9</v>
      </c>
      <c r="E3681">
        <f>1276.43</f>
        <v>1276.43</v>
      </c>
      <c r="F3681">
        <f>875.99</f>
        <v>875.99</v>
      </c>
      <c r="G3681">
        <f>4306.526</f>
        <v>4306.5259999999998</v>
      </c>
      <c r="H3681">
        <f>1669.63</f>
        <v>1669.63</v>
      </c>
      <c r="I3681">
        <f>4917.999</f>
        <v>4917.9989999999998</v>
      </c>
      <c r="J3681">
        <f>1014.22</f>
        <v>1014.22</v>
      </c>
      <c r="K3681">
        <f>3001.35</f>
        <v>3001.35</v>
      </c>
      <c r="L3681">
        <f>742.88</f>
        <v>742.88</v>
      </c>
      <c r="M3681">
        <f>3024.69</f>
        <v>3024.69</v>
      </c>
      <c r="N3681">
        <f>114.014</f>
        <v>114.014</v>
      </c>
      <c r="O3681">
        <f>1195.59</f>
        <v>1195.5899999999999</v>
      </c>
      <c r="P3681">
        <f>78.3</f>
        <v>78.3</v>
      </c>
      <c r="Q3681">
        <f>600.74</f>
        <v>600.74</v>
      </c>
      <c r="R3681">
        <f>1445.28</f>
        <v>1445.28</v>
      </c>
      <c r="S3681">
        <f>1077.5</f>
        <v>1077.5</v>
      </c>
      <c r="T3681">
        <f>952.455</f>
        <v>952.45500000000004</v>
      </c>
      <c r="U3681">
        <f>22015.59</f>
        <v>22015.59</v>
      </c>
      <c r="V3681">
        <f>131.02</f>
        <v>131.02000000000001</v>
      </c>
    </row>
    <row r="3682" spans="1:22" x14ac:dyDescent="0.2">
      <c r="A3682" s="1">
        <v>39953</v>
      </c>
      <c r="B3682">
        <f>1853.29</f>
        <v>1853.29</v>
      </c>
      <c r="C3682">
        <f>5694.32</f>
        <v>5694.32</v>
      </c>
      <c r="D3682">
        <f>2769.09</f>
        <v>2769.09</v>
      </c>
      <c r="E3682">
        <f>1302.426</f>
        <v>1302.4259999999999</v>
      </c>
      <c r="F3682">
        <f>909.91</f>
        <v>909.91</v>
      </c>
      <c r="G3682">
        <f>4410.4</f>
        <v>4410.3999999999996</v>
      </c>
      <c r="H3682">
        <f>1667.33</f>
        <v>1667.33</v>
      </c>
      <c r="I3682">
        <f>5014.525</f>
        <v>5014.5249999999996</v>
      </c>
      <c r="J3682">
        <f>1028.89</f>
        <v>1028.8900000000001</v>
      </c>
      <c r="K3682">
        <f>3052.04</f>
        <v>3052.04</v>
      </c>
      <c r="L3682">
        <f>756.93</f>
        <v>756.93</v>
      </c>
      <c r="M3682">
        <f>3075.36</f>
        <v>3075.36</v>
      </c>
      <c r="N3682">
        <f>116.991</f>
        <v>116.991</v>
      </c>
      <c r="O3682">
        <f>1220.03</f>
        <v>1220.03</v>
      </c>
      <c r="P3682">
        <f>79.02</f>
        <v>79.02</v>
      </c>
      <c r="Q3682">
        <f>612.13</f>
        <v>612.13</v>
      </c>
      <c r="R3682">
        <f>1469.47</f>
        <v>1469.47</v>
      </c>
      <c r="S3682">
        <f>1083.45</f>
        <v>1083.45</v>
      </c>
      <c r="T3682">
        <f>974.368</f>
        <v>974.36800000000005</v>
      </c>
      <c r="U3682">
        <f>22674.2</f>
        <v>22674.2</v>
      </c>
      <c r="V3682">
        <f>135.16</f>
        <v>135.16</v>
      </c>
    </row>
    <row r="3683" spans="1:22" x14ac:dyDescent="0.2">
      <c r="A3683" s="1">
        <v>39952</v>
      </c>
      <c r="B3683">
        <f>1862.99</f>
        <v>1862.99</v>
      </c>
      <c r="C3683">
        <f>5617.59</f>
        <v>5617.59</v>
      </c>
      <c r="D3683">
        <f>2773.37</f>
        <v>2773.37</v>
      </c>
      <c r="E3683">
        <f>1284.711</f>
        <v>1284.711</v>
      </c>
      <c r="F3683">
        <f>923.5</f>
        <v>923.5</v>
      </c>
      <c r="G3683">
        <f>4369.281</f>
        <v>4369.2809999999999</v>
      </c>
      <c r="H3683">
        <f>1633.64</f>
        <v>1633.64</v>
      </c>
      <c r="I3683">
        <f>4903.542</f>
        <v>4903.5420000000004</v>
      </c>
      <c r="J3683">
        <f>1037.4</f>
        <v>1037.4000000000001</v>
      </c>
      <c r="K3683">
        <f>3066.31</f>
        <v>3066.31</v>
      </c>
      <c r="L3683">
        <f>751.11</f>
        <v>751.11</v>
      </c>
      <c r="M3683">
        <f>3055.27</f>
        <v>3055.27</v>
      </c>
      <c r="N3683">
        <f>116.928</f>
        <v>116.928</v>
      </c>
      <c r="O3683">
        <f>1213.03</f>
        <v>1213.03</v>
      </c>
      <c r="P3683">
        <f>78</f>
        <v>78</v>
      </c>
      <c r="Q3683">
        <f>615.79</f>
        <v>615.79</v>
      </c>
      <c r="R3683">
        <f>1476.94</f>
        <v>1476.94</v>
      </c>
      <c r="S3683">
        <f>1075.45</f>
        <v>1075.45</v>
      </c>
      <c r="T3683">
        <f>968.032</f>
        <v>968.03200000000004</v>
      </c>
      <c r="U3683">
        <f>22398.38</f>
        <v>22398.38</v>
      </c>
      <c r="V3683">
        <f>134.15</f>
        <v>134.15</v>
      </c>
    </row>
    <row r="3684" spans="1:22" x14ac:dyDescent="0.2">
      <c r="A3684" s="1">
        <v>39951</v>
      </c>
      <c r="B3684">
        <f>1832.81</f>
        <v>1832.81</v>
      </c>
      <c r="C3684">
        <f>5458.16</f>
        <v>5458.16</v>
      </c>
      <c r="D3684">
        <f>2751.22</f>
        <v>2751.22</v>
      </c>
      <c r="E3684">
        <f>1254.352</f>
        <v>1254.3520000000001</v>
      </c>
      <c r="F3684">
        <f>923.92</f>
        <v>923.92</v>
      </c>
      <c r="G3684">
        <f>4279.208</f>
        <v>4279.2079999999996</v>
      </c>
      <c r="H3684">
        <f>1595.93</f>
        <v>1595.93</v>
      </c>
      <c r="I3684">
        <f>4786.307</f>
        <v>4786.3069999999998</v>
      </c>
      <c r="J3684">
        <f>1043.18</f>
        <v>1043.18</v>
      </c>
      <c r="K3684">
        <f>3070.47</f>
        <v>3070.47</v>
      </c>
      <c r="L3684">
        <f>740.48</f>
        <v>740.48</v>
      </c>
      <c r="M3684">
        <f>3017.65</f>
        <v>3017.65</v>
      </c>
      <c r="N3684">
        <f>114.702</f>
        <v>114.702</v>
      </c>
      <c r="O3684">
        <f>1195.13</f>
        <v>1195.1300000000001</v>
      </c>
      <c r="P3684">
        <f>76.74</f>
        <v>76.739999999999995</v>
      </c>
      <c r="Q3684">
        <f>615.81</f>
        <v>615.80999999999995</v>
      </c>
      <c r="R3684">
        <f>1479.24</f>
        <v>1479.24</v>
      </c>
      <c r="S3684">
        <f>1050.94</f>
        <v>1050.94</v>
      </c>
      <c r="T3684">
        <f>954.453</f>
        <v>954.45299999999997</v>
      </c>
      <c r="U3684">
        <f>21945.12</f>
        <v>21945.119999999999</v>
      </c>
      <c r="V3684">
        <f>130.62</f>
        <v>130.62</v>
      </c>
    </row>
    <row r="3685" spans="1:22" x14ac:dyDescent="0.2">
      <c r="A3685" s="1">
        <v>39948</v>
      </c>
      <c r="B3685">
        <f>1793.65</f>
        <v>1793.65</v>
      </c>
      <c r="C3685">
        <f>5371.53</f>
        <v>5371.53</v>
      </c>
      <c r="D3685">
        <f>2690.37</f>
        <v>2690.37</v>
      </c>
      <c r="E3685">
        <f>1218.695</f>
        <v>1218.6949999999999</v>
      </c>
      <c r="F3685">
        <f>888.27</f>
        <v>888.27</v>
      </c>
      <c r="G3685">
        <f>4169.77</f>
        <v>4169.7700000000004</v>
      </c>
      <c r="H3685">
        <f>1645.78</f>
        <v>1645.78</v>
      </c>
      <c r="I3685">
        <f>4718.088</f>
        <v>4718.0879999999997</v>
      </c>
      <c r="J3685">
        <f>1012.07</f>
        <v>1012.07</v>
      </c>
      <c r="K3685">
        <f>2978.82</f>
        <v>2978.82</v>
      </c>
      <c r="L3685">
        <f>724.33</f>
        <v>724.33</v>
      </c>
      <c r="M3685">
        <f>2966.41</f>
        <v>2966.41</v>
      </c>
      <c r="N3685">
        <f>111.921</f>
        <v>111.92100000000001</v>
      </c>
      <c r="O3685">
        <f>1164.81</f>
        <v>1164.81</v>
      </c>
      <c r="P3685">
        <f>77.77</f>
        <v>77.77</v>
      </c>
      <c r="Q3685">
        <f>593.78</f>
        <v>593.78</v>
      </c>
      <c r="R3685">
        <f>1435.48</f>
        <v>1435.48</v>
      </c>
      <c r="S3685">
        <f>1077.76</f>
        <v>1077.76</v>
      </c>
      <c r="T3685">
        <f>945.22</f>
        <v>945.22</v>
      </c>
      <c r="U3685">
        <f>21705.14</f>
        <v>21705.14</v>
      </c>
      <c r="V3685">
        <f>129.25</f>
        <v>129.25</v>
      </c>
    </row>
    <row r="3686" spans="1:22" x14ac:dyDescent="0.2">
      <c r="A3686" s="1">
        <v>39947</v>
      </c>
      <c r="B3686">
        <f>1783.77</f>
        <v>1783.77</v>
      </c>
      <c r="C3686">
        <f>5299.97</f>
        <v>5299.97</v>
      </c>
      <c r="D3686">
        <f>2699.33</f>
        <v>2699.33</v>
      </c>
      <c r="E3686">
        <f>1203.936</f>
        <v>1203.9359999999999</v>
      </c>
      <c r="F3686">
        <f>892.63</f>
        <v>892.63</v>
      </c>
      <c r="G3686">
        <f>4151.43</f>
        <v>4151.43</v>
      </c>
      <c r="H3686">
        <f>1604.53</f>
        <v>1604.53</v>
      </c>
      <c r="I3686">
        <f>4685.311</f>
        <v>4685.3109999999997</v>
      </c>
      <c r="J3686">
        <f>1027.59</f>
        <v>1027.5899999999999</v>
      </c>
      <c r="K3686">
        <f>3012.47</f>
        <v>3012.47</v>
      </c>
      <c r="L3686">
        <f>724.98</f>
        <v>724.98</v>
      </c>
      <c r="M3686">
        <f>2966.46</f>
        <v>2966.46</v>
      </c>
      <c r="N3686">
        <f>111.575</f>
        <v>111.575</v>
      </c>
      <c r="O3686">
        <f>1160.16</f>
        <v>1160.1600000000001</v>
      </c>
      <c r="P3686">
        <f>76.33</f>
        <v>76.33</v>
      </c>
      <c r="Q3686">
        <f>600.3</f>
        <v>600.29999999999995</v>
      </c>
      <c r="R3686">
        <f>1451.79</f>
        <v>1451.79</v>
      </c>
      <c r="S3686">
        <f>1054.54</f>
        <v>1054.54</v>
      </c>
      <c r="T3686">
        <f>932.664</f>
        <v>932.66399999999999</v>
      </c>
      <c r="U3686">
        <f>21396.35</f>
        <v>21396.35</v>
      </c>
      <c r="V3686">
        <f>128.08</f>
        <v>128.08000000000001</v>
      </c>
    </row>
    <row r="3687" spans="1:22" x14ac:dyDescent="0.2">
      <c r="A3687" s="1">
        <v>39946</v>
      </c>
      <c r="B3687">
        <f>1774.43</f>
        <v>1774.43</v>
      </c>
      <c r="C3687">
        <f>5388.92</f>
        <v>5388.92</v>
      </c>
      <c r="D3687">
        <f>2680.02</f>
        <v>2680.02</v>
      </c>
      <c r="E3687">
        <f>1221.801</f>
        <v>1221.8009999999999</v>
      </c>
      <c r="F3687">
        <f>884.27</f>
        <v>884.27</v>
      </c>
      <c r="G3687">
        <f>4126.938</f>
        <v>4126.9380000000001</v>
      </c>
      <c r="H3687">
        <f>1656.49</f>
        <v>1656.49</v>
      </c>
      <c r="I3687">
        <f>4674.781</f>
        <v>4674.7809999999999</v>
      </c>
      <c r="J3687">
        <f>1013.8</f>
        <v>1013.8</v>
      </c>
      <c r="K3687">
        <f>2981.5</f>
        <v>2981.5</v>
      </c>
      <c r="L3687">
        <f>723.56</f>
        <v>723.56</v>
      </c>
      <c r="M3687">
        <f>2962.11</f>
        <v>2962.11</v>
      </c>
      <c r="N3687">
        <f>109.809</f>
        <v>109.809</v>
      </c>
      <c r="O3687">
        <f>1153.86</f>
        <v>1153.8599999999999</v>
      </c>
      <c r="P3687">
        <f>77.49</f>
        <v>77.489999999999995</v>
      </c>
      <c r="Q3687">
        <f>592.94</f>
        <v>592.94000000000005</v>
      </c>
      <c r="R3687">
        <f>1436.74</f>
        <v>1436.74</v>
      </c>
      <c r="S3687">
        <f>1086.44</f>
        <v>1086.44</v>
      </c>
      <c r="T3687">
        <f>932.072</f>
        <v>932.072</v>
      </c>
      <c r="U3687">
        <f>21289.67</f>
        <v>21289.67</v>
      </c>
      <c r="V3687">
        <f>126.95</f>
        <v>126.95</v>
      </c>
    </row>
    <row r="3688" spans="1:22" x14ac:dyDescent="0.2">
      <c r="A3688" s="1">
        <v>39945</v>
      </c>
      <c r="B3688">
        <f>1839.86</f>
        <v>1839.86</v>
      </c>
      <c r="C3688">
        <f>5449.23</f>
        <v>5449.23</v>
      </c>
      <c r="D3688">
        <f>2733.57</f>
        <v>2733.57</v>
      </c>
      <c r="E3688">
        <f>1241.162</f>
        <v>1241.162</v>
      </c>
      <c r="F3688">
        <f>912.84</f>
        <v>912.84</v>
      </c>
      <c r="G3688">
        <f>4241.295</f>
        <v>4241.2950000000001</v>
      </c>
      <c r="H3688">
        <f>1651.29</f>
        <v>1651.29</v>
      </c>
      <c r="I3688">
        <f>4808.363</f>
        <v>4808.3630000000003</v>
      </c>
      <c r="J3688">
        <f>1044.12</f>
        <v>1044.1199999999999</v>
      </c>
      <c r="K3688">
        <f>3063.56</f>
        <v>3063.56</v>
      </c>
      <c r="L3688">
        <f>744.15</f>
        <v>744.15</v>
      </c>
      <c r="M3688">
        <f>3030.98</f>
        <v>3030.98</v>
      </c>
      <c r="N3688">
        <f>114.462</f>
        <v>114.462</v>
      </c>
      <c r="O3688">
        <f>1182.14</f>
        <v>1182.1400000000001</v>
      </c>
      <c r="P3688">
        <f>77.57</f>
        <v>77.569999999999993</v>
      </c>
      <c r="Q3688">
        <f>613.82</f>
        <v>613.82000000000005</v>
      </c>
      <c r="R3688">
        <f>1475.83</f>
        <v>1475.83</v>
      </c>
      <c r="S3688">
        <f>1082.38</f>
        <v>1082.3800000000001</v>
      </c>
      <c r="T3688">
        <f>951.605</f>
        <v>951.60500000000002</v>
      </c>
      <c r="U3688">
        <f>21930.52</f>
        <v>21930.52</v>
      </c>
      <c r="V3688">
        <f>131.29</f>
        <v>131.29</v>
      </c>
    </row>
    <row r="3689" spans="1:22" x14ac:dyDescent="0.2">
      <c r="A3689" s="1">
        <v>39944</v>
      </c>
      <c r="B3689">
        <f>1847.54</f>
        <v>1847.54</v>
      </c>
      <c r="C3689">
        <f>5503.99</f>
        <v>5503.99</v>
      </c>
      <c r="D3689">
        <f>2739.72</f>
        <v>2739.72</v>
      </c>
      <c r="E3689">
        <f>1245.035</f>
        <v>1245.0350000000001</v>
      </c>
      <c r="F3689">
        <f>903.1</f>
        <v>903.1</v>
      </c>
      <c r="G3689">
        <f>4208.501</f>
        <v>4208.5010000000002</v>
      </c>
      <c r="H3689">
        <f>1669.26</f>
        <v>1669.26</v>
      </c>
      <c r="I3689">
        <f>4819.122</f>
        <v>4819.1220000000003</v>
      </c>
      <c r="J3689">
        <f>1046.12</f>
        <v>1046.1199999999999</v>
      </c>
      <c r="K3689">
        <f>3066.73</f>
        <v>3066.73</v>
      </c>
      <c r="L3689">
        <f>745.15</f>
        <v>745.15</v>
      </c>
      <c r="M3689">
        <f>3035.84</f>
        <v>3035.84</v>
      </c>
      <c r="N3689">
        <f>115.699</f>
        <v>115.699</v>
      </c>
      <c r="O3689">
        <f>1184.08</f>
        <v>1184.08</v>
      </c>
      <c r="P3689">
        <f>78.35</f>
        <v>78.349999999999994</v>
      </c>
      <c r="Q3689">
        <f>617.9</f>
        <v>617.9</v>
      </c>
      <c r="R3689">
        <f>1477.2</f>
        <v>1477.2</v>
      </c>
      <c r="S3689">
        <f>1100.74</f>
        <v>1100.74</v>
      </c>
      <c r="T3689">
        <f>951.396</f>
        <v>951.39599999999996</v>
      </c>
      <c r="U3689">
        <f>21861.99</f>
        <v>21861.99</v>
      </c>
      <c r="V3689">
        <f>131.96</f>
        <v>131.96</v>
      </c>
    </row>
    <row r="3690" spans="1:22" x14ac:dyDescent="0.2">
      <c r="A3690" s="1">
        <v>39941</v>
      </c>
      <c r="B3690">
        <f>1870.22</f>
        <v>1870.22</v>
      </c>
      <c r="C3690">
        <f>5506.86</f>
        <v>5506.86</v>
      </c>
      <c r="D3690">
        <f>2756.15</f>
        <v>2756.15</v>
      </c>
      <c r="E3690">
        <f>1247.609</f>
        <v>1247.6089999999999</v>
      </c>
      <c r="F3690">
        <f>908.52</f>
        <v>908.52</v>
      </c>
      <c r="G3690">
        <f>4222.183</f>
        <v>4222.183</v>
      </c>
      <c r="H3690">
        <f>1639.7</f>
        <v>1639.7</v>
      </c>
      <c r="I3690">
        <f>4837.978</f>
        <v>4837.9780000000001</v>
      </c>
      <c r="J3690">
        <f>1077.32</f>
        <v>1077.32</v>
      </c>
      <c r="K3690">
        <f>3131.64</f>
        <v>3131.64</v>
      </c>
      <c r="L3690">
        <f>755.08</f>
        <v>755.08</v>
      </c>
      <c r="M3690">
        <f>3067.22</f>
        <v>3067.22</v>
      </c>
      <c r="N3690">
        <f>117.515</f>
        <v>117.515</v>
      </c>
      <c r="O3690">
        <f>1199.81</f>
        <v>1199.81</v>
      </c>
      <c r="P3690">
        <f>78.1</f>
        <v>78.099999999999994</v>
      </c>
      <c r="Q3690">
        <f>638.01</f>
        <v>638.01</v>
      </c>
      <c r="R3690">
        <f>1509.14</f>
        <v>1509.14</v>
      </c>
      <c r="S3690">
        <f>1094.5</f>
        <v>1094.5</v>
      </c>
      <c r="T3690">
        <f>947.964</f>
        <v>947.96400000000006</v>
      </c>
      <c r="U3690">
        <f>21840.51</f>
        <v>21840.51</v>
      </c>
      <c r="V3690">
        <f>131.95</f>
        <v>131.94999999999999</v>
      </c>
    </row>
    <row r="3691" spans="1:22" x14ac:dyDescent="0.2">
      <c r="A3691" s="1">
        <v>39940</v>
      </c>
      <c r="B3691">
        <f>1873.75</f>
        <v>1873.75</v>
      </c>
      <c r="C3691">
        <f>5436.71</f>
        <v>5436.71</v>
      </c>
      <c r="D3691">
        <f>2716.98</f>
        <v>2716.98</v>
      </c>
      <c r="E3691">
        <f>1229.852</f>
        <v>1229.8520000000001</v>
      </c>
      <c r="F3691">
        <f>902</f>
        <v>902</v>
      </c>
      <c r="G3691">
        <f>4158.383</f>
        <v>4158.3829999999998</v>
      </c>
      <c r="H3691">
        <f>1637.07</f>
        <v>1637.07</v>
      </c>
      <c r="I3691">
        <f>4723.23</f>
        <v>4723.2299999999996</v>
      </c>
      <c r="J3691">
        <f>1044.44</f>
        <v>1044.44</v>
      </c>
      <c r="K3691">
        <f>3057.94</f>
        <v>3057.94</v>
      </c>
      <c r="L3691">
        <f>735.08</f>
        <v>735.08</v>
      </c>
      <c r="M3691">
        <f>3003.88</f>
        <v>3003.88</v>
      </c>
      <c r="N3691">
        <f>117.148</f>
        <v>117.148</v>
      </c>
      <c r="O3691">
        <f>1179.48</f>
        <v>1179.48</v>
      </c>
      <c r="P3691">
        <f>77.14</f>
        <v>77.14</v>
      </c>
      <c r="Q3691">
        <f>616.31</f>
        <v>616.30999999999995</v>
      </c>
      <c r="R3691">
        <f>1473.66</f>
        <v>1473.66</v>
      </c>
      <c r="S3691">
        <f>1082.99</f>
        <v>1082.99</v>
      </c>
      <c r="T3691">
        <f>942.114</f>
        <v>942.11400000000003</v>
      </c>
      <c r="U3691">
        <f>21539.81</f>
        <v>21539.81</v>
      </c>
      <c r="V3691">
        <f>130.42</f>
        <v>130.41999999999999</v>
      </c>
    </row>
    <row r="3692" spans="1:22" x14ac:dyDescent="0.2">
      <c r="A3692" s="1">
        <v>39939</v>
      </c>
      <c r="B3692">
        <f>1884.72</f>
        <v>1884.72</v>
      </c>
      <c r="C3692">
        <f>5427.52</f>
        <v>5427.52</v>
      </c>
      <c r="D3692">
        <f>2715.63</f>
        <v>2715.63</v>
      </c>
      <c r="E3692">
        <f>1224.428</f>
        <v>1224.4280000000001</v>
      </c>
      <c r="F3692">
        <f>944.92</f>
        <v>944.92</v>
      </c>
      <c r="G3692">
        <f>4162.117</f>
        <v>4162.1170000000002</v>
      </c>
      <c r="H3692">
        <f>1553.22</f>
        <v>1553.22</v>
      </c>
      <c r="I3692">
        <f>4712.455</f>
        <v>4712.4549999999999</v>
      </c>
      <c r="J3692">
        <f>1055.53</f>
        <v>1055.53</v>
      </c>
      <c r="K3692">
        <f>3100.22</f>
        <v>3100.22</v>
      </c>
      <c r="L3692">
        <f>736.45</f>
        <v>736.45</v>
      </c>
      <c r="M3692">
        <f>3005.51</f>
        <v>3005.51</v>
      </c>
      <c r="N3692">
        <f>118.57</f>
        <v>118.57</v>
      </c>
      <c r="O3692">
        <f>1189.27</f>
        <v>1189.27</v>
      </c>
      <c r="P3692" t="e">
        <f>NA()</f>
        <v>#N/A</v>
      </c>
      <c r="Q3692">
        <f>626.83</f>
        <v>626.83000000000004</v>
      </c>
      <c r="R3692">
        <f>1493.31</f>
        <v>1493.31</v>
      </c>
      <c r="S3692" t="e">
        <f>NA()</f>
        <v>#N/A</v>
      </c>
      <c r="T3692">
        <f>950.947</f>
        <v>950.947</v>
      </c>
      <c r="U3692">
        <f>21783.43</f>
        <v>21783.43</v>
      </c>
      <c r="V3692">
        <f>131.45</f>
        <v>131.44999999999999</v>
      </c>
    </row>
    <row r="3693" spans="1:22" x14ac:dyDescent="0.2">
      <c r="A3693" s="1">
        <v>39938</v>
      </c>
      <c r="B3693">
        <f>1888.77</f>
        <v>1888.77</v>
      </c>
      <c r="C3693">
        <f>5357.93</f>
        <v>5357.93</v>
      </c>
      <c r="D3693">
        <f>2673.56</f>
        <v>2673.56</v>
      </c>
      <c r="E3693">
        <f>1210.696</f>
        <v>1210.6959999999999</v>
      </c>
      <c r="F3693">
        <f>949.44</f>
        <v>949.44</v>
      </c>
      <c r="G3693">
        <f>4104.976</f>
        <v>4104.9759999999997</v>
      </c>
      <c r="H3693">
        <f>1550.86</f>
        <v>1550.86</v>
      </c>
      <c r="I3693">
        <f>4664.568</f>
        <v>4664.5680000000002</v>
      </c>
      <c r="J3693">
        <f>1024.25</f>
        <v>1024.25</v>
      </c>
      <c r="K3693">
        <f>3049.18</f>
        <v>3049.18</v>
      </c>
      <c r="L3693">
        <f>721.78</f>
        <v>721.78</v>
      </c>
      <c r="M3693">
        <f>2964.69</f>
        <v>2964.69</v>
      </c>
      <c r="N3693">
        <f>117.055</f>
        <v>117.05500000000001</v>
      </c>
      <c r="O3693">
        <f>1171.45</f>
        <v>1171.45</v>
      </c>
      <c r="P3693" t="e">
        <f>NA()</f>
        <v>#N/A</v>
      </c>
      <c r="Q3693">
        <f>616.45</f>
        <v>616.45000000000005</v>
      </c>
      <c r="R3693">
        <f>1467.25</f>
        <v>1467.25</v>
      </c>
      <c r="S3693" t="e">
        <f>NA()</f>
        <v>#N/A</v>
      </c>
      <c r="T3693">
        <f>954.005</f>
        <v>954.005</v>
      </c>
      <c r="U3693">
        <f>21331.94</f>
        <v>21331.94</v>
      </c>
      <c r="V3693">
        <f>129.58</f>
        <v>129.58000000000001</v>
      </c>
    </row>
    <row r="3694" spans="1:22" x14ac:dyDescent="0.2">
      <c r="A3694" s="1">
        <v>39937</v>
      </c>
      <c r="B3694" t="e">
        <f>NA()</f>
        <v>#N/A</v>
      </c>
      <c r="C3694">
        <f>5338.68</f>
        <v>5338.68</v>
      </c>
      <c r="D3694" t="e">
        <f>NA()</f>
        <v>#N/A</v>
      </c>
      <c r="E3694">
        <f>1204.827</f>
        <v>1204.827</v>
      </c>
      <c r="F3694">
        <f>910.49</f>
        <v>910.49</v>
      </c>
      <c r="G3694">
        <f>3984.265</f>
        <v>3984.2649999999999</v>
      </c>
      <c r="H3694">
        <f>1542.67</f>
        <v>1542.67</v>
      </c>
      <c r="I3694">
        <f>4679.339</f>
        <v>4679.3389999999999</v>
      </c>
      <c r="J3694">
        <f>1027.97</f>
        <v>1027.97</v>
      </c>
      <c r="K3694">
        <f>3061.37</f>
        <v>3061.37</v>
      </c>
      <c r="L3694">
        <f>718.7</f>
        <v>718.7</v>
      </c>
      <c r="M3694">
        <f>2960.91</f>
        <v>2960.91</v>
      </c>
      <c r="N3694">
        <f>114.066</f>
        <v>114.066</v>
      </c>
      <c r="O3694">
        <f>1162.32</f>
        <v>1162.32</v>
      </c>
      <c r="P3694" t="e">
        <f>NA()</f>
        <v>#N/A</v>
      </c>
      <c r="Q3694">
        <f>620.54</f>
        <v>620.54</v>
      </c>
      <c r="R3694">
        <f>1472.64</f>
        <v>1472.64</v>
      </c>
      <c r="S3694" t="e">
        <f>NA()</f>
        <v>#N/A</v>
      </c>
      <c r="T3694">
        <f>958.408</f>
        <v>958.40800000000002</v>
      </c>
      <c r="U3694">
        <f>21383.43</f>
        <v>21383.43</v>
      </c>
      <c r="V3694">
        <f>129.43</f>
        <v>129.43</v>
      </c>
    </row>
    <row r="3695" spans="1:22" x14ac:dyDescent="0.2">
      <c r="A3695" s="1">
        <v>39934</v>
      </c>
      <c r="B3695">
        <f>1830.17</f>
        <v>1830.17</v>
      </c>
      <c r="C3695">
        <f>5022.67</f>
        <v>5022.67</v>
      </c>
      <c r="D3695">
        <f>2615.79</f>
        <v>2615.79</v>
      </c>
      <c r="E3695">
        <f>1139.02</f>
        <v>1139.02</v>
      </c>
      <c r="F3695">
        <f>903.68</f>
        <v>903.68</v>
      </c>
      <c r="G3695">
        <f>3954.452</f>
        <v>3954.4520000000002</v>
      </c>
      <c r="H3695">
        <f>1543.6</f>
        <v>1543.6</v>
      </c>
      <c r="I3695">
        <f>4529.2</f>
        <v>4529.2</v>
      </c>
      <c r="J3695">
        <f>982.44</f>
        <v>982.44</v>
      </c>
      <c r="K3695">
        <f>2961.25</f>
        <v>2961.25</v>
      </c>
      <c r="L3695">
        <f>692.51</f>
        <v>692.51</v>
      </c>
      <c r="M3695">
        <f>2877.7</f>
        <v>2877.7</v>
      </c>
      <c r="N3695">
        <f>113.312</f>
        <v>113.312</v>
      </c>
      <c r="O3695">
        <f>1143.49</f>
        <v>1143.49</v>
      </c>
      <c r="P3695">
        <f>74.41</f>
        <v>74.41</v>
      </c>
      <c r="Q3695">
        <f>601.92</f>
        <v>601.91999999999996</v>
      </c>
      <c r="R3695">
        <f>1424.41</f>
        <v>1424.41</v>
      </c>
      <c r="S3695">
        <f>1035.21</f>
        <v>1035.21</v>
      </c>
      <c r="T3695" t="e">
        <f>NA()</f>
        <v>#N/A</v>
      </c>
      <c r="U3695" t="e">
        <f>NA()</f>
        <v>#N/A</v>
      </c>
      <c r="V3695" t="e">
        <f>NA()</f>
        <v>#N/A</v>
      </c>
    </row>
    <row r="3696" spans="1:22" x14ac:dyDescent="0.2">
      <c r="A3696" s="1">
        <v>39933</v>
      </c>
      <c r="B3696">
        <f>1831.07</f>
        <v>1831.07</v>
      </c>
      <c r="C3696">
        <f>5017.68</f>
        <v>5017.68</v>
      </c>
      <c r="D3696">
        <f>2616.09</f>
        <v>2616.09</v>
      </c>
      <c r="E3696">
        <f>1138.841</f>
        <v>1138.8409999999999</v>
      </c>
      <c r="F3696">
        <f>898.86</f>
        <v>898.86</v>
      </c>
      <c r="G3696">
        <f>3945.008</f>
        <v>3945.0079999999998</v>
      </c>
      <c r="H3696">
        <f>1522.43</f>
        <v>1522.43</v>
      </c>
      <c r="I3696">
        <f>4525.96</f>
        <v>4525.96</v>
      </c>
      <c r="J3696">
        <f>978.03</f>
        <v>978.03</v>
      </c>
      <c r="K3696">
        <f>2945.48</f>
        <v>2945.48</v>
      </c>
      <c r="L3696">
        <f>692.14</f>
        <v>692.14</v>
      </c>
      <c r="M3696">
        <f>2867.37</f>
        <v>2867.37</v>
      </c>
      <c r="N3696">
        <f>113.239</f>
        <v>113.239</v>
      </c>
      <c r="O3696">
        <f>1142.36</f>
        <v>1142.3599999999999</v>
      </c>
      <c r="P3696">
        <f>73.73</f>
        <v>73.73</v>
      </c>
      <c r="Q3696">
        <f>598.14</f>
        <v>598.14</v>
      </c>
      <c r="R3696">
        <f>1416.73</f>
        <v>1416.73</v>
      </c>
      <c r="S3696">
        <f>1024.13</f>
        <v>1024.1300000000001</v>
      </c>
      <c r="T3696">
        <f>926.84</f>
        <v>926.84</v>
      </c>
      <c r="U3696">
        <f>20647.03</f>
        <v>20647.03</v>
      </c>
      <c r="V3696">
        <f>124.95</f>
        <v>124.95</v>
      </c>
    </row>
    <row r="3697" spans="1:22" x14ac:dyDescent="0.2">
      <c r="A3697" s="1">
        <v>39932</v>
      </c>
      <c r="B3697">
        <f>1781.38</f>
        <v>1781.38</v>
      </c>
      <c r="C3697">
        <f>4811.26</f>
        <v>4811.26</v>
      </c>
      <c r="D3697">
        <f>2582.72</f>
        <v>2582.7199999999998</v>
      </c>
      <c r="E3697">
        <f>1109.032</f>
        <v>1109.0319999999999</v>
      </c>
      <c r="F3697">
        <f>874.89</f>
        <v>874.89</v>
      </c>
      <c r="G3697">
        <f>3877.681</f>
        <v>3877.681</v>
      </c>
      <c r="H3697">
        <f>1483.01</f>
        <v>1483.01</v>
      </c>
      <c r="I3697">
        <f>4468.249</f>
        <v>4468.2489999999998</v>
      </c>
      <c r="J3697">
        <f>975.64</f>
        <v>975.64</v>
      </c>
      <c r="K3697">
        <f>2947.45</f>
        <v>2947.45</v>
      </c>
      <c r="L3697">
        <f>683.77</f>
        <v>683.77</v>
      </c>
      <c r="M3697">
        <f>2844.14</f>
        <v>2844.14</v>
      </c>
      <c r="N3697">
        <f>109.825</f>
        <v>109.825</v>
      </c>
      <c r="O3697">
        <f>1124.1</f>
        <v>1124.0999999999999</v>
      </c>
      <c r="P3697" t="e">
        <f>NA()</f>
        <v>#N/A</v>
      </c>
      <c r="Q3697">
        <f>598.2</f>
        <v>598.20000000000005</v>
      </c>
      <c r="R3697">
        <f>1417.99</f>
        <v>1417.99</v>
      </c>
      <c r="S3697" t="e">
        <f>NA()</f>
        <v>#N/A</v>
      </c>
      <c r="T3697">
        <f>924.299</f>
        <v>924.29899999999998</v>
      </c>
      <c r="U3697">
        <f>20481.77</f>
        <v>20481.77</v>
      </c>
      <c r="V3697">
        <f>123.08</f>
        <v>123.08</v>
      </c>
    </row>
    <row r="3698" spans="1:22" x14ac:dyDescent="0.2">
      <c r="A3698" s="1">
        <v>39931</v>
      </c>
      <c r="B3698">
        <f>1712.55</f>
        <v>1712.55</v>
      </c>
      <c r="C3698">
        <f>4676.22</f>
        <v>4676.22</v>
      </c>
      <c r="D3698">
        <f>2521.69</f>
        <v>2521.69</v>
      </c>
      <c r="E3698">
        <f>1071.469</f>
        <v>1071.4690000000001</v>
      </c>
      <c r="F3698">
        <f>840.8</f>
        <v>840.8</v>
      </c>
      <c r="G3698">
        <f>3757.196</f>
        <v>3757.1959999999999</v>
      </c>
      <c r="H3698">
        <f>1489.08</f>
        <v>1489.08</v>
      </c>
      <c r="I3698">
        <f>4306.482</f>
        <v>4306.482</v>
      </c>
      <c r="J3698">
        <f>957.42</f>
        <v>957.42</v>
      </c>
      <c r="K3698">
        <f>2883.5</f>
        <v>2883.5</v>
      </c>
      <c r="L3698">
        <f>664.4</f>
        <v>664.4</v>
      </c>
      <c r="M3698">
        <f>2779.19</f>
        <v>2779.19</v>
      </c>
      <c r="N3698">
        <f>105.491</f>
        <v>105.491</v>
      </c>
      <c r="O3698">
        <f>1100.69</f>
        <v>1100.69</v>
      </c>
      <c r="P3698">
        <f>71.44</f>
        <v>71.44</v>
      </c>
      <c r="Q3698">
        <f>584.37</f>
        <v>584.37</v>
      </c>
      <c r="R3698">
        <f>1387.82</f>
        <v>1387.82</v>
      </c>
      <c r="S3698">
        <f>992.6</f>
        <v>992.6</v>
      </c>
      <c r="T3698">
        <f>917.827</f>
        <v>917.827</v>
      </c>
      <c r="U3698">
        <f>20281.12</f>
        <v>20281.12</v>
      </c>
      <c r="V3698">
        <f>121.99</f>
        <v>121.99</v>
      </c>
    </row>
    <row r="3699" spans="1:22" x14ac:dyDescent="0.2">
      <c r="A3699" s="1">
        <v>39930</v>
      </c>
      <c r="B3699">
        <f>1745.5</f>
        <v>1745.5</v>
      </c>
      <c r="C3699">
        <f>4732.88</f>
        <v>4732.88</v>
      </c>
      <c r="D3699">
        <f>2565.16</f>
        <v>2565.16</v>
      </c>
      <c r="E3699">
        <f>1088.151</f>
        <v>1088.1510000000001</v>
      </c>
      <c r="F3699">
        <f>861.48</f>
        <v>861.48</v>
      </c>
      <c r="G3699">
        <f>3824.017</f>
        <v>3824.0169999999998</v>
      </c>
      <c r="H3699">
        <f>1544.06</f>
        <v>1544.06</v>
      </c>
      <c r="I3699">
        <f>4391.259</f>
        <v>4391.259</v>
      </c>
      <c r="J3699">
        <f>962.08</f>
        <v>962.08</v>
      </c>
      <c r="K3699">
        <f>2891.11</f>
        <v>2891.11</v>
      </c>
      <c r="L3699">
        <f>674.42</f>
        <v>674.42</v>
      </c>
      <c r="M3699">
        <f>2811.36</f>
        <v>2811.36</v>
      </c>
      <c r="N3699">
        <f>107.655</f>
        <v>107.655</v>
      </c>
      <c r="O3699">
        <f>1118.23</f>
        <v>1118.23</v>
      </c>
      <c r="P3699">
        <f>73.68</f>
        <v>73.680000000000007</v>
      </c>
      <c r="Q3699">
        <f>589.33</f>
        <v>589.33000000000004</v>
      </c>
      <c r="R3699">
        <f>1391.58</f>
        <v>1391.58</v>
      </c>
      <c r="S3699">
        <f>1018.4</f>
        <v>1018.4</v>
      </c>
      <c r="T3699" t="e">
        <f>NA()</f>
        <v>#N/A</v>
      </c>
      <c r="U3699" t="e">
        <f>NA()</f>
        <v>#N/A</v>
      </c>
      <c r="V3699" t="e">
        <f>NA()</f>
        <v>#N/A</v>
      </c>
    </row>
    <row r="3700" spans="1:22" x14ac:dyDescent="0.2">
      <c r="A3700" s="1">
        <v>39927</v>
      </c>
      <c r="B3700">
        <f>1744.7</f>
        <v>1744.7</v>
      </c>
      <c r="C3700">
        <f>4837.15</f>
        <v>4837.1499999999996</v>
      </c>
      <c r="D3700">
        <f>2558.38</f>
        <v>2558.38</v>
      </c>
      <c r="E3700">
        <f>1112.578</f>
        <v>1112.578</v>
      </c>
      <c r="F3700">
        <f>852.36</f>
        <v>852.36</v>
      </c>
      <c r="G3700">
        <f>3829.327</f>
        <v>3829.3270000000002</v>
      </c>
      <c r="H3700">
        <f>1532.22</f>
        <v>1532.22</v>
      </c>
      <c r="I3700">
        <f>4424.236</f>
        <v>4424.2359999999999</v>
      </c>
      <c r="J3700">
        <f>974.52</f>
        <v>974.52</v>
      </c>
      <c r="K3700">
        <f>2920.22</f>
        <v>2920.22</v>
      </c>
      <c r="L3700">
        <f>678.83</f>
        <v>678.83</v>
      </c>
      <c r="M3700">
        <f>2829.91</f>
        <v>2829.91</v>
      </c>
      <c r="N3700">
        <f>107.087</f>
        <v>107.087</v>
      </c>
      <c r="O3700">
        <f>1112.78</f>
        <v>1112.78</v>
      </c>
      <c r="P3700">
        <f>73.39</f>
        <v>73.39</v>
      </c>
      <c r="Q3700">
        <f>597.87</f>
        <v>597.87</v>
      </c>
      <c r="R3700">
        <f>1405.74</f>
        <v>1405.74</v>
      </c>
      <c r="S3700">
        <f>1014.67</f>
        <v>1014.67</v>
      </c>
      <c r="T3700">
        <f>913.609</f>
        <v>913.60900000000004</v>
      </c>
      <c r="U3700">
        <f>20675.13</f>
        <v>20675.13</v>
      </c>
      <c r="V3700">
        <f>122.86</f>
        <v>122.86</v>
      </c>
    </row>
    <row r="3701" spans="1:22" x14ac:dyDescent="0.2">
      <c r="A3701" s="1">
        <v>39926</v>
      </c>
      <c r="B3701">
        <f>1688.56</f>
        <v>1688.56</v>
      </c>
      <c r="C3701">
        <f>4774.85</f>
        <v>4774.8500000000004</v>
      </c>
      <c r="D3701">
        <f>2473.58</f>
        <v>2473.58</v>
      </c>
      <c r="E3701">
        <f>1098.612</f>
        <v>1098.6120000000001</v>
      </c>
      <c r="F3701">
        <f>831.72</f>
        <v>831.72</v>
      </c>
      <c r="G3701">
        <f>3676.318</f>
        <v>3676.3180000000002</v>
      </c>
      <c r="H3701">
        <f>1544.25</f>
        <v>1544.25</v>
      </c>
      <c r="I3701">
        <f>4254.509</f>
        <v>4254.509</v>
      </c>
      <c r="J3701">
        <f>962.29</f>
        <v>962.29</v>
      </c>
      <c r="K3701">
        <f>2870.46</f>
        <v>2870.46</v>
      </c>
      <c r="L3701">
        <f>660.23</f>
        <v>660.23</v>
      </c>
      <c r="M3701">
        <f>2770.55</f>
        <v>2770.55</v>
      </c>
      <c r="N3701">
        <f>105.076</f>
        <v>105.07599999999999</v>
      </c>
      <c r="O3701">
        <f>1087.35</f>
        <v>1087.3499999999999</v>
      </c>
      <c r="P3701">
        <f>74.26</f>
        <v>74.260000000000005</v>
      </c>
      <c r="Q3701">
        <f>585.24</f>
        <v>585.24</v>
      </c>
      <c r="R3701">
        <f>1382.52</f>
        <v>1382.52</v>
      </c>
      <c r="S3701">
        <f>1026.21</f>
        <v>1026.21</v>
      </c>
      <c r="T3701">
        <f>910.979</f>
        <v>910.97900000000004</v>
      </c>
      <c r="U3701">
        <f>20322.48</f>
        <v>20322.48</v>
      </c>
      <c r="V3701">
        <f>120.78</f>
        <v>120.78</v>
      </c>
    </row>
    <row r="3702" spans="1:22" x14ac:dyDescent="0.2">
      <c r="A3702" s="1">
        <v>39925</v>
      </c>
      <c r="B3702">
        <f>1693.68</f>
        <v>1693.68</v>
      </c>
      <c r="C3702">
        <f>4726.92</f>
        <v>4726.92</v>
      </c>
      <c r="D3702">
        <f>2481.23</f>
        <v>2481.23</v>
      </c>
      <c r="E3702">
        <f>1080.246</f>
        <v>1080.2460000000001</v>
      </c>
      <c r="F3702">
        <f>842.89</f>
        <v>842.89</v>
      </c>
      <c r="G3702">
        <f>3670.229</f>
        <v>3670.2289999999998</v>
      </c>
      <c r="H3702">
        <f>1524.6</f>
        <v>1524.6</v>
      </c>
      <c r="I3702">
        <f>4258.701</f>
        <v>4258.701</v>
      </c>
      <c r="J3702">
        <f>948.53</f>
        <v>948.53</v>
      </c>
      <c r="K3702">
        <f>2844.17</f>
        <v>2844.17</v>
      </c>
      <c r="L3702">
        <f>654.7</f>
        <v>654.70000000000005</v>
      </c>
      <c r="M3702">
        <f>2748.23</f>
        <v>2748.23</v>
      </c>
      <c r="N3702">
        <f>105.461</f>
        <v>105.461</v>
      </c>
      <c r="O3702">
        <f>1089.83</f>
        <v>1089.83</v>
      </c>
      <c r="P3702">
        <f>73.15</f>
        <v>73.150000000000006</v>
      </c>
      <c r="Q3702">
        <f>581.93</f>
        <v>581.92999999999995</v>
      </c>
      <c r="R3702">
        <f>1368.92</f>
        <v>1368.92</v>
      </c>
      <c r="S3702">
        <f>1014.55</f>
        <v>1014.55</v>
      </c>
      <c r="T3702" t="e">
        <f>NA()</f>
        <v>#N/A</v>
      </c>
      <c r="U3702" t="e">
        <f>NA()</f>
        <v>#N/A</v>
      </c>
      <c r="V3702" t="e">
        <f>NA()</f>
        <v>#N/A</v>
      </c>
    </row>
    <row r="3703" spans="1:22" x14ac:dyDescent="0.2">
      <c r="A3703" s="1">
        <v>39924</v>
      </c>
      <c r="B3703">
        <f>1657.21</f>
        <v>1657.21</v>
      </c>
      <c r="C3703">
        <f>4722.29</f>
        <v>4722.29</v>
      </c>
      <c r="D3703">
        <f>2451.82</f>
        <v>2451.8200000000002</v>
      </c>
      <c r="E3703">
        <f>1076.757</f>
        <v>1076.7570000000001</v>
      </c>
      <c r="F3703">
        <f>843.77</f>
        <v>843.77</v>
      </c>
      <c r="G3703">
        <f>3645.764</f>
        <v>3645.7640000000001</v>
      </c>
      <c r="H3703">
        <f>1520.73</f>
        <v>1520.73</v>
      </c>
      <c r="I3703">
        <f>4170.187</f>
        <v>4170.1869999999999</v>
      </c>
      <c r="J3703">
        <f>956.66</f>
        <v>956.66</v>
      </c>
      <c r="K3703">
        <f>2865.67</f>
        <v>2865.67</v>
      </c>
      <c r="L3703">
        <f>650.67</f>
        <v>650.66999999999996</v>
      </c>
      <c r="M3703">
        <f>2743.89</f>
        <v>2743.89</v>
      </c>
      <c r="N3703">
        <f>103.858</f>
        <v>103.858</v>
      </c>
      <c r="O3703">
        <f>1079.48</f>
        <v>1079.48</v>
      </c>
      <c r="P3703">
        <f>73.2</f>
        <v>73.2</v>
      </c>
      <c r="Q3703">
        <f>586.68</f>
        <v>586.67999999999995</v>
      </c>
      <c r="R3703">
        <f>1379.22</f>
        <v>1379.22</v>
      </c>
      <c r="S3703">
        <f>1015.48</f>
        <v>1015.48</v>
      </c>
      <c r="T3703">
        <f>891.504</f>
        <v>891.50400000000002</v>
      </c>
      <c r="U3703">
        <f>19798.43</f>
        <v>19798.43</v>
      </c>
      <c r="V3703">
        <f>117.99</f>
        <v>117.99</v>
      </c>
    </row>
    <row r="3704" spans="1:22" x14ac:dyDescent="0.2">
      <c r="A3704" s="1">
        <v>39923</v>
      </c>
      <c r="B3704">
        <f>1670.36</f>
        <v>1670.36</v>
      </c>
      <c r="C3704">
        <f>4751.98</f>
        <v>4751.9799999999996</v>
      </c>
      <c r="D3704">
        <f>2453.91</f>
        <v>2453.91</v>
      </c>
      <c r="E3704">
        <f>1087.379</f>
        <v>1087.3789999999999</v>
      </c>
      <c r="F3704">
        <f>852.26</f>
        <v>852.26</v>
      </c>
      <c r="G3704">
        <f>3629.451</f>
        <v>3629.451</v>
      </c>
      <c r="H3704">
        <f>1573.1</f>
        <v>1573.1</v>
      </c>
      <c r="I3704">
        <f>4150.81</f>
        <v>4150.8100000000004</v>
      </c>
      <c r="J3704">
        <f>933.71</f>
        <v>933.71</v>
      </c>
      <c r="K3704">
        <f>2806.15</f>
        <v>2806.15</v>
      </c>
      <c r="L3704">
        <f>643.3</f>
        <v>643.29999999999995</v>
      </c>
      <c r="M3704">
        <f>2720.27</f>
        <v>2720.27</v>
      </c>
      <c r="N3704">
        <f>103.759</f>
        <v>103.759</v>
      </c>
      <c r="O3704">
        <f>1076.66</f>
        <v>1076.6600000000001</v>
      </c>
      <c r="P3704">
        <f>74.88</f>
        <v>74.88</v>
      </c>
      <c r="Q3704">
        <f>569.45</f>
        <v>569.45000000000005</v>
      </c>
      <c r="R3704">
        <f>1350.52</f>
        <v>1350.52</v>
      </c>
      <c r="S3704">
        <f>1036.97</f>
        <v>1036.97</v>
      </c>
      <c r="T3704">
        <f>898.827</f>
        <v>898.827</v>
      </c>
      <c r="U3704">
        <f>20092.64</f>
        <v>20092.64</v>
      </c>
      <c r="V3704">
        <f>119.86</f>
        <v>119.86</v>
      </c>
    </row>
    <row r="3705" spans="1:22" x14ac:dyDescent="0.2">
      <c r="A3705" s="1">
        <v>39920</v>
      </c>
      <c r="B3705">
        <f>1742.84</f>
        <v>1742.84</v>
      </c>
      <c r="C3705">
        <f>4827.69</f>
        <v>4827.6899999999996</v>
      </c>
      <c r="D3705">
        <f>2516.59</f>
        <v>2516.59</v>
      </c>
      <c r="E3705">
        <f>1104.176</f>
        <v>1104.1759999999999</v>
      </c>
      <c r="F3705">
        <f>890.54</f>
        <v>890.54</v>
      </c>
      <c r="G3705">
        <f>3792.013</f>
        <v>3792.0129999999999</v>
      </c>
      <c r="H3705">
        <f>1545.05</f>
        <v>1545.05</v>
      </c>
      <c r="I3705">
        <f>4345.117</f>
        <v>4345.1170000000002</v>
      </c>
      <c r="J3705">
        <f>989.5</f>
        <v>989.5</v>
      </c>
      <c r="K3705">
        <f>2931.76</f>
        <v>2931.76</v>
      </c>
      <c r="L3705">
        <f>676.72</f>
        <v>676.72</v>
      </c>
      <c r="M3705">
        <f>2822.97</f>
        <v>2822.97</v>
      </c>
      <c r="N3705">
        <f>108.476</f>
        <v>108.476</v>
      </c>
      <c r="O3705">
        <f>1114.71</f>
        <v>1114.71</v>
      </c>
      <c r="P3705">
        <f>73.82</f>
        <v>73.819999999999993</v>
      </c>
      <c r="Q3705">
        <f>600.22</f>
        <v>600.22</v>
      </c>
      <c r="R3705">
        <f>1410.85</f>
        <v>1410.85</v>
      </c>
      <c r="S3705">
        <f>1033.63</f>
        <v>1033.6300000000001</v>
      </c>
      <c r="T3705">
        <f>920.687</f>
        <v>920.68700000000001</v>
      </c>
      <c r="U3705">
        <f>20814.69</f>
        <v>20814.689999999999</v>
      </c>
      <c r="V3705">
        <f>126.08</f>
        <v>126.08</v>
      </c>
    </row>
    <row r="3706" spans="1:22" x14ac:dyDescent="0.2">
      <c r="A3706" s="1">
        <v>39919</v>
      </c>
      <c r="B3706">
        <f>1699.16</f>
        <v>1699.16</v>
      </c>
      <c r="C3706">
        <f>4900.87</f>
        <v>4900.87</v>
      </c>
      <c r="D3706">
        <f>2492.11</f>
        <v>2492.11</v>
      </c>
      <c r="E3706">
        <f>1112.596</f>
        <v>1112.596</v>
      </c>
      <c r="F3706">
        <f>852.65</f>
        <v>852.65</v>
      </c>
      <c r="G3706">
        <f>3779.455</f>
        <v>3779.4549999999999</v>
      </c>
      <c r="H3706">
        <f>1500.81</f>
        <v>1500.81</v>
      </c>
      <c r="I3706">
        <f>4322.194</f>
        <v>4322.1940000000004</v>
      </c>
      <c r="J3706">
        <f>981.38</f>
        <v>981.38</v>
      </c>
      <c r="K3706">
        <f>2917.13</f>
        <v>2917.13</v>
      </c>
      <c r="L3706">
        <f>671.02</f>
        <v>671.02</v>
      </c>
      <c r="M3706">
        <f>2804.74</f>
        <v>2804.74</v>
      </c>
      <c r="N3706">
        <f>105.678</f>
        <v>105.678</v>
      </c>
      <c r="O3706">
        <f>1097.84</f>
        <v>1097.8399999999999</v>
      </c>
      <c r="P3706">
        <f>72.43</f>
        <v>72.430000000000007</v>
      </c>
      <c r="Q3706">
        <f>592.23</f>
        <v>592.23</v>
      </c>
      <c r="R3706">
        <f>1403.89</f>
        <v>1403.89</v>
      </c>
      <c r="S3706">
        <f>1017.1</f>
        <v>1017.1</v>
      </c>
      <c r="T3706">
        <f>919.66</f>
        <v>919.66</v>
      </c>
      <c r="U3706">
        <f>20936.87</f>
        <v>20936.87</v>
      </c>
      <c r="V3706">
        <f>125.67</f>
        <v>125.67</v>
      </c>
    </row>
    <row r="3707" spans="1:22" x14ac:dyDescent="0.2">
      <c r="A3707" s="1">
        <v>39918</v>
      </c>
      <c r="B3707">
        <f>1662.5</f>
        <v>1662.5</v>
      </c>
      <c r="C3707">
        <f>4848.36</f>
        <v>4848.3599999999997</v>
      </c>
      <c r="D3707">
        <f>2440.1</f>
        <v>2440.1</v>
      </c>
      <c r="E3707">
        <f>1104.199</f>
        <v>1104.1990000000001</v>
      </c>
      <c r="F3707">
        <f>830.18</f>
        <v>830.18</v>
      </c>
      <c r="G3707">
        <f>3717.099</f>
        <v>3717.0990000000002</v>
      </c>
      <c r="H3707">
        <f>1503.35</f>
        <v>1503.35</v>
      </c>
      <c r="I3707">
        <f>4238.448</f>
        <v>4238.4480000000003</v>
      </c>
      <c r="J3707">
        <f>970.93</f>
        <v>970.93</v>
      </c>
      <c r="K3707">
        <f>2871.1</f>
        <v>2871.1</v>
      </c>
      <c r="L3707">
        <f>660.53</f>
        <v>660.53</v>
      </c>
      <c r="M3707">
        <f>2765.76</f>
        <v>2765.76</v>
      </c>
      <c r="N3707">
        <f>104.042</f>
        <v>104.042</v>
      </c>
      <c r="O3707">
        <f>1078.98</f>
        <v>1078.98</v>
      </c>
      <c r="P3707">
        <f>72.29</f>
        <v>72.290000000000006</v>
      </c>
      <c r="Q3707">
        <f>579.87</f>
        <v>579.87</v>
      </c>
      <c r="R3707">
        <f>1382.36</f>
        <v>1382.36</v>
      </c>
      <c r="S3707">
        <f>1021.02</f>
        <v>1021.02</v>
      </c>
      <c r="T3707">
        <f>919.21</f>
        <v>919.21</v>
      </c>
      <c r="U3707">
        <f>21319.91</f>
        <v>21319.91</v>
      </c>
      <c r="V3707">
        <f>127.44</f>
        <v>127.44</v>
      </c>
    </row>
    <row r="3708" spans="1:22" x14ac:dyDescent="0.2">
      <c r="A3708" s="1">
        <v>39917</v>
      </c>
      <c r="B3708">
        <f>1687.31</f>
        <v>1687.31</v>
      </c>
      <c r="C3708">
        <f>4866.89</f>
        <v>4866.8900000000003</v>
      </c>
      <c r="D3708">
        <f>2452.26</f>
        <v>2452.2600000000002</v>
      </c>
      <c r="E3708">
        <f>1106.893</f>
        <v>1106.893</v>
      </c>
      <c r="F3708">
        <f>839.13</f>
        <v>839.13</v>
      </c>
      <c r="G3708">
        <f>3715.06</f>
        <v>3715.06</v>
      </c>
      <c r="H3708">
        <f>1517.88</f>
        <v>1517.88</v>
      </c>
      <c r="I3708">
        <f>4290.666</f>
        <v>4290.6660000000002</v>
      </c>
      <c r="J3708">
        <f>949.98</f>
        <v>949.98</v>
      </c>
      <c r="K3708">
        <f>2836.62</f>
        <v>2836.62</v>
      </c>
      <c r="L3708">
        <f>658.04</f>
        <v>658.04</v>
      </c>
      <c r="M3708">
        <f>2760.42</f>
        <v>2760.42</v>
      </c>
      <c r="N3708">
        <f>103.8</f>
        <v>103.8</v>
      </c>
      <c r="O3708">
        <f>1081.47</f>
        <v>1081.47</v>
      </c>
      <c r="P3708">
        <f>73.03</f>
        <v>73.03</v>
      </c>
      <c r="Q3708">
        <f>569.02</f>
        <v>569.02</v>
      </c>
      <c r="R3708">
        <f>1365.2</f>
        <v>1365.2</v>
      </c>
      <c r="S3708">
        <f>1031</f>
        <v>1031</v>
      </c>
      <c r="T3708">
        <f>919.667</f>
        <v>919.66700000000003</v>
      </c>
      <c r="U3708">
        <f>21431.12</f>
        <v>21431.119999999999</v>
      </c>
      <c r="V3708">
        <f>127.65</f>
        <v>127.65</v>
      </c>
    </row>
    <row r="3709" spans="1:22" x14ac:dyDescent="0.2">
      <c r="A3709" s="1">
        <v>39916</v>
      </c>
      <c r="B3709" t="e">
        <f>NA()</f>
        <v>#N/A</v>
      </c>
      <c r="C3709">
        <f>4823.88</f>
        <v>4823.88</v>
      </c>
      <c r="D3709" t="e">
        <f>NA()</f>
        <v>#N/A</v>
      </c>
      <c r="E3709">
        <f>1098.324</f>
        <v>1098.3240000000001</v>
      </c>
      <c r="F3709">
        <f>823.71</f>
        <v>823.71</v>
      </c>
      <c r="G3709">
        <f>3680.768</f>
        <v>3680.768</v>
      </c>
      <c r="H3709">
        <f>1520.12</f>
        <v>1520.12</v>
      </c>
      <c r="I3709">
        <f>4246.893</f>
        <v>4246.893</v>
      </c>
      <c r="J3709">
        <f>980.52</f>
        <v>980.52</v>
      </c>
      <c r="K3709">
        <f>2894.21</f>
        <v>2894.21</v>
      </c>
      <c r="L3709">
        <f>660.36</f>
        <v>660.36</v>
      </c>
      <c r="M3709">
        <f>2774.87</f>
        <v>2774.87</v>
      </c>
      <c r="N3709" t="e">
        <f>NA()</f>
        <v>#N/A</v>
      </c>
      <c r="O3709" t="e">
        <f>NA()</f>
        <v>#N/A</v>
      </c>
      <c r="P3709">
        <f>73.83</f>
        <v>73.83</v>
      </c>
      <c r="Q3709">
        <f>586.39</f>
        <v>586.39</v>
      </c>
      <c r="R3709">
        <f>1393.13</f>
        <v>1393.13</v>
      </c>
      <c r="S3709">
        <f>1037.79</f>
        <v>1037.79</v>
      </c>
      <c r="T3709" t="e">
        <f>NA()</f>
        <v>#N/A</v>
      </c>
      <c r="U3709" t="e">
        <f>NA()</f>
        <v>#N/A</v>
      </c>
      <c r="V3709" t="e">
        <f>NA()</f>
        <v>#N/A</v>
      </c>
    </row>
    <row r="3710" spans="1:22" x14ac:dyDescent="0.2">
      <c r="A3710" s="1">
        <v>39913</v>
      </c>
      <c r="B3710" t="e">
        <f>NA()</f>
        <v>#N/A</v>
      </c>
      <c r="C3710">
        <f>4769.88</f>
        <v>4769.88</v>
      </c>
      <c r="D3710" t="e">
        <f>NA()</f>
        <v>#N/A</v>
      </c>
      <c r="E3710">
        <f>1090.438</f>
        <v>1090.4380000000001</v>
      </c>
      <c r="F3710">
        <f>816.05</f>
        <v>816.05</v>
      </c>
      <c r="G3710">
        <f>3646.564</f>
        <v>3646.5639999999999</v>
      </c>
      <c r="H3710">
        <f>1504.92</f>
        <v>1504.92</v>
      </c>
      <c r="I3710">
        <f>4208.704</f>
        <v>4208.7039999999997</v>
      </c>
      <c r="J3710">
        <f>971.34</f>
        <v>971.34</v>
      </c>
      <c r="K3710">
        <f>2887.57</f>
        <v>2887.57</v>
      </c>
      <c r="L3710">
        <f>652.62</f>
        <v>652.62</v>
      </c>
      <c r="M3710">
        <f>2760.51</f>
        <v>2760.51</v>
      </c>
      <c r="N3710" t="e">
        <f>NA()</f>
        <v>#N/A</v>
      </c>
      <c r="O3710" t="e">
        <f>NA()</f>
        <v>#N/A</v>
      </c>
      <c r="P3710">
        <f>73.24</f>
        <v>73.239999999999995</v>
      </c>
      <c r="Q3710" t="e">
        <f>NA()</f>
        <v>#N/A</v>
      </c>
      <c r="R3710" t="e">
        <f>NA()</f>
        <v>#N/A</v>
      </c>
      <c r="S3710">
        <f>1034.12</f>
        <v>1034.1199999999999</v>
      </c>
      <c r="T3710" t="e">
        <f>NA()</f>
        <v>#N/A</v>
      </c>
      <c r="U3710" t="e">
        <f>NA()</f>
        <v>#N/A</v>
      </c>
      <c r="V3710" t="e">
        <f>NA()</f>
        <v>#N/A</v>
      </c>
    </row>
    <row r="3711" spans="1:22" x14ac:dyDescent="0.2">
      <c r="A3711" s="1">
        <v>39912</v>
      </c>
      <c r="B3711">
        <f>1653.99</f>
        <v>1653.99</v>
      </c>
      <c r="C3711">
        <f>4736.09</f>
        <v>4736.09</v>
      </c>
      <c r="D3711">
        <f>2449.02</f>
        <v>2449.02</v>
      </c>
      <c r="E3711">
        <f>1084.507</f>
        <v>1084.5070000000001</v>
      </c>
      <c r="F3711">
        <f>816.05</f>
        <v>816.05</v>
      </c>
      <c r="G3711">
        <f>3646.564</f>
        <v>3646.5639999999999</v>
      </c>
      <c r="H3711">
        <f>1499.95</f>
        <v>1499.95</v>
      </c>
      <c r="I3711">
        <f>4208.452</f>
        <v>4208.4520000000002</v>
      </c>
      <c r="J3711">
        <f>971.34</f>
        <v>971.34</v>
      </c>
      <c r="K3711">
        <f>2887.57</f>
        <v>2887.57</v>
      </c>
      <c r="L3711">
        <f>652.45</f>
        <v>652.45000000000005</v>
      </c>
      <c r="M3711">
        <f>2758.6</f>
        <v>2758.6</v>
      </c>
      <c r="N3711">
        <f>101.069</f>
        <v>101.069</v>
      </c>
      <c r="O3711">
        <f>1066.14</f>
        <v>1066.1400000000001</v>
      </c>
      <c r="P3711">
        <f>72.58</f>
        <v>72.58</v>
      </c>
      <c r="Q3711">
        <f>583.52</f>
        <v>583.52</v>
      </c>
      <c r="R3711">
        <f>1389.49</f>
        <v>1389.49</v>
      </c>
      <c r="S3711">
        <f>1029.03</f>
        <v>1029.03</v>
      </c>
      <c r="T3711">
        <f>906.536</f>
        <v>906.53599999999994</v>
      </c>
      <c r="U3711">
        <f>20965.89</f>
        <v>20965.89</v>
      </c>
      <c r="V3711">
        <f>125.08</f>
        <v>125.08</v>
      </c>
    </row>
    <row r="3712" spans="1:22" x14ac:dyDescent="0.2">
      <c r="A3712" s="1">
        <v>39911</v>
      </c>
      <c r="B3712">
        <f>1602.7</f>
        <v>1602.7</v>
      </c>
      <c r="C3712">
        <f>4554.84</f>
        <v>4554.84</v>
      </c>
      <c r="D3712">
        <f>2413.24</f>
        <v>2413.2399999999998</v>
      </c>
      <c r="E3712">
        <f>1045.611</f>
        <v>1045.6110000000001</v>
      </c>
      <c r="F3712">
        <f>804.41</f>
        <v>804.41</v>
      </c>
      <c r="G3712">
        <f>3585.739</f>
        <v>3585.739</v>
      </c>
      <c r="H3712">
        <f>1448.8</f>
        <v>1448.8</v>
      </c>
      <c r="I3712">
        <f>4119.237</f>
        <v>4119.2370000000001</v>
      </c>
      <c r="J3712">
        <f>919.53</f>
        <v>919.53</v>
      </c>
      <c r="K3712">
        <f>2782.55</f>
        <v>2782.55</v>
      </c>
      <c r="L3712">
        <f>629.66</f>
        <v>629.66</v>
      </c>
      <c r="M3712">
        <f>2675.49</f>
        <v>2675.49</v>
      </c>
      <c r="N3712">
        <f>98.119</f>
        <v>98.119</v>
      </c>
      <c r="O3712">
        <f>1042.89</f>
        <v>1042.8900000000001</v>
      </c>
      <c r="P3712">
        <f>70.08</f>
        <v>70.08</v>
      </c>
      <c r="Q3712">
        <f>552.34</f>
        <v>552.34</v>
      </c>
      <c r="R3712">
        <f>1338.53</f>
        <v>1338.53</v>
      </c>
      <c r="S3712">
        <f>996.59</f>
        <v>996.59</v>
      </c>
      <c r="T3712">
        <f>890.993</f>
        <v>890.99300000000005</v>
      </c>
      <c r="U3712">
        <f>20437.39</f>
        <v>20437.39</v>
      </c>
      <c r="V3712">
        <f>121.93</f>
        <v>121.93</v>
      </c>
    </row>
    <row r="3713" spans="1:22" x14ac:dyDescent="0.2">
      <c r="A3713" s="1">
        <v>39910</v>
      </c>
      <c r="B3713">
        <f>1603.45</f>
        <v>1603.45</v>
      </c>
      <c r="C3713">
        <f>4610.04</f>
        <v>4610.04</v>
      </c>
      <c r="D3713">
        <f>2414.4</f>
        <v>2414.4</v>
      </c>
      <c r="E3713">
        <f>1055.312</f>
        <v>1055.3119999999999</v>
      </c>
      <c r="F3713">
        <f>805.82</f>
        <v>805.82</v>
      </c>
      <c r="G3713">
        <f>3614.854</f>
        <v>3614.8539999999998</v>
      </c>
      <c r="H3713">
        <f>1478.24</f>
        <v>1478.24</v>
      </c>
      <c r="I3713">
        <f>4103.625</f>
        <v>4103.625</v>
      </c>
      <c r="J3713">
        <f>913.74</f>
        <v>913.74</v>
      </c>
      <c r="K3713">
        <f>2749.9</f>
        <v>2749.9</v>
      </c>
      <c r="L3713">
        <f>629.81</f>
        <v>629.80999999999995</v>
      </c>
      <c r="M3713">
        <f>2666.3</f>
        <v>2666.3</v>
      </c>
      <c r="N3713">
        <f>98.435</f>
        <v>98.435000000000002</v>
      </c>
      <c r="O3713">
        <f>1039.36</f>
        <v>1039.3599999999999</v>
      </c>
      <c r="P3713">
        <f>71.85</f>
        <v>71.849999999999994</v>
      </c>
      <c r="Q3713">
        <f>546.26</f>
        <v>546.26</v>
      </c>
      <c r="R3713">
        <f>1322.91</f>
        <v>1322.91</v>
      </c>
      <c r="S3713">
        <f>1017.77</f>
        <v>1017.77</v>
      </c>
      <c r="T3713">
        <f>899.461</f>
        <v>899.46100000000001</v>
      </c>
      <c r="U3713">
        <f>20492.53</f>
        <v>20492.53</v>
      </c>
      <c r="V3713">
        <f>122.21</f>
        <v>122.21</v>
      </c>
    </row>
    <row r="3714" spans="1:22" x14ac:dyDescent="0.2">
      <c r="A3714" s="1">
        <v>39909</v>
      </c>
      <c r="B3714">
        <f>1644.77</f>
        <v>1644.77</v>
      </c>
      <c r="C3714">
        <f>4699.01</f>
        <v>4699.01</v>
      </c>
      <c r="D3714">
        <f>2453.11</f>
        <v>2453.11</v>
      </c>
      <c r="E3714">
        <f>1067.517</f>
        <v>1067.5170000000001</v>
      </c>
      <c r="F3714">
        <f>835.38</f>
        <v>835.38</v>
      </c>
      <c r="G3714">
        <f>3688.736</f>
        <v>3688.7359999999999</v>
      </c>
      <c r="H3714">
        <f>1477.73</f>
        <v>1477.73</v>
      </c>
      <c r="I3714">
        <f>4175.758</f>
        <v>4175.7579999999998</v>
      </c>
      <c r="J3714">
        <f>934.54</f>
        <v>934.54</v>
      </c>
      <c r="K3714">
        <f>2816.55</f>
        <v>2816.55</v>
      </c>
      <c r="L3714">
        <f>642.17</f>
        <v>642.16999999999996</v>
      </c>
      <c r="M3714">
        <f>2715.6</f>
        <v>2715.6</v>
      </c>
      <c r="N3714">
        <f>100.379</f>
        <v>100.379</v>
      </c>
      <c r="O3714">
        <f>1047.01</f>
        <v>1047.01</v>
      </c>
      <c r="P3714">
        <f>71.51</f>
        <v>71.510000000000005</v>
      </c>
      <c r="Q3714">
        <f>559.53</f>
        <v>559.53</v>
      </c>
      <c r="R3714">
        <f>1354.36</f>
        <v>1354.36</v>
      </c>
      <c r="S3714">
        <f>1015.78</f>
        <v>1015.78</v>
      </c>
      <c r="T3714">
        <f>904.722</f>
        <v>904.72199999999998</v>
      </c>
      <c r="U3714">
        <f>20717.37</f>
        <v>20717.37</v>
      </c>
      <c r="V3714">
        <f>124.68</f>
        <v>124.68</v>
      </c>
    </row>
    <row r="3715" spans="1:22" x14ac:dyDescent="0.2">
      <c r="A3715" s="1">
        <v>39906</v>
      </c>
      <c r="B3715">
        <f>1646.46</f>
        <v>1646.46</v>
      </c>
      <c r="C3715">
        <f>4663.57</f>
        <v>4663.57</v>
      </c>
      <c r="D3715">
        <f>2475.3</f>
        <v>2475.3000000000002</v>
      </c>
      <c r="E3715">
        <f>1057.371</f>
        <v>1057.3710000000001</v>
      </c>
      <c r="F3715">
        <f>835.18</f>
        <v>835.18</v>
      </c>
      <c r="G3715">
        <f>3723.388</f>
        <v>3723.3879999999999</v>
      </c>
      <c r="H3715">
        <f>1484.95</f>
        <v>1484.95</v>
      </c>
      <c r="I3715">
        <f>4204.777</f>
        <v>4204.777</v>
      </c>
      <c r="J3715">
        <f>943.03</f>
        <v>943.03</v>
      </c>
      <c r="K3715">
        <f>2840.19</f>
        <v>2840.19</v>
      </c>
      <c r="L3715">
        <f>646.26</f>
        <v>646.26</v>
      </c>
      <c r="M3715">
        <f>2735.75</f>
        <v>2735.75</v>
      </c>
      <c r="N3715">
        <f>100.141</f>
        <v>100.14100000000001</v>
      </c>
      <c r="O3715">
        <f>1054.18</f>
        <v>1054.18</v>
      </c>
      <c r="P3715">
        <f>71.34</f>
        <v>71.34</v>
      </c>
      <c r="Q3715">
        <f>563.81</f>
        <v>563.80999999999995</v>
      </c>
      <c r="R3715">
        <f>1365.66</f>
        <v>1365.66</v>
      </c>
      <c r="S3715">
        <f>1016.26</f>
        <v>1016.26</v>
      </c>
      <c r="T3715">
        <f>907.059</f>
        <v>907.05899999999997</v>
      </c>
      <c r="U3715">
        <f>21195.49</f>
        <v>21195.49</v>
      </c>
      <c r="V3715">
        <f>126.28</f>
        <v>126.28</v>
      </c>
    </row>
    <row r="3716" spans="1:22" x14ac:dyDescent="0.2">
      <c r="A3716" s="1">
        <v>39905</v>
      </c>
      <c r="B3716">
        <f>1631.57</f>
        <v>1631.57</v>
      </c>
      <c r="C3716">
        <f>4620.07</f>
        <v>4620.07</v>
      </c>
      <c r="D3716">
        <f>2533.98</f>
        <v>2533.98</v>
      </c>
      <c r="E3716">
        <f>1050.283</f>
        <v>1050.2829999999999</v>
      </c>
      <c r="F3716">
        <f>839.73</f>
        <v>839.73</v>
      </c>
      <c r="G3716">
        <f>3789.71</f>
        <v>3789.71</v>
      </c>
      <c r="H3716">
        <f>1457.72</f>
        <v>1457.72</v>
      </c>
      <c r="I3716">
        <f>4248.381</f>
        <v>4248.3810000000003</v>
      </c>
      <c r="J3716">
        <f>930.28</f>
        <v>930.28</v>
      </c>
      <c r="K3716">
        <f>2810.79</f>
        <v>2810.79</v>
      </c>
      <c r="L3716">
        <f>646.01</f>
        <v>646.01</v>
      </c>
      <c r="M3716">
        <f>2728.64</f>
        <v>2728.64</v>
      </c>
      <c r="N3716">
        <f>101.042</f>
        <v>101.042</v>
      </c>
      <c r="O3716">
        <f>1065.55</f>
        <v>1065.55</v>
      </c>
      <c r="P3716">
        <f>71.14</f>
        <v>71.14</v>
      </c>
      <c r="Q3716">
        <f>558.95</f>
        <v>558.95000000000005</v>
      </c>
      <c r="R3716">
        <f>1352.47</f>
        <v>1352.47</v>
      </c>
      <c r="S3716">
        <f>1010.55</f>
        <v>1010.55</v>
      </c>
      <c r="T3716">
        <f>909.801</f>
        <v>909.80100000000004</v>
      </c>
      <c r="U3716">
        <f>21403.4</f>
        <v>21403.4</v>
      </c>
      <c r="V3716">
        <f>126.64</f>
        <v>126.64</v>
      </c>
    </row>
    <row r="3717" spans="1:22" x14ac:dyDescent="0.2">
      <c r="A3717" s="1">
        <v>39904</v>
      </c>
      <c r="B3717">
        <f>1550.5</f>
        <v>1550.5</v>
      </c>
      <c r="C3717">
        <f>4384.98</f>
        <v>4384.9799999999996</v>
      </c>
      <c r="D3717">
        <f>2429.94</f>
        <v>2429.94</v>
      </c>
      <c r="E3717">
        <f>994.875</f>
        <v>994.875</v>
      </c>
      <c r="F3717">
        <f>791.35</f>
        <v>791.35</v>
      </c>
      <c r="G3717">
        <f>3542.216</f>
        <v>3542.2159999999999</v>
      </c>
      <c r="H3717">
        <f>1392.54</f>
        <v>1392.54</v>
      </c>
      <c r="I3717">
        <f>3985.685</f>
        <v>3985.6849999999999</v>
      </c>
      <c r="J3717">
        <f>906.42</f>
        <v>906.42</v>
      </c>
      <c r="K3717">
        <f>2731.25</f>
        <v>2731.25</v>
      </c>
      <c r="L3717">
        <f>613.89</f>
        <v>613.89</v>
      </c>
      <c r="M3717">
        <f>2615.74</f>
        <v>2615.7399999999998</v>
      </c>
      <c r="N3717">
        <f>96.577</f>
        <v>96.576999999999998</v>
      </c>
      <c r="O3717">
        <f>1017.1</f>
        <v>1017.1</v>
      </c>
      <c r="P3717">
        <f>68.32</f>
        <v>68.319999999999993</v>
      </c>
      <c r="Q3717">
        <f>541.99</f>
        <v>541.99</v>
      </c>
      <c r="R3717">
        <f>1314.63</f>
        <v>1314.63</v>
      </c>
      <c r="S3717">
        <f>970.37</f>
        <v>970.37</v>
      </c>
      <c r="T3717">
        <f>887.745</f>
        <v>887.745</v>
      </c>
      <c r="U3717">
        <f>20742.01</f>
        <v>20742.009999999998</v>
      </c>
      <c r="V3717">
        <f>122.98</f>
        <v>122.98</v>
      </c>
    </row>
    <row r="3718" spans="1:22" x14ac:dyDescent="0.2">
      <c r="A3718" s="1">
        <v>39903</v>
      </c>
      <c r="B3718">
        <f>1511.27</f>
        <v>1511.27</v>
      </c>
      <c r="C3718">
        <f>4289.21</f>
        <v>4289.21</v>
      </c>
      <c r="D3718">
        <f>2411.45</f>
        <v>2411.4499999999998</v>
      </c>
      <c r="E3718">
        <f>976.236</f>
        <v>976.23599999999999</v>
      </c>
      <c r="F3718">
        <f>762.15</f>
        <v>762.15</v>
      </c>
      <c r="G3718">
        <f>3503.354</f>
        <v>3503.3539999999998</v>
      </c>
      <c r="H3718">
        <f>1346.46</f>
        <v>1346.46</v>
      </c>
      <c r="I3718">
        <f>3938.362</f>
        <v>3938.3620000000001</v>
      </c>
      <c r="J3718">
        <f>887.83</f>
        <v>887.83</v>
      </c>
      <c r="K3718">
        <f>2687.43</f>
        <v>2687.43</v>
      </c>
      <c r="L3718">
        <f>605.24</f>
        <v>605.24</v>
      </c>
      <c r="M3718">
        <f>2575.82</f>
        <v>2575.8200000000002</v>
      </c>
      <c r="N3718">
        <f>93.677</f>
        <v>93.677000000000007</v>
      </c>
      <c r="O3718">
        <f>1001.02</f>
        <v>1001.02</v>
      </c>
      <c r="P3718">
        <f>66.62</f>
        <v>66.62</v>
      </c>
      <c r="Q3718">
        <f>533.17</f>
        <v>533.16999999999996</v>
      </c>
      <c r="R3718">
        <f>1292.98</f>
        <v>1292.98</v>
      </c>
      <c r="S3718">
        <f>945.72</f>
        <v>945.72</v>
      </c>
      <c r="T3718">
        <f>875.383</f>
        <v>875.38300000000004</v>
      </c>
      <c r="U3718">
        <f>20363.91</f>
        <v>20363.91</v>
      </c>
      <c r="V3718">
        <f>118.99</f>
        <v>118.99</v>
      </c>
    </row>
    <row r="3719" spans="1:22" x14ac:dyDescent="0.2">
      <c r="A3719" s="1">
        <v>39902</v>
      </c>
      <c r="B3719">
        <f>1452.23</f>
        <v>1452.23</v>
      </c>
      <c r="C3719">
        <f>4220.6</f>
        <v>4220.6000000000004</v>
      </c>
      <c r="D3719">
        <f>2311.18</f>
        <v>2311.1799999999998</v>
      </c>
      <c r="E3719">
        <f>961.606</f>
        <v>961.60599999999999</v>
      </c>
      <c r="F3719">
        <f>711.07</f>
        <v>711.07</v>
      </c>
      <c r="G3719">
        <f>3323.783</f>
        <v>3323.7829999999999</v>
      </c>
      <c r="H3719">
        <f>1395.98</f>
        <v>1395.98</v>
      </c>
      <c r="I3719">
        <f>3786.677</f>
        <v>3786.6770000000001</v>
      </c>
      <c r="J3719">
        <f>874.51</f>
        <v>874.51</v>
      </c>
      <c r="K3719">
        <f>2653.06</f>
        <v>2653.06</v>
      </c>
      <c r="L3719">
        <f>586.71</f>
        <v>586.71</v>
      </c>
      <c r="M3719">
        <f>2535.59</f>
        <v>2535.59</v>
      </c>
      <c r="N3719">
        <f>90.485</f>
        <v>90.484999999999999</v>
      </c>
      <c r="O3719">
        <f>966.95</f>
        <v>966.95</v>
      </c>
      <c r="P3719">
        <f>67.3</f>
        <v>67.3</v>
      </c>
      <c r="Q3719">
        <f>525.39</f>
        <v>525.39</v>
      </c>
      <c r="R3719">
        <f>1276.22</f>
        <v>1276.22</v>
      </c>
      <c r="S3719">
        <f>965.14</f>
        <v>965.14</v>
      </c>
      <c r="T3719">
        <f>862.742</f>
        <v>862.74199999999996</v>
      </c>
      <c r="U3719">
        <f>19929.04</f>
        <v>19929.04</v>
      </c>
      <c r="V3719">
        <f>116.01</f>
        <v>116.01</v>
      </c>
    </row>
    <row r="3720" spans="1:22" x14ac:dyDescent="0.2">
      <c r="A3720" s="1">
        <v>39899</v>
      </c>
      <c r="B3720">
        <f>1511.83</f>
        <v>1511.83</v>
      </c>
      <c r="C3720">
        <f>4432.83</f>
        <v>4432.83</v>
      </c>
      <c r="D3720">
        <f>2394.68</f>
        <v>2394.6799999999998</v>
      </c>
      <c r="E3720">
        <f>1012.356</f>
        <v>1012.356</v>
      </c>
      <c r="F3720">
        <f>742.06</f>
        <v>742.06</v>
      </c>
      <c r="G3720">
        <f>3477.031</f>
        <v>3477.0309999999999</v>
      </c>
      <c r="H3720">
        <f>1455.22</f>
        <v>1455.22</v>
      </c>
      <c r="I3720">
        <f>3988.053</f>
        <v>3988.0529999999999</v>
      </c>
      <c r="J3720">
        <f>918.91</f>
        <v>918.91</v>
      </c>
      <c r="K3720">
        <f>2747.29</f>
        <v>2747.29</v>
      </c>
      <c r="L3720">
        <f>618.1</f>
        <v>618.1</v>
      </c>
      <c r="M3720">
        <f>2637.8</f>
        <v>2637.8</v>
      </c>
      <c r="N3720">
        <f>93.469</f>
        <v>93.468999999999994</v>
      </c>
      <c r="O3720">
        <f>1005.45</f>
        <v>1005.45</v>
      </c>
      <c r="P3720">
        <f>70.82</f>
        <v>70.819999999999993</v>
      </c>
      <c r="Q3720">
        <f>545.74</f>
        <v>545.74</v>
      </c>
      <c r="R3720">
        <f>1322.19</f>
        <v>1322.19</v>
      </c>
      <c r="S3720">
        <f>1007.91</f>
        <v>1007.91</v>
      </c>
      <c r="T3720">
        <f>874.348</f>
        <v>874.34799999999996</v>
      </c>
      <c r="U3720">
        <f>20661.32</f>
        <v>20661.32</v>
      </c>
      <c r="V3720">
        <f>119.69</f>
        <v>119.69</v>
      </c>
    </row>
    <row r="3721" spans="1:22" x14ac:dyDescent="0.2">
      <c r="A3721" s="1">
        <v>39898</v>
      </c>
      <c r="B3721">
        <f>1516.13</f>
        <v>1516.13</v>
      </c>
      <c r="C3721">
        <f>4502.64</f>
        <v>4502.6400000000003</v>
      </c>
      <c r="D3721">
        <f>2410.86</f>
        <v>2410.86</v>
      </c>
      <c r="E3721">
        <f>1026.745</f>
        <v>1026.7449999999999</v>
      </c>
      <c r="F3721">
        <f>762.58</f>
        <v>762.58</v>
      </c>
      <c r="G3721">
        <f>3541.694</f>
        <v>3541.694</v>
      </c>
      <c r="H3721">
        <f>1451.97</f>
        <v>1451.97</v>
      </c>
      <c r="I3721">
        <f>4127.299</f>
        <v>4127.299</v>
      </c>
      <c r="J3721">
        <f>937.08</f>
        <v>937.08</v>
      </c>
      <c r="K3721">
        <f>2805.34</f>
        <v>2805.34</v>
      </c>
      <c r="L3721">
        <f>633.59</f>
        <v>633.59</v>
      </c>
      <c r="M3721">
        <f>2691.29</f>
        <v>2691.29</v>
      </c>
      <c r="N3721">
        <f>93.021</f>
        <v>93.021000000000001</v>
      </c>
      <c r="O3721">
        <f>1016.59</f>
        <v>1016.59</v>
      </c>
      <c r="P3721">
        <f>70.52</f>
        <v>70.52</v>
      </c>
      <c r="Q3721">
        <f>554.51</f>
        <v>554.51</v>
      </c>
      <c r="R3721">
        <f>1349.37</f>
        <v>1349.37</v>
      </c>
      <c r="S3721">
        <f>1010.7</f>
        <v>1010.7</v>
      </c>
      <c r="T3721">
        <f>884.997</f>
        <v>884.99699999999996</v>
      </c>
      <c r="U3721">
        <f>21113.73</f>
        <v>21113.73</v>
      </c>
      <c r="V3721">
        <f>122.08</f>
        <v>122.08</v>
      </c>
    </row>
    <row r="3722" spans="1:22" x14ac:dyDescent="0.2">
      <c r="A3722" s="1">
        <v>39897</v>
      </c>
      <c r="B3722">
        <f>1510.82</f>
        <v>1510.82</v>
      </c>
      <c r="C3722">
        <f>4444.25</f>
        <v>4444.25</v>
      </c>
      <c r="D3722">
        <f>2395.54</f>
        <v>2395.54</v>
      </c>
      <c r="E3722">
        <f>1005.666</f>
        <v>1005.6660000000001</v>
      </c>
      <c r="F3722">
        <f>761.11</f>
        <v>761.11</v>
      </c>
      <c r="G3722">
        <f>3540.289</f>
        <v>3540.2890000000002</v>
      </c>
      <c r="H3722">
        <f>1439.57</f>
        <v>1439.57</v>
      </c>
      <c r="I3722">
        <f>4107.45</f>
        <v>4107.45</v>
      </c>
      <c r="J3722">
        <f>921.63</f>
        <v>921.63</v>
      </c>
      <c r="K3722">
        <f>2740.47</f>
        <v>2740.47</v>
      </c>
      <c r="L3722">
        <f>629.31</f>
        <v>629.30999999999995</v>
      </c>
      <c r="M3722">
        <f>2649.68</f>
        <v>2649.68</v>
      </c>
      <c r="N3722">
        <f>92.754</f>
        <v>92.754000000000005</v>
      </c>
      <c r="O3722">
        <f>1013.69</f>
        <v>1013.69</v>
      </c>
      <c r="P3722">
        <f>69.09</f>
        <v>69.09</v>
      </c>
      <c r="Q3722">
        <f>541.01</f>
        <v>541.01</v>
      </c>
      <c r="R3722">
        <f>1318.61</f>
        <v>1318.61</v>
      </c>
      <c r="S3722">
        <f>988.86</f>
        <v>988.86</v>
      </c>
      <c r="T3722">
        <f>889.836</f>
        <v>889.83600000000001</v>
      </c>
      <c r="U3722">
        <f>21257.63</f>
        <v>21257.63</v>
      </c>
      <c r="V3722">
        <f>122.66</f>
        <v>122.66</v>
      </c>
    </row>
    <row r="3723" spans="1:22" x14ac:dyDescent="0.2">
      <c r="A3723" s="1">
        <v>39896</v>
      </c>
      <c r="B3723">
        <f>1528.49</f>
        <v>1528.49</v>
      </c>
      <c r="C3723">
        <f>4398.17</f>
        <v>4398.17</v>
      </c>
      <c r="D3723">
        <f>2400.61</f>
        <v>2400.61</v>
      </c>
      <c r="E3723">
        <f>995.5</f>
        <v>995.5</v>
      </c>
      <c r="F3723">
        <f>765.34</f>
        <v>765.34</v>
      </c>
      <c r="G3723">
        <f>3583.47</f>
        <v>3583.47</v>
      </c>
      <c r="H3723">
        <f>1423.96</f>
        <v>1423.96</v>
      </c>
      <c r="I3723">
        <f>4053.07</f>
        <v>4053.07</v>
      </c>
      <c r="J3723">
        <f>908.21</f>
        <v>908.21</v>
      </c>
      <c r="K3723">
        <f>2716.17</f>
        <v>2716.17</v>
      </c>
      <c r="L3723">
        <f>622.47</f>
        <v>622.47</v>
      </c>
      <c r="M3723">
        <f>2632.24</f>
        <v>2632.24</v>
      </c>
      <c r="N3723">
        <f>93.235</f>
        <v>93.234999999999999</v>
      </c>
      <c r="O3723">
        <f>1010.68</f>
        <v>1010.68</v>
      </c>
      <c r="P3723">
        <f>68.65</f>
        <v>68.650000000000006</v>
      </c>
      <c r="Q3723">
        <f>533.53</f>
        <v>533.53</v>
      </c>
      <c r="R3723">
        <f>1306.03</f>
        <v>1306.03</v>
      </c>
      <c r="S3723">
        <f>981.89</f>
        <v>981.89</v>
      </c>
      <c r="T3723">
        <f>880.187</f>
        <v>880.18700000000001</v>
      </c>
      <c r="U3723">
        <f>21108.17</f>
        <v>21108.17</v>
      </c>
      <c r="V3723">
        <f>120.81</f>
        <v>120.81</v>
      </c>
    </row>
    <row r="3724" spans="1:22" x14ac:dyDescent="0.2">
      <c r="A3724" s="1">
        <v>39895</v>
      </c>
      <c r="B3724">
        <f>1537.62</f>
        <v>1537.62</v>
      </c>
      <c r="C3724">
        <f>4352.12</f>
        <v>4352.12</v>
      </c>
      <c r="D3724">
        <f>2425.98</f>
        <v>2425.98</v>
      </c>
      <c r="E3724">
        <f>991.678</f>
        <v>991.678</v>
      </c>
      <c r="F3724">
        <f>758.78</f>
        <v>758.78</v>
      </c>
      <c r="G3724">
        <f>3565.106</f>
        <v>3565.1060000000002</v>
      </c>
      <c r="H3724">
        <f>1382.18</f>
        <v>1382.18</v>
      </c>
      <c r="I3724">
        <f>4067.294</f>
        <v>4067.2939999999999</v>
      </c>
      <c r="J3724">
        <f>929.2</f>
        <v>929.2</v>
      </c>
      <c r="K3724">
        <f>2771.34</f>
        <v>2771.34</v>
      </c>
      <c r="L3724">
        <f>628.93</f>
        <v>628.92999999999995</v>
      </c>
      <c r="M3724">
        <f>2651.58</f>
        <v>2651.58</v>
      </c>
      <c r="N3724">
        <f>91.755</f>
        <v>91.754999999999995</v>
      </c>
      <c r="O3724">
        <f>1007.36</f>
        <v>1007.36</v>
      </c>
      <c r="P3724">
        <f>67.16</f>
        <v>67.16</v>
      </c>
      <c r="Q3724">
        <f>542.56</f>
        <v>542.55999999999995</v>
      </c>
      <c r="R3724">
        <f>1333.21</f>
        <v>1333.21</v>
      </c>
      <c r="S3724">
        <f>956.32</f>
        <v>956.32</v>
      </c>
      <c r="T3724">
        <f>878.63</f>
        <v>878.63</v>
      </c>
      <c r="U3724">
        <f>21423.18</f>
        <v>21423.18</v>
      </c>
      <c r="V3724">
        <f>120.98</f>
        <v>120.98</v>
      </c>
    </row>
    <row r="3725" spans="1:22" x14ac:dyDescent="0.2">
      <c r="A3725" s="1">
        <v>39892</v>
      </c>
      <c r="B3725">
        <f>1494.79</f>
        <v>1494.79</v>
      </c>
      <c r="C3725">
        <f>4145.3</f>
        <v>4145.3</v>
      </c>
      <c r="D3725">
        <f>2358.5</f>
        <v>2358.5</v>
      </c>
      <c r="E3725">
        <f>946.562</f>
        <v>946.56200000000001</v>
      </c>
      <c r="F3725">
        <f>740.72</f>
        <v>740.72</v>
      </c>
      <c r="G3725">
        <f>3449.74</f>
        <v>3449.74</v>
      </c>
      <c r="H3725">
        <f>1340.11</f>
        <v>1340.11</v>
      </c>
      <c r="I3725">
        <f>3952.716</f>
        <v>3952.7159999999999</v>
      </c>
      <c r="J3725">
        <f>862.32</f>
        <v>862.32</v>
      </c>
      <c r="K3725">
        <f>2590.33</f>
        <v>2590.33</v>
      </c>
      <c r="L3725">
        <f>598.17</f>
        <v>598.16999999999996</v>
      </c>
      <c r="M3725">
        <f>2522.76</f>
        <v>2522.7600000000002</v>
      </c>
      <c r="N3725">
        <f>90.003</f>
        <v>90.003</v>
      </c>
      <c r="O3725">
        <f>978.43</f>
        <v>978.43</v>
      </c>
      <c r="P3725" t="e">
        <f>NA()</f>
        <v>#N/A</v>
      </c>
      <c r="Q3725">
        <f>506.03</f>
        <v>506.03</v>
      </c>
      <c r="R3725">
        <f>1244.86</f>
        <v>1244.8599999999999</v>
      </c>
      <c r="S3725" t="e">
        <f>NA()</f>
        <v>#N/A</v>
      </c>
      <c r="T3725">
        <f>856.022</f>
        <v>856.02200000000005</v>
      </c>
      <c r="U3725">
        <f>20802.31</f>
        <v>20802.310000000001</v>
      </c>
      <c r="V3725">
        <f>115.28</f>
        <v>115.28</v>
      </c>
    </row>
    <row r="3726" spans="1:22" x14ac:dyDescent="0.2">
      <c r="A3726" s="1">
        <v>39891</v>
      </c>
      <c r="B3726">
        <f>1526.21</f>
        <v>1526.21</v>
      </c>
      <c r="C3726">
        <f>4169.94</f>
        <v>4169.9399999999996</v>
      </c>
      <c r="D3726">
        <f>2342.59</f>
        <v>2342.59</v>
      </c>
      <c r="E3726">
        <f>954.139</f>
        <v>954.13900000000001</v>
      </c>
      <c r="F3726">
        <f>749.13</f>
        <v>749.13</v>
      </c>
      <c r="G3726">
        <f>3461.084</f>
        <v>3461.0839999999998</v>
      </c>
      <c r="H3726">
        <f>1373.45</f>
        <v>1373.45</v>
      </c>
      <c r="I3726">
        <f>3992.162</f>
        <v>3992.1619999999998</v>
      </c>
      <c r="J3726">
        <f>883.26</f>
        <v>883.26</v>
      </c>
      <c r="K3726">
        <f>2642.21</f>
        <v>2642.21</v>
      </c>
      <c r="L3726">
        <f>606.76</f>
        <v>606.76</v>
      </c>
      <c r="M3726">
        <f>2564.79</f>
        <v>2564.79</v>
      </c>
      <c r="N3726">
        <f>89.28</f>
        <v>89.28</v>
      </c>
      <c r="O3726">
        <f>973.82</f>
        <v>973.82</v>
      </c>
      <c r="P3726">
        <f>65.06</f>
        <v>65.06</v>
      </c>
      <c r="Q3726">
        <f>514.28</f>
        <v>514.28</v>
      </c>
      <c r="R3726">
        <f>1269.93</f>
        <v>1269.93</v>
      </c>
      <c r="S3726">
        <f>923.95</f>
        <v>923.95</v>
      </c>
      <c r="T3726">
        <f>857.436</f>
        <v>857.43600000000004</v>
      </c>
      <c r="U3726">
        <f>20470.93</f>
        <v>20470.93</v>
      </c>
      <c r="V3726">
        <f>113.38</f>
        <v>113.38</v>
      </c>
    </row>
    <row r="3727" spans="1:22" x14ac:dyDescent="0.2">
      <c r="A3727" s="1">
        <v>39890</v>
      </c>
      <c r="B3727">
        <f>1528.81</f>
        <v>1528.81</v>
      </c>
      <c r="C3727">
        <f>4065.73</f>
        <v>4065.73</v>
      </c>
      <c r="D3727">
        <f>2335.26</f>
        <v>2335.2600000000002</v>
      </c>
      <c r="E3727">
        <f>930.825</f>
        <v>930.82500000000005</v>
      </c>
      <c r="F3727">
        <f>711.49</f>
        <v>711.49</v>
      </c>
      <c r="G3727">
        <f>3302.278</f>
        <v>3302.2779999999998</v>
      </c>
      <c r="H3727">
        <f>1320.45</f>
        <v>1320.45</v>
      </c>
      <c r="I3727">
        <f>3779.042</f>
        <v>3779.0419999999999</v>
      </c>
      <c r="J3727">
        <f>901.72</f>
        <v>901.72</v>
      </c>
      <c r="K3727">
        <f>2673.94</f>
        <v>2673.94</v>
      </c>
      <c r="L3727">
        <f>592.08</f>
        <v>592.08000000000004</v>
      </c>
      <c r="M3727">
        <f>2519.04</f>
        <v>2519.04</v>
      </c>
      <c r="N3727">
        <f>88.506</f>
        <v>88.506</v>
      </c>
      <c r="O3727">
        <f>968.19</f>
        <v>968.19</v>
      </c>
      <c r="P3727">
        <f>65.46</f>
        <v>65.459999999999994</v>
      </c>
      <c r="Q3727">
        <f>520.98</f>
        <v>520.98</v>
      </c>
      <c r="R3727">
        <f>1286.62</f>
        <v>1286.6199999999999</v>
      </c>
      <c r="S3727">
        <f>923.84</f>
        <v>923.84</v>
      </c>
      <c r="T3727">
        <f>833.657</f>
        <v>833.65700000000004</v>
      </c>
      <c r="U3727">
        <f>19355.78</f>
        <v>19355.78</v>
      </c>
      <c r="V3727">
        <f>108.75</f>
        <v>108.75</v>
      </c>
    </row>
    <row r="3728" spans="1:22" x14ac:dyDescent="0.2">
      <c r="A3728" s="1">
        <v>39889</v>
      </c>
      <c r="B3728">
        <f>1537.78</f>
        <v>1537.78</v>
      </c>
      <c r="C3728">
        <f>4031.48</f>
        <v>4031.48</v>
      </c>
      <c r="D3728">
        <f>2364.49</f>
        <v>2364.4899999999998</v>
      </c>
      <c r="E3728">
        <f>927.471</f>
        <v>927.471</v>
      </c>
      <c r="F3728">
        <f>712.35</f>
        <v>712.35</v>
      </c>
      <c r="G3728">
        <f>3354.796</f>
        <v>3354.7959999999998</v>
      </c>
      <c r="H3728">
        <f>1303.81</f>
        <v>1303.81</v>
      </c>
      <c r="I3728">
        <f>3736.162</f>
        <v>3736.1619999999998</v>
      </c>
      <c r="J3728">
        <f>871.82</f>
        <v>871.82</v>
      </c>
      <c r="K3728">
        <f>2620.36</f>
        <v>2620.36</v>
      </c>
      <c r="L3728">
        <f>582.38</f>
        <v>582.38</v>
      </c>
      <c r="M3728">
        <f>2486.01</f>
        <v>2486.0100000000002</v>
      </c>
      <c r="N3728">
        <f>89.003</f>
        <v>89.003</v>
      </c>
      <c r="O3728">
        <f>975.24</f>
        <v>975.24</v>
      </c>
      <c r="P3728">
        <f>65.26</f>
        <v>65.260000000000005</v>
      </c>
      <c r="Q3728">
        <f>508.32</f>
        <v>508.32</v>
      </c>
      <c r="R3728">
        <f>1260.29</f>
        <v>1260.29</v>
      </c>
      <c r="S3728">
        <f>918.96</f>
        <v>918.96</v>
      </c>
      <c r="T3728">
        <f>827.253</f>
        <v>827.25300000000004</v>
      </c>
      <c r="U3728">
        <f>19423</f>
        <v>19423</v>
      </c>
      <c r="V3728">
        <f>108.31</f>
        <v>108.31</v>
      </c>
    </row>
    <row r="3729" spans="1:22" x14ac:dyDescent="0.2">
      <c r="A3729" s="1">
        <v>39888</v>
      </c>
      <c r="B3729">
        <f>1546.74</f>
        <v>1546.74</v>
      </c>
      <c r="C3729">
        <f>4021.75</f>
        <v>4021.75</v>
      </c>
      <c r="D3729">
        <f>2368.71</f>
        <v>2368.71</v>
      </c>
      <c r="E3729">
        <f>923.565</f>
        <v>923.56500000000005</v>
      </c>
      <c r="F3729">
        <f>704.38</f>
        <v>704.38</v>
      </c>
      <c r="G3729">
        <f>3377.095</f>
        <v>3377.0949999999998</v>
      </c>
      <c r="H3729">
        <f>1273.92</f>
        <v>1273.92</v>
      </c>
      <c r="I3729">
        <f>3771.418</f>
        <v>3771.4180000000001</v>
      </c>
      <c r="J3729">
        <f>843.98</f>
        <v>843.98</v>
      </c>
      <c r="K3729">
        <f>2539.04</f>
        <v>2539.04</v>
      </c>
      <c r="L3729">
        <f>577.7</f>
        <v>577.70000000000005</v>
      </c>
      <c r="M3729">
        <f>2443.21</f>
        <v>2443.21</v>
      </c>
      <c r="N3729">
        <f>89.529</f>
        <v>89.528999999999996</v>
      </c>
      <c r="O3729">
        <f>982.45</f>
        <v>982.45</v>
      </c>
      <c r="P3729">
        <f>64.38</f>
        <v>64.38</v>
      </c>
      <c r="Q3729">
        <f>495.08</f>
        <v>495.08</v>
      </c>
      <c r="R3729">
        <f>1221.03</f>
        <v>1221.03</v>
      </c>
      <c r="S3729">
        <f>896.06</f>
        <v>896.06</v>
      </c>
      <c r="T3729">
        <f>841.169</f>
        <v>841.16899999999998</v>
      </c>
      <c r="U3729">
        <f>19732</f>
        <v>19732</v>
      </c>
      <c r="V3729">
        <f>110</f>
        <v>110</v>
      </c>
    </row>
    <row r="3730" spans="1:22" x14ac:dyDescent="0.2">
      <c r="A3730" s="1">
        <v>39885</v>
      </c>
      <c r="B3730">
        <f>1511.64</f>
        <v>1511.64</v>
      </c>
      <c r="C3730">
        <f>3954.77</f>
        <v>3954.77</v>
      </c>
      <c r="D3730">
        <f>2301.09</f>
        <v>2301.09</v>
      </c>
      <c r="E3730">
        <f>903.509</f>
        <v>903.50900000000001</v>
      </c>
      <c r="F3730">
        <f>673.63</f>
        <v>673.63</v>
      </c>
      <c r="G3730">
        <f>3253.182</f>
        <v>3253.1819999999998</v>
      </c>
      <c r="H3730">
        <f>1248.41</f>
        <v>1248.4100000000001</v>
      </c>
      <c r="I3730">
        <f>3641.811</f>
        <v>3641.8110000000001</v>
      </c>
      <c r="J3730">
        <f>843.34</f>
        <v>843.34</v>
      </c>
      <c r="K3730">
        <f>2549.61</f>
        <v>2549.61</v>
      </c>
      <c r="L3730">
        <f>563.23</f>
        <v>563.23</v>
      </c>
      <c r="M3730">
        <f>2414.57</f>
        <v>2414.5700000000002</v>
      </c>
      <c r="N3730">
        <f>86.64</f>
        <v>86.64</v>
      </c>
      <c r="O3730">
        <f>954.54</f>
        <v>954.54</v>
      </c>
      <c r="P3730">
        <f>62.47</f>
        <v>62.47</v>
      </c>
      <c r="Q3730">
        <f>495.84</f>
        <v>495.84</v>
      </c>
      <c r="R3730">
        <f>1225.32</f>
        <v>1225.32</v>
      </c>
      <c r="S3730">
        <f>875.04</f>
        <v>875.04</v>
      </c>
      <c r="T3730">
        <f>836.146</f>
        <v>836.14599999999996</v>
      </c>
      <c r="U3730">
        <f>19762.03</f>
        <v>19762.03</v>
      </c>
      <c r="V3730">
        <f>109.28</f>
        <v>109.28</v>
      </c>
    </row>
    <row r="3731" spans="1:22" x14ac:dyDescent="0.2">
      <c r="A3731" s="1">
        <v>39884</v>
      </c>
      <c r="B3731">
        <f>1504.79</f>
        <v>1504.79</v>
      </c>
      <c r="C3731">
        <f>3863.04</f>
        <v>3863.04</v>
      </c>
      <c r="D3731">
        <f>2275.57</f>
        <v>2275.5700000000002</v>
      </c>
      <c r="E3731">
        <f>882.858</f>
        <v>882.85799999999995</v>
      </c>
      <c r="F3731">
        <f>665.41</f>
        <v>665.41</v>
      </c>
      <c r="G3731">
        <f>3179.485</f>
        <v>3179.4850000000001</v>
      </c>
      <c r="H3731">
        <f>1198.1</f>
        <v>1198.0999999999999</v>
      </c>
      <c r="I3731">
        <f>3604.045</f>
        <v>3604.0450000000001</v>
      </c>
      <c r="J3731">
        <f>832.14</f>
        <v>832.14</v>
      </c>
      <c r="K3731">
        <f>2531.25</f>
        <v>2531.25</v>
      </c>
      <c r="L3731">
        <f>553.64</f>
        <v>553.64</v>
      </c>
      <c r="M3731">
        <f>2379.77</f>
        <v>2379.77</v>
      </c>
      <c r="N3731">
        <f>85.719</f>
        <v>85.718999999999994</v>
      </c>
      <c r="O3731">
        <f>947.98</f>
        <v>947.98</v>
      </c>
      <c r="P3731">
        <f>60.92</f>
        <v>60.92</v>
      </c>
      <c r="Q3731">
        <f>492.01</f>
        <v>492.01</v>
      </c>
      <c r="R3731">
        <f>1215.87</f>
        <v>1215.8699999999999</v>
      </c>
      <c r="S3731">
        <f>846.81</f>
        <v>846.81</v>
      </c>
      <c r="T3731">
        <f>811.688</f>
        <v>811.68799999999999</v>
      </c>
      <c r="U3731">
        <f>19168.62</f>
        <v>19168.62</v>
      </c>
      <c r="V3731">
        <f>106.42</f>
        <v>106.42</v>
      </c>
    </row>
    <row r="3732" spans="1:22" x14ac:dyDescent="0.2">
      <c r="A3732" s="1">
        <v>39883</v>
      </c>
      <c r="B3732">
        <f>1506.88</f>
        <v>1506.88</v>
      </c>
      <c r="C3732">
        <f>3834.57</f>
        <v>3834.57</v>
      </c>
      <c r="D3732">
        <f>2264.38</f>
        <v>2264.38</v>
      </c>
      <c r="E3732">
        <f>876.88</f>
        <v>876.88</v>
      </c>
      <c r="F3732">
        <f>655.28</f>
        <v>655.28</v>
      </c>
      <c r="G3732">
        <f>3155.893</f>
        <v>3155.893</v>
      </c>
      <c r="H3732">
        <f>1240.41</f>
        <v>1240.4100000000001</v>
      </c>
      <c r="I3732">
        <f>3572.097</f>
        <v>3572.0970000000002</v>
      </c>
      <c r="J3732">
        <f>786.15</f>
        <v>786.15</v>
      </c>
      <c r="K3732">
        <f>2432.46</f>
        <v>2432.46</v>
      </c>
      <c r="L3732">
        <f>538.19</f>
        <v>538.19000000000005</v>
      </c>
      <c r="M3732">
        <f>2332.92</f>
        <v>2332.92</v>
      </c>
      <c r="N3732">
        <f>85.728</f>
        <v>85.727999999999994</v>
      </c>
      <c r="O3732">
        <f>942.51</f>
        <v>942.51</v>
      </c>
      <c r="P3732">
        <f>62.11</f>
        <v>62.11</v>
      </c>
      <c r="Q3732">
        <f>474.1</f>
        <v>474.1</v>
      </c>
      <c r="R3732">
        <f>1168.07</f>
        <v>1168.07</v>
      </c>
      <c r="S3732">
        <f>872.6</f>
        <v>872.6</v>
      </c>
      <c r="T3732">
        <f>808.821</f>
        <v>808.82100000000003</v>
      </c>
      <c r="U3732">
        <f>19120.04</f>
        <v>19120.04</v>
      </c>
      <c r="V3732">
        <f>105.58</f>
        <v>105.58</v>
      </c>
    </row>
    <row r="3733" spans="1:22" x14ac:dyDescent="0.2">
      <c r="A3733" s="1">
        <v>39882</v>
      </c>
      <c r="B3733">
        <f>1505.6</f>
        <v>1505.6</v>
      </c>
      <c r="C3733">
        <f>3760.19</f>
        <v>3760.19</v>
      </c>
      <c r="D3733">
        <f>2272.82</f>
        <v>2272.8200000000002</v>
      </c>
      <c r="E3733">
        <f>860.086</f>
        <v>860.08600000000001</v>
      </c>
      <c r="F3733">
        <f>675.1</f>
        <v>675.1</v>
      </c>
      <c r="G3733">
        <f>3183.843</f>
        <v>3183.8429999999998</v>
      </c>
      <c r="H3733">
        <f>1185.45</f>
        <v>1185.45</v>
      </c>
      <c r="I3733">
        <f>3536.78</f>
        <v>3536.78</v>
      </c>
      <c r="J3733">
        <f>785.28</f>
        <v>785.28</v>
      </c>
      <c r="K3733">
        <f>2426.51</f>
        <v>2426.5100000000002</v>
      </c>
      <c r="L3733">
        <f>535.57</f>
        <v>535.57000000000005</v>
      </c>
      <c r="M3733">
        <f>2313.86</f>
        <v>2313.86</v>
      </c>
      <c r="N3733">
        <f>85.321</f>
        <v>85.320999999999998</v>
      </c>
      <c r="O3733">
        <f>939.6</f>
        <v>939.6</v>
      </c>
      <c r="P3733">
        <f>60.27</f>
        <v>60.27</v>
      </c>
      <c r="Q3733">
        <f>472.73</f>
        <v>472.73</v>
      </c>
      <c r="R3733">
        <f>1164.83</f>
        <v>1164.83</v>
      </c>
      <c r="S3733">
        <f>849.92</f>
        <v>849.92</v>
      </c>
      <c r="T3733">
        <f>789.05</f>
        <v>789.05</v>
      </c>
      <c r="U3733">
        <f>18587.47</f>
        <v>18587.47</v>
      </c>
      <c r="V3733">
        <f>102.99</f>
        <v>102.99</v>
      </c>
    </row>
    <row r="3734" spans="1:22" x14ac:dyDescent="0.2">
      <c r="A3734" s="1">
        <v>39881</v>
      </c>
      <c r="B3734">
        <f>1451.5</f>
        <v>1451.5</v>
      </c>
      <c r="C3734">
        <f>3624.47</f>
        <v>3624.47</v>
      </c>
      <c r="D3734">
        <f>2167.09</f>
        <v>2167.09</v>
      </c>
      <c r="E3734">
        <f>830.118</f>
        <v>830.11800000000005</v>
      </c>
      <c r="F3734">
        <f>630.88</f>
        <v>630.88</v>
      </c>
      <c r="G3734">
        <f>3015.163</f>
        <v>3015.163</v>
      </c>
      <c r="H3734">
        <f>1193.61</f>
        <v>1193.6099999999999</v>
      </c>
      <c r="I3734">
        <f>3326.845</f>
        <v>3326.8449999999998</v>
      </c>
      <c r="J3734">
        <f>730.95</f>
        <v>730.95</v>
      </c>
      <c r="K3734">
        <f>2281.52</f>
        <v>2281.52</v>
      </c>
      <c r="L3734">
        <f>501.19</f>
        <v>501.19</v>
      </c>
      <c r="M3734">
        <f>2196.91</f>
        <v>2196.91</v>
      </c>
      <c r="N3734">
        <f>82.018</f>
        <v>82.018000000000001</v>
      </c>
      <c r="O3734">
        <f>894.79</f>
        <v>894.79</v>
      </c>
      <c r="P3734">
        <f>61.07</f>
        <v>61.07</v>
      </c>
      <c r="Q3734">
        <f>446.81</f>
        <v>446.81</v>
      </c>
      <c r="R3734">
        <f>1095.04</f>
        <v>1095.04</v>
      </c>
      <c r="S3734">
        <f>858.41</f>
        <v>858.41</v>
      </c>
      <c r="T3734">
        <f>783.905</f>
        <v>783.90499999999997</v>
      </c>
      <c r="U3734">
        <f>18152.43</f>
        <v>18152.43</v>
      </c>
      <c r="V3734">
        <f>101.26</f>
        <v>101.26</v>
      </c>
    </row>
    <row r="3735" spans="1:22" x14ac:dyDescent="0.2">
      <c r="A3735" s="1">
        <v>39878</v>
      </c>
      <c r="B3735">
        <f>1465.63</f>
        <v>1465.63</v>
      </c>
      <c r="C3735">
        <f>3659.84</f>
        <v>3659.84</v>
      </c>
      <c r="D3735">
        <f>2159.95</f>
        <v>2159.9499999999998</v>
      </c>
      <c r="E3735">
        <f>835.057</f>
        <v>835.05700000000002</v>
      </c>
      <c r="F3735">
        <f>663.53</f>
        <v>663.53</v>
      </c>
      <c r="G3735">
        <f>3090.112</f>
        <v>3090.1120000000001</v>
      </c>
      <c r="H3735">
        <f>1227.52</f>
        <v>1227.52</v>
      </c>
      <c r="I3735">
        <f>3342.042</f>
        <v>3342.0419999999999</v>
      </c>
      <c r="J3735">
        <f>733.05</f>
        <v>733.05</v>
      </c>
      <c r="K3735">
        <f>2304.24</f>
        <v>2304.2399999999998</v>
      </c>
      <c r="L3735">
        <f>506.58</f>
        <v>506.58</v>
      </c>
      <c r="M3735">
        <f>2225.04</f>
        <v>2225.04</v>
      </c>
      <c r="N3735">
        <f>83.623</f>
        <v>83.623000000000005</v>
      </c>
      <c r="O3735">
        <f>900.08</f>
        <v>900.08</v>
      </c>
      <c r="P3735">
        <f>61.51</f>
        <v>61.51</v>
      </c>
      <c r="Q3735">
        <f>450.55</f>
        <v>450.55</v>
      </c>
      <c r="R3735">
        <f>1106</f>
        <v>1106</v>
      </c>
      <c r="S3735">
        <f>871.52</f>
        <v>871.52</v>
      </c>
      <c r="T3735">
        <f>797.324</f>
        <v>797.32399999999996</v>
      </c>
      <c r="U3735">
        <f>18640.81</f>
        <v>18640.810000000001</v>
      </c>
      <c r="V3735">
        <f>102.48</f>
        <v>102.48</v>
      </c>
    </row>
    <row r="3736" spans="1:22" x14ac:dyDescent="0.2">
      <c r="A3736" s="1">
        <v>39877</v>
      </c>
      <c r="B3736">
        <f>1487.93</f>
        <v>1487.93</v>
      </c>
      <c r="C3736">
        <f>3646.91</f>
        <v>3646.91</v>
      </c>
      <c r="D3736">
        <f>2159.41</f>
        <v>2159.41</v>
      </c>
      <c r="E3736">
        <f>834.706</f>
        <v>834.70600000000002</v>
      </c>
      <c r="F3736">
        <f>670.4</f>
        <v>670.4</v>
      </c>
      <c r="G3736">
        <f>3083.67</f>
        <v>3083.67</v>
      </c>
      <c r="H3736">
        <f>1266.59</f>
        <v>1266.5899999999999</v>
      </c>
      <c r="I3736">
        <f>3361.52</f>
        <v>3361.52</v>
      </c>
      <c r="J3736">
        <f>728.01</f>
        <v>728.01</v>
      </c>
      <c r="K3736">
        <f>2300.22</f>
        <v>2300.2199999999998</v>
      </c>
      <c r="L3736">
        <f>507.23</f>
        <v>507.23</v>
      </c>
      <c r="M3736">
        <f>2234.06</f>
        <v>2234.06</v>
      </c>
      <c r="N3736">
        <f>85.437</f>
        <v>85.436999999999998</v>
      </c>
      <c r="O3736">
        <f>912.37</f>
        <v>912.37</v>
      </c>
      <c r="P3736">
        <f>63.42</f>
        <v>63.42</v>
      </c>
      <c r="Q3736">
        <f>449.29</f>
        <v>449.29</v>
      </c>
      <c r="R3736">
        <f>1104.38</f>
        <v>1104.3800000000001</v>
      </c>
      <c r="S3736">
        <f>895.89</f>
        <v>895.89</v>
      </c>
      <c r="T3736">
        <f>801.63</f>
        <v>801.63</v>
      </c>
      <c r="U3736">
        <f>18418.95</f>
        <v>18418.95</v>
      </c>
      <c r="V3736">
        <f>102.82</f>
        <v>102.82</v>
      </c>
    </row>
    <row r="3737" spans="1:22" x14ac:dyDescent="0.2">
      <c r="A3737" s="1">
        <v>39876</v>
      </c>
      <c r="B3737">
        <f>1530.91</f>
        <v>1530.91</v>
      </c>
      <c r="C3737">
        <f>3666.95</f>
        <v>3666.95</v>
      </c>
      <c r="D3737">
        <f>2230.39</f>
        <v>2230.39</v>
      </c>
      <c r="E3737">
        <f>843.669</f>
        <v>843.66899999999998</v>
      </c>
      <c r="F3737">
        <f>705.6</f>
        <v>705.6</v>
      </c>
      <c r="G3737">
        <f>3183.904</f>
        <v>3183.904</v>
      </c>
      <c r="H3737">
        <f>1233.38</f>
        <v>1233.3800000000001</v>
      </c>
      <c r="I3737">
        <f>3499.197</f>
        <v>3499.1970000000001</v>
      </c>
      <c r="J3737">
        <f>761.6</f>
        <v>761.6</v>
      </c>
      <c r="K3737">
        <f>2401.44</f>
        <v>2401.44</v>
      </c>
      <c r="L3737">
        <f>527.57</f>
        <v>527.57000000000005</v>
      </c>
      <c r="M3737">
        <f>2303.88</f>
        <v>2303.88</v>
      </c>
      <c r="N3737">
        <f>88.126</f>
        <v>88.126000000000005</v>
      </c>
      <c r="O3737">
        <f>946.5</f>
        <v>946.5</v>
      </c>
      <c r="P3737">
        <f>62.09</f>
        <v>62.09</v>
      </c>
      <c r="Q3737">
        <f>467.99</f>
        <v>467.99</v>
      </c>
      <c r="R3737">
        <f>1153.35</f>
        <v>1153.3499999999999</v>
      </c>
      <c r="S3737">
        <f>884.39</f>
        <v>884.39</v>
      </c>
      <c r="T3737">
        <f>809.341</f>
        <v>809.34100000000001</v>
      </c>
      <c r="U3737">
        <f>18474.16</f>
        <v>18474.16</v>
      </c>
      <c r="V3737">
        <f>105.09</f>
        <v>105.09</v>
      </c>
    </row>
    <row r="3738" spans="1:22" x14ac:dyDescent="0.2">
      <c r="A3738" s="1">
        <v>39875</v>
      </c>
      <c r="B3738">
        <f>1500.61</f>
        <v>1500.61</v>
      </c>
      <c r="C3738">
        <f>3555.48</f>
        <v>3555.48</v>
      </c>
      <c r="D3738">
        <f>2147.05</f>
        <v>2147.0500000000002</v>
      </c>
      <c r="E3738">
        <f>814.067</f>
        <v>814.06700000000001</v>
      </c>
      <c r="F3738">
        <f>678.32</f>
        <v>678.32</v>
      </c>
      <c r="G3738">
        <f>3050.325</f>
        <v>3050.3249999999998</v>
      </c>
      <c r="H3738">
        <f>1241.16</f>
        <v>1241.1600000000001</v>
      </c>
      <c r="I3738">
        <f>3376.091</f>
        <v>3376.0909999999999</v>
      </c>
      <c r="J3738">
        <f>752.03</f>
        <v>752.03</v>
      </c>
      <c r="K3738">
        <f>2344.61</f>
        <v>2344.61</v>
      </c>
      <c r="L3738">
        <f>514.98</f>
        <v>514.98</v>
      </c>
      <c r="M3738">
        <f>2248.9</f>
        <v>2248.9</v>
      </c>
      <c r="N3738">
        <f>84.949</f>
        <v>84.948999999999998</v>
      </c>
      <c r="O3738">
        <f>910.73</f>
        <v>910.73</v>
      </c>
      <c r="P3738">
        <f>61.16</f>
        <v>61.16</v>
      </c>
      <c r="Q3738">
        <f>456.75</f>
        <v>456.75</v>
      </c>
      <c r="R3738">
        <f>1126.18</f>
        <v>1126.18</v>
      </c>
      <c r="S3738">
        <f>878.07</f>
        <v>878.07</v>
      </c>
      <c r="T3738">
        <f>807.702</f>
        <v>807.702</v>
      </c>
      <c r="U3738">
        <f>18120.69</f>
        <v>18120.689999999999</v>
      </c>
      <c r="V3738">
        <f>105.09</f>
        <v>105.09</v>
      </c>
    </row>
    <row r="3739" spans="1:22" x14ac:dyDescent="0.2">
      <c r="A3739" s="1">
        <v>39874</v>
      </c>
      <c r="B3739">
        <f>1506.24</f>
        <v>1506.24</v>
      </c>
      <c r="C3739">
        <f>3547.55</f>
        <v>3547.55</v>
      </c>
      <c r="D3739">
        <f>2216.59</f>
        <v>2216.59</v>
      </c>
      <c r="E3739">
        <f>812.166</f>
        <v>812.16600000000005</v>
      </c>
      <c r="F3739">
        <f>694.15</f>
        <v>694.15</v>
      </c>
      <c r="G3739">
        <f>3139.607</f>
        <v>3139.607</v>
      </c>
      <c r="H3739">
        <f>1268.87</f>
        <v>1268.8699999999999</v>
      </c>
      <c r="I3739">
        <f>3435.235</f>
        <v>3435.2350000000001</v>
      </c>
      <c r="J3739">
        <f>765.21</f>
        <v>765.21</v>
      </c>
      <c r="K3739">
        <f>2358.45</f>
        <v>2358.4499999999998</v>
      </c>
      <c r="L3739">
        <f>525.28</f>
        <v>525.28</v>
      </c>
      <c r="M3739">
        <f>2275.95</f>
        <v>2275.9499999999998</v>
      </c>
      <c r="N3739">
        <f>86.911</f>
        <v>86.911000000000001</v>
      </c>
      <c r="O3739">
        <f>927.72</f>
        <v>927.72</v>
      </c>
      <c r="P3739">
        <f>61.57</f>
        <v>61.57</v>
      </c>
      <c r="Q3739">
        <f>464.24</f>
        <v>464.24</v>
      </c>
      <c r="R3739">
        <f>1133.43</f>
        <v>1133.43</v>
      </c>
      <c r="S3739">
        <f>887.47</f>
        <v>887.47</v>
      </c>
      <c r="T3739">
        <f>823.213</f>
        <v>823.21299999999997</v>
      </c>
      <c r="U3739">
        <f>18386.54</f>
        <v>18386.54</v>
      </c>
      <c r="V3739">
        <f>107.45</f>
        <v>107.45</v>
      </c>
    </row>
    <row r="3740" spans="1:22" x14ac:dyDescent="0.2">
      <c r="A3740" s="1">
        <v>39871</v>
      </c>
      <c r="B3740">
        <f>1568.49</f>
        <v>1568.49</v>
      </c>
      <c r="C3740">
        <f>3707.52</f>
        <v>3707.52</v>
      </c>
      <c r="D3740">
        <f>2341.46</f>
        <v>2341.46</v>
      </c>
      <c r="E3740">
        <f>853.468</f>
        <v>853.46799999999996</v>
      </c>
      <c r="F3740">
        <f>740.81</f>
        <v>740.81</v>
      </c>
      <c r="G3740">
        <f>3377.624</f>
        <v>3377.6239999999998</v>
      </c>
      <c r="H3740">
        <f>1312.28</f>
        <v>1312.28</v>
      </c>
      <c r="I3740">
        <f>3628.746</f>
        <v>3628.7460000000001</v>
      </c>
      <c r="J3740">
        <f>805.29</f>
        <v>805.29</v>
      </c>
      <c r="K3740">
        <f>2475.33</f>
        <v>2475.33</v>
      </c>
      <c r="L3740">
        <f>555.95</f>
        <v>555.95000000000005</v>
      </c>
      <c r="M3740">
        <f>2393.87</f>
        <v>2393.87</v>
      </c>
      <c r="N3740">
        <f>90.976</f>
        <v>90.975999999999999</v>
      </c>
      <c r="O3740">
        <f>979.06</f>
        <v>979.06</v>
      </c>
      <c r="P3740">
        <f>63.45</f>
        <v>63.45</v>
      </c>
      <c r="Q3740">
        <f>484.12</f>
        <v>484.12</v>
      </c>
      <c r="R3740">
        <f>1188.84</f>
        <v>1188.8399999999999</v>
      </c>
      <c r="S3740">
        <f>914.2</f>
        <v>914.2</v>
      </c>
      <c r="T3740">
        <f>831.521</f>
        <v>831.52099999999996</v>
      </c>
      <c r="U3740">
        <f>18465.33</f>
        <v>18465.330000000002</v>
      </c>
      <c r="V3740">
        <f>107.77</f>
        <v>107.77</v>
      </c>
    </row>
    <row r="3741" spans="1:22" x14ac:dyDescent="0.2">
      <c r="A3741" s="1">
        <v>39870</v>
      </c>
      <c r="B3741">
        <f>1618.07</f>
        <v>1618.07</v>
      </c>
      <c r="C3741">
        <f>3760.57</f>
        <v>3760.57</v>
      </c>
      <c r="D3741">
        <f>2393.75</f>
        <v>2393.75</v>
      </c>
      <c r="E3741">
        <f>864.58</f>
        <v>864.58</v>
      </c>
      <c r="F3741">
        <f>770.72</f>
        <v>770.72</v>
      </c>
      <c r="G3741">
        <f>3481.49</f>
        <v>3481.49</v>
      </c>
      <c r="H3741">
        <f>1284.61</f>
        <v>1284.6099999999999</v>
      </c>
      <c r="I3741">
        <f>3693.976</f>
        <v>3693.9760000000001</v>
      </c>
      <c r="J3741">
        <f>830.26</f>
        <v>830.26</v>
      </c>
      <c r="K3741">
        <f>2531.89</f>
        <v>2531.89</v>
      </c>
      <c r="L3741">
        <f>571.7</f>
        <v>571.70000000000005</v>
      </c>
      <c r="M3741">
        <f>2434.16</f>
        <v>2434.16</v>
      </c>
      <c r="N3741">
        <f>92.486</f>
        <v>92.486000000000004</v>
      </c>
      <c r="O3741">
        <f>995.24</f>
        <v>995.24</v>
      </c>
      <c r="P3741">
        <f>62.55</f>
        <v>62.55</v>
      </c>
      <c r="Q3741">
        <f>493.59</f>
        <v>493.59</v>
      </c>
      <c r="R3741">
        <f>1217.49</f>
        <v>1217.49</v>
      </c>
      <c r="S3741">
        <f>897.07</f>
        <v>897.07</v>
      </c>
      <c r="T3741">
        <f>864.174</f>
        <v>864.17399999999998</v>
      </c>
      <c r="U3741">
        <f>18998.42</f>
        <v>18998.419999999998</v>
      </c>
      <c r="V3741">
        <f>112.25</f>
        <v>112.25</v>
      </c>
    </row>
    <row r="3742" spans="1:22" x14ac:dyDescent="0.2">
      <c r="A3742" s="1">
        <v>39869</v>
      </c>
      <c r="B3742">
        <f>1568.71</f>
        <v>1568.71</v>
      </c>
      <c r="C3742">
        <f>3729.22</f>
        <v>3729.22</v>
      </c>
      <c r="D3742">
        <f>2353</f>
        <v>2353</v>
      </c>
      <c r="E3742">
        <f>863.718</f>
        <v>863.71799999999996</v>
      </c>
      <c r="F3742">
        <f>716.61</f>
        <v>716.61</v>
      </c>
      <c r="G3742">
        <f>3391.009</f>
        <v>3391.009</v>
      </c>
      <c r="H3742">
        <f>1313.77</f>
        <v>1313.77</v>
      </c>
      <c r="I3742">
        <f>3599.639</f>
        <v>3599.6390000000001</v>
      </c>
      <c r="J3742">
        <f>834.79</f>
        <v>834.79</v>
      </c>
      <c r="K3742">
        <f>2571.32</f>
        <v>2571.3200000000002</v>
      </c>
      <c r="L3742">
        <f>559.79</f>
        <v>559.79</v>
      </c>
      <c r="M3742">
        <f>2434.05</f>
        <v>2434.0500000000002</v>
      </c>
      <c r="N3742">
        <f>90.22</f>
        <v>90.22</v>
      </c>
      <c r="O3742">
        <f>973.8</f>
        <v>973.8</v>
      </c>
      <c r="P3742">
        <f>62.89</f>
        <v>62.89</v>
      </c>
      <c r="Q3742">
        <f>503.77</f>
        <v>503.77</v>
      </c>
      <c r="R3742">
        <f>1236.74</f>
        <v>1236.74</v>
      </c>
      <c r="S3742">
        <f>900.8</f>
        <v>900.8</v>
      </c>
      <c r="T3742">
        <f>845.667</f>
        <v>845.66700000000003</v>
      </c>
      <c r="U3742">
        <f>18817.56</f>
        <v>18817.560000000001</v>
      </c>
      <c r="V3742">
        <f>109.06</f>
        <v>109.06</v>
      </c>
    </row>
    <row r="3743" spans="1:22" x14ac:dyDescent="0.2">
      <c r="A3743" s="1">
        <v>39868</v>
      </c>
      <c r="B3743">
        <f>1532.74</f>
        <v>1532.74</v>
      </c>
      <c r="C3743">
        <f>3710.03</f>
        <v>3710.03</v>
      </c>
      <c r="D3743">
        <f>2330.52</f>
        <v>2330.52</v>
      </c>
      <c r="E3743">
        <f>859.098</f>
        <v>859.09799999999996</v>
      </c>
      <c r="F3743">
        <f>728.28</f>
        <v>728.28</v>
      </c>
      <c r="G3743">
        <f>3401.523</f>
        <v>3401.5230000000001</v>
      </c>
      <c r="H3743">
        <f>1277.12</f>
        <v>1277.1199999999999</v>
      </c>
      <c r="I3743">
        <f>3633.318</f>
        <v>3633.3180000000002</v>
      </c>
      <c r="J3743">
        <f>838.04</f>
        <v>838.04</v>
      </c>
      <c r="K3743">
        <f>2597.63</f>
        <v>2597.63</v>
      </c>
      <c r="L3743">
        <f>562.41</f>
        <v>562.41</v>
      </c>
      <c r="M3743">
        <f>2446.13</f>
        <v>2446.13</v>
      </c>
      <c r="N3743">
        <f>90.435</f>
        <v>90.435000000000002</v>
      </c>
      <c r="O3743">
        <f>977.12</f>
        <v>977.12</v>
      </c>
      <c r="P3743">
        <f>61.73</f>
        <v>61.73</v>
      </c>
      <c r="Q3743">
        <f>511.17</f>
        <v>511.17</v>
      </c>
      <c r="R3743">
        <f>1249.76</f>
        <v>1249.76</v>
      </c>
      <c r="S3743">
        <f>882.26</f>
        <v>882.26</v>
      </c>
      <c r="T3743">
        <f>842.461</f>
        <v>842.46100000000001</v>
      </c>
      <c r="U3743">
        <f>18813.38</f>
        <v>18813.38</v>
      </c>
      <c r="V3743">
        <f>108.84</f>
        <v>108.84</v>
      </c>
    </row>
    <row r="3744" spans="1:22" x14ac:dyDescent="0.2">
      <c r="A3744" s="1">
        <v>39867</v>
      </c>
      <c r="B3744">
        <f>1541.59</f>
        <v>1541.59</v>
      </c>
      <c r="C3744">
        <f>3757.67</f>
        <v>3757.67</v>
      </c>
      <c r="D3744">
        <f>2351.46</f>
        <v>2351.46</v>
      </c>
      <c r="E3744">
        <f>871.748</f>
        <v>871.74800000000005</v>
      </c>
      <c r="F3744">
        <f>751.42</f>
        <v>751.42</v>
      </c>
      <c r="G3744">
        <f>3463.656</f>
        <v>3463.6559999999999</v>
      </c>
      <c r="H3744">
        <f>1308.21</f>
        <v>1308.21</v>
      </c>
      <c r="I3744">
        <f>3669.39</f>
        <v>3669.39</v>
      </c>
      <c r="J3744">
        <f>801.77</f>
        <v>801.77</v>
      </c>
      <c r="K3744">
        <f>2497.06</f>
        <v>2497.06</v>
      </c>
      <c r="L3744">
        <f>557.57</f>
        <v>557.57000000000005</v>
      </c>
      <c r="M3744">
        <f>2412.47</f>
        <v>2412.4699999999998</v>
      </c>
      <c r="N3744">
        <f>91.509</f>
        <v>91.509</v>
      </c>
      <c r="O3744">
        <f>990.07</f>
        <v>990.07</v>
      </c>
      <c r="P3744">
        <f>62.02</f>
        <v>62.02</v>
      </c>
      <c r="Q3744">
        <f>493.04</f>
        <v>493.04</v>
      </c>
      <c r="R3744">
        <f>1201.56</f>
        <v>1201.56</v>
      </c>
      <c r="S3744">
        <f>887.94</f>
        <v>887.94</v>
      </c>
      <c r="T3744">
        <f>854.47</f>
        <v>854.47</v>
      </c>
      <c r="U3744">
        <f>19286.78</f>
        <v>19286.78</v>
      </c>
      <c r="V3744">
        <f>112.42</f>
        <v>112.42</v>
      </c>
    </row>
    <row r="3745" spans="1:22" x14ac:dyDescent="0.2">
      <c r="A3745" s="1">
        <v>39864</v>
      </c>
      <c r="B3745">
        <f>1555.79</f>
        <v>1555.79</v>
      </c>
      <c r="C3745">
        <f>3705.86</f>
        <v>3705.86</v>
      </c>
      <c r="D3745">
        <f>2374.87</f>
        <v>2374.87</v>
      </c>
      <c r="E3745">
        <f>858.682</f>
        <v>858.68200000000002</v>
      </c>
      <c r="F3745">
        <f>734.13</f>
        <v>734.13</v>
      </c>
      <c r="G3745">
        <f>3442.802</f>
        <v>3442.8020000000001</v>
      </c>
      <c r="H3745">
        <f>1325.26</f>
        <v>1325.26</v>
      </c>
      <c r="I3745">
        <f>3682.476</f>
        <v>3682.4760000000001</v>
      </c>
      <c r="J3745">
        <f>826.37</f>
        <v>826.37</v>
      </c>
      <c r="K3745">
        <f>2587.58</f>
        <v>2587.58</v>
      </c>
      <c r="L3745">
        <f>562.55</f>
        <v>562.54999999999995</v>
      </c>
      <c r="M3745">
        <f>2461.57</f>
        <v>2461.5700000000002</v>
      </c>
      <c r="N3745">
        <f>91.932</f>
        <v>91.932000000000002</v>
      </c>
      <c r="O3745">
        <f>997.67</f>
        <v>997.67</v>
      </c>
      <c r="P3745">
        <f>62.22</f>
        <v>62.22</v>
      </c>
      <c r="Q3745">
        <f>509.27</f>
        <v>509.27</v>
      </c>
      <c r="R3745">
        <f>1244.72</f>
        <v>1244.72</v>
      </c>
      <c r="S3745">
        <f>893.08</f>
        <v>893.08</v>
      </c>
      <c r="T3745">
        <f>852.002</f>
        <v>852.00199999999995</v>
      </c>
      <c r="U3745">
        <f>19402.59</f>
        <v>19402.59</v>
      </c>
      <c r="V3745">
        <f>112.72</f>
        <v>112.72</v>
      </c>
    </row>
    <row r="3746" spans="1:22" x14ac:dyDescent="0.2">
      <c r="A3746" s="1">
        <v>39863</v>
      </c>
      <c r="B3746">
        <f>1602.22</f>
        <v>1602.22</v>
      </c>
      <c r="C3746">
        <f>3836.62</f>
        <v>3836.62</v>
      </c>
      <c r="D3746">
        <f>2453.83</f>
        <v>2453.83</v>
      </c>
      <c r="E3746">
        <f>890.902</f>
        <v>890.90200000000004</v>
      </c>
      <c r="F3746">
        <f>751.24</f>
        <v>751.24</v>
      </c>
      <c r="G3746">
        <f>3555.539</f>
        <v>3555.5390000000002</v>
      </c>
      <c r="H3746">
        <f>1347.38</f>
        <v>1347.38</v>
      </c>
      <c r="I3746">
        <f>3856.868</f>
        <v>3856.8679999999999</v>
      </c>
      <c r="J3746">
        <f>840.67</f>
        <v>840.67</v>
      </c>
      <c r="K3746">
        <f>2616.14</f>
        <v>2616.14</v>
      </c>
      <c r="L3746">
        <f>583.38</f>
        <v>583.38</v>
      </c>
      <c r="M3746">
        <f>2516.49</f>
        <v>2516.4899999999998</v>
      </c>
      <c r="N3746">
        <f>94.962</f>
        <v>94.962000000000003</v>
      </c>
      <c r="O3746">
        <f>1036.7</f>
        <v>1036.7</v>
      </c>
      <c r="P3746">
        <f>63.31</f>
        <v>63.31</v>
      </c>
      <c r="Q3746">
        <f>515.28</f>
        <v>515.28</v>
      </c>
      <c r="R3746">
        <f>1258.82</f>
        <v>1258.82</v>
      </c>
      <c r="S3746">
        <f>907.64</f>
        <v>907.64</v>
      </c>
      <c r="T3746">
        <f>879.827</f>
        <v>879.827</v>
      </c>
      <c r="U3746">
        <f>20061.2</f>
        <v>20061.2</v>
      </c>
      <c r="V3746">
        <f>117.87</f>
        <v>117.87</v>
      </c>
    </row>
    <row r="3747" spans="1:22" x14ac:dyDescent="0.2">
      <c r="A3747" s="1">
        <v>39862</v>
      </c>
      <c r="B3747">
        <f>1604.91</f>
        <v>1604.91</v>
      </c>
      <c r="C3747">
        <f>3786.88</f>
        <v>3786.88</v>
      </c>
      <c r="D3747">
        <f>2446.79</f>
        <v>2446.79</v>
      </c>
      <c r="E3747">
        <f>882.222</f>
        <v>882.22199999999998</v>
      </c>
      <c r="F3747">
        <f>747.4</f>
        <v>747.4</v>
      </c>
      <c r="G3747">
        <f>3516.411</f>
        <v>3516.4110000000001</v>
      </c>
      <c r="H3747">
        <f>1351.95</f>
        <v>1351.95</v>
      </c>
      <c r="I3747">
        <f>3803.299</f>
        <v>3803.299</v>
      </c>
      <c r="J3747">
        <f>852.37</f>
        <v>852.37</v>
      </c>
      <c r="K3747">
        <f>2645.41</f>
        <v>2645.41</v>
      </c>
      <c r="L3747">
        <f>581</f>
        <v>581</v>
      </c>
      <c r="M3747">
        <f>2519.57</f>
        <v>2519.5700000000002</v>
      </c>
      <c r="N3747">
        <f>95.231</f>
        <v>95.230999999999995</v>
      </c>
      <c r="O3747">
        <f>1036.48</f>
        <v>1036.48</v>
      </c>
      <c r="P3747">
        <f>62.8</f>
        <v>62.8</v>
      </c>
      <c r="Q3747">
        <f>520.04</f>
        <v>520.04</v>
      </c>
      <c r="R3747">
        <f>1273.29</f>
        <v>1273.29</v>
      </c>
      <c r="S3747">
        <f>904.83</f>
        <v>904.83</v>
      </c>
      <c r="T3747">
        <f>881.387</f>
        <v>881.38699999999994</v>
      </c>
      <c r="U3747">
        <f>19953.32</f>
        <v>19953.32</v>
      </c>
      <c r="V3747">
        <f>116.18</f>
        <v>116.18</v>
      </c>
    </row>
    <row r="3748" spans="1:22" x14ac:dyDescent="0.2">
      <c r="A3748" s="1">
        <v>39861</v>
      </c>
      <c r="B3748">
        <f>1632.82</f>
        <v>1632.82</v>
      </c>
      <c r="C3748">
        <f>3801.2</f>
        <v>3801.2</v>
      </c>
      <c r="D3748">
        <f>2456.99</f>
        <v>2456.9899999999998</v>
      </c>
      <c r="E3748">
        <f>889.976</f>
        <v>889.976</v>
      </c>
      <c r="F3748">
        <f>763.15</f>
        <v>763.15</v>
      </c>
      <c r="G3748">
        <f>3546.787</f>
        <v>3546.7869999999998</v>
      </c>
      <c r="H3748">
        <f>1380.59</f>
        <v>1380.59</v>
      </c>
      <c r="I3748">
        <f>3821.786</f>
        <v>3821.7860000000001</v>
      </c>
      <c r="J3748">
        <f>857.39</f>
        <v>857.39</v>
      </c>
      <c r="K3748">
        <f>2647.83</f>
        <v>2647.83</v>
      </c>
      <c r="L3748">
        <f>585.7</f>
        <v>585.70000000000005</v>
      </c>
      <c r="M3748">
        <f>2535.47</f>
        <v>2535.4699999999998</v>
      </c>
      <c r="N3748">
        <f>95.655</f>
        <v>95.655000000000001</v>
      </c>
      <c r="O3748">
        <f>1038.48</f>
        <v>1038.48</v>
      </c>
      <c r="P3748">
        <f>62.98</f>
        <v>62.98</v>
      </c>
      <c r="Q3748">
        <f>518.72</f>
        <v>518.72</v>
      </c>
      <c r="R3748">
        <f>1274.26</f>
        <v>1274.26</v>
      </c>
      <c r="S3748">
        <f>913.6</f>
        <v>913.6</v>
      </c>
      <c r="T3748">
        <f>882.716</f>
        <v>882.71600000000001</v>
      </c>
      <c r="U3748">
        <f>20044.49</f>
        <v>20044.490000000002</v>
      </c>
      <c r="V3748">
        <f>115.8</f>
        <v>115.8</v>
      </c>
    </row>
    <row r="3749" spans="1:22" x14ac:dyDescent="0.2">
      <c r="A3749" s="1">
        <v>39860</v>
      </c>
      <c r="B3749">
        <f>1676.58</f>
        <v>1676.58</v>
      </c>
      <c r="C3749">
        <f>4000.48</f>
        <v>4000.48</v>
      </c>
      <c r="D3749">
        <f>2518.27</f>
        <v>2518.27</v>
      </c>
      <c r="E3749">
        <f>935.511</f>
        <v>935.51099999999997</v>
      </c>
      <c r="F3749">
        <f>783.53</f>
        <v>783.53</v>
      </c>
      <c r="G3749">
        <f>3634.68</f>
        <v>3634.68</v>
      </c>
      <c r="H3749">
        <f>1413.52</f>
        <v>1413.52</v>
      </c>
      <c r="I3749">
        <f>4021.737</f>
        <v>4021.7370000000001</v>
      </c>
      <c r="J3749">
        <f>904.41</f>
        <v>904.41</v>
      </c>
      <c r="K3749">
        <f>2772.75</f>
        <v>2772.75</v>
      </c>
      <c r="L3749">
        <f>613.77</f>
        <v>613.77</v>
      </c>
      <c r="M3749">
        <f>2644.6</f>
        <v>2644.6</v>
      </c>
      <c r="N3749">
        <f>97.74</f>
        <v>97.74</v>
      </c>
      <c r="O3749">
        <f>1066.35</f>
        <v>1066.3499999999999</v>
      </c>
      <c r="P3749">
        <f>63.9</f>
        <v>63.9</v>
      </c>
      <c r="Q3749" t="e">
        <f>NA()</f>
        <v>#N/A</v>
      </c>
      <c r="R3749" t="e">
        <f>NA()</f>
        <v>#N/A</v>
      </c>
      <c r="S3749">
        <f>929.95</f>
        <v>929.95</v>
      </c>
      <c r="T3749">
        <f>904.331</f>
        <v>904.33100000000002</v>
      </c>
      <c r="U3749">
        <f>20382.12</f>
        <v>20382.12</v>
      </c>
      <c r="V3749">
        <f>119.57</f>
        <v>119.57</v>
      </c>
    </row>
    <row r="3750" spans="1:22" x14ac:dyDescent="0.2">
      <c r="A3750" s="1">
        <v>39857</v>
      </c>
      <c r="B3750">
        <f>1706.76</f>
        <v>1706.76</v>
      </c>
      <c r="C3750">
        <f>4048.05</f>
        <v>4048.05</v>
      </c>
      <c r="D3750">
        <f>2551.66</f>
        <v>2551.66</v>
      </c>
      <c r="E3750">
        <f>947.004</f>
        <v>947.00400000000002</v>
      </c>
      <c r="F3750">
        <f>812.72</f>
        <v>812.72</v>
      </c>
      <c r="G3750">
        <f>3732.307</f>
        <v>3732.3069999999998</v>
      </c>
      <c r="H3750">
        <f>1417.48</f>
        <v>1417.48</v>
      </c>
      <c r="I3750">
        <f>4105.797</f>
        <v>4105.7969999999996</v>
      </c>
      <c r="J3750">
        <f>904.41</f>
        <v>904.41</v>
      </c>
      <c r="K3750">
        <f>2772.75</f>
        <v>2772.75</v>
      </c>
      <c r="L3750">
        <f>623.96</f>
        <v>623.96</v>
      </c>
      <c r="M3750">
        <f>2663.42</f>
        <v>2663.42</v>
      </c>
      <c r="N3750">
        <f>99.201</f>
        <v>99.200999999999993</v>
      </c>
      <c r="O3750">
        <f>1080.6</f>
        <v>1080.5999999999999</v>
      </c>
      <c r="P3750">
        <f>63.21</f>
        <v>63.21</v>
      </c>
      <c r="Q3750">
        <f>539.02</f>
        <v>539.02</v>
      </c>
      <c r="R3750">
        <f>1334.83</f>
        <v>1334.83</v>
      </c>
      <c r="S3750">
        <f>923.3</f>
        <v>923.3</v>
      </c>
      <c r="T3750">
        <f>917.842</f>
        <v>917.84199999999998</v>
      </c>
      <c r="U3750">
        <f>20650.38</f>
        <v>20650.38</v>
      </c>
      <c r="V3750">
        <f>120.76</f>
        <v>120.76</v>
      </c>
    </row>
    <row r="3751" spans="1:22" x14ac:dyDescent="0.2">
      <c r="A3751" s="1">
        <v>39856</v>
      </c>
      <c r="B3751">
        <f>1714.49</f>
        <v>1714.49</v>
      </c>
      <c r="C3751">
        <f>3959.08</f>
        <v>3959.08</v>
      </c>
      <c r="D3751">
        <f>2559.37</f>
        <v>2559.37</v>
      </c>
      <c r="E3751">
        <f>927.144</f>
        <v>927.14400000000001</v>
      </c>
      <c r="F3751">
        <f>821.69</f>
        <v>821.69</v>
      </c>
      <c r="G3751">
        <f>3698.463</f>
        <v>3698.4630000000002</v>
      </c>
      <c r="H3751">
        <f>1431.07</f>
        <v>1431.07</v>
      </c>
      <c r="I3751">
        <f>4039.653</f>
        <v>4039.6529999999998</v>
      </c>
      <c r="J3751">
        <f>919.2</f>
        <v>919.2</v>
      </c>
      <c r="K3751">
        <f>2799.75</f>
        <v>2799.75</v>
      </c>
      <c r="L3751">
        <f>622.65</f>
        <v>622.65</v>
      </c>
      <c r="M3751">
        <f>2665.38</f>
        <v>2665.38</v>
      </c>
      <c r="N3751">
        <f>98.709</f>
        <v>98.709000000000003</v>
      </c>
      <c r="O3751">
        <f>1074.58</f>
        <v>1074.58</v>
      </c>
      <c r="P3751">
        <f>62.89</f>
        <v>62.89</v>
      </c>
      <c r="Q3751">
        <f>547.23</f>
        <v>547.23</v>
      </c>
      <c r="R3751">
        <f>1348.15</f>
        <v>1348.15</v>
      </c>
      <c r="S3751">
        <f>918.11</f>
        <v>918.11</v>
      </c>
      <c r="T3751">
        <f>929.477</f>
        <v>929.47699999999998</v>
      </c>
      <c r="U3751">
        <f>20665.91</f>
        <v>20665.91</v>
      </c>
      <c r="V3751">
        <f>122.71</f>
        <v>122.71</v>
      </c>
    </row>
    <row r="3752" spans="1:22" x14ac:dyDescent="0.2">
      <c r="A3752" s="1">
        <v>39855</v>
      </c>
      <c r="B3752">
        <f>1717.87</f>
        <v>1717.87</v>
      </c>
      <c r="C3752">
        <f>4052.77</f>
        <v>4052.77</v>
      </c>
      <c r="D3752">
        <f>2578.88</f>
        <v>2578.88</v>
      </c>
      <c r="E3752">
        <f>945.589</f>
        <v>945.58900000000006</v>
      </c>
      <c r="F3752">
        <f>837.06</f>
        <v>837.06</v>
      </c>
      <c r="G3752">
        <f>3752.431</f>
        <v>3752.431</v>
      </c>
      <c r="H3752">
        <f>1479.56</f>
        <v>1479.56</v>
      </c>
      <c r="I3752">
        <f>4147.403</f>
        <v>4147.4030000000002</v>
      </c>
      <c r="J3752">
        <f>922.91</f>
        <v>922.91</v>
      </c>
      <c r="K3752">
        <f>2792.67</f>
        <v>2792.67</v>
      </c>
      <c r="L3752">
        <f>633.2</f>
        <v>633.20000000000005</v>
      </c>
      <c r="M3752">
        <f>2688.5</f>
        <v>2688.5</v>
      </c>
      <c r="N3752">
        <f>99.69</f>
        <v>99.69</v>
      </c>
      <c r="O3752">
        <f>1091.16</f>
        <v>1091.1600000000001</v>
      </c>
      <c r="P3752" t="e">
        <f>NA()</f>
        <v>#N/A</v>
      </c>
      <c r="Q3752">
        <f>545.94</f>
        <v>545.94000000000005</v>
      </c>
      <c r="R3752">
        <f>1345.5</f>
        <v>1345.5</v>
      </c>
      <c r="S3752" t="e">
        <f>NA()</f>
        <v>#N/A</v>
      </c>
      <c r="T3752">
        <f>936.038</f>
        <v>936.03800000000001</v>
      </c>
      <c r="U3752">
        <f>21054.49</f>
        <v>21054.49</v>
      </c>
      <c r="V3752">
        <f>122.64</f>
        <v>122.64</v>
      </c>
    </row>
    <row r="3753" spans="1:22" x14ac:dyDescent="0.2">
      <c r="A3753" s="1">
        <v>39854</v>
      </c>
      <c r="B3753">
        <f>1722.1</f>
        <v>1722.1</v>
      </c>
      <c r="C3753">
        <f>4110.6</f>
        <v>4110.6000000000004</v>
      </c>
      <c r="D3753">
        <f>2563.74</f>
        <v>2563.7399999999998</v>
      </c>
      <c r="E3753">
        <f>958.98</f>
        <v>958.98</v>
      </c>
      <c r="F3753">
        <f>858.56</f>
        <v>858.56</v>
      </c>
      <c r="G3753">
        <f>3819.451</f>
        <v>3819.451</v>
      </c>
      <c r="H3753">
        <f>1465.12</f>
        <v>1465.12</v>
      </c>
      <c r="I3753">
        <f>4195.66</f>
        <v>4195.66</v>
      </c>
      <c r="J3753">
        <f>909.15</f>
        <v>909.15</v>
      </c>
      <c r="K3753">
        <f>2770.85</f>
        <v>2770.85</v>
      </c>
      <c r="L3753">
        <f>636.41</f>
        <v>636.41</v>
      </c>
      <c r="M3753">
        <f>2692.02</f>
        <v>2692.02</v>
      </c>
      <c r="N3753">
        <f>100.069</f>
        <v>100.069</v>
      </c>
      <c r="O3753">
        <f>1094.17</f>
        <v>1094.17</v>
      </c>
      <c r="P3753">
        <f>64.34</f>
        <v>64.34</v>
      </c>
      <c r="Q3753">
        <f>542.13</f>
        <v>542.13</v>
      </c>
      <c r="R3753">
        <f>1334.3</f>
        <v>1334.3</v>
      </c>
      <c r="S3753">
        <f>939.61</f>
        <v>939.61</v>
      </c>
      <c r="T3753">
        <f>941.15</f>
        <v>941.15</v>
      </c>
      <c r="U3753">
        <f>21440.17</f>
        <v>21440.17</v>
      </c>
      <c r="V3753">
        <f>124.82</f>
        <v>124.82</v>
      </c>
    </row>
    <row r="3754" spans="1:22" x14ac:dyDescent="0.2">
      <c r="A3754" s="1">
        <v>39853</v>
      </c>
      <c r="B3754">
        <f>1762.41</f>
        <v>1762.41</v>
      </c>
      <c r="C3754">
        <f>4148.31</f>
        <v>4148.3100000000004</v>
      </c>
      <c r="D3754">
        <f>2621.27</f>
        <v>2621.27</v>
      </c>
      <c r="E3754">
        <f>964.833</f>
        <v>964.83299999999997</v>
      </c>
      <c r="F3754">
        <f>901.01</f>
        <v>901.01</v>
      </c>
      <c r="G3754">
        <f>3965.551</f>
        <v>3965.5509999999999</v>
      </c>
      <c r="H3754">
        <f>1467.79</f>
        <v>1467.79</v>
      </c>
      <c r="I3754">
        <f>4312.339</f>
        <v>4312.3389999999999</v>
      </c>
      <c r="J3754">
        <f>965.7</f>
        <v>965.7</v>
      </c>
      <c r="K3754">
        <f>2910.7</f>
        <v>2910.7</v>
      </c>
      <c r="L3754">
        <f>663.38</f>
        <v>663.38</v>
      </c>
      <c r="M3754">
        <f>2788.98</f>
        <v>2788.98</v>
      </c>
      <c r="N3754">
        <f>103.021</f>
        <v>103.021</v>
      </c>
      <c r="O3754">
        <f>1126.28</f>
        <v>1126.28</v>
      </c>
      <c r="P3754">
        <f>64.57</f>
        <v>64.569999999999993</v>
      </c>
      <c r="Q3754">
        <f>568.61</f>
        <v>568.61</v>
      </c>
      <c r="R3754">
        <f>1403.19</f>
        <v>1403.19</v>
      </c>
      <c r="S3754">
        <f>940.58</f>
        <v>940.58</v>
      </c>
      <c r="T3754">
        <f>942.028</f>
        <v>942.02800000000002</v>
      </c>
      <c r="U3754">
        <f>21685.1</f>
        <v>21685.1</v>
      </c>
      <c r="V3754">
        <f>125.04</f>
        <v>125.04</v>
      </c>
    </row>
    <row r="3755" spans="1:22" x14ac:dyDescent="0.2">
      <c r="A3755" s="1">
        <v>39850</v>
      </c>
      <c r="B3755">
        <f>1732.26</f>
        <v>1732.26</v>
      </c>
      <c r="C3755">
        <f>4064.67</f>
        <v>4064.67</v>
      </c>
      <c r="D3755">
        <f>2611.69</f>
        <v>2611.69</v>
      </c>
      <c r="E3755">
        <f>952.347</f>
        <v>952.34699999999998</v>
      </c>
      <c r="F3755">
        <f>889.54</f>
        <v>889.54</v>
      </c>
      <c r="G3755">
        <f>3904.105</f>
        <v>3904.105</v>
      </c>
      <c r="H3755">
        <f>1476.36</f>
        <v>1476.36</v>
      </c>
      <c r="I3755">
        <f>4214.739</f>
        <v>4214.7389999999996</v>
      </c>
      <c r="J3755">
        <f>960.28</f>
        <v>960.28</v>
      </c>
      <c r="K3755">
        <f>2906.02</f>
        <v>2906.02</v>
      </c>
      <c r="L3755">
        <f>651.99</f>
        <v>651.99</v>
      </c>
      <c r="M3755">
        <f>2769.21</f>
        <v>2769.21</v>
      </c>
      <c r="N3755">
        <f>101.771</f>
        <v>101.771</v>
      </c>
      <c r="O3755">
        <f>1121.7</f>
        <v>1121.7</v>
      </c>
      <c r="P3755">
        <f>65.45</f>
        <v>65.45</v>
      </c>
      <c r="Q3755">
        <f>566.51</f>
        <v>566.51</v>
      </c>
      <c r="R3755">
        <f>1401.06</f>
        <v>1401.06</v>
      </c>
      <c r="S3755">
        <f>954.99</f>
        <v>954.99</v>
      </c>
      <c r="T3755">
        <f>937.608</f>
        <v>937.60799999999995</v>
      </c>
      <c r="U3755">
        <f>21435.91</f>
        <v>21435.91</v>
      </c>
      <c r="V3755">
        <f>123.29</f>
        <v>123.29</v>
      </c>
    </row>
    <row r="3756" spans="1:22" x14ac:dyDescent="0.2">
      <c r="A3756" s="1">
        <v>39849</v>
      </c>
      <c r="B3756">
        <f>1683.29</f>
        <v>1683.29</v>
      </c>
      <c r="C3756">
        <f>3904.9</f>
        <v>3904.9</v>
      </c>
      <c r="D3756">
        <f>2573.39</f>
        <v>2573.39</v>
      </c>
      <c r="E3756">
        <f>916.541</f>
        <v>916.54100000000005</v>
      </c>
      <c r="F3756">
        <f>858.56</f>
        <v>858.56</v>
      </c>
      <c r="G3756">
        <f>3818.332</f>
        <v>3818.3319999999999</v>
      </c>
      <c r="H3756">
        <f>1481.71</f>
        <v>1481.71</v>
      </c>
      <c r="I3756">
        <f>4124.345</f>
        <v>4124.3450000000003</v>
      </c>
      <c r="J3756">
        <f>925.18</f>
        <v>925.18</v>
      </c>
      <c r="K3756">
        <f>2828.73</f>
        <v>2828.73</v>
      </c>
      <c r="L3756">
        <f>634.35</f>
        <v>634.35</v>
      </c>
      <c r="M3756">
        <f>2712.08</f>
        <v>2712.08</v>
      </c>
      <c r="N3756">
        <f>99.308</f>
        <v>99.308000000000007</v>
      </c>
      <c r="O3756">
        <f>1098.77</f>
        <v>1098.77</v>
      </c>
      <c r="P3756">
        <f>64.91</f>
        <v>64.91</v>
      </c>
      <c r="Q3756">
        <f>552.35</f>
        <v>552.35</v>
      </c>
      <c r="R3756">
        <f>1363.82</f>
        <v>1363.82</v>
      </c>
      <c r="S3756">
        <f>949.64</f>
        <v>949.64</v>
      </c>
      <c r="T3756">
        <f>914.421</f>
        <v>914.42100000000005</v>
      </c>
      <c r="U3756">
        <f>20437.2</f>
        <v>20437.2</v>
      </c>
      <c r="V3756">
        <f>118.54</f>
        <v>118.54</v>
      </c>
    </row>
    <row r="3757" spans="1:22" x14ac:dyDescent="0.2">
      <c r="A3757" s="1">
        <v>39848</v>
      </c>
      <c r="B3757">
        <f>1667.56</f>
        <v>1667.56</v>
      </c>
      <c r="C3757">
        <f>3906.69</f>
        <v>3906.69</v>
      </c>
      <c r="D3757">
        <f>2573.19</f>
        <v>2573.19</v>
      </c>
      <c r="E3757">
        <f>915.515</f>
        <v>915.51499999999999</v>
      </c>
      <c r="F3757">
        <f>852.89</f>
        <v>852.89</v>
      </c>
      <c r="G3757">
        <f>3794.338</f>
        <v>3794.3380000000002</v>
      </c>
      <c r="H3757">
        <f>1488.24</f>
        <v>1488.24</v>
      </c>
      <c r="I3757">
        <f>4165.296</f>
        <v>4165.2960000000003</v>
      </c>
      <c r="J3757">
        <f>918.26</f>
        <v>918.26</v>
      </c>
      <c r="K3757">
        <f>2782.74</f>
        <v>2782.74</v>
      </c>
      <c r="L3757">
        <f>635.24</f>
        <v>635.24</v>
      </c>
      <c r="M3757">
        <f>2696.12</f>
        <v>2696.12</v>
      </c>
      <c r="N3757">
        <f>98.887</f>
        <v>98.887</v>
      </c>
      <c r="O3757">
        <f>1100.21</f>
        <v>1100.21</v>
      </c>
      <c r="P3757">
        <f>65.36</f>
        <v>65.36</v>
      </c>
      <c r="Q3757">
        <f>544.74</f>
        <v>544.74</v>
      </c>
      <c r="R3757">
        <f>1341.77</f>
        <v>1341.77</v>
      </c>
      <c r="S3757">
        <f>957.34</f>
        <v>957.34</v>
      </c>
      <c r="T3757">
        <f>922.892</f>
        <v>922.89200000000005</v>
      </c>
      <c r="U3757">
        <f>20639.07</f>
        <v>20639.07</v>
      </c>
      <c r="V3757">
        <f>118.11</f>
        <v>118.11</v>
      </c>
    </row>
    <row r="3758" spans="1:22" x14ac:dyDescent="0.2">
      <c r="A3758" s="1">
        <v>39847</v>
      </c>
      <c r="B3758">
        <f>1624.97</f>
        <v>1624.97</v>
      </c>
      <c r="C3758">
        <f>3829.97</f>
        <v>3829.97</v>
      </c>
      <c r="D3758">
        <f>2526.17</f>
        <v>2526.17</v>
      </c>
      <c r="E3758">
        <f>897.367</f>
        <v>897.36699999999996</v>
      </c>
      <c r="F3758">
        <f>827.04</f>
        <v>827.04</v>
      </c>
      <c r="G3758">
        <f>3674.006</f>
        <v>3674.0059999999999</v>
      </c>
      <c r="H3758">
        <f>1441.89</f>
        <v>1441.89</v>
      </c>
      <c r="I3758">
        <f>4109.852</f>
        <v>4109.8519999999999</v>
      </c>
      <c r="J3758">
        <f>931.6</f>
        <v>931.6</v>
      </c>
      <c r="K3758">
        <f>2799.22</f>
        <v>2799.22</v>
      </c>
      <c r="L3758">
        <f>631.42</f>
        <v>631.41999999999996</v>
      </c>
      <c r="M3758">
        <f>2680.98</f>
        <v>2680.98</v>
      </c>
      <c r="N3758">
        <f>96.219</f>
        <v>96.218999999999994</v>
      </c>
      <c r="O3758">
        <f>1072.97</f>
        <v>1072.97</v>
      </c>
      <c r="P3758">
        <f>63.35</f>
        <v>63.35</v>
      </c>
      <c r="Q3758">
        <f>550.7</f>
        <v>550.70000000000005</v>
      </c>
      <c r="R3758">
        <f>1350.89</f>
        <v>1350.89</v>
      </c>
      <c r="S3758">
        <f>934.41</f>
        <v>934.41</v>
      </c>
      <c r="T3758">
        <f>911.554</f>
        <v>911.55399999999997</v>
      </c>
      <c r="U3758">
        <f>20014.62</f>
        <v>20014.62</v>
      </c>
      <c r="V3758">
        <f>115.58</f>
        <v>115.58</v>
      </c>
    </row>
    <row r="3759" spans="1:22" x14ac:dyDescent="0.2">
      <c r="A3759" s="1">
        <v>39846</v>
      </c>
      <c r="B3759">
        <f>1590.79</f>
        <v>1590.79</v>
      </c>
      <c r="C3759">
        <f>3776.87</f>
        <v>3776.87</v>
      </c>
      <c r="D3759">
        <f>2473.59</f>
        <v>2473.59</v>
      </c>
      <c r="E3759">
        <f>883.329</f>
        <v>883.32899999999995</v>
      </c>
      <c r="F3759">
        <f>778.47</f>
        <v>778.47</v>
      </c>
      <c r="G3759">
        <f>3549.869</f>
        <v>3549.8690000000001</v>
      </c>
      <c r="H3759">
        <f>1425.48</f>
        <v>1425.48</v>
      </c>
      <c r="I3759">
        <f>3989.358</f>
        <v>3989.3580000000002</v>
      </c>
      <c r="J3759">
        <f>926.66</f>
        <v>926.66</v>
      </c>
      <c r="K3759">
        <f>2757.02</f>
        <v>2757.02</v>
      </c>
      <c r="L3759">
        <f>617.98</f>
        <v>617.98</v>
      </c>
      <c r="M3759">
        <f>2633.68</f>
        <v>2633.68</v>
      </c>
      <c r="N3759">
        <f>95.102</f>
        <v>95.102000000000004</v>
      </c>
      <c r="O3759">
        <f>1054.76</f>
        <v>1054.76</v>
      </c>
      <c r="P3759">
        <f>63.56</f>
        <v>63.56</v>
      </c>
      <c r="Q3759">
        <f>540.71</f>
        <v>540.71</v>
      </c>
      <c r="R3759">
        <f>1329.81</f>
        <v>1329.81</v>
      </c>
      <c r="S3759">
        <f>939.31</f>
        <v>939.31</v>
      </c>
      <c r="T3759">
        <f>910.412</f>
        <v>910.41200000000003</v>
      </c>
      <c r="U3759">
        <f>19924.46</f>
        <v>19924.46</v>
      </c>
      <c r="V3759">
        <f>114.99</f>
        <v>114.99</v>
      </c>
    </row>
    <row r="3760" spans="1:22" x14ac:dyDescent="0.2">
      <c r="A3760" s="1">
        <v>39843</v>
      </c>
      <c r="B3760">
        <f>1631.33</f>
        <v>1631.33</v>
      </c>
      <c r="C3760">
        <f>3857.79</f>
        <v>3857.79</v>
      </c>
      <c r="D3760">
        <f>2517.18</f>
        <v>2517.1799999999998</v>
      </c>
      <c r="E3760">
        <f>904.332</f>
        <v>904.33199999999999</v>
      </c>
      <c r="F3760">
        <f>810.12</f>
        <v>810.12</v>
      </c>
      <c r="G3760">
        <f>3678.291</f>
        <v>3678.2910000000002</v>
      </c>
      <c r="H3760">
        <f>1453.41</f>
        <v>1453.41</v>
      </c>
      <c r="I3760">
        <f>4078.059</f>
        <v>4078.0590000000002</v>
      </c>
      <c r="J3760">
        <f>926.64</f>
        <v>926.64</v>
      </c>
      <c r="K3760">
        <f>2757.99</f>
        <v>2757.99</v>
      </c>
      <c r="L3760">
        <f>628.45</f>
        <v>628.45000000000005</v>
      </c>
      <c r="M3760">
        <f>2664.85</f>
        <v>2664.85</v>
      </c>
      <c r="N3760">
        <f>98.515</f>
        <v>98.515000000000001</v>
      </c>
      <c r="O3760">
        <f>1080.6</f>
        <v>1080.5999999999999</v>
      </c>
      <c r="P3760">
        <f>64.7</f>
        <v>64.7</v>
      </c>
      <c r="Q3760">
        <f>544.02</f>
        <v>544.02</v>
      </c>
      <c r="R3760">
        <f>1330.51</f>
        <v>1330.51</v>
      </c>
      <c r="S3760">
        <f>958.86</f>
        <v>958.86</v>
      </c>
      <c r="T3760">
        <f>925.669</f>
        <v>925.66899999999998</v>
      </c>
      <c r="U3760">
        <f>20570.05</f>
        <v>20570.05</v>
      </c>
      <c r="V3760">
        <f>118.41</f>
        <v>118.41</v>
      </c>
    </row>
    <row r="3761" spans="1:22" x14ac:dyDescent="0.2">
      <c r="A3761" s="1">
        <v>39842</v>
      </c>
      <c r="B3761">
        <f>1645.76</f>
        <v>1645.76</v>
      </c>
      <c r="C3761">
        <f>3892.2</f>
        <v>3892.2</v>
      </c>
      <c r="D3761">
        <f>2541.73</f>
        <v>2541.73</v>
      </c>
      <c r="E3761">
        <f>908.771</f>
        <v>908.77099999999996</v>
      </c>
      <c r="F3761">
        <f>810.91</f>
        <v>810.91</v>
      </c>
      <c r="G3761">
        <f>3690.057</f>
        <v>3690.0569999999998</v>
      </c>
      <c r="H3761">
        <f>1526.76</f>
        <v>1526.76</v>
      </c>
      <c r="I3761">
        <f>4184.12</f>
        <v>4184.12</v>
      </c>
      <c r="J3761">
        <f>949.91</f>
        <v>949.91</v>
      </c>
      <c r="K3761">
        <f>2821.01</f>
        <v>2821.01</v>
      </c>
      <c r="L3761">
        <f>642.9</f>
        <v>642.9</v>
      </c>
      <c r="M3761">
        <f>2725.52</f>
        <v>2725.52</v>
      </c>
      <c r="N3761">
        <f>96.533</f>
        <v>96.533000000000001</v>
      </c>
      <c r="O3761">
        <f>1079.87</f>
        <v>1079.8699999999999</v>
      </c>
      <c r="P3761">
        <f>66.68</f>
        <v>66.680000000000007</v>
      </c>
      <c r="Q3761">
        <f>560.13</f>
        <v>560.13</v>
      </c>
      <c r="R3761">
        <f>1361.54</f>
        <v>1361.54</v>
      </c>
      <c r="S3761">
        <f>988.36</f>
        <v>988.36</v>
      </c>
      <c r="T3761">
        <f>922.827</f>
        <v>922.827</v>
      </c>
      <c r="U3761">
        <f>20581.77</f>
        <v>20581.77</v>
      </c>
      <c r="V3761">
        <f>117.59</f>
        <v>117.59</v>
      </c>
    </row>
    <row r="3762" spans="1:22" x14ac:dyDescent="0.2">
      <c r="A3762" s="1">
        <v>39841</v>
      </c>
      <c r="B3762">
        <f>1688.28</f>
        <v>1688.28</v>
      </c>
      <c r="C3762">
        <f>3921.83</f>
        <v>3921.83</v>
      </c>
      <c r="D3762">
        <f>2605.47</f>
        <v>2605.4699999999998</v>
      </c>
      <c r="E3762">
        <f>910.008</f>
        <v>910.00800000000004</v>
      </c>
      <c r="F3762">
        <f>845.71</f>
        <v>845.71</v>
      </c>
      <c r="G3762">
        <f>3780.967</f>
        <v>3780.9670000000001</v>
      </c>
      <c r="H3762">
        <f>1491.97</f>
        <v>1491.97</v>
      </c>
      <c r="I3762">
        <f>4315.597</f>
        <v>4315.5969999999998</v>
      </c>
      <c r="J3762">
        <f>990.77</f>
        <v>990.77</v>
      </c>
      <c r="K3762">
        <f>2916.67</f>
        <v>2916.67</v>
      </c>
      <c r="L3762">
        <f>663.35</f>
        <v>663.35</v>
      </c>
      <c r="M3762">
        <f>2791.81</f>
        <v>2791.81</v>
      </c>
      <c r="N3762">
        <f>98.507</f>
        <v>98.507000000000005</v>
      </c>
      <c r="O3762">
        <f>1098.29</f>
        <v>1098.29</v>
      </c>
      <c r="P3762">
        <f>65.9</f>
        <v>65.900000000000006</v>
      </c>
      <c r="Q3762">
        <f>575.31</f>
        <v>575.30999999999995</v>
      </c>
      <c r="R3762">
        <f>1408.07</f>
        <v>1408.07</v>
      </c>
      <c r="S3762">
        <f>971.29</f>
        <v>971.29</v>
      </c>
      <c r="T3762">
        <f>942.728</f>
        <v>942.72799999999995</v>
      </c>
      <c r="U3762">
        <f>21028.54</f>
        <v>21028.54</v>
      </c>
      <c r="V3762">
        <f>120.77</f>
        <v>120.77</v>
      </c>
    </row>
    <row r="3763" spans="1:22" x14ac:dyDescent="0.2">
      <c r="A3763" s="1">
        <v>39840</v>
      </c>
      <c r="B3763">
        <f>1635.52</f>
        <v>1635.52</v>
      </c>
      <c r="C3763">
        <f>3847.26</f>
        <v>3847.26</v>
      </c>
      <c r="D3763">
        <f>2543.97</f>
        <v>2543.9699999999998</v>
      </c>
      <c r="E3763">
        <f>885.657</f>
        <v>885.65700000000004</v>
      </c>
      <c r="F3763">
        <f>800.34</f>
        <v>800.34</v>
      </c>
      <c r="G3763">
        <f>3654.468</f>
        <v>3654.4679999999998</v>
      </c>
      <c r="H3763">
        <f>1489.04</f>
        <v>1489.04</v>
      </c>
      <c r="I3763">
        <f>4162.642</f>
        <v>4162.6419999999998</v>
      </c>
      <c r="J3763">
        <f>955.71</f>
        <v>955.71</v>
      </c>
      <c r="K3763">
        <f>2821.78</f>
        <v>2821.78</v>
      </c>
      <c r="L3763">
        <f>637.24</f>
        <v>637.24</v>
      </c>
      <c r="M3763">
        <f>2713.82</f>
        <v>2713.82</v>
      </c>
      <c r="N3763">
        <f>96.062</f>
        <v>96.061999999999998</v>
      </c>
      <c r="O3763">
        <f>1064.23</f>
        <v>1064.23</v>
      </c>
      <c r="P3763">
        <f>65.78</f>
        <v>65.78</v>
      </c>
      <c r="Q3763">
        <f>560.02</f>
        <v>560.02</v>
      </c>
      <c r="R3763">
        <f>1362.18</f>
        <v>1362.18</v>
      </c>
      <c r="S3763">
        <f>972.69</f>
        <v>972.69</v>
      </c>
      <c r="T3763">
        <f>922.141</f>
        <v>922.14099999999996</v>
      </c>
      <c r="U3763">
        <f>20642.74</f>
        <v>20642.740000000002</v>
      </c>
      <c r="V3763">
        <f>117.72</f>
        <v>117.72</v>
      </c>
    </row>
    <row r="3764" spans="1:22" x14ac:dyDescent="0.2">
      <c r="A3764" s="1">
        <v>39839</v>
      </c>
      <c r="B3764">
        <f>1631.6</f>
        <v>1631.6</v>
      </c>
      <c r="C3764">
        <f>3823.81</f>
        <v>3823.81</v>
      </c>
      <c r="D3764">
        <f>2552.82</f>
        <v>2552.8200000000002</v>
      </c>
      <c r="E3764">
        <f>880.439</f>
        <v>880.43899999999996</v>
      </c>
      <c r="F3764">
        <f>787.31</f>
        <v>787.31</v>
      </c>
      <c r="G3764">
        <f>3607.08</f>
        <v>3607.08</v>
      </c>
      <c r="H3764">
        <f>1387.94</f>
        <v>1387.94</v>
      </c>
      <c r="I3764">
        <f>4160.259</f>
        <v>4160.259</v>
      </c>
      <c r="J3764">
        <f>945.37</f>
        <v>945.37</v>
      </c>
      <c r="K3764">
        <f>2790.96</f>
        <v>2790.96</v>
      </c>
      <c r="L3764">
        <f>632.18</f>
        <v>632.17999999999995</v>
      </c>
      <c r="M3764">
        <f>2673.93</f>
        <v>2673.93</v>
      </c>
      <c r="N3764">
        <f>95.263</f>
        <v>95.263000000000005</v>
      </c>
      <c r="O3764">
        <f>1063.2</f>
        <v>1063.2</v>
      </c>
      <c r="P3764">
        <f>63.33</f>
        <v>63.33</v>
      </c>
      <c r="Q3764">
        <f>553.38</f>
        <v>553.38</v>
      </c>
      <c r="R3764">
        <f>1347.47</f>
        <v>1347.47</v>
      </c>
      <c r="S3764">
        <f>927.7</f>
        <v>927.7</v>
      </c>
      <c r="T3764">
        <f>899.738</f>
        <v>899.73800000000006</v>
      </c>
      <c r="U3764">
        <f>20156.25</f>
        <v>20156.25</v>
      </c>
      <c r="V3764">
        <f>113.83</f>
        <v>113.83</v>
      </c>
    </row>
    <row r="3765" spans="1:22" x14ac:dyDescent="0.2">
      <c r="A3765" s="1">
        <v>39836</v>
      </c>
      <c r="B3765">
        <f>1584.88</f>
        <v>1584.88</v>
      </c>
      <c r="C3765">
        <f>3769.48</f>
        <v>3769.48</v>
      </c>
      <c r="D3765">
        <f>2457.87</f>
        <v>2457.87</v>
      </c>
      <c r="E3765">
        <f>865.779</f>
        <v>865.779</v>
      </c>
      <c r="F3765">
        <f>737.22</f>
        <v>737.22</v>
      </c>
      <c r="G3765">
        <f>3403.672</f>
        <v>3403.672</v>
      </c>
      <c r="H3765">
        <f>1409.16</f>
        <v>1409.16</v>
      </c>
      <c r="I3765">
        <f>3931.843</f>
        <v>3931.8429999999998</v>
      </c>
      <c r="J3765">
        <f>945.43</f>
        <v>945.43</v>
      </c>
      <c r="K3765">
        <f>2775.64</f>
        <v>2775.64</v>
      </c>
      <c r="L3765">
        <f>609.73</f>
        <v>609.73</v>
      </c>
      <c r="M3765">
        <f>2621.29</f>
        <v>2621.29</v>
      </c>
      <c r="N3765">
        <f>92.697</f>
        <v>92.697000000000003</v>
      </c>
      <c r="O3765">
        <f>1028.92</f>
        <v>1028.92</v>
      </c>
      <c r="P3765">
        <f>63.27</f>
        <v>63.27</v>
      </c>
      <c r="Q3765">
        <f>555.14</f>
        <v>555.14</v>
      </c>
      <c r="R3765">
        <f>1340.02</f>
        <v>1340.02</v>
      </c>
      <c r="S3765">
        <f>934.06</f>
        <v>934.06</v>
      </c>
      <c r="T3765">
        <f>895.496</f>
        <v>895.49599999999998</v>
      </c>
      <c r="U3765">
        <f>19581.39</f>
        <v>19581.39</v>
      </c>
      <c r="V3765">
        <f>112.04</f>
        <v>112.04</v>
      </c>
    </row>
    <row r="3766" spans="1:22" x14ac:dyDescent="0.2">
      <c r="A3766" s="1">
        <v>39835</v>
      </c>
      <c r="B3766">
        <f>1616.11</f>
        <v>1616.11</v>
      </c>
      <c r="C3766">
        <f>3822.61</f>
        <v>3822.61</v>
      </c>
      <c r="D3766">
        <f>2457.73</f>
        <v>2457.73</v>
      </c>
      <c r="E3766">
        <f>877.54</f>
        <v>877.54</v>
      </c>
      <c r="F3766">
        <f>741.83</f>
        <v>741.83</v>
      </c>
      <c r="G3766">
        <f>3424.375</f>
        <v>3424.375</v>
      </c>
      <c r="H3766">
        <f>1463.5</f>
        <v>1463.5</v>
      </c>
      <c r="I3766">
        <f>4003.44</f>
        <v>4003.44</v>
      </c>
      <c r="J3766">
        <f>940.77</f>
        <v>940.77</v>
      </c>
      <c r="K3766">
        <f>2759.67</f>
        <v>2759.67</v>
      </c>
      <c r="L3766">
        <f>615.18</f>
        <v>615.17999999999995</v>
      </c>
      <c r="M3766">
        <f>2637.3</f>
        <v>2637.3</v>
      </c>
      <c r="N3766">
        <f>93.494</f>
        <v>93.494</v>
      </c>
      <c r="O3766">
        <f>1033.82</f>
        <v>1033.82</v>
      </c>
      <c r="P3766">
        <f>64.73</f>
        <v>64.73</v>
      </c>
      <c r="Q3766">
        <f>555.99</f>
        <v>555.99</v>
      </c>
      <c r="R3766">
        <f>1332.84</f>
        <v>1332.84</v>
      </c>
      <c r="S3766">
        <f>961.06</f>
        <v>961.06</v>
      </c>
      <c r="T3766">
        <f>916.934</f>
        <v>916.93399999999997</v>
      </c>
      <c r="U3766">
        <f>19876.34</f>
        <v>19876.34</v>
      </c>
      <c r="V3766">
        <f>115.42</f>
        <v>115.42</v>
      </c>
    </row>
    <row r="3767" spans="1:22" x14ac:dyDescent="0.2">
      <c r="A3767" s="1">
        <v>39834</v>
      </c>
      <c r="B3767">
        <f>1619.15</f>
        <v>1619.15</v>
      </c>
      <c r="C3767">
        <f>3826.11</f>
        <v>3826.11</v>
      </c>
      <c r="D3767">
        <f>2462.37</f>
        <v>2462.37</v>
      </c>
      <c r="E3767">
        <f>878.781</f>
        <v>878.78099999999995</v>
      </c>
      <c r="F3767">
        <f>761.97</f>
        <v>761.97</v>
      </c>
      <c r="G3767">
        <f>3427.807</f>
        <v>3427.8069999999998</v>
      </c>
      <c r="H3767">
        <f>1485.62</f>
        <v>1485.62</v>
      </c>
      <c r="I3767">
        <f>4019.574</f>
        <v>4019.5740000000001</v>
      </c>
      <c r="J3767">
        <f>955.81</f>
        <v>955.81</v>
      </c>
      <c r="K3767">
        <f>2803.96</f>
        <v>2803.96</v>
      </c>
      <c r="L3767">
        <f>619.85</f>
        <v>619.85</v>
      </c>
      <c r="M3767">
        <f>2662.57</f>
        <v>2662.57</v>
      </c>
      <c r="N3767">
        <f>93.289</f>
        <v>93.289000000000001</v>
      </c>
      <c r="O3767">
        <f>1041.6</f>
        <v>1041.5999999999999</v>
      </c>
      <c r="P3767">
        <f>63.7</f>
        <v>63.7</v>
      </c>
      <c r="Q3767">
        <f>567.87</f>
        <v>567.87</v>
      </c>
      <c r="R3767">
        <f>1353.33</f>
        <v>1353.33</v>
      </c>
      <c r="S3767">
        <f>950.49</f>
        <v>950.49</v>
      </c>
      <c r="T3767">
        <f>922.598</f>
        <v>922.59799999999996</v>
      </c>
      <c r="U3767">
        <f>20049</f>
        <v>20049</v>
      </c>
      <c r="V3767">
        <f>115.82</f>
        <v>115.82</v>
      </c>
    </row>
    <row r="3768" spans="1:22" x14ac:dyDescent="0.2">
      <c r="A3768" s="1">
        <v>39833</v>
      </c>
      <c r="B3768">
        <f>1611.06</f>
        <v>1611.06</v>
      </c>
      <c r="C3768">
        <f>3828.92</f>
        <v>3828.92</v>
      </c>
      <c r="D3768">
        <f>2480.3</f>
        <v>2480.3000000000002</v>
      </c>
      <c r="E3768">
        <f>882.827</f>
        <v>882.827</v>
      </c>
      <c r="F3768">
        <f>780.44</f>
        <v>780.44</v>
      </c>
      <c r="G3768">
        <f>3510.452</f>
        <v>3510.4520000000002</v>
      </c>
      <c r="H3768">
        <f>1490.25</f>
        <v>1490.25</v>
      </c>
      <c r="I3768">
        <f>4032.5</f>
        <v>4032.5</v>
      </c>
      <c r="J3768">
        <f>917.42</f>
        <v>917.42</v>
      </c>
      <c r="K3768">
        <f>2686.99</f>
        <v>2686.99</v>
      </c>
      <c r="L3768">
        <f>617.56</f>
        <v>617.55999999999995</v>
      </c>
      <c r="M3768">
        <f>2611.97</f>
        <v>2611.9699999999998</v>
      </c>
      <c r="N3768">
        <f>94.626</f>
        <v>94.626000000000005</v>
      </c>
      <c r="O3768">
        <f>1050.13</f>
        <v>1050.1300000000001</v>
      </c>
      <c r="P3768">
        <f>65.13</f>
        <v>65.13</v>
      </c>
      <c r="Q3768">
        <f>552.84</f>
        <v>552.84</v>
      </c>
      <c r="R3768">
        <f>1296.63</f>
        <v>1296.6300000000001</v>
      </c>
      <c r="S3768">
        <f>972.08</f>
        <v>972.08</v>
      </c>
      <c r="T3768">
        <f>932.573</f>
        <v>932.57299999999998</v>
      </c>
      <c r="U3768">
        <f>20295.07</f>
        <v>20295.07</v>
      </c>
      <c r="V3768">
        <f>117.7</f>
        <v>117.7</v>
      </c>
    </row>
    <row r="3769" spans="1:22" x14ac:dyDescent="0.2">
      <c r="A3769" s="1">
        <v>39832</v>
      </c>
      <c r="B3769">
        <f>1627.57</f>
        <v>1627.57</v>
      </c>
      <c r="C3769">
        <f>3971.67</f>
        <v>3971.67</v>
      </c>
      <c r="D3769">
        <f>2490.65</f>
        <v>2490.65</v>
      </c>
      <c r="E3769">
        <f>910.641</f>
        <v>910.64099999999996</v>
      </c>
      <c r="F3769">
        <f>833.4</f>
        <v>833.4</v>
      </c>
      <c r="G3769">
        <f>3667.802</f>
        <v>3667.8020000000001</v>
      </c>
      <c r="H3769">
        <f>1503.3</f>
        <v>1503.3</v>
      </c>
      <c r="I3769">
        <f>4185.506</f>
        <v>4185.5060000000003</v>
      </c>
      <c r="J3769">
        <f>977.19</f>
        <v>977.19</v>
      </c>
      <c r="K3769">
        <f>2837.74</f>
        <v>2837.74</v>
      </c>
      <c r="L3769">
        <f>650.42</f>
        <v>650.41999999999996</v>
      </c>
      <c r="M3769">
        <f>2729.44</f>
        <v>2729.44</v>
      </c>
      <c r="N3769">
        <f>97.99</f>
        <v>97.99</v>
      </c>
      <c r="O3769">
        <f>1072.39</f>
        <v>1072.3900000000001</v>
      </c>
      <c r="P3769">
        <f>65.83</f>
        <v>65.83</v>
      </c>
      <c r="Q3769" t="e">
        <f>NA()</f>
        <v>#N/A</v>
      </c>
      <c r="R3769" t="e">
        <f>NA()</f>
        <v>#N/A</v>
      </c>
      <c r="S3769">
        <f>987.41</f>
        <v>987.41</v>
      </c>
      <c r="T3769">
        <f>933.199</f>
        <v>933.19899999999996</v>
      </c>
      <c r="U3769">
        <f>20623.3</f>
        <v>20623.3</v>
      </c>
      <c r="V3769">
        <f>119.15</f>
        <v>119.15</v>
      </c>
    </row>
    <row r="3770" spans="1:22" x14ac:dyDescent="0.2">
      <c r="A3770" s="1">
        <v>39829</v>
      </c>
      <c r="B3770">
        <f>1666.4</f>
        <v>1666.4</v>
      </c>
      <c r="C3770">
        <f>4021.24</f>
        <v>4021.24</v>
      </c>
      <c r="D3770">
        <f>2514.04</f>
        <v>2514.04</v>
      </c>
      <c r="E3770">
        <f>917.446</f>
        <v>917.44600000000003</v>
      </c>
      <c r="F3770">
        <f>902</f>
        <v>902</v>
      </c>
      <c r="G3770">
        <f>3781.006</f>
        <v>3781.0059999999999</v>
      </c>
      <c r="H3770">
        <f>1494.44</f>
        <v>1494.44</v>
      </c>
      <c r="I3770">
        <f>4276.486</f>
        <v>4276.4859999999999</v>
      </c>
      <c r="J3770">
        <f>977.19</f>
        <v>977.19</v>
      </c>
      <c r="K3770">
        <f>2837.74</f>
        <v>2837.74</v>
      </c>
      <c r="L3770">
        <f>660.48</f>
        <v>660.48</v>
      </c>
      <c r="M3770">
        <f>2749.17</f>
        <v>2749.17</v>
      </c>
      <c r="N3770">
        <f>99.151</f>
        <v>99.150999999999996</v>
      </c>
      <c r="O3770">
        <f>1088.23</f>
        <v>1088.23</v>
      </c>
      <c r="P3770">
        <f>65.66</f>
        <v>65.66</v>
      </c>
      <c r="Q3770">
        <f>586.86</f>
        <v>586.86</v>
      </c>
      <c r="R3770">
        <f>1368.92</f>
        <v>1368.92</v>
      </c>
      <c r="S3770">
        <f>987.59</f>
        <v>987.59</v>
      </c>
      <c r="T3770">
        <f>939.811</f>
        <v>939.81100000000004</v>
      </c>
      <c r="U3770">
        <f>21029.33</f>
        <v>21029.33</v>
      </c>
      <c r="V3770">
        <f>121.65</f>
        <v>121.65</v>
      </c>
    </row>
    <row r="3771" spans="1:22" x14ac:dyDescent="0.2">
      <c r="A3771" s="1">
        <v>39828</v>
      </c>
      <c r="B3771">
        <f>1669.15</f>
        <v>1669.15</v>
      </c>
      <c r="C3771">
        <f>3954.24</f>
        <v>3954.24</v>
      </c>
      <c r="D3771">
        <f>2498.31</f>
        <v>2498.31</v>
      </c>
      <c r="E3771">
        <f>898.123</f>
        <v>898.12300000000005</v>
      </c>
      <c r="F3771">
        <f>883.38</f>
        <v>883.38</v>
      </c>
      <c r="G3771">
        <f>3691.294</f>
        <v>3691.2939999999999</v>
      </c>
      <c r="H3771">
        <f>1466.12</f>
        <v>1466.12</v>
      </c>
      <c r="I3771">
        <f>4177.704</f>
        <v>4177.7039999999997</v>
      </c>
      <c r="J3771">
        <f>976.61</f>
        <v>976.61</v>
      </c>
      <c r="K3771">
        <f>2816.12</f>
        <v>2816.12</v>
      </c>
      <c r="L3771">
        <f>652.38</f>
        <v>652.38</v>
      </c>
      <c r="M3771">
        <f>2709.51</f>
        <v>2709.51</v>
      </c>
      <c r="N3771">
        <f>99.42</f>
        <v>99.42</v>
      </c>
      <c r="O3771" t="e">
        <f>NA()</f>
        <v>#N/A</v>
      </c>
      <c r="P3771">
        <f>64.02</f>
        <v>64.02</v>
      </c>
      <c r="Q3771">
        <f>581.91</f>
        <v>581.91</v>
      </c>
      <c r="R3771">
        <f>1358.64</f>
        <v>1358.64</v>
      </c>
      <c r="S3771">
        <f>961.15</f>
        <v>961.15</v>
      </c>
      <c r="T3771">
        <f>936.441</f>
        <v>936.44100000000003</v>
      </c>
      <c r="U3771">
        <f>20441.93</f>
        <v>20441.93</v>
      </c>
      <c r="V3771">
        <f>119.85</f>
        <v>119.85</v>
      </c>
    </row>
    <row r="3772" spans="1:22" x14ac:dyDescent="0.2">
      <c r="A3772" s="1">
        <v>39827</v>
      </c>
      <c r="B3772">
        <f>1717.23</f>
        <v>1717.23</v>
      </c>
      <c r="C3772">
        <f>4080.14</f>
        <v>4080.14</v>
      </c>
      <c r="D3772">
        <f>2534.4</f>
        <v>2534.4</v>
      </c>
      <c r="E3772">
        <f>925.738</f>
        <v>925.73800000000006</v>
      </c>
      <c r="F3772">
        <f>913.64</f>
        <v>913.64</v>
      </c>
      <c r="G3772">
        <f>3744.323</f>
        <v>3744.3229999999999</v>
      </c>
      <c r="H3772">
        <f>1535.49</f>
        <v>1535.49</v>
      </c>
      <c r="I3772">
        <f>4250.729</f>
        <v>4250.7290000000003</v>
      </c>
      <c r="J3772">
        <f>989.21</f>
        <v>989.21</v>
      </c>
      <c r="K3772">
        <f>2809.7</f>
        <v>2809.7</v>
      </c>
      <c r="L3772">
        <f>668.04</f>
        <v>668.04</v>
      </c>
      <c r="M3772">
        <f>2737.62</f>
        <v>2737.62</v>
      </c>
      <c r="N3772">
        <f>100.018</f>
        <v>100.018</v>
      </c>
      <c r="O3772">
        <f>1090.96</f>
        <v>1090.96</v>
      </c>
      <c r="P3772">
        <f>65.2</f>
        <v>65.2</v>
      </c>
      <c r="Q3772">
        <f>578.1</f>
        <v>578.1</v>
      </c>
      <c r="R3772">
        <f>1356.79</f>
        <v>1356.79</v>
      </c>
      <c r="S3772">
        <f>989.41</f>
        <v>989.41</v>
      </c>
      <c r="T3772">
        <f>945.928</f>
        <v>945.928</v>
      </c>
      <c r="U3772">
        <f>20843.03</f>
        <v>20843.03</v>
      </c>
      <c r="V3772">
        <f>121.5</f>
        <v>121.5</v>
      </c>
    </row>
    <row r="3773" spans="1:22" x14ac:dyDescent="0.2">
      <c r="A3773" s="1">
        <v>39826</v>
      </c>
      <c r="B3773">
        <f>1776.6</f>
        <v>1776.6</v>
      </c>
      <c r="C3773">
        <f>4160.82</f>
        <v>4160.82</v>
      </c>
      <c r="D3773">
        <f>2666.74</f>
        <v>2666.74</v>
      </c>
      <c r="E3773">
        <f>939.456</f>
        <v>939.45600000000002</v>
      </c>
      <c r="F3773">
        <f>961.9</f>
        <v>961.9</v>
      </c>
      <c r="G3773">
        <f>3944.737</f>
        <v>3944.7370000000001</v>
      </c>
      <c r="H3773">
        <f>1510.28</f>
        <v>1510.28</v>
      </c>
      <c r="I3773">
        <f>4437.961</f>
        <v>4437.9610000000002</v>
      </c>
      <c r="J3773">
        <f>1021.6</f>
        <v>1021.6</v>
      </c>
      <c r="K3773">
        <f>2907.48</f>
        <v>2907.48</v>
      </c>
      <c r="L3773">
        <f>693.81</f>
        <v>693.81</v>
      </c>
      <c r="M3773">
        <f>2823.74</f>
        <v>2823.74</v>
      </c>
      <c r="N3773">
        <f>104.217</f>
        <v>104.217</v>
      </c>
      <c r="O3773">
        <f>1139.23</f>
        <v>1139.23</v>
      </c>
      <c r="P3773">
        <f>64.58</f>
        <v>64.58</v>
      </c>
      <c r="Q3773">
        <f>596.47</f>
        <v>596.47</v>
      </c>
      <c r="R3773">
        <f>1403.63</f>
        <v>1403.63</v>
      </c>
      <c r="S3773">
        <f>983.05</f>
        <v>983.05</v>
      </c>
      <c r="T3773">
        <f>958.241</f>
        <v>958.24099999999999</v>
      </c>
      <c r="U3773">
        <f>21564.47</f>
        <v>21564.47</v>
      </c>
      <c r="V3773">
        <f>127.37</f>
        <v>127.37</v>
      </c>
    </row>
    <row r="3774" spans="1:22" x14ac:dyDescent="0.2">
      <c r="A3774" s="1">
        <v>39825</v>
      </c>
      <c r="B3774">
        <f>1807.77</f>
        <v>1807.77</v>
      </c>
      <c r="C3774">
        <f>4185.12</f>
        <v>4185.12</v>
      </c>
      <c r="D3774">
        <f>2683.14</f>
        <v>2683.14</v>
      </c>
      <c r="E3774">
        <f>943.405</f>
        <v>943.40499999999997</v>
      </c>
      <c r="F3774">
        <f>995.93</f>
        <v>995.93</v>
      </c>
      <c r="G3774">
        <f>4046.278</f>
        <v>4046.2779999999998</v>
      </c>
      <c r="H3774">
        <f>1609.79</f>
        <v>1609.79</v>
      </c>
      <c r="I3774">
        <f>4562.403</f>
        <v>4562.4030000000002</v>
      </c>
      <c r="J3774">
        <f>1022.83</f>
        <v>1022.83</v>
      </c>
      <c r="K3774">
        <f>2899.8</f>
        <v>2899.8</v>
      </c>
      <c r="L3774">
        <f>707.46</f>
        <v>707.46</v>
      </c>
      <c r="M3774">
        <f>2865.42</f>
        <v>2865.42</v>
      </c>
      <c r="N3774">
        <f>105.739</f>
        <v>105.739</v>
      </c>
      <c r="O3774">
        <f>1156.71</f>
        <v>1156.71</v>
      </c>
      <c r="P3774" t="e">
        <f>NA()</f>
        <v>#N/A</v>
      </c>
      <c r="Q3774">
        <f>596.88</f>
        <v>596.88</v>
      </c>
      <c r="R3774">
        <f>1401.07</f>
        <v>1401.07</v>
      </c>
      <c r="S3774" t="e">
        <f>NA()</f>
        <v>#N/A</v>
      </c>
      <c r="T3774">
        <f>973.382</f>
        <v>973.38199999999995</v>
      </c>
      <c r="U3774">
        <f>22183.09</f>
        <v>22183.09</v>
      </c>
      <c r="V3774">
        <f>132.14</f>
        <v>132.13999999999999</v>
      </c>
    </row>
    <row r="3775" spans="1:22" x14ac:dyDescent="0.2">
      <c r="A3775" s="1">
        <v>39822</v>
      </c>
      <c r="B3775">
        <f>1801.81</f>
        <v>1801.81</v>
      </c>
      <c r="C3775">
        <f>4306.19</f>
        <v>4306.1899999999996</v>
      </c>
      <c r="D3775">
        <f>2696.68</f>
        <v>2696.68</v>
      </c>
      <c r="E3775">
        <f>974.01</f>
        <v>974.01</v>
      </c>
      <c r="F3775">
        <f>1016.16</f>
        <v>1016.16</v>
      </c>
      <c r="G3775">
        <f>4170.858</f>
        <v>4170.8580000000002</v>
      </c>
      <c r="H3775">
        <f>1591.85</f>
        <v>1591.85</v>
      </c>
      <c r="I3775">
        <f>4685.426</f>
        <v>4685.4260000000004</v>
      </c>
      <c r="J3775">
        <f>1049.42</f>
        <v>1049.42</v>
      </c>
      <c r="K3775">
        <f>2968.66</f>
        <v>2968.66</v>
      </c>
      <c r="L3775">
        <f>725.93</f>
        <v>725.93</v>
      </c>
      <c r="M3775">
        <f>2928.89</f>
        <v>2928.89</v>
      </c>
      <c r="N3775">
        <f>108.093</f>
        <v>108.093</v>
      </c>
      <c r="O3775">
        <f>1175.48</f>
        <v>1175.48</v>
      </c>
      <c r="P3775">
        <f>67.2</f>
        <v>67.2</v>
      </c>
      <c r="Q3775">
        <f>607.33</f>
        <v>607.33000000000004</v>
      </c>
      <c r="R3775">
        <f>1433.41</f>
        <v>1433.41</v>
      </c>
      <c r="S3775">
        <f>1032.43</f>
        <v>1032.43</v>
      </c>
      <c r="T3775">
        <f>966.46</f>
        <v>966.46</v>
      </c>
      <c r="U3775">
        <f>22220.76</f>
        <v>22220.76</v>
      </c>
      <c r="V3775">
        <f>131.73</f>
        <v>131.72999999999999</v>
      </c>
    </row>
    <row r="3776" spans="1:22" x14ac:dyDescent="0.2">
      <c r="A3776" s="1">
        <v>39821</v>
      </c>
      <c r="B3776">
        <f>1802.99</f>
        <v>1802.99</v>
      </c>
      <c r="C3776">
        <f>4338.39</f>
        <v>4338.3900000000003</v>
      </c>
      <c r="D3776">
        <f>2731.13</f>
        <v>2731.13</v>
      </c>
      <c r="E3776">
        <f>985.909</f>
        <v>985.90899999999999</v>
      </c>
      <c r="F3776">
        <f>1020</f>
        <v>1020</v>
      </c>
      <c r="G3776">
        <f>4215.633</f>
        <v>4215.6329999999998</v>
      </c>
      <c r="H3776">
        <f>1585.49</f>
        <v>1585.49</v>
      </c>
      <c r="I3776">
        <f>4804.322</f>
        <v>4804.3220000000001</v>
      </c>
      <c r="J3776">
        <f>1069.64</f>
        <v>1069.6400000000001</v>
      </c>
      <c r="K3776">
        <f>3032.3</f>
        <v>3032.3</v>
      </c>
      <c r="L3776">
        <f>738.51</f>
        <v>738.51</v>
      </c>
      <c r="M3776">
        <f>2979.41</f>
        <v>2979.41</v>
      </c>
      <c r="N3776">
        <f>107.647</f>
        <v>107.64700000000001</v>
      </c>
      <c r="O3776">
        <f>1181.12</f>
        <v>1181.1199999999999</v>
      </c>
      <c r="P3776">
        <f>67.86</f>
        <v>67.86</v>
      </c>
      <c r="Q3776">
        <f>619</f>
        <v>619</v>
      </c>
      <c r="R3776">
        <f>1464.6</f>
        <v>1464.6</v>
      </c>
      <c r="S3776">
        <f>1039.52</f>
        <v>1039.52</v>
      </c>
      <c r="T3776">
        <f>960.833</f>
        <v>960.83299999999997</v>
      </c>
      <c r="U3776">
        <f>22241.44</f>
        <v>22241.439999999999</v>
      </c>
      <c r="V3776">
        <f>129.72</f>
        <v>129.72</v>
      </c>
    </row>
    <row r="3777" spans="1:22" x14ac:dyDescent="0.2">
      <c r="A3777" s="1">
        <v>39820</v>
      </c>
      <c r="B3777">
        <f>1806.68</f>
        <v>1806.68</v>
      </c>
      <c r="C3777">
        <f>4501.2</f>
        <v>4501.2</v>
      </c>
      <c r="D3777">
        <f>2732.43</f>
        <v>2732.43</v>
      </c>
      <c r="E3777">
        <f>1014.558</f>
        <v>1014.558</v>
      </c>
      <c r="F3777">
        <f>1028.69</f>
        <v>1028.69</v>
      </c>
      <c r="G3777">
        <f>4210.049</f>
        <v>4210.049</v>
      </c>
      <c r="H3777">
        <f>1624.7</f>
        <v>1624.7</v>
      </c>
      <c r="I3777">
        <f>4819.833</f>
        <v>4819.8329999999996</v>
      </c>
      <c r="J3777">
        <f>1066.98</f>
        <v>1066.98</v>
      </c>
      <c r="K3777">
        <f>3020.24</f>
        <v>3020.24</v>
      </c>
      <c r="L3777">
        <f>739.56</f>
        <v>739.56</v>
      </c>
      <c r="M3777">
        <f>2982.67</f>
        <v>2982.67</v>
      </c>
      <c r="N3777">
        <f>108.864</f>
        <v>108.864</v>
      </c>
      <c r="O3777">
        <f>1189.09</f>
        <v>1189.0899999999999</v>
      </c>
      <c r="P3777">
        <f>70.47</f>
        <v>70.47</v>
      </c>
      <c r="Q3777">
        <f>615.92</f>
        <v>615.91999999999996</v>
      </c>
      <c r="R3777">
        <f>1459.58</f>
        <v>1459.58</v>
      </c>
      <c r="S3777">
        <f>1072.56</f>
        <v>1072.56</v>
      </c>
      <c r="T3777">
        <f>975.976</f>
        <v>975.976</v>
      </c>
      <c r="U3777">
        <f>22718.97</f>
        <v>22718.97</v>
      </c>
      <c r="V3777">
        <f>133.17</f>
        <v>133.16999999999999</v>
      </c>
    </row>
    <row r="3778" spans="1:22" x14ac:dyDescent="0.2">
      <c r="A3778" s="1">
        <v>39819</v>
      </c>
      <c r="B3778">
        <f>1838.86</f>
        <v>1838.86</v>
      </c>
      <c r="C3778">
        <f>4558.15</f>
        <v>4558.1499999999996</v>
      </c>
      <c r="D3778">
        <f>2812.02</f>
        <v>2812.02</v>
      </c>
      <c r="E3778">
        <f>1035.33</f>
        <v>1035.33</v>
      </c>
      <c r="F3778">
        <f>1022.6</f>
        <v>1022.6</v>
      </c>
      <c r="G3778">
        <f>4198.747</f>
        <v>4198.7470000000003</v>
      </c>
      <c r="H3778">
        <f>1530.39</f>
        <v>1530.39</v>
      </c>
      <c r="I3778">
        <f>4777.984</f>
        <v>4777.9840000000004</v>
      </c>
      <c r="J3778">
        <f>1101.53</f>
        <v>1101.53</v>
      </c>
      <c r="K3778">
        <f>3111.73</f>
        <v>3111.73</v>
      </c>
      <c r="L3778">
        <f>745.48</f>
        <v>745.48</v>
      </c>
      <c r="M3778">
        <f>3013.88</f>
        <v>3013.88</v>
      </c>
      <c r="N3778">
        <f>109.429</f>
        <v>109.429</v>
      </c>
      <c r="O3778">
        <f>1204.44</f>
        <v>1204.44</v>
      </c>
      <c r="P3778">
        <f>69.29</f>
        <v>69.290000000000006</v>
      </c>
      <c r="Q3778">
        <f>629.1</f>
        <v>629.1</v>
      </c>
      <c r="R3778">
        <f>1503.87</f>
        <v>1503.87</v>
      </c>
      <c r="S3778">
        <f>1058.01</f>
        <v>1058.01</v>
      </c>
      <c r="T3778">
        <f>986.11</f>
        <v>986.11</v>
      </c>
      <c r="U3778">
        <f>22919.76</f>
        <v>22919.759999999998</v>
      </c>
      <c r="V3778">
        <f>133.22</f>
        <v>133.22</v>
      </c>
    </row>
    <row r="3779" spans="1:22" x14ac:dyDescent="0.2">
      <c r="A3779" s="1">
        <v>39818</v>
      </c>
      <c r="B3779">
        <f>1806.32</f>
        <v>1806.32</v>
      </c>
      <c r="C3779">
        <f>4485.82</f>
        <v>4485.82</v>
      </c>
      <c r="D3779">
        <f>2776.09</f>
        <v>2776.09</v>
      </c>
      <c r="E3779">
        <f>1020.914</f>
        <v>1020.914</v>
      </c>
      <c r="F3779">
        <f>994.03</f>
        <v>994.03</v>
      </c>
      <c r="G3779">
        <f>4109.399</f>
        <v>4109.3990000000003</v>
      </c>
      <c r="H3779">
        <f>1534.91</f>
        <v>1534.91</v>
      </c>
      <c r="I3779">
        <f>4814.972</f>
        <v>4814.9719999999998</v>
      </c>
      <c r="J3779">
        <f>1096.95</f>
        <v>1096.95</v>
      </c>
      <c r="K3779">
        <f>3086.23</f>
        <v>3086.23</v>
      </c>
      <c r="L3779">
        <f>744.73</f>
        <v>744.73</v>
      </c>
      <c r="M3779">
        <f>2999.84</f>
        <v>2999.84</v>
      </c>
      <c r="N3779">
        <f>106.328</f>
        <v>106.328</v>
      </c>
      <c r="O3779">
        <f>1183.44</f>
        <v>1183.44</v>
      </c>
      <c r="P3779">
        <f>69.13</f>
        <v>69.13</v>
      </c>
      <c r="Q3779">
        <f>625.21</f>
        <v>625.21</v>
      </c>
      <c r="R3779">
        <f>1492.21</f>
        <v>1492.21</v>
      </c>
      <c r="S3779">
        <f>1057.66</f>
        <v>1057.6600000000001</v>
      </c>
      <c r="T3779">
        <f>974.735</f>
        <v>974.73500000000001</v>
      </c>
      <c r="U3779">
        <f>22304.43</f>
        <v>22304.43</v>
      </c>
      <c r="V3779">
        <f>130.06</f>
        <v>130.06</v>
      </c>
    </row>
    <row r="3780" spans="1:22" x14ac:dyDescent="0.2">
      <c r="A3780" s="1">
        <v>39815</v>
      </c>
      <c r="B3780">
        <f>1773.88</f>
        <v>1773.88</v>
      </c>
      <c r="C3780">
        <f>4325.16</f>
        <v>4325.16</v>
      </c>
      <c r="D3780">
        <f>2765.27</f>
        <v>2765.27</v>
      </c>
      <c r="E3780">
        <f>990.167</f>
        <v>990.16700000000003</v>
      </c>
      <c r="F3780">
        <f>970.99</f>
        <v>970.99</v>
      </c>
      <c r="G3780">
        <f>4071.889</f>
        <v>4071.8890000000001</v>
      </c>
      <c r="H3780">
        <f>1507.81</f>
        <v>1507.81</v>
      </c>
      <c r="I3780">
        <f>4845.278</f>
        <v>4845.2780000000002</v>
      </c>
      <c r="J3780">
        <f>1115.73</f>
        <v>1115.73</v>
      </c>
      <c r="K3780">
        <f>3098.04</f>
        <v>3098.04</v>
      </c>
      <c r="L3780">
        <f>751.08</f>
        <v>751.08</v>
      </c>
      <c r="M3780">
        <f>3002.01</f>
        <v>3002.01</v>
      </c>
      <c r="N3780">
        <f>103</f>
        <v>103</v>
      </c>
      <c r="O3780">
        <f>1158.69</f>
        <v>1158.69</v>
      </c>
      <c r="P3780" t="e">
        <f>NA()</f>
        <v>#N/A</v>
      </c>
      <c r="Q3780">
        <f>627.77</f>
        <v>627.77</v>
      </c>
      <c r="R3780">
        <f>1499.17</f>
        <v>1499.17</v>
      </c>
      <c r="S3780" t="e">
        <f>NA()</f>
        <v>#N/A</v>
      </c>
      <c r="T3780">
        <f>950.448</f>
        <v>950.44799999999998</v>
      </c>
      <c r="U3780">
        <f>21764.9</f>
        <v>21764.9</v>
      </c>
      <c r="V3780">
        <f>126.28</f>
        <v>126.28</v>
      </c>
    </row>
    <row r="3781" spans="1:22" x14ac:dyDescent="0.2">
      <c r="A3781" s="1">
        <v>39814</v>
      </c>
      <c r="B3781">
        <f>1721.81</f>
        <v>1721.81</v>
      </c>
      <c r="C3781">
        <f>4249.22</f>
        <v>4249.22</v>
      </c>
      <c r="D3781">
        <f>2687.91</f>
        <v>2687.91</v>
      </c>
      <c r="E3781">
        <f>968.333</f>
        <v>968.33299999999997</v>
      </c>
      <c r="F3781">
        <f>943.58</f>
        <v>943.58</v>
      </c>
      <c r="G3781">
        <f>3922.249</f>
        <v>3922.2489999999998</v>
      </c>
      <c r="H3781">
        <f>1513.22</f>
        <v>1513.22</v>
      </c>
      <c r="I3781">
        <f>4694.065</f>
        <v>4694.0649999999996</v>
      </c>
      <c r="J3781">
        <f>1085.59</f>
        <v>1085.5899999999999</v>
      </c>
      <c r="K3781">
        <f>3002.6</f>
        <v>3002.6</v>
      </c>
      <c r="L3781">
        <f>727.86</f>
        <v>727.86</v>
      </c>
      <c r="M3781">
        <f>2919.78</f>
        <v>2919.78</v>
      </c>
      <c r="N3781" t="e">
        <f>NA()</f>
        <v>#N/A</v>
      </c>
      <c r="O3781" t="e">
        <f>NA()</f>
        <v>#N/A</v>
      </c>
      <c r="P3781" t="e">
        <f>NA()</f>
        <v>#N/A</v>
      </c>
      <c r="Q3781" t="e">
        <f>NA()</f>
        <v>#N/A</v>
      </c>
      <c r="R3781" t="e">
        <f>NA()</f>
        <v>#N/A</v>
      </c>
      <c r="S3781" t="e">
        <f>NA()</f>
        <v>#N/A</v>
      </c>
      <c r="T3781" t="e">
        <f>NA()</f>
        <v>#N/A</v>
      </c>
      <c r="U3781" t="e">
        <f>NA()</f>
        <v>#N/A</v>
      </c>
      <c r="V3781" t="e">
        <f>NA()</f>
        <v>#N/A</v>
      </c>
    </row>
    <row r="3782" spans="1:22" x14ac:dyDescent="0.2">
      <c r="A3782" s="1">
        <v>39813</v>
      </c>
      <c r="B3782">
        <f>1721.81</f>
        <v>1721.81</v>
      </c>
      <c r="C3782">
        <f>4246.09</f>
        <v>4246.09</v>
      </c>
      <c r="D3782">
        <f>2687.91</f>
        <v>2687.91</v>
      </c>
      <c r="E3782">
        <f>966.344</f>
        <v>966.34400000000005</v>
      </c>
      <c r="F3782">
        <f>943.58</f>
        <v>943.58</v>
      </c>
      <c r="G3782">
        <f>3922.249</f>
        <v>3922.2489999999998</v>
      </c>
      <c r="H3782">
        <f>1513.22</f>
        <v>1513.22</v>
      </c>
      <c r="I3782">
        <f>4694.065</f>
        <v>4694.0649999999996</v>
      </c>
      <c r="J3782">
        <f>1085.59</f>
        <v>1085.5899999999999</v>
      </c>
      <c r="K3782">
        <f>3002.6</f>
        <v>3002.6</v>
      </c>
      <c r="L3782">
        <f>727.86</f>
        <v>727.86</v>
      </c>
      <c r="M3782">
        <f>2919.78</f>
        <v>2919.78</v>
      </c>
      <c r="N3782">
        <f>101.208</f>
        <v>101.208</v>
      </c>
      <c r="O3782">
        <f>1129.3</f>
        <v>1129.3</v>
      </c>
      <c r="P3782" t="e">
        <f>NA()</f>
        <v>#N/A</v>
      </c>
      <c r="Q3782">
        <f>612.15</f>
        <v>612.15</v>
      </c>
      <c r="R3782">
        <f>1452.98</f>
        <v>1452.98</v>
      </c>
      <c r="S3782" t="e">
        <f>NA()</f>
        <v>#N/A</v>
      </c>
      <c r="T3782">
        <f>949.591</f>
        <v>949.59100000000001</v>
      </c>
      <c r="U3782">
        <f>21509.2</f>
        <v>21509.200000000001</v>
      </c>
      <c r="V3782">
        <f>125.33</f>
        <v>125.33</v>
      </c>
    </row>
    <row r="3783" spans="1:22" x14ac:dyDescent="0.2">
      <c r="A3783" s="1">
        <v>39812</v>
      </c>
      <c r="B3783">
        <f>1726.29</f>
        <v>1726.29</v>
      </c>
      <c r="C3783">
        <f>4244.56</f>
        <v>4244.5600000000004</v>
      </c>
      <c r="D3783">
        <f>2662.6</f>
        <v>2662.6</v>
      </c>
      <c r="E3783">
        <f>964.171</f>
        <v>964.17100000000005</v>
      </c>
      <c r="F3783">
        <f>936.2</f>
        <v>936.2</v>
      </c>
      <c r="G3783">
        <f>3899.536</f>
        <v>3899.5360000000001</v>
      </c>
      <c r="H3783">
        <f>1521.1</f>
        <v>1521.1</v>
      </c>
      <c r="I3783">
        <f>4772.782</f>
        <v>4772.7820000000002</v>
      </c>
      <c r="J3783">
        <f>1069.13</f>
        <v>1069.1300000000001</v>
      </c>
      <c r="K3783">
        <f>2959.45</f>
        <v>2959.45</v>
      </c>
      <c r="L3783">
        <f>727.12</f>
        <v>727.12</v>
      </c>
      <c r="M3783">
        <f>2906.25</f>
        <v>2906.25</v>
      </c>
      <c r="N3783">
        <f>99.138</f>
        <v>99.138000000000005</v>
      </c>
      <c r="O3783">
        <f>1115.18</f>
        <v>1115.18</v>
      </c>
      <c r="P3783">
        <f>68.47</f>
        <v>68.47</v>
      </c>
      <c r="Q3783">
        <f>601.17</f>
        <v>601.16999999999996</v>
      </c>
      <c r="R3783">
        <f>1432.65</f>
        <v>1432.65</v>
      </c>
      <c r="S3783">
        <f>1037.53</f>
        <v>1037.53</v>
      </c>
      <c r="T3783">
        <f>951.926</f>
        <v>951.92600000000004</v>
      </c>
      <c r="U3783">
        <f>21348.45</f>
        <v>21348.45</v>
      </c>
      <c r="V3783">
        <f>125.2</f>
        <v>125.2</v>
      </c>
    </row>
    <row r="3784" spans="1:22" x14ac:dyDescent="0.2">
      <c r="A3784" s="1">
        <v>39811</v>
      </c>
      <c r="B3784">
        <f>1715.81</f>
        <v>1715.81</v>
      </c>
      <c r="C3784">
        <f>4136.27</f>
        <v>4136.2700000000004</v>
      </c>
      <c r="D3784">
        <f>2618.15</f>
        <v>2618.15</v>
      </c>
      <c r="E3784">
        <f>949.94</f>
        <v>949.94</v>
      </c>
      <c r="F3784">
        <f>917.32</f>
        <v>917.32</v>
      </c>
      <c r="G3784">
        <f>3868.8</f>
        <v>3868.8</v>
      </c>
      <c r="H3784">
        <f>1513.26</f>
        <v>1513.26</v>
      </c>
      <c r="I3784">
        <f>4714.404</f>
        <v>4714.4040000000005</v>
      </c>
      <c r="J3784">
        <f>1044.11</f>
        <v>1044.1099999999999</v>
      </c>
      <c r="K3784">
        <f>2889.27</f>
        <v>2889.27</v>
      </c>
      <c r="L3784">
        <f>715.58</f>
        <v>715.58</v>
      </c>
      <c r="M3784">
        <f>2858.7</f>
        <v>2858.7</v>
      </c>
      <c r="N3784">
        <f>97.885</f>
        <v>97.885000000000005</v>
      </c>
      <c r="O3784">
        <f>1095.39</f>
        <v>1095.3900000000001</v>
      </c>
      <c r="P3784">
        <f>68.13</f>
        <v>68.13</v>
      </c>
      <c r="Q3784">
        <f>584.49</f>
        <v>584.49</v>
      </c>
      <c r="R3784">
        <f>1398.25</f>
        <v>1398.25</v>
      </c>
      <c r="S3784">
        <f>1032.13</f>
        <v>1032.1300000000001</v>
      </c>
      <c r="T3784">
        <f>939.996</f>
        <v>939.99599999999998</v>
      </c>
      <c r="U3784">
        <f>21237.59</f>
        <v>21237.59</v>
      </c>
      <c r="V3784">
        <f>122.69</f>
        <v>122.69</v>
      </c>
    </row>
    <row r="3785" spans="1:22" x14ac:dyDescent="0.2">
      <c r="A3785" s="1">
        <v>39808</v>
      </c>
      <c r="B3785" t="e">
        <f>NA()</f>
        <v>#N/A</v>
      </c>
      <c r="C3785">
        <f>4092.76</f>
        <v>4092.76</v>
      </c>
      <c r="D3785" t="e">
        <f>NA()</f>
        <v>#N/A</v>
      </c>
      <c r="E3785">
        <f>938.894</f>
        <v>938.89400000000001</v>
      </c>
      <c r="F3785">
        <f>906.06</f>
        <v>906.06</v>
      </c>
      <c r="G3785">
        <f>3814.776</f>
        <v>3814.7759999999998</v>
      </c>
      <c r="H3785">
        <f>1494.13</f>
        <v>1494.13</v>
      </c>
      <c r="I3785">
        <f>4605.54</f>
        <v>4605.54</v>
      </c>
      <c r="J3785">
        <f>1048.49</f>
        <v>1048.49</v>
      </c>
      <c r="K3785">
        <f>2900.47</f>
        <v>2900.47</v>
      </c>
      <c r="L3785">
        <f>706.72</f>
        <v>706.72</v>
      </c>
      <c r="M3785">
        <f>2833.85</f>
        <v>2833.85</v>
      </c>
      <c r="N3785" t="e">
        <f>NA()</f>
        <v>#N/A</v>
      </c>
      <c r="O3785" t="e">
        <f>NA()</f>
        <v>#N/A</v>
      </c>
      <c r="P3785">
        <f>67.58</f>
        <v>67.58</v>
      </c>
      <c r="Q3785">
        <f>589.1</f>
        <v>589.1</v>
      </c>
      <c r="R3785">
        <f>1403.22</f>
        <v>1403.22</v>
      </c>
      <c r="S3785">
        <f>1022.24</f>
        <v>1022.24</v>
      </c>
      <c r="T3785" t="e">
        <f>NA()</f>
        <v>#N/A</v>
      </c>
      <c r="U3785" t="e">
        <f>NA()</f>
        <v>#N/A</v>
      </c>
      <c r="V3785" t="e">
        <f>NA()</f>
        <v>#N/A</v>
      </c>
    </row>
    <row r="3786" spans="1:22" x14ac:dyDescent="0.2">
      <c r="A3786" s="1">
        <v>39807</v>
      </c>
      <c r="B3786" t="e">
        <f>NA()</f>
        <v>#N/A</v>
      </c>
      <c r="C3786">
        <f>4092.3</f>
        <v>4092.3</v>
      </c>
      <c r="D3786" t="e">
        <f>NA()</f>
        <v>#N/A</v>
      </c>
      <c r="E3786">
        <f>940.379</f>
        <v>940.37900000000002</v>
      </c>
      <c r="F3786">
        <f>906.83</f>
        <v>906.83</v>
      </c>
      <c r="G3786">
        <f>3818.019</f>
        <v>3818.0189999999998</v>
      </c>
      <c r="H3786">
        <f>1478.53</f>
        <v>1478.53</v>
      </c>
      <c r="I3786">
        <f>4584.563</f>
        <v>4584.5630000000001</v>
      </c>
      <c r="J3786">
        <f>1044.74</f>
        <v>1044.74</v>
      </c>
      <c r="K3786">
        <f>2883.74</f>
        <v>2883.74</v>
      </c>
      <c r="L3786">
        <f>705.21</f>
        <v>705.21</v>
      </c>
      <c r="M3786">
        <f>2820.19</f>
        <v>2820.19</v>
      </c>
      <c r="N3786" t="e">
        <f>NA()</f>
        <v>#N/A</v>
      </c>
      <c r="O3786" t="e">
        <f>NA()</f>
        <v>#N/A</v>
      </c>
      <c r="P3786">
        <f>66.55</f>
        <v>66.55</v>
      </c>
      <c r="Q3786" t="e">
        <f>NA()</f>
        <v>#N/A</v>
      </c>
      <c r="R3786" t="e">
        <f>NA()</f>
        <v>#N/A</v>
      </c>
      <c r="S3786">
        <f>1009.49</f>
        <v>1009.49</v>
      </c>
      <c r="T3786" t="e">
        <f>NA()</f>
        <v>#N/A</v>
      </c>
      <c r="U3786" t="e">
        <f>NA()</f>
        <v>#N/A</v>
      </c>
      <c r="V3786" t="e">
        <f>NA()</f>
        <v>#N/A</v>
      </c>
    </row>
    <row r="3787" spans="1:22" x14ac:dyDescent="0.2">
      <c r="A3787" s="1">
        <v>39806</v>
      </c>
      <c r="B3787">
        <f>1684.29</f>
        <v>1684.29</v>
      </c>
      <c r="C3787">
        <f>4097.12</f>
        <v>4097.12</v>
      </c>
      <c r="D3787">
        <f>2555.87</f>
        <v>2555.87</v>
      </c>
      <c r="E3787">
        <f>942.476</f>
        <v>942.476</v>
      </c>
      <c r="F3787">
        <f>906.83</f>
        <v>906.83</v>
      </c>
      <c r="G3787">
        <f>3818.019</f>
        <v>3818.0189999999998</v>
      </c>
      <c r="H3787">
        <f>1453.5</f>
        <v>1453.5</v>
      </c>
      <c r="I3787">
        <f>4584.563</f>
        <v>4584.5630000000001</v>
      </c>
      <c r="J3787">
        <f>1044.74</f>
        <v>1044.74</v>
      </c>
      <c r="K3787">
        <f>2883.74</f>
        <v>2883.74</v>
      </c>
      <c r="L3787">
        <f>705.09</f>
        <v>705.09</v>
      </c>
      <c r="M3787">
        <f>2816.13</f>
        <v>2816.13</v>
      </c>
      <c r="N3787">
        <f>97.96</f>
        <v>97.96</v>
      </c>
      <c r="O3787">
        <f>1087.6</f>
        <v>1087.5999999999999</v>
      </c>
      <c r="P3787">
        <f>65.7</f>
        <v>65.7</v>
      </c>
      <c r="Q3787">
        <f>586</f>
        <v>586</v>
      </c>
      <c r="R3787">
        <f>1395.76</f>
        <v>1395.76</v>
      </c>
      <c r="S3787">
        <f>997.57</f>
        <v>997.57</v>
      </c>
      <c r="T3787">
        <f>938.202</f>
        <v>938.202</v>
      </c>
      <c r="U3787">
        <f>20998.49</f>
        <v>20998.49</v>
      </c>
      <c r="V3787">
        <f>121.53</f>
        <v>121.53</v>
      </c>
    </row>
    <row r="3788" spans="1:22" x14ac:dyDescent="0.2">
      <c r="A3788" s="1">
        <v>39805</v>
      </c>
      <c r="B3788">
        <f>1684.79</f>
        <v>1684.79</v>
      </c>
      <c r="C3788">
        <f>4129.55</f>
        <v>4129.55</v>
      </c>
      <c r="D3788">
        <f>2578.71</f>
        <v>2578.71</v>
      </c>
      <c r="E3788">
        <f>946.092</f>
        <v>946.09199999999998</v>
      </c>
      <c r="F3788">
        <f>907.85</f>
        <v>907.85</v>
      </c>
      <c r="G3788">
        <f>3845.41</f>
        <v>3845.41</v>
      </c>
      <c r="H3788">
        <f>1500.69</f>
        <v>1500.69</v>
      </c>
      <c r="I3788">
        <f>4575.584</f>
        <v>4575.5839999999998</v>
      </c>
      <c r="J3788">
        <f>1035.52</f>
        <v>1035.52</v>
      </c>
      <c r="K3788">
        <f>2867.44</f>
        <v>2867.44</v>
      </c>
      <c r="L3788">
        <f>703.63</f>
        <v>703.63</v>
      </c>
      <c r="M3788">
        <f>2816.51</f>
        <v>2816.51</v>
      </c>
      <c r="N3788">
        <f>98.798</f>
        <v>98.798000000000002</v>
      </c>
      <c r="O3788">
        <f>1093.92</f>
        <v>1093.92</v>
      </c>
      <c r="P3788" t="e">
        <f>NA()</f>
        <v>#N/A</v>
      </c>
      <c r="Q3788">
        <f>581.57</f>
        <v>581.57000000000005</v>
      </c>
      <c r="R3788">
        <f>1387.08</f>
        <v>1387.08</v>
      </c>
      <c r="S3788" t="e">
        <f>NA()</f>
        <v>#N/A</v>
      </c>
      <c r="T3788">
        <f>944.581</f>
        <v>944.58100000000002</v>
      </c>
      <c r="U3788">
        <f>21244.85</f>
        <v>21244.85</v>
      </c>
      <c r="V3788">
        <f>122.78</f>
        <v>122.78</v>
      </c>
    </row>
    <row r="3789" spans="1:22" x14ac:dyDescent="0.2">
      <c r="A3789" s="1">
        <v>39804</v>
      </c>
      <c r="B3789">
        <f>1682.67</f>
        <v>1682.67</v>
      </c>
      <c r="C3789">
        <f>4197.71</f>
        <v>4197.71</v>
      </c>
      <c r="D3789">
        <f>2574.57</f>
        <v>2574.5700000000002</v>
      </c>
      <c r="E3789">
        <f>965.648</f>
        <v>965.64800000000002</v>
      </c>
      <c r="F3789">
        <f>926.52</f>
        <v>926.52</v>
      </c>
      <c r="G3789">
        <f>3849.642</f>
        <v>3849.6419999999998</v>
      </c>
      <c r="H3789">
        <f>1503.76</f>
        <v>1503.76</v>
      </c>
      <c r="I3789">
        <f>4575.005</f>
        <v>4575.0050000000001</v>
      </c>
      <c r="J3789">
        <f>1046.73</f>
        <v>1046.73</v>
      </c>
      <c r="K3789">
        <f>2893.14</f>
        <v>2893.14</v>
      </c>
      <c r="L3789">
        <f>707.64</f>
        <v>707.64</v>
      </c>
      <c r="M3789">
        <f>2830.05</f>
        <v>2830.05</v>
      </c>
      <c r="N3789">
        <f>99.519</f>
        <v>99.519000000000005</v>
      </c>
      <c r="O3789">
        <f>1096.17</f>
        <v>1096.17</v>
      </c>
      <c r="P3789">
        <f>67</f>
        <v>67</v>
      </c>
      <c r="Q3789">
        <f>589.63</f>
        <v>589.63</v>
      </c>
      <c r="R3789">
        <f>1400.42</f>
        <v>1400.42</v>
      </c>
      <c r="S3789">
        <f>1023.78</f>
        <v>1023.78</v>
      </c>
      <c r="T3789">
        <f>936.934</f>
        <v>936.93399999999997</v>
      </c>
      <c r="U3789">
        <f>21090.86</f>
        <v>21090.86</v>
      </c>
      <c r="V3789">
        <f>122.76</f>
        <v>122.76</v>
      </c>
    </row>
    <row r="3790" spans="1:22" x14ac:dyDescent="0.2">
      <c r="A3790" s="1">
        <v>39801</v>
      </c>
      <c r="B3790">
        <f>1699.92</f>
        <v>1699.92</v>
      </c>
      <c r="C3790">
        <f>4319.88</f>
        <v>4319.88</v>
      </c>
      <c r="D3790">
        <f>2597.46</f>
        <v>2597.46</v>
      </c>
      <c r="E3790">
        <f>990.688</f>
        <v>990.68799999999999</v>
      </c>
      <c r="F3790">
        <f>935.7</f>
        <v>935.7</v>
      </c>
      <c r="G3790">
        <f>3932.354</f>
        <v>3932.3539999999998</v>
      </c>
      <c r="H3790">
        <f>1491.42</f>
        <v>1491.42</v>
      </c>
      <c r="I3790">
        <f>4643.956</f>
        <v>4643.9560000000001</v>
      </c>
      <c r="J3790">
        <f>1063.41</f>
        <v>1063.4100000000001</v>
      </c>
      <c r="K3790">
        <f>2946.93</f>
        <v>2946.93</v>
      </c>
      <c r="L3790">
        <f>719.7</f>
        <v>719.7</v>
      </c>
      <c r="M3790">
        <f>2874.89</f>
        <v>2874.89</v>
      </c>
      <c r="N3790">
        <f>101.352</f>
        <v>101.352</v>
      </c>
      <c r="O3790">
        <f>1114.02</f>
        <v>1114.02</v>
      </c>
      <c r="P3790">
        <f>65.4</f>
        <v>65.400000000000006</v>
      </c>
      <c r="Q3790">
        <f>599.46</f>
        <v>599.46</v>
      </c>
      <c r="R3790">
        <f>1426.39</f>
        <v>1426.39</v>
      </c>
      <c r="S3790">
        <f>1006.53</f>
        <v>1006.53</v>
      </c>
      <c r="T3790">
        <f>932.465</f>
        <v>932.46500000000003</v>
      </c>
      <c r="U3790">
        <f>21287.7</f>
        <v>21287.7</v>
      </c>
      <c r="V3790">
        <f>122.61</f>
        <v>122.61</v>
      </c>
    </row>
    <row r="3791" spans="1:22" x14ac:dyDescent="0.2">
      <c r="A3791" s="1">
        <v>39800</v>
      </c>
      <c r="B3791">
        <f>1716.96</f>
        <v>1716.96</v>
      </c>
      <c r="C3791">
        <f>4394.39</f>
        <v>4394.3900000000003</v>
      </c>
      <c r="D3791">
        <f>2623.95</f>
        <v>2623.95</v>
      </c>
      <c r="E3791">
        <f>1004.704</f>
        <v>1004.704</v>
      </c>
      <c r="F3791">
        <f>969.2</f>
        <v>969.2</v>
      </c>
      <c r="G3791">
        <f>4083.833</f>
        <v>4083.8330000000001</v>
      </c>
      <c r="H3791">
        <f>1508.57</f>
        <v>1508.57</v>
      </c>
      <c r="I3791">
        <f>4860.148</f>
        <v>4860.1480000000001</v>
      </c>
      <c r="J3791">
        <f>1060.06</f>
        <v>1060.06</v>
      </c>
      <c r="K3791">
        <f>2937.41</f>
        <v>2937.41</v>
      </c>
      <c r="L3791">
        <f>736.24</f>
        <v>736.24</v>
      </c>
      <c r="M3791">
        <f>2914.49</f>
        <v>2914.49</v>
      </c>
      <c r="N3791">
        <f>100.919</f>
        <v>100.919</v>
      </c>
      <c r="O3791">
        <f>1117.06</f>
        <v>1117.06</v>
      </c>
      <c r="P3791">
        <f>65.92</f>
        <v>65.92</v>
      </c>
      <c r="Q3791">
        <f>602.13</f>
        <v>602.13</v>
      </c>
      <c r="R3791">
        <f>1422.19</f>
        <v>1422.19</v>
      </c>
      <c r="S3791">
        <f>1011.68</f>
        <v>1011.68</v>
      </c>
      <c r="T3791">
        <f>950.917</f>
        <v>950.91700000000003</v>
      </c>
      <c r="U3791">
        <f>22034.63</f>
        <v>22034.63</v>
      </c>
      <c r="V3791">
        <f>125.32</f>
        <v>125.32</v>
      </c>
    </row>
    <row r="3792" spans="1:22" x14ac:dyDescent="0.2">
      <c r="A3792" s="1">
        <v>39799</v>
      </c>
      <c r="B3792">
        <f>1694.84</f>
        <v>1694.84</v>
      </c>
      <c r="C3792">
        <f>4359.28</f>
        <v>4359.28</v>
      </c>
      <c r="D3792">
        <f>2620.03</f>
        <v>2620.0300000000002</v>
      </c>
      <c r="E3792">
        <f>997.59</f>
        <v>997.59</v>
      </c>
      <c r="F3792">
        <f>967.73</f>
        <v>967.73</v>
      </c>
      <c r="G3792">
        <f>4100.947</f>
        <v>4100.9470000000001</v>
      </c>
      <c r="H3792">
        <f>1527.05</f>
        <v>1527.05</v>
      </c>
      <c r="I3792">
        <f>4786.278</f>
        <v>4786.2780000000002</v>
      </c>
      <c r="J3792">
        <f>1084.56</f>
        <v>1084.56</v>
      </c>
      <c r="K3792">
        <f>2999.73</f>
        <v>2999.73</v>
      </c>
      <c r="L3792">
        <f>735.75</f>
        <v>735.75</v>
      </c>
      <c r="M3792">
        <f>2941.94</f>
        <v>2941.94</v>
      </c>
      <c r="N3792">
        <f>100.606</f>
        <v>100.60599999999999</v>
      </c>
      <c r="O3792">
        <f>1119.61</f>
        <v>1119.6099999999999</v>
      </c>
      <c r="P3792">
        <f>66.05</f>
        <v>66.05</v>
      </c>
      <c r="Q3792">
        <f>611.02</f>
        <v>611.02</v>
      </c>
      <c r="R3792">
        <f>1452.88</f>
        <v>1452.88</v>
      </c>
      <c r="S3792">
        <f>1011.39</f>
        <v>1011.39</v>
      </c>
      <c r="T3792">
        <f>934.304</f>
        <v>934.30399999999997</v>
      </c>
      <c r="U3792">
        <f>22409.26</f>
        <v>22409.26</v>
      </c>
      <c r="V3792">
        <f>123.91</f>
        <v>123.91</v>
      </c>
    </row>
    <row r="3793" spans="1:22" x14ac:dyDescent="0.2">
      <c r="A3793" s="1">
        <v>39798</v>
      </c>
      <c r="B3793">
        <f>1683</f>
        <v>1683</v>
      </c>
      <c r="C3793">
        <f>4224.61</f>
        <v>4224.6099999999997</v>
      </c>
      <c r="D3793">
        <f>2610.7</f>
        <v>2610.6999999999998</v>
      </c>
      <c r="E3793">
        <f>973.256</f>
        <v>973.25599999999997</v>
      </c>
      <c r="F3793">
        <f>964.68</f>
        <v>964.68</v>
      </c>
      <c r="G3793">
        <f>4048.585</f>
        <v>4048.585</v>
      </c>
      <c r="H3793">
        <f>1483.05</f>
        <v>1483.05</v>
      </c>
      <c r="I3793">
        <f>4586.722</f>
        <v>4586.7219999999998</v>
      </c>
      <c r="J3793">
        <f>1096.06</f>
        <v>1096.06</v>
      </c>
      <c r="K3793">
        <f>3025.28</f>
        <v>3025.28</v>
      </c>
      <c r="L3793">
        <f>724.28</f>
        <v>724.28</v>
      </c>
      <c r="M3793">
        <f>2906.8</f>
        <v>2906.8</v>
      </c>
      <c r="N3793">
        <f>100.818</f>
        <v>100.818</v>
      </c>
      <c r="O3793">
        <f>1127.54</f>
        <v>1127.54</v>
      </c>
      <c r="P3793">
        <f>65.21</f>
        <v>65.209999999999994</v>
      </c>
      <c r="Q3793">
        <f>616.42</f>
        <v>616.41999999999996</v>
      </c>
      <c r="R3793">
        <f>1466.87</f>
        <v>1466.87</v>
      </c>
      <c r="S3793">
        <f>999.53</f>
        <v>999.53</v>
      </c>
      <c r="T3793" t="e">
        <f>NA()</f>
        <v>#N/A</v>
      </c>
      <c r="U3793" t="e">
        <f>NA()</f>
        <v>#N/A</v>
      </c>
      <c r="V3793" t="e">
        <f>NA()</f>
        <v>#N/A</v>
      </c>
    </row>
    <row r="3794" spans="1:22" x14ac:dyDescent="0.2">
      <c r="A3794" s="1">
        <v>39797</v>
      </c>
      <c r="B3794">
        <f>1680.56</f>
        <v>1680.56</v>
      </c>
      <c r="C3794">
        <f>4156.48</f>
        <v>4156.4799999999996</v>
      </c>
      <c r="D3794">
        <f>2591.6</f>
        <v>2591.6</v>
      </c>
      <c r="E3794">
        <f>957.57</f>
        <v>957.57</v>
      </c>
      <c r="F3794">
        <f>963.05</f>
        <v>963.05</v>
      </c>
      <c r="G3794">
        <f>4039.183</f>
        <v>4039.183</v>
      </c>
      <c r="H3794">
        <f>1512.96</f>
        <v>1512.96</v>
      </c>
      <c r="I3794">
        <f>4499.625</f>
        <v>4499.625</v>
      </c>
      <c r="J3794">
        <f>1040.59</f>
        <v>1040.5899999999999</v>
      </c>
      <c r="K3794">
        <f>2877.37</f>
        <v>2877.37</v>
      </c>
      <c r="L3794">
        <f>704.21</f>
        <v>704.21</v>
      </c>
      <c r="M3794">
        <f>2824.86</f>
        <v>2824.86</v>
      </c>
      <c r="N3794">
        <f>100.322</f>
        <v>100.322</v>
      </c>
      <c r="O3794">
        <f>1117.82</f>
        <v>1117.82</v>
      </c>
      <c r="P3794">
        <f>66.46</f>
        <v>66.459999999999994</v>
      </c>
      <c r="Q3794">
        <f>587.06</f>
        <v>587.05999999999995</v>
      </c>
      <c r="R3794">
        <f>1395.21</f>
        <v>1395.21</v>
      </c>
      <c r="S3794">
        <f>1021.61</f>
        <v>1021.61</v>
      </c>
      <c r="T3794">
        <f>913.867</f>
        <v>913.86699999999996</v>
      </c>
      <c r="U3794">
        <f>21805.83</f>
        <v>21805.83</v>
      </c>
      <c r="V3794">
        <f>120.49</f>
        <v>120.49</v>
      </c>
    </row>
    <row r="3795" spans="1:22" x14ac:dyDescent="0.2">
      <c r="A3795" s="1">
        <v>39794</v>
      </c>
      <c r="B3795">
        <f>1679.54</f>
        <v>1679.54</v>
      </c>
      <c r="C3795">
        <f>4078.73</f>
        <v>4078.73</v>
      </c>
      <c r="D3795">
        <f>2593.29</f>
        <v>2593.29</v>
      </c>
      <c r="E3795">
        <f>938.849</f>
        <v>938.84900000000005</v>
      </c>
      <c r="F3795">
        <f>940.33</f>
        <v>940.33</v>
      </c>
      <c r="G3795">
        <f>3926.708</f>
        <v>3926.7080000000001</v>
      </c>
      <c r="H3795">
        <f>1420.73</f>
        <v>1420.73</v>
      </c>
      <c r="I3795">
        <f>4436.036</f>
        <v>4436.0360000000001</v>
      </c>
      <c r="J3795">
        <f>1063.41</f>
        <v>1063.4100000000001</v>
      </c>
      <c r="K3795">
        <f>2914.46</f>
        <v>2914.46</v>
      </c>
      <c r="L3795">
        <f>702</f>
        <v>702</v>
      </c>
      <c r="M3795">
        <f>2806.08</f>
        <v>2806.08</v>
      </c>
      <c r="N3795">
        <f>100.993</f>
        <v>100.99299999999999</v>
      </c>
      <c r="O3795">
        <f>1122.33</f>
        <v>1122.33</v>
      </c>
      <c r="P3795">
        <f>63.72</f>
        <v>63.72</v>
      </c>
      <c r="Q3795">
        <f>594.44</f>
        <v>594.44000000000005</v>
      </c>
      <c r="R3795">
        <f>1413.07</f>
        <v>1413.07</v>
      </c>
      <c r="S3795">
        <f>981.13</f>
        <v>981.13</v>
      </c>
      <c r="T3795">
        <f>914.538</f>
        <v>914.53800000000001</v>
      </c>
      <c r="U3795">
        <f>21355.24</f>
        <v>21355.24</v>
      </c>
      <c r="V3795">
        <f>120.07</f>
        <v>120.07</v>
      </c>
    </row>
    <row r="3796" spans="1:22" x14ac:dyDescent="0.2">
      <c r="A3796" s="1">
        <v>39793</v>
      </c>
      <c r="B3796">
        <f>1737.58</f>
        <v>1737.58</v>
      </c>
      <c r="C3796">
        <f>4226.33</f>
        <v>4226.33</v>
      </c>
      <c r="D3796">
        <f>2658.93</f>
        <v>2658.93</v>
      </c>
      <c r="E3796">
        <f>968.023</f>
        <v>968.02300000000002</v>
      </c>
      <c r="F3796">
        <f>995.95</f>
        <v>995.95</v>
      </c>
      <c r="G3796">
        <f>4030.858</f>
        <v>4030.8580000000002</v>
      </c>
      <c r="H3796">
        <f>1504.29</f>
        <v>1504.29</v>
      </c>
      <c r="I3796">
        <f>4495.204</f>
        <v>4495.2039999999997</v>
      </c>
      <c r="J3796">
        <f>1050.05</f>
        <v>1050.05</v>
      </c>
      <c r="K3796">
        <f>2891.66</f>
        <v>2891.66</v>
      </c>
      <c r="L3796">
        <f>709.96</f>
        <v>709.96</v>
      </c>
      <c r="M3796">
        <f>2827.98</f>
        <v>2827.98</v>
      </c>
      <c r="N3796">
        <f>103.652</f>
        <v>103.652</v>
      </c>
      <c r="O3796">
        <f>1154.05</f>
        <v>1154.05</v>
      </c>
      <c r="P3796">
        <f>66.67</f>
        <v>66.67</v>
      </c>
      <c r="Q3796">
        <f>589.7</f>
        <v>589.70000000000005</v>
      </c>
      <c r="R3796">
        <f>1403.2</f>
        <v>1403.2</v>
      </c>
      <c r="S3796">
        <f>1024.4</f>
        <v>1024.4000000000001</v>
      </c>
      <c r="T3796">
        <f>933.353</f>
        <v>933.35299999999995</v>
      </c>
      <c r="U3796">
        <f>21749.69</f>
        <v>21749.69</v>
      </c>
      <c r="V3796">
        <f>122.87</f>
        <v>122.87</v>
      </c>
    </row>
    <row r="3797" spans="1:22" x14ac:dyDescent="0.2">
      <c r="A3797" s="1">
        <v>39792</v>
      </c>
      <c r="B3797">
        <f>1737.43</f>
        <v>1737.43</v>
      </c>
      <c r="C3797">
        <f>4199.5</f>
        <v>4199.5</v>
      </c>
      <c r="D3797">
        <f>2645.96</f>
        <v>2645.96</v>
      </c>
      <c r="E3797">
        <f>957.051</f>
        <v>957.05100000000004</v>
      </c>
      <c r="F3797">
        <f>998.34</f>
        <v>998.34</v>
      </c>
      <c r="G3797">
        <f>3979.71</f>
        <v>3979.71</v>
      </c>
      <c r="H3797">
        <f>1445.61</f>
        <v>1445.61</v>
      </c>
      <c r="I3797">
        <f>4446.021</f>
        <v>4446.0209999999997</v>
      </c>
      <c r="J3797">
        <f>1085.59</f>
        <v>1085.5899999999999</v>
      </c>
      <c r="K3797">
        <f>2976.38</f>
        <v>2976.38</v>
      </c>
      <c r="L3797">
        <f>713.71</f>
        <v>713.71</v>
      </c>
      <c r="M3797">
        <f>2849.08</f>
        <v>2849.08</v>
      </c>
      <c r="N3797">
        <f>105.297</f>
        <v>105.297</v>
      </c>
      <c r="O3797">
        <f>1163.82</f>
        <v>1163.82</v>
      </c>
      <c r="P3797">
        <f>65.86</f>
        <v>65.86</v>
      </c>
      <c r="Q3797">
        <f>609.4</f>
        <v>609.4</v>
      </c>
      <c r="R3797">
        <f>1444</f>
        <v>1444</v>
      </c>
      <c r="S3797">
        <f>1006.68</f>
        <v>1006.68</v>
      </c>
      <c r="T3797">
        <f>936.969</f>
        <v>936.96900000000005</v>
      </c>
      <c r="U3797">
        <f>21930.94</f>
        <v>21930.94</v>
      </c>
      <c r="V3797">
        <f>123.63</f>
        <v>123.63</v>
      </c>
    </row>
    <row r="3798" spans="1:22" x14ac:dyDescent="0.2">
      <c r="A3798" s="1">
        <v>39791</v>
      </c>
      <c r="B3798">
        <f>1724.15</f>
        <v>1724.15</v>
      </c>
      <c r="C3798">
        <f>4024.52</f>
        <v>4024.52</v>
      </c>
      <c r="D3798">
        <f>2654.43</f>
        <v>2654.43</v>
      </c>
      <c r="E3798">
        <f>914.658</f>
        <v>914.65800000000002</v>
      </c>
      <c r="F3798">
        <f>1013.64</f>
        <v>1013.64</v>
      </c>
      <c r="G3798">
        <f>3986.813</f>
        <v>3986.8130000000001</v>
      </c>
      <c r="H3798">
        <f>1389.53</f>
        <v>1389.53</v>
      </c>
      <c r="I3798">
        <f>4399.141</f>
        <v>4399.1409999999996</v>
      </c>
      <c r="J3798">
        <f>1079.74</f>
        <v>1079.74</v>
      </c>
      <c r="K3798">
        <f>2939.49</f>
        <v>2939.49</v>
      </c>
      <c r="L3798">
        <f>711.26</f>
        <v>711.26</v>
      </c>
      <c r="M3798">
        <f>2812.62</f>
        <v>2812.62</v>
      </c>
      <c r="N3798">
        <f>105.548</f>
        <v>105.548</v>
      </c>
      <c r="O3798">
        <f>1163.9</f>
        <v>1163.9000000000001</v>
      </c>
      <c r="P3798">
        <f>64.63</f>
        <v>64.63</v>
      </c>
      <c r="Q3798">
        <f>601.79</f>
        <v>601.79</v>
      </c>
      <c r="R3798">
        <f>1426.88</f>
        <v>1426.88</v>
      </c>
      <c r="S3798">
        <f>986.64</f>
        <v>986.64</v>
      </c>
      <c r="T3798">
        <f>924.476</f>
        <v>924.476</v>
      </c>
      <c r="U3798">
        <f>20953.22</f>
        <v>20953.22</v>
      </c>
      <c r="V3798">
        <f>120.91</f>
        <v>120.91</v>
      </c>
    </row>
    <row r="3799" spans="1:22" x14ac:dyDescent="0.2">
      <c r="A3799" s="1">
        <v>39790</v>
      </c>
      <c r="B3799">
        <f>1687.89</f>
        <v>1687.89</v>
      </c>
      <c r="C3799">
        <f>3982.15</f>
        <v>3982.15</v>
      </c>
      <c r="D3799">
        <f>2605.24</f>
        <v>2605.2399999999998</v>
      </c>
      <c r="E3799">
        <f>913.82</f>
        <v>913.82</v>
      </c>
      <c r="F3799">
        <f>1001.62</f>
        <v>1001.62</v>
      </c>
      <c r="G3799">
        <f>3926.926</f>
        <v>3926.9259999999999</v>
      </c>
      <c r="H3799">
        <f>1366.25</f>
        <v>1366.25</v>
      </c>
      <c r="I3799">
        <f>4360.647</f>
        <v>4360.6469999999999</v>
      </c>
      <c r="J3799">
        <f>1113.22</f>
        <v>1113.22</v>
      </c>
      <c r="K3799">
        <f>3007.83</f>
        <v>3007.83</v>
      </c>
      <c r="L3799">
        <f>718.35</f>
        <v>718.35</v>
      </c>
      <c r="M3799">
        <f>2835.44</f>
        <v>2835.44</v>
      </c>
      <c r="N3799">
        <f>103.7</f>
        <v>103.7</v>
      </c>
      <c r="O3799">
        <f>1148.38</f>
        <v>1148.3800000000001</v>
      </c>
      <c r="P3799">
        <f>64.59</f>
        <v>64.59</v>
      </c>
      <c r="Q3799">
        <f>616.16</f>
        <v>616.16</v>
      </c>
      <c r="R3799">
        <f>1460.6</f>
        <v>1460.6</v>
      </c>
      <c r="S3799">
        <f>979.58</f>
        <v>979.58</v>
      </c>
      <c r="T3799">
        <f>901.771</f>
        <v>901.77099999999996</v>
      </c>
      <c r="U3799">
        <f>20643.43</f>
        <v>20643.43</v>
      </c>
      <c r="V3799">
        <f>118.33</f>
        <v>118.33</v>
      </c>
    </row>
    <row r="3800" spans="1:22" x14ac:dyDescent="0.2">
      <c r="A3800" s="1">
        <v>39787</v>
      </c>
      <c r="B3800">
        <f>1607.65</f>
        <v>1607.65</v>
      </c>
      <c r="C3800">
        <f>3708.83</f>
        <v>3708.83</v>
      </c>
      <c r="D3800">
        <f>2453.36</f>
        <v>2453.36</v>
      </c>
      <c r="E3800">
        <f>846.195</f>
        <v>846.19500000000005</v>
      </c>
      <c r="F3800">
        <f>919.83</f>
        <v>919.83</v>
      </c>
      <c r="G3800">
        <f>3624.777</f>
        <v>3624.777</v>
      </c>
      <c r="H3800">
        <f>1325.44</f>
        <v>1325.44</v>
      </c>
      <c r="I3800">
        <f>3992.214</f>
        <v>3992.2139999999999</v>
      </c>
      <c r="J3800">
        <f>1067.69</f>
        <v>1067.69</v>
      </c>
      <c r="K3800">
        <f>2896.21</f>
        <v>2896.21</v>
      </c>
      <c r="L3800">
        <f>667.12</f>
        <v>667.12</v>
      </c>
      <c r="M3800">
        <f>2687.89</f>
        <v>2687.89</v>
      </c>
      <c r="N3800">
        <f>99.19</f>
        <v>99.19</v>
      </c>
      <c r="O3800">
        <f>1076.46</f>
        <v>1076.46</v>
      </c>
      <c r="P3800">
        <f>62.34</f>
        <v>62.34</v>
      </c>
      <c r="Q3800">
        <f>601.07</f>
        <v>601.07000000000005</v>
      </c>
      <c r="R3800">
        <f>1406.36</f>
        <v>1406.36</v>
      </c>
      <c r="S3800">
        <f>948.14</f>
        <v>948.14</v>
      </c>
      <c r="T3800">
        <f>875.689</f>
        <v>875.68899999999996</v>
      </c>
      <c r="U3800">
        <f>19279.79</f>
        <v>19279.79</v>
      </c>
      <c r="V3800">
        <f>114.7</f>
        <v>114.7</v>
      </c>
    </row>
    <row r="3801" spans="1:22" x14ac:dyDescent="0.2">
      <c r="A3801" s="1">
        <v>39786</v>
      </c>
      <c r="B3801">
        <f>1629.23</f>
        <v>1629.23</v>
      </c>
      <c r="C3801">
        <f>3757.45</f>
        <v>3757.45</v>
      </c>
      <c r="D3801">
        <f>2522.56</f>
        <v>2522.56</v>
      </c>
      <c r="E3801">
        <f>853.414</f>
        <v>853.41399999999999</v>
      </c>
      <c r="F3801">
        <f>941.08</f>
        <v>941.08</v>
      </c>
      <c r="G3801">
        <f>3754.479</f>
        <v>3754.4789999999998</v>
      </c>
      <c r="H3801">
        <f>1327.45</f>
        <v>1327.45</v>
      </c>
      <c r="I3801">
        <f>4194.341</f>
        <v>4194.3410000000003</v>
      </c>
      <c r="J3801">
        <f>1027.33</f>
        <v>1027.33</v>
      </c>
      <c r="K3801">
        <f>2793.43</f>
        <v>2793.43</v>
      </c>
      <c r="L3801">
        <f>676.06</f>
        <v>676.06</v>
      </c>
      <c r="M3801">
        <f>2675.75</f>
        <v>2675.75</v>
      </c>
      <c r="N3801">
        <f>101.063</f>
        <v>101.063</v>
      </c>
      <c r="O3801">
        <f>1118.94</f>
        <v>1118.94</v>
      </c>
      <c r="P3801">
        <f>62.5</f>
        <v>62.5</v>
      </c>
      <c r="Q3801">
        <f>579.9</f>
        <v>579.9</v>
      </c>
      <c r="R3801">
        <f>1356.81</f>
        <v>1356.81</v>
      </c>
      <c r="S3801">
        <f>951.59</f>
        <v>951.59</v>
      </c>
      <c r="T3801">
        <f>874.955</f>
        <v>874.95500000000004</v>
      </c>
      <c r="U3801">
        <f>19800.93</f>
        <v>19800.93</v>
      </c>
      <c r="V3801">
        <f>113.88</f>
        <v>113.88</v>
      </c>
    </row>
    <row r="3802" spans="1:22" x14ac:dyDescent="0.2">
      <c r="A3802" s="1">
        <v>39785</v>
      </c>
      <c r="B3802">
        <f>1645.32</f>
        <v>1645.32</v>
      </c>
      <c r="C3802">
        <f>3758.33</f>
        <v>3758.33</v>
      </c>
      <c r="D3802">
        <f>2526.42</f>
        <v>2526.42</v>
      </c>
      <c r="E3802">
        <f>856.151</f>
        <v>856.15099999999995</v>
      </c>
      <c r="F3802">
        <f>957.6</f>
        <v>957.6</v>
      </c>
      <c r="G3802">
        <f>3795.238</f>
        <v>3795.2379999999998</v>
      </c>
      <c r="H3802">
        <f>1353.36</f>
        <v>1353.36</v>
      </c>
      <c r="I3802">
        <f>4178.219</f>
        <v>4178.2190000000001</v>
      </c>
      <c r="J3802">
        <f>1056.58</f>
        <v>1056.58</v>
      </c>
      <c r="K3802">
        <f>2879.87</f>
        <v>2879.87</v>
      </c>
      <c r="L3802">
        <f>683.16</f>
        <v>683.16</v>
      </c>
      <c r="M3802">
        <f>2725.15</f>
        <v>2725.15</v>
      </c>
      <c r="N3802">
        <f>101.73</f>
        <v>101.73</v>
      </c>
      <c r="O3802">
        <f>1124</f>
        <v>1124</v>
      </c>
      <c r="P3802">
        <f>63.33</f>
        <v>63.33</v>
      </c>
      <c r="Q3802">
        <f>594.55</f>
        <v>594.54999999999995</v>
      </c>
      <c r="R3802">
        <f>1397.72</f>
        <v>1397.72</v>
      </c>
      <c r="S3802">
        <f>964.03</f>
        <v>964.03</v>
      </c>
      <c r="T3802">
        <f>853.741</f>
        <v>853.74099999999999</v>
      </c>
      <c r="U3802">
        <f>19113.28</f>
        <v>19113.28</v>
      </c>
      <c r="V3802">
        <f>111.7</f>
        <v>111.7</v>
      </c>
    </row>
    <row r="3803" spans="1:22" x14ac:dyDescent="0.2">
      <c r="A3803" s="1">
        <v>39784</v>
      </c>
      <c r="B3803">
        <f>1650.63</f>
        <v>1650.63</v>
      </c>
      <c r="C3803">
        <f>3762.58</f>
        <v>3762.58</v>
      </c>
      <c r="D3803">
        <f>2496.43</f>
        <v>2496.4299999999998</v>
      </c>
      <c r="E3803">
        <f>852.485</f>
        <v>852.48500000000001</v>
      </c>
      <c r="F3803">
        <f>940.55</f>
        <v>940.55</v>
      </c>
      <c r="G3803">
        <f>3781.002</f>
        <v>3781.002</v>
      </c>
      <c r="H3803">
        <f>1345.18</f>
        <v>1345.18</v>
      </c>
      <c r="I3803">
        <f>4164.558</f>
        <v>4164.558</v>
      </c>
      <c r="J3803">
        <f>1023.89</f>
        <v>1023.89</v>
      </c>
      <c r="K3803">
        <f>2805.53</f>
        <v>2805.53</v>
      </c>
      <c r="L3803">
        <f>672.74</f>
        <v>672.74</v>
      </c>
      <c r="M3803">
        <f>2681.69</f>
        <v>2681.69</v>
      </c>
      <c r="N3803">
        <f>100.802</f>
        <v>100.80200000000001</v>
      </c>
      <c r="O3803">
        <f>1117.2</f>
        <v>1117.2</v>
      </c>
      <c r="P3803">
        <f>62.43</f>
        <v>62.43</v>
      </c>
      <c r="Q3803">
        <f>581.04</f>
        <v>581.04</v>
      </c>
      <c r="R3803">
        <f>1361.79</f>
        <v>1361.79</v>
      </c>
      <c r="S3803">
        <f>949.47</f>
        <v>949.47</v>
      </c>
      <c r="T3803">
        <f>867.203</f>
        <v>867.20299999999997</v>
      </c>
      <c r="U3803">
        <f>19713.95</f>
        <v>19713.95</v>
      </c>
      <c r="V3803">
        <f>112.64</f>
        <v>112.64</v>
      </c>
    </row>
    <row r="3804" spans="1:22" x14ac:dyDescent="0.2">
      <c r="A3804" s="1">
        <v>39783</v>
      </c>
      <c r="B3804">
        <f>1624.35</f>
        <v>1624.35</v>
      </c>
      <c r="C3804">
        <f>3861.28</f>
        <v>3861.28</v>
      </c>
      <c r="D3804">
        <f>2461.69</f>
        <v>2461.69</v>
      </c>
      <c r="E3804">
        <f>873.141</f>
        <v>873.14099999999996</v>
      </c>
      <c r="F3804">
        <f>908.57</f>
        <v>908.57</v>
      </c>
      <c r="G3804">
        <f>3704.917</f>
        <v>3704.9169999999999</v>
      </c>
      <c r="H3804">
        <f>1433.18</f>
        <v>1433.18</v>
      </c>
      <c r="I3804">
        <f>4041.987</f>
        <v>4041.9870000000001</v>
      </c>
      <c r="J3804">
        <f>972.1</f>
        <v>972.1</v>
      </c>
      <c r="K3804">
        <f>2698.32</f>
        <v>2698.32</v>
      </c>
      <c r="L3804">
        <f>649.91</f>
        <v>649.91</v>
      </c>
      <c r="M3804">
        <f>2629.52</f>
        <v>2629.52</v>
      </c>
      <c r="N3804">
        <f>99.298</f>
        <v>99.298000000000002</v>
      </c>
      <c r="O3804">
        <f>1096.53</f>
        <v>1096.53</v>
      </c>
      <c r="P3804">
        <f>65.9</f>
        <v>65.900000000000006</v>
      </c>
      <c r="Q3804">
        <f>560.05</f>
        <v>560.04999999999995</v>
      </c>
      <c r="R3804">
        <f>1309.39</f>
        <v>1309.3900000000001</v>
      </c>
      <c r="S3804">
        <f>998.14</f>
        <v>998.14</v>
      </c>
      <c r="T3804">
        <f>885.439</f>
        <v>885.43899999999996</v>
      </c>
      <c r="U3804">
        <f>20245.45</f>
        <v>20245.45</v>
      </c>
      <c r="V3804">
        <f>115.88</f>
        <v>115.88</v>
      </c>
    </row>
    <row r="3805" spans="1:22" x14ac:dyDescent="0.2">
      <c r="A3805" s="1">
        <v>39780</v>
      </c>
      <c r="B3805">
        <f>1707.07</f>
        <v>1707.07</v>
      </c>
      <c r="C3805">
        <f>3957.81</f>
        <v>3957.81</v>
      </c>
      <c r="D3805">
        <f>2596.43</f>
        <v>2596.4299999999998</v>
      </c>
      <c r="E3805">
        <f>896.199</f>
        <v>896.19899999999996</v>
      </c>
      <c r="F3805">
        <f>982.28</f>
        <v>982.28</v>
      </c>
      <c r="G3805">
        <f>4038.324</f>
        <v>4038.3240000000001</v>
      </c>
      <c r="H3805">
        <f>1421.34</f>
        <v>1421.34</v>
      </c>
      <c r="I3805">
        <f>4297.316</f>
        <v>4297.3159999999998</v>
      </c>
      <c r="J3805">
        <f>1074.1</f>
        <v>1074.0999999999999</v>
      </c>
      <c r="K3805">
        <f>2964.17</f>
        <v>2964.17</v>
      </c>
      <c r="L3805">
        <f>704.99</f>
        <v>704.99</v>
      </c>
      <c r="M3805">
        <f>2827.61</f>
        <v>2827.61</v>
      </c>
      <c r="N3805">
        <f>104.229</f>
        <v>104.229</v>
      </c>
      <c r="O3805">
        <f>1167.34</f>
        <v>1167.3399999999999</v>
      </c>
      <c r="P3805">
        <f>66.49</f>
        <v>66.489999999999995</v>
      </c>
      <c r="Q3805">
        <f>614.03</f>
        <v>614.03</v>
      </c>
      <c r="R3805">
        <f>1437.68</f>
        <v>1437.68</v>
      </c>
      <c r="S3805">
        <f>1007</f>
        <v>1007</v>
      </c>
      <c r="T3805">
        <f>892.956</f>
        <v>892.95600000000002</v>
      </c>
      <c r="U3805">
        <f>21209.49</f>
        <v>21209.49</v>
      </c>
      <c r="V3805">
        <f>116.62</f>
        <v>116.62</v>
      </c>
    </row>
    <row r="3806" spans="1:22" x14ac:dyDescent="0.2">
      <c r="A3806" s="1">
        <v>39779</v>
      </c>
      <c r="B3806">
        <f>1703.27</f>
        <v>1703.27</v>
      </c>
      <c r="C3806">
        <f>3949.44</f>
        <v>3949.44</v>
      </c>
      <c r="D3806">
        <f>2558.94</f>
        <v>2558.94</v>
      </c>
      <c r="E3806">
        <f>894.44</f>
        <v>894.44</v>
      </c>
      <c r="F3806">
        <f>979.11</f>
        <v>979.11</v>
      </c>
      <c r="G3806">
        <f>3997.325</f>
        <v>3997.3249999999998</v>
      </c>
      <c r="H3806">
        <f>1384.08</f>
        <v>1384.08</v>
      </c>
      <c r="I3806">
        <f>4329.63</f>
        <v>4329.63</v>
      </c>
      <c r="J3806">
        <f>1055.32</f>
        <v>1055.32</v>
      </c>
      <c r="K3806">
        <f>2935.55</f>
        <v>2935.55</v>
      </c>
      <c r="L3806">
        <f>697.45</f>
        <v>697.45</v>
      </c>
      <c r="M3806">
        <f>2801.64</f>
        <v>2801.64</v>
      </c>
      <c r="N3806">
        <f>101.55</f>
        <v>101.55</v>
      </c>
      <c r="O3806">
        <f>1152.22</f>
        <v>1152.22</v>
      </c>
      <c r="P3806">
        <f>65.91</f>
        <v>65.91</v>
      </c>
      <c r="Q3806" t="e">
        <f>NA()</f>
        <v>#N/A</v>
      </c>
      <c r="R3806" t="e">
        <f>NA()</f>
        <v>#N/A</v>
      </c>
      <c r="S3806">
        <f>1000.02</f>
        <v>1000.02</v>
      </c>
      <c r="T3806">
        <f>892.816</f>
        <v>892.81600000000003</v>
      </c>
      <c r="U3806">
        <f>21301.01</f>
        <v>21301.01</v>
      </c>
      <c r="V3806">
        <f>117.58</f>
        <v>117.58</v>
      </c>
    </row>
    <row r="3807" spans="1:22" x14ac:dyDescent="0.2">
      <c r="A3807" s="1">
        <v>39778</v>
      </c>
      <c r="B3807">
        <f>1664.83</f>
        <v>1664.83</v>
      </c>
      <c r="C3807">
        <f>3818.65</f>
        <v>3818.65</v>
      </c>
      <c r="D3807">
        <f>2514.49</f>
        <v>2514.4899999999998</v>
      </c>
      <c r="E3807">
        <f>872.841</f>
        <v>872.84100000000001</v>
      </c>
      <c r="F3807">
        <f>966.93</f>
        <v>966.93</v>
      </c>
      <c r="G3807">
        <f>3923.697</f>
        <v>3923.6970000000001</v>
      </c>
      <c r="H3807">
        <f>1355.9</f>
        <v>1355.9</v>
      </c>
      <c r="I3807">
        <f>4228.34</f>
        <v>4228.34</v>
      </c>
      <c r="J3807">
        <f>1055.32</f>
        <v>1055.32</v>
      </c>
      <c r="K3807">
        <f>2935.55</f>
        <v>2935.55</v>
      </c>
      <c r="L3807">
        <f>688.34</f>
        <v>688.34</v>
      </c>
      <c r="M3807">
        <f>2776.72</f>
        <v>2776.72</v>
      </c>
      <c r="N3807">
        <f>100.386</f>
        <v>100.386</v>
      </c>
      <c r="O3807">
        <f>1124.69</f>
        <v>1124.69</v>
      </c>
      <c r="P3807">
        <f>64.96</f>
        <v>64.959999999999994</v>
      </c>
      <c r="Q3807">
        <f>605.13</f>
        <v>605.13</v>
      </c>
      <c r="R3807">
        <f>1423.9</f>
        <v>1423.9</v>
      </c>
      <c r="S3807">
        <f>985.77</f>
        <v>985.77</v>
      </c>
      <c r="T3807">
        <f>878.711</f>
        <v>878.71100000000001</v>
      </c>
      <c r="U3807">
        <f>20474.7</f>
        <v>20474.7</v>
      </c>
      <c r="V3807">
        <f>115.93</f>
        <v>115.93</v>
      </c>
    </row>
    <row r="3808" spans="1:22" x14ac:dyDescent="0.2">
      <c r="A3808" s="1">
        <v>39777</v>
      </c>
      <c r="B3808">
        <f>1670.49</f>
        <v>1670.49</v>
      </c>
      <c r="C3808">
        <f>3738.47</f>
        <v>3738.47</v>
      </c>
      <c r="D3808">
        <f>2524.79</f>
        <v>2524.79</v>
      </c>
      <c r="E3808">
        <f>850.903</f>
        <v>850.90300000000002</v>
      </c>
      <c r="F3808">
        <f>955.63</f>
        <v>955.63</v>
      </c>
      <c r="G3808">
        <f>3911.452</f>
        <v>3911.4520000000002</v>
      </c>
      <c r="H3808">
        <f>1387.66</f>
        <v>1387.66</v>
      </c>
      <c r="I3808">
        <f>4277.199</f>
        <v>4277.1989999999996</v>
      </c>
      <c r="J3808">
        <f>1022.45</f>
        <v>1022.45</v>
      </c>
      <c r="K3808">
        <f>2831.92</f>
        <v>2831.92</v>
      </c>
      <c r="L3808">
        <f>686.37</f>
        <v>686.37</v>
      </c>
      <c r="M3808">
        <f>2732.75</f>
        <v>2732.75</v>
      </c>
      <c r="N3808">
        <f>100.959</f>
        <v>100.959</v>
      </c>
      <c r="O3808">
        <f>1125.92</f>
        <v>1125.92</v>
      </c>
      <c r="P3808">
        <f>65.58</f>
        <v>65.58</v>
      </c>
      <c r="Q3808">
        <f>588.04</f>
        <v>588.04</v>
      </c>
      <c r="R3808">
        <f>1374.79</f>
        <v>1374.79</v>
      </c>
      <c r="S3808">
        <f>1003.09</f>
        <v>1003.09</v>
      </c>
      <c r="T3808">
        <f>876.241</f>
        <v>876.24099999999999</v>
      </c>
      <c r="U3808">
        <f>20263.11</f>
        <v>20263.11</v>
      </c>
      <c r="V3808">
        <f>113.69</f>
        <v>113.69</v>
      </c>
    </row>
    <row r="3809" spans="1:22" x14ac:dyDescent="0.2">
      <c r="A3809" s="1">
        <v>39776</v>
      </c>
      <c r="B3809">
        <f>1672.04</f>
        <v>1672.04</v>
      </c>
      <c r="C3809">
        <f>3594.4</f>
        <v>3594.4</v>
      </c>
      <c r="D3809">
        <f>2513.72</f>
        <v>2513.7199999999998</v>
      </c>
      <c r="E3809">
        <f>825.502</f>
        <v>825.50199999999995</v>
      </c>
      <c r="F3809">
        <f>915.92</f>
        <v>915.92</v>
      </c>
      <c r="G3809">
        <f>3839.913</f>
        <v>3839.913</v>
      </c>
      <c r="H3809">
        <f>1337.69</f>
        <v>1337.69</v>
      </c>
      <c r="I3809">
        <f>4199.971</f>
        <v>4199.9709999999995</v>
      </c>
      <c r="J3809">
        <f>1011.26</f>
        <v>1011.26</v>
      </c>
      <c r="K3809">
        <f>2811.48</f>
        <v>2811.48</v>
      </c>
      <c r="L3809">
        <f>670.38</f>
        <v>670.38</v>
      </c>
      <c r="M3809">
        <f>2688.34</f>
        <v>2688.34</v>
      </c>
      <c r="N3809">
        <f>100.007</f>
        <v>100.00700000000001</v>
      </c>
      <c r="O3809">
        <f>1120.36</f>
        <v>1120.3599999999999</v>
      </c>
      <c r="P3809" t="e">
        <f>NA()</f>
        <v>#N/A</v>
      </c>
      <c r="Q3809">
        <f>580.11</f>
        <v>580.11</v>
      </c>
      <c r="R3809">
        <f>1365.63</f>
        <v>1365.63</v>
      </c>
      <c r="S3809" t="e">
        <f>NA()</f>
        <v>#N/A</v>
      </c>
      <c r="T3809">
        <f>847.01</f>
        <v>847.01</v>
      </c>
      <c r="U3809">
        <f>18984.22</f>
        <v>18984.22</v>
      </c>
      <c r="V3809">
        <f>110.01</f>
        <v>110.01</v>
      </c>
    </row>
    <row r="3810" spans="1:22" x14ac:dyDescent="0.2">
      <c r="A3810" s="1">
        <v>39773</v>
      </c>
      <c r="B3810">
        <f>1566.14</f>
        <v>1566.14</v>
      </c>
      <c r="C3810">
        <f>3479.32</f>
        <v>3479.32</v>
      </c>
      <c r="D3810">
        <f>2288.55</f>
        <v>2288.5500000000002</v>
      </c>
      <c r="E3810">
        <f>794.919</f>
        <v>794.91899999999998</v>
      </c>
      <c r="F3810">
        <f>819.57</f>
        <v>819.57</v>
      </c>
      <c r="G3810">
        <f>3431.563</f>
        <v>3431.5630000000001</v>
      </c>
      <c r="H3810">
        <f>1358.05</f>
        <v>1358.05</v>
      </c>
      <c r="I3810">
        <f>3780.097</f>
        <v>3780.0970000000002</v>
      </c>
      <c r="J3810">
        <f>950.4</f>
        <v>950.4</v>
      </c>
      <c r="K3810">
        <f>2639.98</f>
        <v>2639.98</v>
      </c>
      <c r="L3810">
        <f>611.05</f>
        <v>611.04999999999995</v>
      </c>
      <c r="M3810">
        <f>2515.45</f>
        <v>2515.4499999999998</v>
      </c>
      <c r="N3810">
        <f>94.012</f>
        <v>94.012</v>
      </c>
      <c r="O3810">
        <f>1029.68</f>
        <v>1029.68</v>
      </c>
      <c r="P3810">
        <f>63.69</f>
        <v>63.69</v>
      </c>
      <c r="Q3810">
        <f>544.93</f>
        <v>544.92999999999995</v>
      </c>
      <c r="R3810">
        <f>1282.59</f>
        <v>1282.5899999999999</v>
      </c>
      <c r="S3810">
        <f>968.19</f>
        <v>968.19</v>
      </c>
      <c r="T3810">
        <f>829.465</f>
        <v>829.46500000000003</v>
      </c>
      <c r="U3810">
        <f>18066.38</f>
        <v>18066.38</v>
      </c>
      <c r="V3810">
        <f>107.98</f>
        <v>107.98</v>
      </c>
    </row>
    <row r="3811" spans="1:22" x14ac:dyDescent="0.2">
      <c r="A3811" s="1">
        <v>39772</v>
      </c>
      <c r="B3811">
        <f>1591.61</f>
        <v>1591.61</v>
      </c>
      <c r="C3811">
        <f>3469.81</f>
        <v>3469.81</v>
      </c>
      <c r="D3811">
        <f>2345.47</f>
        <v>2345.4699999999998</v>
      </c>
      <c r="E3811">
        <f>789.249</f>
        <v>789.24900000000002</v>
      </c>
      <c r="F3811">
        <f>856.05</f>
        <v>856.05</v>
      </c>
      <c r="G3811">
        <f>3514.462</f>
        <v>3514.462</v>
      </c>
      <c r="H3811">
        <f>1325.48</f>
        <v>1325.48</v>
      </c>
      <c r="I3811">
        <f>3884.452</f>
        <v>3884.4520000000002</v>
      </c>
      <c r="J3811">
        <f>903.02</f>
        <v>903.02</v>
      </c>
      <c r="K3811">
        <f>2482.23</f>
        <v>2482.23</v>
      </c>
      <c r="L3811">
        <f>611.36</f>
        <v>611.36</v>
      </c>
      <c r="M3811">
        <f>2441.38</f>
        <v>2441.38</v>
      </c>
      <c r="N3811">
        <f>96.738</f>
        <v>96.738</v>
      </c>
      <c r="O3811">
        <f>1057.22</f>
        <v>1057.22</v>
      </c>
      <c r="P3811">
        <f>61.89</f>
        <v>61.89</v>
      </c>
      <c r="Q3811">
        <f>516.41</f>
        <v>516.41</v>
      </c>
      <c r="R3811">
        <f>1206.04</f>
        <v>1206.04</v>
      </c>
      <c r="S3811">
        <f>943.57</f>
        <v>943.57</v>
      </c>
      <c r="T3811">
        <f>833.586</f>
        <v>833.58600000000001</v>
      </c>
      <c r="U3811">
        <f>17814.42</f>
        <v>17814.419999999998</v>
      </c>
      <c r="V3811">
        <f>109.55</f>
        <v>109.55</v>
      </c>
    </row>
    <row r="3812" spans="1:22" x14ac:dyDescent="0.2">
      <c r="A3812" s="1">
        <v>39771</v>
      </c>
      <c r="B3812">
        <f>1614.92</f>
        <v>1614.92</v>
      </c>
      <c r="C3812">
        <f>3651.75</f>
        <v>3651.75</v>
      </c>
      <c r="D3812">
        <f>2424.57</f>
        <v>2424.5700000000002</v>
      </c>
      <c r="E3812">
        <f>832.16</f>
        <v>832.16</v>
      </c>
      <c r="F3812">
        <f>879.46</f>
        <v>879.46</v>
      </c>
      <c r="G3812">
        <f>3708.407</f>
        <v>3708.4070000000002</v>
      </c>
      <c r="H3812">
        <f>1357.65</f>
        <v>1357.65</v>
      </c>
      <c r="I3812">
        <f>4059.872</f>
        <v>4059.8719999999998</v>
      </c>
      <c r="J3812">
        <f>967.83</f>
        <v>967.83</v>
      </c>
      <c r="K3812">
        <f>2663.29</f>
        <v>2663.29</v>
      </c>
      <c r="L3812">
        <f>650.88</f>
        <v>650.88</v>
      </c>
      <c r="M3812">
        <f>2599.47</f>
        <v>2599.4699999999998</v>
      </c>
      <c r="N3812">
        <f>100.742</f>
        <v>100.742</v>
      </c>
      <c r="O3812">
        <f>1098.53</f>
        <v>1098.53</v>
      </c>
      <c r="P3812">
        <f>65.12</f>
        <v>65.12</v>
      </c>
      <c r="Q3812">
        <f>547.18</f>
        <v>547.17999999999995</v>
      </c>
      <c r="R3812">
        <f>1292.76</f>
        <v>1292.76</v>
      </c>
      <c r="S3812">
        <f>998.03</f>
        <v>998.03</v>
      </c>
      <c r="T3812">
        <f>849.725</f>
        <v>849.72500000000002</v>
      </c>
      <c r="U3812">
        <f>18756.65</f>
        <v>18756.650000000001</v>
      </c>
      <c r="V3812">
        <f>111.2</f>
        <v>111.2</v>
      </c>
    </row>
    <row r="3813" spans="1:22" x14ac:dyDescent="0.2">
      <c r="A3813" s="1">
        <v>39770</v>
      </c>
      <c r="B3813">
        <f>1687.73</f>
        <v>1687.73</v>
      </c>
      <c r="C3813">
        <f>3719.32</f>
        <v>3719.32</v>
      </c>
      <c r="D3813">
        <f>2539.8</f>
        <v>2539.8000000000002</v>
      </c>
      <c r="E3813">
        <f>850.652</f>
        <v>850.65200000000004</v>
      </c>
      <c r="F3813">
        <f>923.52</f>
        <v>923.52</v>
      </c>
      <c r="G3813">
        <f>3865.13</f>
        <v>3865.13</v>
      </c>
      <c r="H3813">
        <f>1351.87</f>
        <v>1351.87</v>
      </c>
      <c r="I3813">
        <f>4223.979</f>
        <v>4223.9790000000003</v>
      </c>
      <c r="J3813">
        <f>1030.21</f>
        <v>1030.21</v>
      </c>
      <c r="K3813">
        <f>2838.53</f>
        <v>2838.53</v>
      </c>
      <c r="L3813">
        <f>685.5</f>
        <v>685.5</v>
      </c>
      <c r="M3813">
        <f>2725</f>
        <v>2725</v>
      </c>
      <c r="N3813">
        <f>103.878</f>
        <v>103.878</v>
      </c>
      <c r="O3813">
        <f>1141.41</f>
        <v>1141.4100000000001</v>
      </c>
      <c r="P3813">
        <f>65.25</f>
        <v>65.25</v>
      </c>
      <c r="Q3813">
        <f>583.55</f>
        <v>583.54999999999995</v>
      </c>
      <c r="R3813">
        <f>1376.82</f>
        <v>1376.82</v>
      </c>
      <c r="S3813">
        <f>1007.7</f>
        <v>1007.7</v>
      </c>
      <c r="T3813">
        <f>845.213</f>
        <v>845.21299999999997</v>
      </c>
      <c r="U3813">
        <f>18747.16</f>
        <v>18747.16</v>
      </c>
      <c r="V3813">
        <f>108.85</f>
        <v>108.85</v>
      </c>
    </row>
    <row r="3814" spans="1:22" x14ac:dyDescent="0.2">
      <c r="A3814" s="1">
        <v>39769</v>
      </c>
      <c r="B3814">
        <f>1679.64</f>
        <v>1679.64</v>
      </c>
      <c r="C3814">
        <f>3835.98</f>
        <v>3835.98</v>
      </c>
      <c r="D3814">
        <f>2493.7</f>
        <v>2493.6999999999998</v>
      </c>
      <c r="E3814">
        <f>883.98</f>
        <v>883.98</v>
      </c>
      <c r="F3814">
        <f>907.89</f>
        <v>907.89</v>
      </c>
      <c r="G3814">
        <f>3788.264</f>
        <v>3788.2640000000001</v>
      </c>
      <c r="H3814">
        <f>1377.8</f>
        <v>1377.8</v>
      </c>
      <c r="I3814">
        <f>4207.58</f>
        <v>4207.58</v>
      </c>
      <c r="J3814">
        <f>1020.74</f>
        <v>1020.74</v>
      </c>
      <c r="K3814">
        <f>2811.8</f>
        <v>2811.8</v>
      </c>
      <c r="L3814">
        <f>682.13</f>
        <v>682.13</v>
      </c>
      <c r="M3814">
        <f>2716.17</f>
        <v>2716.17</v>
      </c>
      <c r="N3814">
        <f>103.507</f>
        <v>103.50700000000001</v>
      </c>
      <c r="O3814">
        <f>1129.04</f>
        <v>1129.04</v>
      </c>
      <c r="P3814">
        <f>66.41</f>
        <v>66.41</v>
      </c>
      <c r="Q3814">
        <f>577.05</f>
        <v>577.04999999999995</v>
      </c>
      <c r="R3814">
        <f>1363.14</f>
        <v>1363.14</v>
      </c>
      <c r="S3814">
        <f>1025.84</f>
        <v>1025.8399999999999</v>
      </c>
      <c r="T3814">
        <f>853.968</f>
        <v>853.96799999999996</v>
      </c>
      <c r="U3814">
        <f>18883.18</f>
        <v>18883.18</v>
      </c>
      <c r="V3814">
        <f>109.36</f>
        <v>109.36</v>
      </c>
    </row>
    <row r="3815" spans="1:22" x14ac:dyDescent="0.2">
      <c r="A3815" s="1">
        <v>39766</v>
      </c>
      <c r="B3815">
        <f>1724.52</f>
        <v>1724.52</v>
      </c>
      <c r="C3815">
        <f>3890.01</f>
        <v>3890.01</v>
      </c>
      <c r="D3815">
        <f>2554.54</f>
        <v>2554.54</v>
      </c>
      <c r="E3815">
        <f>901.218</f>
        <v>901.21799999999996</v>
      </c>
      <c r="F3815">
        <f>920.46</f>
        <v>920.46</v>
      </c>
      <c r="G3815">
        <f>3842.662</f>
        <v>3842.6619999999998</v>
      </c>
      <c r="H3815">
        <f>1369.56</f>
        <v>1369.56</v>
      </c>
      <c r="I3815">
        <f>4361.439</f>
        <v>4361.4390000000003</v>
      </c>
      <c r="J3815">
        <f>1045.2</f>
        <v>1045.2</v>
      </c>
      <c r="K3815">
        <f>2885.96</f>
        <v>2885.96</v>
      </c>
      <c r="L3815">
        <f>700.42</f>
        <v>700.42</v>
      </c>
      <c r="M3815">
        <f>2781.2</f>
        <v>2781.2</v>
      </c>
      <c r="N3815">
        <f>105.769</f>
        <v>105.76900000000001</v>
      </c>
      <c r="O3815">
        <f>1160.58</f>
        <v>1160.58</v>
      </c>
      <c r="P3815">
        <f>66.27</f>
        <v>66.27</v>
      </c>
      <c r="Q3815">
        <f>589.43</f>
        <v>589.42999999999995</v>
      </c>
      <c r="R3815">
        <f>1399.2</f>
        <v>1399.2</v>
      </c>
      <c r="S3815">
        <f>1021.53</f>
        <v>1021.53</v>
      </c>
      <c r="T3815">
        <f>865.346</f>
        <v>865.346</v>
      </c>
      <c r="U3815">
        <f>19413.7</f>
        <v>19413.7</v>
      </c>
      <c r="V3815">
        <f>110.53</f>
        <v>110.53</v>
      </c>
    </row>
    <row r="3816" spans="1:22" x14ac:dyDescent="0.2">
      <c r="A3816" s="1">
        <v>39765</v>
      </c>
      <c r="B3816">
        <f>1725.28</f>
        <v>1725.28</v>
      </c>
      <c r="C3816">
        <f>3832.84</f>
        <v>3832.84</v>
      </c>
      <c r="D3816">
        <f>2516.06</f>
        <v>2516.06</v>
      </c>
      <c r="E3816">
        <f>890.69</f>
        <v>890.69</v>
      </c>
      <c r="F3816">
        <f>923.41</f>
        <v>923.41</v>
      </c>
      <c r="G3816">
        <f>3781.999</f>
        <v>3781.9989999999998</v>
      </c>
      <c r="H3816">
        <f>1363.23</f>
        <v>1363.23</v>
      </c>
      <c r="I3816">
        <f>4284.253</f>
        <v>4284.2529999999997</v>
      </c>
      <c r="J3816">
        <f>1087.34</f>
        <v>1087.3399999999999</v>
      </c>
      <c r="K3816">
        <f>3010.96</f>
        <v>3010.96</v>
      </c>
      <c r="L3816">
        <f>701.75</f>
        <v>701.75</v>
      </c>
      <c r="M3816">
        <f>2826.3</f>
        <v>2826.3</v>
      </c>
      <c r="N3816">
        <f>105.123</f>
        <v>105.123</v>
      </c>
      <c r="O3816">
        <f>1151.03</f>
        <v>1151.03</v>
      </c>
      <c r="P3816">
        <f>65.66</f>
        <v>65.66</v>
      </c>
      <c r="Q3816">
        <f>615.36</f>
        <v>615.36</v>
      </c>
      <c r="R3816">
        <f>1459.82</f>
        <v>1459.82</v>
      </c>
      <c r="S3816">
        <f>1010.21</f>
        <v>1010.21</v>
      </c>
      <c r="T3816">
        <f>852.9</f>
        <v>852.9</v>
      </c>
      <c r="U3816">
        <f>19094.66</f>
        <v>19094.66</v>
      </c>
      <c r="V3816">
        <f>108.95</f>
        <v>108.95</v>
      </c>
    </row>
    <row r="3817" spans="1:22" x14ac:dyDescent="0.2">
      <c r="A3817" s="1">
        <v>39764</v>
      </c>
      <c r="B3817">
        <f>1758.36</f>
        <v>1758.36</v>
      </c>
      <c r="C3817">
        <f>3903.32</f>
        <v>3903.32</v>
      </c>
      <c r="D3817">
        <f>2523.79</f>
        <v>2523.79</v>
      </c>
      <c r="E3817">
        <f>906.555</f>
        <v>906.55499999999995</v>
      </c>
      <c r="F3817">
        <f>941.24</f>
        <v>941.24</v>
      </c>
      <c r="G3817">
        <f>3857.222</f>
        <v>3857.2220000000002</v>
      </c>
      <c r="H3817">
        <f>1422.9</f>
        <v>1422.9</v>
      </c>
      <c r="I3817">
        <f>4255.582</f>
        <v>4255.5820000000003</v>
      </c>
      <c r="J3817">
        <f>1016.87</f>
        <v>1016.87</v>
      </c>
      <c r="K3817">
        <f>2815.81</f>
        <v>2815.81</v>
      </c>
      <c r="L3817">
        <f>689.79</f>
        <v>689.79</v>
      </c>
      <c r="M3817">
        <f>2750.32</f>
        <v>2750.32</v>
      </c>
      <c r="N3817">
        <f>106.164</f>
        <v>106.164</v>
      </c>
      <c r="O3817">
        <f>1153.5</f>
        <v>1153.5</v>
      </c>
      <c r="P3817">
        <f>68.24</f>
        <v>68.239999999999995</v>
      </c>
      <c r="Q3817">
        <f>574.9</f>
        <v>574.9</v>
      </c>
      <c r="R3817">
        <f>1365.15</f>
        <v>1365.15</v>
      </c>
      <c r="S3817">
        <f>1055.69</f>
        <v>1055.69</v>
      </c>
      <c r="T3817">
        <f>861.862</f>
        <v>861.86199999999997</v>
      </c>
      <c r="U3817">
        <f>19670.53</f>
        <v>19670.53</v>
      </c>
      <c r="V3817">
        <f>109.98</f>
        <v>109.98</v>
      </c>
    </row>
    <row r="3818" spans="1:22" x14ac:dyDescent="0.2">
      <c r="A3818" s="1">
        <v>39763</v>
      </c>
      <c r="B3818">
        <f>1788.93</f>
        <v>1788.93</v>
      </c>
      <c r="C3818">
        <f>4023.86</f>
        <v>4023.86</v>
      </c>
      <c r="D3818">
        <f>2558.3</f>
        <v>2558.3000000000002</v>
      </c>
      <c r="E3818">
        <f>944.175</f>
        <v>944.17499999999995</v>
      </c>
      <c r="F3818">
        <f>955.03</f>
        <v>955.03</v>
      </c>
      <c r="G3818">
        <f>4007.703</f>
        <v>4007.703</v>
      </c>
      <c r="H3818">
        <f>1419.6</f>
        <v>1419.6</v>
      </c>
      <c r="I3818">
        <f>4394.956</f>
        <v>4394.9560000000001</v>
      </c>
      <c r="J3818">
        <f>1064.16</f>
        <v>1064.1600000000001</v>
      </c>
      <c r="K3818">
        <f>2968.95</f>
        <v>2968.95</v>
      </c>
      <c r="L3818">
        <f>716.76</f>
        <v>716.76</v>
      </c>
      <c r="M3818">
        <f>2863.41</f>
        <v>2863.41</v>
      </c>
      <c r="N3818">
        <f>109.006</f>
        <v>109.006</v>
      </c>
      <c r="O3818">
        <f>1192.11</f>
        <v>1192.1099999999999</v>
      </c>
      <c r="P3818">
        <f>69.05</f>
        <v>69.05</v>
      </c>
      <c r="Q3818">
        <f>600.09</f>
        <v>600.09</v>
      </c>
      <c r="R3818">
        <f>1439.22</f>
        <v>1439.22</v>
      </c>
      <c r="S3818">
        <f>1072.73</f>
        <v>1072.73</v>
      </c>
      <c r="T3818">
        <f>864.649</f>
        <v>864.649</v>
      </c>
      <c r="U3818">
        <f>20098.21</f>
        <v>20098.21</v>
      </c>
      <c r="V3818">
        <f>110.12</f>
        <v>110.12</v>
      </c>
    </row>
    <row r="3819" spans="1:22" x14ac:dyDescent="0.2">
      <c r="A3819" s="1">
        <v>39762</v>
      </c>
      <c r="B3819">
        <f>1841.65</f>
        <v>1841.65</v>
      </c>
      <c r="C3819">
        <f>4195.02</f>
        <v>4195.0200000000004</v>
      </c>
      <c r="D3819">
        <f>2653.02</f>
        <v>2653.02</v>
      </c>
      <c r="E3819">
        <f>990.691</f>
        <v>990.69100000000003</v>
      </c>
      <c r="F3819">
        <f>983.28</f>
        <v>983.28</v>
      </c>
      <c r="G3819">
        <f>4231.169</f>
        <v>4231.1689999999999</v>
      </c>
      <c r="H3819">
        <f>1444.3</f>
        <v>1444.3</v>
      </c>
      <c r="I3819">
        <f>4694.524</f>
        <v>4694.5240000000003</v>
      </c>
      <c r="J3819">
        <f>1080.3</f>
        <v>1080.3</v>
      </c>
      <c r="K3819">
        <f>3036.92</f>
        <v>3036.92</v>
      </c>
      <c r="L3819">
        <f>750.59</f>
        <v>750.59</v>
      </c>
      <c r="M3819">
        <f>2972.32</f>
        <v>2972.32</v>
      </c>
      <c r="N3819">
        <f>112.26</f>
        <v>112.26</v>
      </c>
      <c r="O3819">
        <f>1242.76</f>
        <v>1242.76</v>
      </c>
      <c r="P3819">
        <f>71.29</f>
        <v>71.290000000000006</v>
      </c>
      <c r="Q3819">
        <f>610.95</f>
        <v>610.95000000000005</v>
      </c>
      <c r="R3819">
        <f>1471.64</f>
        <v>1471.64</v>
      </c>
      <c r="S3819">
        <f>1105.64</f>
        <v>1105.6400000000001</v>
      </c>
      <c r="T3819">
        <f>881.086</f>
        <v>881.08600000000001</v>
      </c>
      <c r="U3819">
        <f>21052.75</f>
        <v>21052.75</v>
      </c>
      <c r="V3819">
        <f>112.49</f>
        <v>112.49</v>
      </c>
    </row>
    <row r="3820" spans="1:22" x14ac:dyDescent="0.2">
      <c r="A3820" s="1">
        <v>39759</v>
      </c>
      <c r="B3820">
        <f>1846.71</f>
        <v>1846.71</v>
      </c>
      <c r="C3820">
        <f>4097.09</f>
        <v>4097.09</v>
      </c>
      <c r="D3820">
        <f>2629.55</f>
        <v>2629.55</v>
      </c>
      <c r="E3820">
        <f>959.671</f>
        <v>959.67100000000005</v>
      </c>
      <c r="F3820">
        <f>988.77</f>
        <v>988.77</v>
      </c>
      <c r="G3820">
        <f>4213.479</f>
        <v>4213.4790000000003</v>
      </c>
      <c r="H3820">
        <f>1395.64</f>
        <v>1395.64</v>
      </c>
      <c r="I3820">
        <f>4635.377</f>
        <v>4635.3770000000004</v>
      </c>
      <c r="J3820">
        <f>1092.77</f>
        <v>1092.77</v>
      </c>
      <c r="K3820">
        <f>3077.53</f>
        <v>3077.53</v>
      </c>
      <c r="L3820">
        <f>752.1</f>
        <v>752.1</v>
      </c>
      <c r="M3820">
        <f>2967.46</f>
        <v>2967.46</v>
      </c>
      <c r="N3820">
        <f>111.92</f>
        <v>111.92</v>
      </c>
      <c r="O3820">
        <f>1233.75</f>
        <v>1233.75</v>
      </c>
      <c r="P3820">
        <f>67.42</f>
        <v>67.42</v>
      </c>
      <c r="Q3820">
        <f>617.5</f>
        <v>617.5</v>
      </c>
      <c r="R3820">
        <f>1490.31</f>
        <v>1490.31</v>
      </c>
      <c r="S3820">
        <f>1060.23</f>
        <v>1060.23</v>
      </c>
      <c r="T3820">
        <f>869.356</f>
        <v>869.35599999999999</v>
      </c>
      <c r="U3820">
        <f>20030.48</f>
        <v>20030.48</v>
      </c>
      <c r="V3820">
        <f>110.34</f>
        <v>110.34</v>
      </c>
    </row>
    <row r="3821" spans="1:22" x14ac:dyDescent="0.2">
      <c r="A3821" s="1">
        <v>39758</v>
      </c>
      <c r="B3821">
        <f>1807.11</f>
        <v>1807.11</v>
      </c>
      <c r="C3821">
        <f>4070.02</f>
        <v>4070.02</v>
      </c>
      <c r="D3821">
        <f>2573.79</f>
        <v>2573.79</v>
      </c>
      <c r="E3821">
        <f>947.604</f>
        <v>947.60400000000004</v>
      </c>
      <c r="F3821">
        <f>985.54</f>
        <v>985.54</v>
      </c>
      <c r="G3821">
        <f>4158.646</f>
        <v>4158.6459999999997</v>
      </c>
      <c r="H3821">
        <f>1458.3</f>
        <v>1458.3</v>
      </c>
      <c r="I3821">
        <f>4545.644</f>
        <v>4545.6440000000002</v>
      </c>
      <c r="J3821">
        <f>1064.05</f>
        <v>1064.05</v>
      </c>
      <c r="K3821">
        <f>2990.09</f>
        <v>2990.09</v>
      </c>
      <c r="L3821">
        <f>739.98</f>
        <v>739.98</v>
      </c>
      <c r="M3821">
        <f>2921.95</f>
        <v>2921.95</v>
      </c>
      <c r="N3821">
        <f>109.539</f>
        <v>109.539</v>
      </c>
      <c r="O3821">
        <f>1211.1</f>
        <v>1211.0999999999999</v>
      </c>
      <c r="P3821">
        <f>70.08</f>
        <v>70.08</v>
      </c>
      <c r="Q3821">
        <f>601.34</f>
        <v>601.34</v>
      </c>
      <c r="R3821">
        <f>1448.01</f>
        <v>1448.01</v>
      </c>
      <c r="S3821">
        <f>1096.78</f>
        <v>1096.78</v>
      </c>
      <c r="T3821">
        <f>879.211</f>
        <v>879.21100000000001</v>
      </c>
      <c r="U3821">
        <f>20125.27</f>
        <v>20125.27</v>
      </c>
      <c r="V3821">
        <f>111.45</f>
        <v>111.45</v>
      </c>
    </row>
    <row r="3822" spans="1:22" x14ac:dyDescent="0.2">
      <c r="A3822" s="1">
        <v>39757</v>
      </c>
      <c r="B3822">
        <f>1878.09</f>
        <v>1878.09</v>
      </c>
      <c r="C3822">
        <f>4346.35</f>
        <v>4346.3500000000004</v>
      </c>
      <c r="D3822">
        <f>2729.41</f>
        <v>2729.41</v>
      </c>
      <c r="E3822">
        <f>1019.528</f>
        <v>1019.528</v>
      </c>
      <c r="F3822">
        <f>1067.11</f>
        <v>1067.1099999999999</v>
      </c>
      <c r="G3822">
        <f>4483.119</f>
        <v>4483.1189999999997</v>
      </c>
      <c r="H3822">
        <f>1525.22</f>
        <v>1525.22</v>
      </c>
      <c r="I3822">
        <f>4925.464</f>
        <v>4925.4639999999999</v>
      </c>
      <c r="J3822">
        <f>1112.02</f>
        <v>1112.02</v>
      </c>
      <c r="K3822">
        <f>3147.9</f>
        <v>3147.9</v>
      </c>
      <c r="L3822">
        <f>789.44</f>
        <v>789.44</v>
      </c>
      <c r="M3822">
        <f>3104.21</f>
        <v>3104.21</v>
      </c>
      <c r="N3822">
        <f>113.946</f>
        <v>113.946</v>
      </c>
      <c r="O3822">
        <f>1283.51</f>
        <v>1283.51</v>
      </c>
      <c r="P3822">
        <f>74.39</f>
        <v>74.39</v>
      </c>
      <c r="Q3822">
        <f>630.89</f>
        <v>630.89</v>
      </c>
      <c r="R3822">
        <f>1524.21</f>
        <v>1524.21</v>
      </c>
      <c r="S3822">
        <f>1166.26</f>
        <v>1166.26</v>
      </c>
      <c r="T3822">
        <f>900.164</f>
        <v>900.16399999999999</v>
      </c>
      <c r="U3822">
        <f>20950.98</f>
        <v>20950.98</v>
      </c>
      <c r="V3822">
        <f>113.63</f>
        <v>113.63</v>
      </c>
    </row>
    <row r="3823" spans="1:22" x14ac:dyDescent="0.2">
      <c r="A3823" s="1">
        <v>39756</v>
      </c>
      <c r="B3823">
        <f>1876.74</f>
        <v>1876.74</v>
      </c>
      <c r="C3823">
        <f>4376.47</f>
        <v>4376.47</v>
      </c>
      <c r="D3823">
        <f>2790.44</f>
        <v>2790.44</v>
      </c>
      <c r="E3823">
        <f>1024.561</f>
        <v>1024.5609999999999</v>
      </c>
      <c r="F3823">
        <f>1064.27</f>
        <v>1064.27</v>
      </c>
      <c r="G3823">
        <f>4554.749</f>
        <v>4554.7489999999998</v>
      </c>
      <c r="H3823">
        <f>1451.54</f>
        <v>1451.54</v>
      </c>
      <c r="I3823">
        <f>5006.116</f>
        <v>5006.116</v>
      </c>
      <c r="J3823">
        <f>1173.82</f>
        <v>1173.82</v>
      </c>
      <c r="K3823">
        <f>3320.53</f>
        <v>3320.53</v>
      </c>
      <c r="L3823">
        <f>809.21</f>
        <v>809.21</v>
      </c>
      <c r="M3823">
        <f>3180.31</f>
        <v>3180.31</v>
      </c>
      <c r="N3823">
        <f>116.079</f>
        <v>116.07899999999999</v>
      </c>
      <c r="O3823">
        <f>1309.24</f>
        <v>1309.24</v>
      </c>
      <c r="P3823">
        <f>70.54</f>
        <v>70.540000000000006</v>
      </c>
      <c r="Q3823">
        <f>661.51</f>
        <v>661.51</v>
      </c>
      <c r="R3823">
        <f>1608</f>
        <v>1608</v>
      </c>
      <c r="S3823">
        <f>1098.47</f>
        <v>1098.47</v>
      </c>
      <c r="T3823">
        <f>928.192</f>
        <v>928.19200000000001</v>
      </c>
      <c r="U3823">
        <f>21649.58</f>
        <v>21649.58</v>
      </c>
      <c r="V3823">
        <f>117.19</f>
        <v>117.19</v>
      </c>
    </row>
    <row r="3824" spans="1:22" x14ac:dyDescent="0.2">
      <c r="A3824" s="1">
        <v>39755</v>
      </c>
      <c r="B3824">
        <f>1799.67</f>
        <v>1799.67</v>
      </c>
      <c r="C3824">
        <f>4259.04</f>
        <v>4259.04</v>
      </c>
      <c r="D3824">
        <f>2672.42</f>
        <v>2672.42</v>
      </c>
      <c r="E3824">
        <f>992.599</f>
        <v>992.59900000000005</v>
      </c>
      <c r="F3824">
        <f>1007.8</f>
        <v>1007.8</v>
      </c>
      <c r="G3824">
        <f>4299.543</f>
        <v>4299.5429999999997</v>
      </c>
      <c r="H3824">
        <f>1402.53</f>
        <v>1402.53</v>
      </c>
      <c r="I3824">
        <f>4705.494</f>
        <v>4705.4939999999997</v>
      </c>
      <c r="J3824">
        <f>1130.76</f>
        <v>1130.76</v>
      </c>
      <c r="K3824">
        <f>3190.63</f>
        <v>3190.63</v>
      </c>
      <c r="L3824">
        <f>769.01</f>
        <v>769.01</v>
      </c>
      <c r="M3824">
        <f>3034.63</f>
        <v>3034.63</v>
      </c>
      <c r="N3824">
        <f>112.221</f>
        <v>112.221</v>
      </c>
      <c r="O3824">
        <f>1257.55</f>
        <v>1257.55</v>
      </c>
      <c r="P3824" t="e">
        <f>NA()</f>
        <v>#N/A</v>
      </c>
      <c r="Q3824">
        <f>636.89</f>
        <v>636.89</v>
      </c>
      <c r="R3824">
        <f>1544.91</f>
        <v>1544.91</v>
      </c>
      <c r="S3824" t="e">
        <f>NA()</f>
        <v>#N/A</v>
      </c>
      <c r="T3824">
        <f>917.336</f>
        <v>917.33600000000001</v>
      </c>
      <c r="U3824">
        <f>21135.27</f>
        <v>21135.27</v>
      </c>
      <c r="V3824">
        <f>115.52</f>
        <v>115.52</v>
      </c>
    </row>
    <row r="3825" spans="1:22" x14ac:dyDescent="0.2">
      <c r="A3825" s="1">
        <v>39752</v>
      </c>
      <c r="B3825">
        <f>1768.17</f>
        <v>1768.17</v>
      </c>
      <c r="C3825">
        <f>4153.18</f>
        <v>4153.18</v>
      </c>
      <c r="D3825">
        <f>2632.77</f>
        <v>2632.77</v>
      </c>
      <c r="E3825">
        <f>969.08</f>
        <v>969.08</v>
      </c>
      <c r="F3825">
        <f>1026.96</f>
        <v>1026.96</v>
      </c>
      <c r="G3825">
        <f>4315.692</f>
        <v>4315.692</v>
      </c>
      <c r="H3825">
        <f>1411.83</f>
        <v>1411.83</v>
      </c>
      <c r="I3825">
        <f>4620.161</f>
        <v>4620.1610000000001</v>
      </c>
      <c r="J3825">
        <f>1128.48</f>
        <v>1128.48</v>
      </c>
      <c r="K3825">
        <f>3200.3</f>
        <v>3200.3</v>
      </c>
      <c r="L3825">
        <f>758.87</f>
        <v>758.87</v>
      </c>
      <c r="M3825">
        <f>3021.07</f>
        <v>3021.07</v>
      </c>
      <c r="N3825">
        <f>110.632</f>
        <v>110.63200000000001</v>
      </c>
      <c r="O3825">
        <f>1249.35</f>
        <v>1249.3499999999999</v>
      </c>
      <c r="P3825">
        <f>67.49</f>
        <v>67.489999999999995</v>
      </c>
      <c r="Q3825">
        <f>636</f>
        <v>636</v>
      </c>
      <c r="R3825">
        <f>1548.81</f>
        <v>1548.81</v>
      </c>
      <c r="S3825">
        <f>1045.9</f>
        <v>1045.9000000000001</v>
      </c>
      <c r="T3825">
        <f>908.349</f>
        <v>908.34900000000005</v>
      </c>
      <c r="U3825">
        <f>20991.72</f>
        <v>20991.72</v>
      </c>
      <c r="V3825">
        <f>114.72</f>
        <v>114.72</v>
      </c>
    </row>
    <row r="3826" spans="1:22" x14ac:dyDescent="0.2">
      <c r="A3826" s="1">
        <v>39751</v>
      </c>
      <c r="B3826">
        <f>1771.45</f>
        <v>1771.45</v>
      </c>
      <c r="C3826">
        <f>4057.82</f>
        <v>4057.82</v>
      </c>
      <c r="D3826">
        <f>2581.22</f>
        <v>2581.2199999999998</v>
      </c>
      <c r="E3826">
        <f>953.477</f>
        <v>953.47699999999998</v>
      </c>
      <c r="F3826">
        <f>1048.24</f>
        <v>1048.24</v>
      </c>
      <c r="G3826">
        <f>4261.163</f>
        <v>4261.1629999999996</v>
      </c>
      <c r="H3826">
        <f>1499.59</f>
        <v>1499.59</v>
      </c>
      <c r="I3826">
        <f>4556.465</f>
        <v>4556.4650000000001</v>
      </c>
      <c r="J3826">
        <f>1109.6</f>
        <v>1109.5999999999999</v>
      </c>
      <c r="K3826">
        <f>3151.47</f>
        <v>3151.47</v>
      </c>
      <c r="L3826">
        <f>751.3</f>
        <v>751.3</v>
      </c>
      <c r="M3826">
        <f>3004.95</f>
        <v>3004.95</v>
      </c>
      <c r="N3826">
        <f>108.907</f>
        <v>108.907</v>
      </c>
      <c r="O3826">
        <f>1218.28</f>
        <v>1218.28</v>
      </c>
      <c r="P3826">
        <f>70.28</f>
        <v>70.28</v>
      </c>
      <c r="Q3826">
        <f>623.3</f>
        <v>623.29999999999995</v>
      </c>
      <c r="R3826">
        <f>1525.37</f>
        <v>1525.37</v>
      </c>
      <c r="S3826">
        <f>1084.8</f>
        <v>1084.8</v>
      </c>
      <c r="T3826">
        <f>887.199</f>
        <v>887.19899999999996</v>
      </c>
      <c r="U3826">
        <f>20861.52</f>
        <v>20861.52</v>
      </c>
      <c r="V3826">
        <f>112.07</f>
        <v>112.07</v>
      </c>
    </row>
    <row r="3827" spans="1:22" x14ac:dyDescent="0.2">
      <c r="A3827" s="1">
        <v>39750</v>
      </c>
      <c r="B3827">
        <f>1712.55</f>
        <v>1712.55</v>
      </c>
      <c r="C3827">
        <f>3735.45</f>
        <v>3735.45</v>
      </c>
      <c r="D3827">
        <f>2551.69</f>
        <v>2551.69</v>
      </c>
      <c r="E3827">
        <f>862.107</f>
        <v>862.10699999999997</v>
      </c>
      <c r="F3827">
        <f>1021.01</f>
        <v>1021.01</v>
      </c>
      <c r="G3827">
        <f>4218.113</f>
        <v>4218.1130000000003</v>
      </c>
      <c r="H3827">
        <f>1387.3</f>
        <v>1387.3</v>
      </c>
      <c r="I3827">
        <f>4506.914</f>
        <v>4506.9139999999998</v>
      </c>
      <c r="J3827">
        <f>1090.3</f>
        <v>1090.3</v>
      </c>
      <c r="K3827">
        <f>3069.91</f>
        <v>3069.91</v>
      </c>
      <c r="L3827">
        <f>738.9</f>
        <v>738.9</v>
      </c>
      <c r="M3827">
        <f>2916.72</f>
        <v>2916.72</v>
      </c>
      <c r="N3827">
        <f>107.067</f>
        <v>107.06699999999999</v>
      </c>
      <c r="O3827">
        <f>1207.01</f>
        <v>1207.01</v>
      </c>
      <c r="P3827">
        <f>64.37</f>
        <v>64.37</v>
      </c>
      <c r="Q3827">
        <f>610.16</f>
        <v>610.16</v>
      </c>
      <c r="R3827">
        <f>1486.73</f>
        <v>1486.73</v>
      </c>
      <c r="S3827">
        <f>1001.51</f>
        <v>1001.51</v>
      </c>
      <c r="T3827">
        <f>849.99</f>
        <v>849.99</v>
      </c>
      <c r="U3827">
        <f>19794.74</f>
        <v>19794.740000000002</v>
      </c>
      <c r="V3827">
        <f>107.06</f>
        <v>107.06</v>
      </c>
    </row>
    <row r="3828" spans="1:22" x14ac:dyDescent="0.2">
      <c r="A3828" s="1">
        <v>39749</v>
      </c>
      <c r="B3828">
        <f>1605.74</f>
        <v>1605.74</v>
      </c>
      <c r="C3828">
        <f>3571.68</f>
        <v>3571.68</v>
      </c>
      <c r="D3828">
        <f>2359.71</f>
        <v>2359.71</v>
      </c>
      <c r="E3828">
        <f>823.641</f>
        <v>823.64099999999996</v>
      </c>
      <c r="F3828">
        <f>897.04</f>
        <v>897.04</v>
      </c>
      <c r="G3828">
        <f>3731.955</f>
        <v>3731.9549999999999</v>
      </c>
      <c r="H3828">
        <f>1329.69</f>
        <v>1329.69</v>
      </c>
      <c r="I3828">
        <f>4123.252</f>
        <v>4123.2520000000004</v>
      </c>
      <c r="J3828">
        <f>1118.42</f>
        <v>1118.42</v>
      </c>
      <c r="K3828">
        <f>3093.93</f>
        <v>3093.93</v>
      </c>
      <c r="L3828">
        <f>694.53</f>
        <v>694.53</v>
      </c>
      <c r="M3828">
        <f>2814.87</f>
        <v>2814.87</v>
      </c>
      <c r="N3828">
        <f>100.155</f>
        <v>100.155</v>
      </c>
      <c r="O3828">
        <f>1122.15</f>
        <v>1122.1500000000001</v>
      </c>
      <c r="P3828">
        <f>60.4</f>
        <v>60.4</v>
      </c>
      <c r="Q3828">
        <f>616.4</f>
        <v>616.4</v>
      </c>
      <c r="R3828">
        <f>1503.16</f>
        <v>1503.16</v>
      </c>
      <c r="S3828">
        <f>945.69</f>
        <v>945.69</v>
      </c>
      <c r="T3828">
        <f>810.881</f>
        <v>810.88099999999997</v>
      </c>
      <c r="U3828">
        <f>18549.24</f>
        <v>18549.240000000002</v>
      </c>
      <c r="V3828">
        <f>102.91</f>
        <v>102.91</v>
      </c>
    </row>
    <row r="3829" spans="1:22" x14ac:dyDescent="0.2">
      <c r="A3829" s="1">
        <v>39748</v>
      </c>
      <c r="B3829">
        <f>1592.69</f>
        <v>1592.69</v>
      </c>
      <c r="C3829">
        <f>3427.92</f>
        <v>3427.92</v>
      </c>
      <c r="D3829">
        <f>2315.36</f>
        <v>2315.36</v>
      </c>
      <c r="E3829">
        <f>771.682</f>
        <v>771.68200000000002</v>
      </c>
      <c r="F3829">
        <f>877.15</f>
        <v>877.15</v>
      </c>
      <c r="G3829">
        <f>3635.533</f>
        <v>3635.5329999999999</v>
      </c>
      <c r="H3829">
        <f>1288.12</f>
        <v>1288.1199999999999</v>
      </c>
      <c r="I3829">
        <f>4020.991</f>
        <v>4020.991</v>
      </c>
      <c r="J3829">
        <f>1015.56</f>
        <v>1015.56</v>
      </c>
      <c r="K3829">
        <f>2797.89</f>
        <v>2797.89</v>
      </c>
      <c r="L3829">
        <f>664.74</f>
        <v>664.74</v>
      </c>
      <c r="M3829">
        <f>2631.36</f>
        <v>2631.36</v>
      </c>
      <c r="N3829">
        <f>99.526</f>
        <v>99.525999999999996</v>
      </c>
      <c r="O3829">
        <f>1096.62</f>
        <v>1096.6199999999999</v>
      </c>
      <c r="P3829">
        <f>56.48</f>
        <v>56.48</v>
      </c>
      <c r="Q3829">
        <f>559.79</f>
        <v>559.79</v>
      </c>
      <c r="R3829">
        <f>1356.78</f>
        <v>1356.78</v>
      </c>
      <c r="S3829">
        <f>900.33</f>
        <v>900.33</v>
      </c>
      <c r="T3829">
        <f>788.247</f>
        <v>788.24699999999996</v>
      </c>
      <c r="U3829">
        <f>18363.7</f>
        <v>18363.7</v>
      </c>
      <c r="V3829">
        <f>99.06</f>
        <v>99.06</v>
      </c>
    </row>
    <row r="3830" spans="1:22" x14ac:dyDescent="0.2">
      <c r="A3830" s="1">
        <v>39745</v>
      </c>
      <c r="B3830">
        <f>1608.26</f>
        <v>1608.26</v>
      </c>
      <c r="C3830">
        <f>3570.55</f>
        <v>3570.55</v>
      </c>
      <c r="D3830">
        <f>2333.85</f>
        <v>2333.85</v>
      </c>
      <c r="E3830">
        <f>804.042</f>
        <v>804.04200000000003</v>
      </c>
      <c r="F3830">
        <f>898.79</f>
        <v>898.79</v>
      </c>
      <c r="G3830">
        <f>3746.836</f>
        <v>3746.8359999999998</v>
      </c>
      <c r="H3830">
        <f>1376.42</f>
        <v>1376.42</v>
      </c>
      <c r="I3830">
        <f>4213.758</f>
        <v>4213.7579999999998</v>
      </c>
      <c r="J3830">
        <f>1033.14</f>
        <v>1033.1400000000001</v>
      </c>
      <c r="K3830">
        <f>2892.19</f>
        <v>2892.19</v>
      </c>
      <c r="L3830">
        <f>692.19</f>
        <v>692.19</v>
      </c>
      <c r="M3830">
        <f>2749.94</f>
        <v>2749.94</v>
      </c>
      <c r="N3830">
        <f>100.484</f>
        <v>100.48399999999999</v>
      </c>
      <c r="O3830">
        <f>1118.75</f>
        <v>1118.75</v>
      </c>
      <c r="P3830">
        <f>60.58</f>
        <v>60.58</v>
      </c>
      <c r="Q3830">
        <f>574.18</f>
        <v>574.17999999999995</v>
      </c>
      <c r="R3830">
        <f>1401.29</f>
        <v>1401.29</v>
      </c>
      <c r="S3830">
        <f>972.28</f>
        <v>972.28</v>
      </c>
      <c r="T3830">
        <f>801.114</f>
        <v>801.11400000000003</v>
      </c>
      <c r="U3830">
        <f>18459.13</f>
        <v>18459.13</v>
      </c>
      <c r="V3830">
        <f>99.96</f>
        <v>99.96</v>
      </c>
    </row>
    <row r="3831" spans="1:22" x14ac:dyDescent="0.2">
      <c r="A3831" s="1">
        <v>39744</v>
      </c>
      <c r="B3831">
        <f>1696.95</f>
        <v>1696.95</v>
      </c>
      <c r="C3831">
        <f>3784.11</f>
        <v>3784.11</v>
      </c>
      <c r="D3831">
        <f>2456.74</f>
        <v>2456.7399999999998</v>
      </c>
      <c r="E3831">
        <f>873.49</f>
        <v>873.49</v>
      </c>
      <c r="F3831">
        <f>976.42</f>
        <v>976.42</v>
      </c>
      <c r="G3831">
        <f>4037.777</f>
        <v>4037.777</v>
      </c>
      <c r="H3831">
        <f>1393.11</f>
        <v>1393.11</v>
      </c>
      <c r="I3831">
        <f>4445.027</f>
        <v>4445.027</v>
      </c>
      <c r="J3831">
        <f>1069.63</f>
        <v>1069.6300000000001</v>
      </c>
      <c r="K3831">
        <f>2993.94</f>
        <v>2993.94</v>
      </c>
      <c r="L3831">
        <f>733.97</f>
        <v>733.97</v>
      </c>
      <c r="M3831">
        <f>2873.12</f>
        <v>2873.12</v>
      </c>
      <c r="N3831">
        <f>104.497</f>
        <v>104.497</v>
      </c>
      <c r="O3831">
        <f>1173.02</f>
        <v>1173.02</v>
      </c>
      <c r="P3831">
        <f>65.28</f>
        <v>65.28</v>
      </c>
      <c r="Q3831">
        <f>591.33</f>
        <v>591.33000000000004</v>
      </c>
      <c r="R3831">
        <f>1451.37</f>
        <v>1451.37</v>
      </c>
      <c r="S3831">
        <f>1051.38</f>
        <v>1051.3800000000001</v>
      </c>
      <c r="T3831">
        <f>828.324</f>
        <v>828.32399999999996</v>
      </c>
      <c r="U3831">
        <f>19598.57</f>
        <v>19598.57</v>
      </c>
      <c r="V3831">
        <f>101.2</f>
        <v>101.2</v>
      </c>
    </row>
    <row r="3832" spans="1:22" x14ac:dyDescent="0.2">
      <c r="A3832" s="1">
        <v>39743</v>
      </c>
      <c r="B3832">
        <f>1716.11</f>
        <v>1716.11</v>
      </c>
      <c r="C3832">
        <f>3903.26</f>
        <v>3903.26</v>
      </c>
      <c r="D3832">
        <f>2428.52</f>
        <v>2428.52</v>
      </c>
      <c r="E3832">
        <f>908.036</f>
        <v>908.03599999999994</v>
      </c>
      <c r="F3832">
        <f>967.59</f>
        <v>967.59</v>
      </c>
      <c r="G3832">
        <f>4027.797</f>
        <v>4027.797</v>
      </c>
      <c r="H3832">
        <f>1381.42</f>
        <v>1381.42</v>
      </c>
      <c r="I3832">
        <f>4482.835</f>
        <v>4482.835</v>
      </c>
      <c r="J3832">
        <f>1051.29</f>
        <v>1051.29</v>
      </c>
      <c r="K3832">
        <f>2962.42</f>
        <v>2962.42</v>
      </c>
      <c r="L3832">
        <f>731.54</f>
        <v>731.54</v>
      </c>
      <c r="M3832">
        <f>2870.32</f>
        <v>2870.32</v>
      </c>
      <c r="N3832">
        <f>104.202</f>
        <v>104.202</v>
      </c>
      <c r="O3832">
        <f>1174.04</f>
        <v>1174.04</v>
      </c>
      <c r="P3832">
        <f>66.46</f>
        <v>66.459999999999994</v>
      </c>
      <c r="Q3832">
        <f>589.69</f>
        <v>589.69000000000005</v>
      </c>
      <c r="R3832">
        <f>1433.22</f>
        <v>1433.22</v>
      </c>
      <c r="S3832">
        <f>1072.53</f>
        <v>1072.53</v>
      </c>
      <c r="T3832">
        <f>839.379</f>
        <v>839.37900000000002</v>
      </c>
      <c r="U3832">
        <f>20288.62</f>
        <v>20288.62</v>
      </c>
      <c r="V3832">
        <f>103</f>
        <v>103</v>
      </c>
    </row>
    <row r="3833" spans="1:22" x14ac:dyDescent="0.2">
      <c r="A3833" s="1">
        <v>39742</v>
      </c>
      <c r="B3833">
        <f>1781.61</f>
        <v>1781.61</v>
      </c>
      <c r="C3833">
        <f>4170.68</f>
        <v>4170.68</v>
      </c>
      <c r="D3833">
        <f>2541.42</f>
        <v>2541.42</v>
      </c>
      <c r="E3833">
        <f>985.352</f>
        <v>985.35199999999998</v>
      </c>
      <c r="F3833">
        <f>1079.12</f>
        <v>1079.1199999999999</v>
      </c>
      <c r="G3833">
        <f>4371.078</f>
        <v>4371.0780000000004</v>
      </c>
      <c r="H3833">
        <f>1449.17</f>
        <v>1449.17</v>
      </c>
      <c r="I3833">
        <f>4811.781</f>
        <v>4811.7809999999999</v>
      </c>
      <c r="J3833">
        <f>1113.73</f>
        <v>1113.73</v>
      </c>
      <c r="K3833">
        <f>3154.85</f>
        <v>3154.85</v>
      </c>
      <c r="L3833">
        <f>781.46</f>
        <v>781.46</v>
      </c>
      <c r="M3833">
        <f>3066.38</f>
        <v>3066.38</v>
      </c>
      <c r="N3833">
        <f>109.258</f>
        <v>109.258</v>
      </c>
      <c r="O3833">
        <f>1240.11</f>
        <v>1240.1099999999999</v>
      </c>
      <c r="P3833">
        <f>70.63</f>
        <v>70.63</v>
      </c>
      <c r="Q3833">
        <f>622.79</f>
        <v>622.79</v>
      </c>
      <c r="R3833">
        <f>1526.02</f>
        <v>1526.02</v>
      </c>
      <c r="S3833">
        <f>1153.83</f>
        <v>1153.83</v>
      </c>
      <c r="T3833">
        <f>864.14</f>
        <v>864.14</v>
      </c>
      <c r="U3833">
        <f>21267.01</f>
        <v>21267.01</v>
      </c>
      <c r="V3833">
        <f>106.52</f>
        <v>106.52</v>
      </c>
    </row>
    <row r="3834" spans="1:22" x14ac:dyDescent="0.2">
      <c r="A3834" s="1">
        <v>39741</v>
      </c>
      <c r="B3834">
        <f>1793.94</f>
        <v>1793.94</v>
      </c>
      <c r="C3834">
        <f>4243.53</f>
        <v>4243.53</v>
      </c>
      <c r="D3834">
        <f>2573.23</f>
        <v>2573.23</v>
      </c>
      <c r="E3834">
        <f>1003.001</f>
        <v>1003.001</v>
      </c>
      <c r="F3834">
        <f>1112.12</f>
        <v>1112.1199999999999</v>
      </c>
      <c r="G3834">
        <f>4470.072</f>
        <v>4470.0720000000001</v>
      </c>
      <c r="H3834">
        <f>1389.1</f>
        <v>1389.1</v>
      </c>
      <c r="I3834">
        <f>4866.726</f>
        <v>4866.7259999999997</v>
      </c>
      <c r="J3834">
        <f>1133.9</f>
        <v>1133.9000000000001</v>
      </c>
      <c r="K3834">
        <f>3254.27</f>
        <v>3254.27</v>
      </c>
      <c r="L3834">
        <f>795.33</f>
        <v>795.33</v>
      </c>
      <c r="M3834">
        <f>3121.49</f>
        <v>3121.49</v>
      </c>
      <c r="N3834">
        <f>109.965</f>
        <v>109.965</v>
      </c>
      <c r="O3834">
        <f>1246.66</f>
        <v>1246.6600000000001</v>
      </c>
      <c r="P3834">
        <f>69.12</f>
        <v>69.12</v>
      </c>
      <c r="Q3834">
        <f>633.81</f>
        <v>633.80999999999995</v>
      </c>
      <c r="R3834">
        <f>1574.5</f>
        <v>1574.5</v>
      </c>
      <c r="S3834">
        <f>1118.53</f>
        <v>1118.53</v>
      </c>
      <c r="T3834">
        <f>850.941</f>
        <v>850.94100000000003</v>
      </c>
      <c r="U3834">
        <f>20713.26</f>
        <v>20713.259999999998</v>
      </c>
      <c r="V3834">
        <f>105.78</f>
        <v>105.78</v>
      </c>
    </row>
    <row r="3835" spans="1:22" x14ac:dyDescent="0.2">
      <c r="A3835" s="1">
        <v>39738</v>
      </c>
      <c r="B3835">
        <f>1728.91</f>
        <v>1728.91</v>
      </c>
      <c r="C3835">
        <f>4149.81</f>
        <v>4149.8100000000004</v>
      </c>
      <c r="D3835">
        <f>2441.25</f>
        <v>2441.25</v>
      </c>
      <c r="E3835">
        <f>964.415</f>
        <v>964.41499999999996</v>
      </c>
      <c r="F3835">
        <f>1068.96</f>
        <v>1068.96</v>
      </c>
      <c r="G3835">
        <f>4274.37</f>
        <v>4274.37</v>
      </c>
      <c r="H3835">
        <f>1331.96</f>
        <v>1331.96</v>
      </c>
      <c r="I3835">
        <f>4783.759</f>
        <v>4783.759</v>
      </c>
      <c r="J3835">
        <f>1087.11</f>
        <v>1087.1099999999999</v>
      </c>
      <c r="K3835">
        <f>3105.84</f>
        <v>3105.84</v>
      </c>
      <c r="L3835">
        <f>764.99</f>
        <v>764.99</v>
      </c>
      <c r="M3835">
        <f>2999.01</f>
        <v>2999.01</v>
      </c>
      <c r="N3835">
        <f>106.329</f>
        <v>106.32899999999999</v>
      </c>
      <c r="O3835">
        <f>1201.71</f>
        <v>1201.71</v>
      </c>
      <c r="P3835">
        <f>66.75</f>
        <v>66.75</v>
      </c>
      <c r="Q3835">
        <f>611.88</f>
        <v>611.88</v>
      </c>
      <c r="R3835">
        <f>1502.84</f>
        <v>1502.84</v>
      </c>
      <c r="S3835">
        <f>1078.63</f>
        <v>1078.6300000000001</v>
      </c>
      <c r="T3835">
        <f>834.984</f>
        <v>834.98400000000004</v>
      </c>
      <c r="U3835">
        <f>20139.59</f>
        <v>20139.59</v>
      </c>
      <c r="V3835">
        <f>104.48</f>
        <v>104.48</v>
      </c>
    </row>
    <row r="3836" spans="1:22" x14ac:dyDescent="0.2">
      <c r="A3836" s="1">
        <v>39737</v>
      </c>
      <c r="B3836">
        <f>1724.82</f>
        <v>1724.82</v>
      </c>
      <c r="C3836">
        <f>4210.94</f>
        <v>4210.9399999999996</v>
      </c>
      <c r="D3836">
        <f>2320.11</f>
        <v>2320.11</v>
      </c>
      <c r="E3836">
        <f>978.047</f>
        <v>978.04700000000003</v>
      </c>
      <c r="F3836">
        <f>1034.58</f>
        <v>1034.58</v>
      </c>
      <c r="G3836">
        <f>4063.308</f>
        <v>4063.308</v>
      </c>
      <c r="H3836">
        <f>1291.23</f>
        <v>1291.23</v>
      </c>
      <c r="I3836">
        <f>4603.156</f>
        <v>4603.1559999999999</v>
      </c>
      <c r="J3836">
        <f>1096.92</f>
        <v>1096.92</v>
      </c>
      <c r="K3836">
        <f>3120.5</f>
        <v>3120.5</v>
      </c>
      <c r="L3836">
        <f>747.52</f>
        <v>747.52</v>
      </c>
      <c r="M3836">
        <f>2955.85</f>
        <v>2955.85</v>
      </c>
      <c r="N3836">
        <f>103.568</f>
        <v>103.568</v>
      </c>
      <c r="O3836">
        <f>1151.53</f>
        <v>1151.53</v>
      </c>
      <c r="P3836">
        <f>63.9</f>
        <v>63.9</v>
      </c>
      <c r="Q3836">
        <f>618.19</f>
        <v>618.19000000000005</v>
      </c>
      <c r="R3836">
        <f>1512.21</f>
        <v>1512.21</v>
      </c>
      <c r="S3836">
        <f>1042.73</f>
        <v>1042.73</v>
      </c>
      <c r="T3836">
        <f>859.737</f>
        <v>859.73699999999997</v>
      </c>
      <c r="U3836">
        <f>20095.96</f>
        <v>20095.96</v>
      </c>
      <c r="V3836">
        <f>108.7</f>
        <v>108.7</v>
      </c>
    </row>
    <row r="3837" spans="1:22" x14ac:dyDescent="0.2">
      <c r="A3837" s="1">
        <v>39736</v>
      </c>
      <c r="B3837">
        <f>1838.93</f>
        <v>1838.93</v>
      </c>
      <c r="C3837">
        <f>4505.17</f>
        <v>4505.17</v>
      </c>
      <c r="D3837">
        <f>2451.21</f>
        <v>2451.21</v>
      </c>
      <c r="E3837">
        <f>1057.382</f>
        <v>1057.3820000000001</v>
      </c>
      <c r="F3837">
        <f>1102.75</f>
        <v>1102.75</v>
      </c>
      <c r="G3837">
        <f>4353.156</f>
        <v>4353.1559999999999</v>
      </c>
      <c r="H3837">
        <f>1404.7</f>
        <v>1404.7</v>
      </c>
      <c r="I3837">
        <f>4897.699</f>
        <v>4897.6989999999996</v>
      </c>
      <c r="J3837">
        <f>1060.19</f>
        <v>1060.19</v>
      </c>
      <c r="K3837">
        <f>2995.17</f>
        <v>2995.17</v>
      </c>
      <c r="L3837">
        <f>771.78</f>
        <v>771.78</v>
      </c>
      <c r="M3837">
        <f>2997.64</f>
        <v>2997.64</v>
      </c>
      <c r="N3837">
        <f>107.422</f>
        <v>107.422</v>
      </c>
      <c r="O3837">
        <f>1212.25</f>
        <v>1212.25</v>
      </c>
      <c r="P3837">
        <f>70.25</f>
        <v>70.25</v>
      </c>
      <c r="Q3837">
        <f>594.21</f>
        <v>594.21</v>
      </c>
      <c r="R3837">
        <f>1450.5</f>
        <v>1450.5</v>
      </c>
      <c r="S3837">
        <f>1152.47</f>
        <v>1152.47</v>
      </c>
      <c r="T3837">
        <f>899.853</f>
        <v>899.85299999999995</v>
      </c>
      <c r="U3837">
        <f>20571.87</f>
        <v>20571.87</v>
      </c>
      <c r="V3837">
        <f>115.36</f>
        <v>115.36</v>
      </c>
    </row>
    <row r="3838" spans="1:22" x14ac:dyDescent="0.2">
      <c r="A3838" s="1">
        <v>39735</v>
      </c>
      <c r="B3838">
        <f>1913.66</f>
        <v>1913.66</v>
      </c>
      <c r="C3838">
        <f>4790.26</f>
        <v>4790.26</v>
      </c>
      <c r="D3838">
        <f>2639.47</f>
        <v>2639.47</v>
      </c>
      <c r="E3838">
        <f>1142.912</f>
        <v>1142.912</v>
      </c>
      <c r="F3838">
        <f>1175.48</f>
        <v>1175.48</v>
      </c>
      <c r="G3838">
        <f>4707.273</f>
        <v>4707.2730000000001</v>
      </c>
      <c r="H3838">
        <f>1389.16</f>
        <v>1389.16</v>
      </c>
      <c r="I3838">
        <f>5238.282</f>
        <v>5238.2820000000002</v>
      </c>
      <c r="J3838">
        <f>1137.98</f>
        <v>1137.98</v>
      </c>
      <c r="K3838">
        <f>3293.79</f>
        <v>3293.79</v>
      </c>
      <c r="L3838">
        <f>822.94</f>
        <v>822.94</v>
      </c>
      <c r="M3838">
        <f>3225.2</f>
        <v>3225.2</v>
      </c>
      <c r="N3838">
        <f>114.296</f>
        <v>114.29600000000001</v>
      </c>
      <c r="O3838">
        <f>1294.01</f>
        <v>1294.01</v>
      </c>
      <c r="P3838">
        <f>70.13</f>
        <v>70.13</v>
      </c>
      <c r="Q3838">
        <f>645.28</f>
        <v>645.28</v>
      </c>
      <c r="R3838">
        <f>1594.41</f>
        <v>1594.41</v>
      </c>
      <c r="S3838">
        <f>1153.42</f>
        <v>1153.42</v>
      </c>
      <c r="T3838">
        <f>931.416</f>
        <v>931.41600000000005</v>
      </c>
      <c r="U3838">
        <f>22117.06</f>
        <v>22117.06</v>
      </c>
      <c r="V3838">
        <f>120.23</f>
        <v>120.23</v>
      </c>
    </row>
    <row r="3839" spans="1:22" x14ac:dyDescent="0.2">
      <c r="A3839" s="1">
        <v>39734</v>
      </c>
      <c r="B3839">
        <f>1904.92</f>
        <v>1904.92</v>
      </c>
      <c r="C3839">
        <f>4517.15</f>
        <v>4517.1499999999996</v>
      </c>
      <c r="D3839">
        <f>2556.99</f>
        <v>2556.9899999999998</v>
      </c>
      <c r="E3839">
        <f>1078.254</f>
        <v>1078.2539999999999</v>
      </c>
      <c r="F3839">
        <f>1130.46</f>
        <v>1130.46</v>
      </c>
      <c r="G3839">
        <f>4531.388</f>
        <v>4531.3879999999999</v>
      </c>
      <c r="H3839">
        <f>1245.02</f>
        <v>1245.02</v>
      </c>
      <c r="I3839">
        <f>5072.941</f>
        <v>5072.9409999999998</v>
      </c>
      <c r="J3839">
        <f>1122.37</f>
        <v>1122.3699999999999</v>
      </c>
      <c r="K3839">
        <f>3316.88</f>
        <v>3316.88</v>
      </c>
      <c r="L3839">
        <f>792.62</f>
        <v>792.62</v>
      </c>
      <c r="M3839">
        <f>3144.54</f>
        <v>3144.54</v>
      </c>
      <c r="N3839">
        <f>111.438</f>
        <v>111.438</v>
      </c>
      <c r="O3839">
        <f>1257.76</f>
        <v>1257.76</v>
      </c>
      <c r="P3839" t="e">
        <f>NA()</f>
        <v>#N/A</v>
      </c>
      <c r="Q3839">
        <f>635.95</f>
        <v>635.95000000000005</v>
      </c>
      <c r="R3839">
        <f>1602.93</f>
        <v>1602.93</v>
      </c>
      <c r="S3839" t="e">
        <f>NA()</f>
        <v>#N/A</v>
      </c>
      <c r="T3839">
        <f>904.432</f>
        <v>904.43200000000002</v>
      </c>
      <c r="U3839">
        <f>21451.69</f>
        <v>21451.69</v>
      </c>
      <c r="V3839">
        <f>114.77</f>
        <v>114.77</v>
      </c>
    </row>
    <row r="3840" spans="1:22" x14ac:dyDescent="0.2">
      <c r="A3840" s="1">
        <v>39731</v>
      </c>
      <c r="B3840">
        <f>1832.11</f>
        <v>1832.11</v>
      </c>
      <c r="C3840">
        <f>4286.91</f>
        <v>4286.91</v>
      </c>
      <c r="D3840">
        <f>2361.87</f>
        <v>2361.87</v>
      </c>
      <c r="E3840">
        <f>1003.92</f>
        <v>1003.92</v>
      </c>
      <c r="F3840">
        <f>1057.63</f>
        <v>1057.6300000000001</v>
      </c>
      <c r="G3840">
        <f>4095.909</f>
        <v>4095.9090000000001</v>
      </c>
      <c r="H3840">
        <f>1257.94</f>
        <v>1257.94</v>
      </c>
      <c r="I3840">
        <f>4581.041</f>
        <v>4581.0410000000002</v>
      </c>
      <c r="J3840">
        <f>1029.82</f>
        <v>1029.82</v>
      </c>
      <c r="K3840">
        <f>2970.11</f>
        <v>2970.11</v>
      </c>
      <c r="L3840">
        <f>726.54</f>
        <v>726.54</v>
      </c>
      <c r="M3840">
        <f>2871.1</f>
        <v>2871.1</v>
      </c>
      <c r="N3840">
        <f>102.247</f>
        <v>102.247</v>
      </c>
      <c r="O3840">
        <f>1137.47</f>
        <v>1137.47</v>
      </c>
      <c r="P3840">
        <f>62.28</f>
        <v>62.28</v>
      </c>
      <c r="Q3840">
        <f>583.61</f>
        <v>583.61</v>
      </c>
      <c r="R3840">
        <f>1436.56</f>
        <v>1436.56</v>
      </c>
      <c r="S3840">
        <f>1014.19</f>
        <v>1014.19</v>
      </c>
      <c r="T3840">
        <f>869.969</f>
        <v>869.96900000000005</v>
      </c>
      <c r="U3840">
        <f>20595.23</f>
        <v>20595.23</v>
      </c>
      <c r="V3840">
        <f>110.05</f>
        <v>110.05</v>
      </c>
    </row>
    <row r="3841" spans="1:22" x14ac:dyDescent="0.2">
      <c r="A3841" s="1">
        <v>39730</v>
      </c>
      <c r="B3841">
        <f>1998.67</f>
        <v>1998.67</v>
      </c>
      <c r="C3841">
        <f>4481.04</f>
        <v>4481.04</v>
      </c>
      <c r="D3841">
        <f>2591.17</f>
        <v>2591.17</v>
      </c>
      <c r="E3841">
        <f>1049.657</f>
        <v>1049.6569999999999</v>
      </c>
      <c r="F3841">
        <f>1202.45</f>
        <v>1202.45</v>
      </c>
      <c r="G3841">
        <f>4546.217</f>
        <v>4546.2169999999996</v>
      </c>
      <c r="H3841">
        <f>1352.24</f>
        <v>1352.24</v>
      </c>
      <c r="I3841">
        <f>4973.008</f>
        <v>4973.0079999999998</v>
      </c>
      <c r="J3841">
        <f>1022.56</f>
        <v>1022.56</v>
      </c>
      <c r="K3841">
        <f>3006.54</f>
        <v>3006.54</v>
      </c>
      <c r="L3841">
        <f>772.84</f>
        <v>772.84</v>
      </c>
      <c r="M3841">
        <f>3021.26</f>
        <v>3021.26</v>
      </c>
      <c r="N3841">
        <f>110.102</f>
        <v>110.102</v>
      </c>
      <c r="O3841">
        <f>1236.61</f>
        <v>1236.6099999999999</v>
      </c>
      <c r="P3841">
        <f>66.45</f>
        <v>66.45</v>
      </c>
      <c r="Q3841">
        <f>584.76</f>
        <v>584.76</v>
      </c>
      <c r="R3841">
        <f>1453.52</f>
        <v>1453.52</v>
      </c>
      <c r="S3841">
        <f>1091.68</f>
        <v>1091.68</v>
      </c>
      <c r="T3841">
        <f>900.123</f>
        <v>900.12300000000005</v>
      </c>
      <c r="U3841">
        <f>21252.29</f>
        <v>21252.29</v>
      </c>
      <c r="V3841">
        <f>113.83</f>
        <v>113.83</v>
      </c>
    </row>
    <row r="3842" spans="1:22" x14ac:dyDescent="0.2">
      <c r="A3842" s="1">
        <v>39729</v>
      </c>
      <c r="B3842">
        <f>2023.95</f>
        <v>2023.95</v>
      </c>
      <c r="C3842">
        <f>4448.72</f>
        <v>4448.72</v>
      </c>
      <c r="D3842">
        <f>2622.94</f>
        <v>2622.94</v>
      </c>
      <c r="E3842">
        <f>1027.504</f>
        <v>1027.5039999999999</v>
      </c>
      <c r="F3842">
        <f>1223.32</f>
        <v>1223.32</v>
      </c>
      <c r="G3842">
        <f>4629.225</f>
        <v>4629.2250000000004</v>
      </c>
      <c r="H3842">
        <f>1364.65</f>
        <v>1364.65</v>
      </c>
      <c r="I3842">
        <f>5083.583</f>
        <v>5083.5829999999996</v>
      </c>
      <c r="J3842">
        <f>1116.07</f>
        <v>1116.07</v>
      </c>
      <c r="K3842">
        <f>3250.55</f>
        <v>3250.55</v>
      </c>
      <c r="L3842">
        <f>808.22</f>
        <v>808.22</v>
      </c>
      <c r="M3842">
        <f>3165.16</f>
        <v>3165.16</v>
      </c>
      <c r="N3842">
        <f>113.326</f>
        <v>113.32599999999999</v>
      </c>
      <c r="O3842">
        <f>1264.29</f>
        <v>1264.29</v>
      </c>
      <c r="P3842">
        <f>66.16</f>
        <v>66.16</v>
      </c>
      <c r="Q3842">
        <f>638.86</f>
        <v>638.86</v>
      </c>
      <c r="R3842">
        <f>1573.34</f>
        <v>1573.34</v>
      </c>
      <c r="S3842">
        <f>1084.32</f>
        <v>1084.32</v>
      </c>
      <c r="T3842">
        <f>887.921</f>
        <v>887.92100000000005</v>
      </c>
      <c r="U3842">
        <f>20954.08</f>
        <v>20954.080000000002</v>
      </c>
      <c r="V3842">
        <f>112.57</f>
        <v>112.57</v>
      </c>
    </row>
    <row r="3843" spans="1:22" x14ac:dyDescent="0.2">
      <c r="A3843" s="1">
        <v>39728</v>
      </c>
      <c r="B3843">
        <f>2084.26</f>
        <v>2084.2600000000002</v>
      </c>
      <c r="C3843">
        <f>4787.07</f>
        <v>4787.07</v>
      </c>
      <c r="D3843">
        <f>2765.01</f>
        <v>2765.01</v>
      </c>
      <c r="E3843">
        <f>1117.756</f>
        <v>1117.7560000000001</v>
      </c>
      <c r="F3843">
        <f>1282.82</f>
        <v>1282.82</v>
      </c>
      <c r="G3843">
        <f>4948.118</f>
        <v>4948.1180000000004</v>
      </c>
      <c r="H3843">
        <f>1442.53</f>
        <v>1442.53</v>
      </c>
      <c r="I3843">
        <f>5388.998</f>
        <v>5388.9979999999996</v>
      </c>
      <c r="J3843">
        <f>1134.6</f>
        <v>1134.5999999999999</v>
      </c>
      <c r="K3843">
        <f>3285.66</f>
        <v>3285.66</v>
      </c>
      <c r="L3843">
        <f>850.3</f>
        <v>850.3</v>
      </c>
      <c r="M3843">
        <f>3277.69</f>
        <v>3277.69</v>
      </c>
      <c r="N3843">
        <f>119.703</f>
        <v>119.703</v>
      </c>
      <c r="O3843">
        <f>1346.43</f>
        <v>1346.43</v>
      </c>
      <c r="P3843">
        <f>72.54</f>
        <v>72.540000000000006</v>
      </c>
      <c r="Q3843">
        <f>641.77</f>
        <v>641.77</v>
      </c>
      <c r="R3843">
        <f>1590.51</f>
        <v>1590.51</v>
      </c>
      <c r="S3843">
        <f>1179.13</f>
        <v>1179.1300000000001</v>
      </c>
      <c r="T3843">
        <f>921.959</f>
        <v>921.95899999999995</v>
      </c>
      <c r="U3843">
        <f>21560.99</f>
        <v>21560.99</v>
      </c>
      <c r="V3843">
        <f>116.94</f>
        <v>116.94</v>
      </c>
    </row>
    <row r="3844" spans="1:22" x14ac:dyDescent="0.2">
      <c r="A3844" s="1">
        <v>39727</v>
      </c>
      <c r="B3844">
        <f>2137.63</f>
        <v>2137.63</v>
      </c>
      <c r="C3844">
        <f>4820.14</f>
        <v>4820.1400000000003</v>
      </c>
      <c r="D3844">
        <f>2755.39</f>
        <v>2755.39</v>
      </c>
      <c r="E3844">
        <f>1138.162</f>
        <v>1138.162</v>
      </c>
      <c r="F3844">
        <f>1358.9</f>
        <v>1358.9</v>
      </c>
      <c r="G3844">
        <f>4861.617</f>
        <v>4861.6170000000002</v>
      </c>
      <c r="H3844">
        <f>1508.41</f>
        <v>1508.41</v>
      </c>
      <c r="I3844">
        <f>5376.21</f>
        <v>5376.21</v>
      </c>
      <c r="J3844">
        <f>1207.11</f>
        <v>1207.1099999999999</v>
      </c>
      <c r="K3844">
        <f>3486.76</f>
        <v>3486.76</v>
      </c>
      <c r="L3844">
        <f>868.07</f>
        <v>868.07</v>
      </c>
      <c r="M3844">
        <f>3382.58</f>
        <v>3382.58</v>
      </c>
      <c r="N3844">
        <f>120.768</f>
        <v>120.768</v>
      </c>
      <c r="O3844">
        <f>1349.6</f>
        <v>1349.6</v>
      </c>
      <c r="P3844">
        <f>74.25</f>
        <v>74.25</v>
      </c>
      <c r="Q3844">
        <f>676.75</f>
        <v>676.75</v>
      </c>
      <c r="R3844">
        <f>1687.34</f>
        <v>1687.34</v>
      </c>
      <c r="S3844">
        <f>1204.99</f>
        <v>1204.99</v>
      </c>
      <c r="T3844">
        <f>908.481</f>
        <v>908.48099999999999</v>
      </c>
      <c r="U3844">
        <f>21022.63</f>
        <v>21022.63</v>
      </c>
      <c r="V3844">
        <f>113.68</f>
        <v>113.68</v>
      </c>
    </row>
    <row r="3845" spans="1:22" x14ac:dyDescent="0.2">
      <c r="A3845" s="1">
        <v>39724</v>
      </c>
      <c r="B3845">
        <f>2289.64</f>
        <v>2289.64</v>
      </c>
      <c r="C3845">
        <f>5260.74</f>
        <v>5260.74</v>
      </c>
      <c r="D3845">
        <f>2990.19</f>
        <v>2990.19</v>
      </c>
      <c r="E3845">
        <f>1257.41</f>
        <v>1257.4100000000001</v>
      </c>
      <c r="F3845">
        <f>1527.94</f>
        <v>1527.94</v>
      </c>
      <c r="G3845">
        <f>5396.132</f>
        <v>5396.1319999999996</v>
      </c>
      <c r="H3845">
        <f>1498.07</f>
        <v>1498.07</v>
      </c>
      <c r="I3845">
        <f>5945.107</f>
        <v>5945.107</v>
      </c>
      <c r="J3845">
        <f>1252.07</f>
        <v>1252.07</v>
      </c>
      <c r="K3845">
        <f>3629.42</f>
        <v>3629.42</v>
      </c>
      <c r="L3845">
        <f>938.66</f>
        <v>938.66</v>
      </c>
      <c r="M3845">
        <f>3589.58</f>
        <v>3589.58</v>
      </c>
      <c r="N3845">
        <f>129.769</f>
        <v>129.76900000000001</v>
      </c>
      <c r="O3845">
        <f>1459.08</f>
        <v>1459.08</v>
      </c>
      <c r="P3845">
        <f>77.84</f>
        <v>77.84</v>
      </c>
      <c r="Q3845">
        <f>701.27</f>
        <v>701.27</v>
      </c>
      <c r="R3845">
        <f>1754.91</f>
        <v>1754.91</v>
      </c>
      <c r="S3845">
        <f>1263.99</f>
        <v>1263.99</v>
      </c>
      <c r="T3845">
        <f>967.547</f>
        <v>967.54700000000003</v>
      </c>
      <c r="U3845">
        <f>22678.25</f>
        <v>22678.25</v>
      </c>
      <c r="V3845">
        <f>122.53</f>
        <v>122.53</v>
      </c>
    </row>
    <row r="3846" spans="1:22" x14ac:dyDescent="0.2">
      <c r="A3846" s="1">
        <v>39723</v>
      </c>
      <c r="B3846">
        <f>2250.19</f>
        <v>2250.19</v>
      </c>
      <c r="C3846">
        <f>5356.77</f>
        <v>5356.77</v>
      </c>
      <c r="D3846">
        <f>2924.2</f>
        <v>2924.2</v>
      </c>
      <c r="E3846">
        <f>1287.524</f>
        <v>1287.5239999999999</v>
      </c>
      <c r="F3846">
        <f>1451.68</f>
        <v>1451.68</v>
      </c>
      <c r="G3846">
        <f>5225.028</f>
        <v>5225.0280000000002</v>
      </c>
      <c r="H3846">
        <f>1551.54</f>
        <v>1551.54</v>
      </c>
      <c r="I3846">
        <f>5783.57</f>
        <v>5783.57</v>
      </c>
      <c r="J3846">
        <f>1270</f>
        <v>1270</v>
      </c>
      <c r="K3846">
        <f>3680.42</f>
        <v>3680.42</v>
      </c>
      <c r="L3846">
        <f>926.92</f>
        <v>926.92</v>
      </c>
      <c r="M3846">
        <f>3598.07</f>
        <v>3598.07</v>
      </c>
      <c r="N3846">
        <f>126.251</f>
        <v>126.251</v>
      </c>
      <c r="O3846">
        <f>1416.48</f>
        <v>1416.48</v>
      </c>
      <c r="P3846">
        <f>80.32</f>
        <v>80.319999999999993</v>
      </c>
      <c r="Q3846">
        <f>712.5</f>
        <v>712.5</v>
      </c>
      <c r="R3846">
        <f>1778.9</f>
        <v>1778.9</v>
      </c>
      <c r="S3846">
        <f>1298.97</f>
        <v>1298.97</v>
      </c>
      <c r="T3846">
        <f>964.752</f>
        <v>964.75199999999995</v>
      </c>
      <c r="U3846">
        <f>22560.77</f>
        <v>22560.77</v>
      </c>
      <c r="V3846">
        <f>121.48</f>
        <v>121.48</v>
      </c>
    </row>
    <row r="3847" spans="1:22" x14ac:dyDescent="0.2">
      <c r="A3847" s="1">
        <v>39722</v>
      </c>
      <c r="B3847">
        <f>2228.5</f>
        <v>2228.5</v>
      </c>
      <c r="C3847">
        <f>5521.85</f>
        <v>5521.85</v>
      </c>
      <c r="D3847">
        <f>2977.78</f>
        <v>2977.78</v>
      </c>
      <c r="E3847">
        <f>1332.699</f>
        <v>1332.6990000000001</v>
      </c>
      <c r="F3847">
        <f>1459.92</f>
        <v>1459.92</v>
      </c>
      <c r="G3847">
        <f>5352.831</f>
        <v>5352.8310000000001</v>
      </c>
      <c r="H3847">
        <f>1572.17</f>
        <v>1572.17</v>
      </c>
      <c r="I3847">
        <f>5962.313</f>
        <v>5962.3130000000001</v>
      </c>
      <c r="J3847">
        <f>1301.82</f>
        <v>1301.82</v>
      </c>
      <c r="K3847">
        <f>3840.27</f>
        <v>3840.27</v>
      </c>
      <c r="L3847">
        <f>948.01</f>
        <v>948.01</v>
      </c>
      <c r="M3847">
        <f>3732.89</f>
        <v>3732.89</v>
      </c>
      <c r="N3847">
        <f>126.803</f>
        <v>126.803</v>
      </c>
      <c r="O3847">
        <f>1435.18</f>
        <v>1435.18</v>
      </c>
      <c r="P3847">
        <f>82.21</f>
        <v>82.21</v>
      </c>
      <c r="Q3847">
        <f>736.75</f>
        <v>736.75</v>
      </c>
      <c r="R3847">
        <f>1853.26</f>
        <v>1853.26</v>
      </c>
      <c r="S3847">
        <f>1328.11</f>
        <v>1328.11</v>
      </c>
      <c r="T3847">
        <f>974.507</f>
        <v>974.50699999999995</v>
      </c>
      <c r="U3847">
        <f>23332.65</f>
        <v>23332.65</v>
      </c>
      <c r="V3847">
        <f>122.77</f>
        <v>122.77</v>
      </c>
    </row>
    <row r="3848" spans="1:22" x14ac:dyDescent="0.2">
      <c r="A3848" s="1">
        <v>39721</v>
      </c>
      <c r="B3848">
        <f>2207.05</f>
        <v>2207.0500000000002</v>
      </c>
      <c r="C3848">
        <f>5524.06</f>
        <v>5524.06</v>
      </c>
      <c r="D3848">
        <f>2943.26</f>
        <v>2943.26</v>
      </c>
      <c r="E3848">
        <f>1333.962</f>
        <v>1333.962</v>
      </c>
      <c r="F3848">
        <f>1432.59</f>
        <v>1432.59</v>
      </c>
      <c r="G3848">
        <f>5325.425</f>
        <v>5325.4250000000002</v>
      </c>
      <c r="H3848">
        <f>1534.04</f>
        <v>1534.04</v>
      </c>
      <c r="I3848">
        <f>5946.372</f>
        <v>5946.3720000000003</v>
      </c>
      <c r="J3848">
        <f>1288.9</f>
        <v>1288.9000000000001</v>
      </c>
      <c r="K3848">
        <f>3860.51</f>
        <v>3860.51</v>
      </c>
      <c r="L3848">
        <f>936.22</f>
        <v>936.22</v>
      </c>
      <c r="M3848">
        <f>3726.69</f>
        <v>3726.69</v>
      </c>
      <c r="N3848">
        <f>125.264</f>
        <v>125.264</v>
      </c>
      <c r="O3848">
        <f>1421.88</f>
        <v>1421.88</v>
      </c>
      <c r="P3848">
        <f>81.73</f>
        <v>81.73</v>
      </c>
      <c r="Q3848">
        <f>732.63</f>
        <v>732.63</v>
      </c>
      <c r="R3848">
        <f>1861.44</f>
        <v>1861.44</v>
      </c>
      <c r="S3848">
        <f>1311.57</f>
        <v>1311.57</v>
      </c>
      <c r="T3848">
        <f>975.903</f>
        <v>975.90300000000002</v>
      </c>
      <c r="U3848">
        <f>23835.97</f>
        <v>23835.97</v>
      </c>
      <c r="V3848">
        <f>122.15</f>
        <v>122.15</v>
      </c>
    </row>
    <row r="3849" spans="1:22" x14ac:dyDescent="0.2">
      <c r="A3849" s="1">
        <v>39720</v>
      </c>
      <c r="B3849">
        <f>2215.4</f>
        <v>2215.4</v>
      </c>
      <c r="C3849">
        <f>5515.88</f>
        <v>5515.88</v>
      </c>
      <c r="D3849">
        <f>2893.03</f>
        <v>2893.03</v>
      </c>
      <c r="E3849">
        <f>1313.767</f>
        <v>1313.7670000000001</v>
      </c>
      <c r="F3849">
        <f>1446.55</f>
        <v>1446.55</v>
      </c>
      <c r="G3849">
        <f>5314.28</f>
        <v>5314.28</v>
      </c>
      <c r="H3849">
        <f>1612.76</f>
        <v>1612.76</v>
      </c>
      <c r="I3849">
        <f>6030.178</f>
        <v>6030.1779999999999</v>
      </c>
      <c r="J3849">
        <f>1218.92</f>
        <v>1218.92</v>
      </c>
      <c r="K3849">
        <f>3663.91</f>
        <v>3663.91</v>
      </c>
      <c r="L3849">
        <f>926.37</f>
        <v>926.37</v>
      </c>
      <c r="M3849">
        <f>3667.06</f>
        <v>3667.06</v>
      </c>
      <c r="N3849">
        <f>122.722</f>
        <v>122.72199999999999</v>
      </c>
      <c r="O3849">
        <f>1398.99</f>
        <v>1398.99</v>
      </c>
      <c r="P3849">
        <f>84.15</f>
        <v>84.15</v>
      </c>
      <c r="Q3849">
        <f>698.41</f>
        <v>698.41</v>
      </c>
      <c r="R3849">
        <f>1765.72</f>
        <v>1765.72</v>
      </c>
      <c r="S3849">
        <f>1360.36</f>
        <v>1360.36</v>
      </c>
      <c r="T3849">
        <f>948.148</f>
        <v>948.14800000000002</v>
      </c>
      <c r="U3849">
        <f>23087.67</f>
        <v>23087.67</v>
      </c>
      <c r="V3849">
        <f>118.71</f>
        <v>118.71</v>
      </c>
    </row>
    <row r="3850" spans="1:22" x14ac:dyDescent="0.2">
      <c r="A3850" s="1">
        <v>39717</v>
      </c>
      <c r="B3850">
        <f>2351.94</f>
        <v>2351.94</v>
      </c>
      <c r="C3850">
        <f>5762.1</f>
        <v>5762.1</v>
      </c>
      <c r="D3850">
        <f>3054.95</f>
        <v>3054.95</v>
      </c>
      <c r="E3850">
        <f>1396.127</f>
        <v>1396.127</v>
      </c>
      <c r="F3850">
        <f>1582.96</f>
        <v>1582.96</v>
      </c>
      <c r="G3850">
        <f>5717.771</f>
        <v>5717.7709999999997</v>
      </c>
      <c r="H3850">
        <f>1634.33</f>
        <v>1634.33</v>
      </c>
      <c r="I3850">
        <f>6434.039</f>
        <v>6434.0389999999998</v>
      </c>
      <c r="J3850">
        <f>1333.51</f>
        <v>1333.51</v>
      </c>
      <c r="K3850">
        <f>4015.15</f>
        <v>4015.15</v>
      </c>
      <c r="L3850">
        <f>998.97</f>
        <v>998.97</v>
      </c>
      <c r="M3850">
        <f>3940.59</f>
        <v>3940.59</v>
      </c>
      <c r="N3850">
        <f>129.379</f>
        <v>129.37899999999999</v>
      </c>
      <c r="O3850">
        <f>1476.18</f>
        <v>1476.18</v>
      </c>
      <c r="P3850">
        <f>86.22</f>
        <v>86.22</v>
      </c>
      <c r="Q3850">
        <f>766.93</f>
        <v>766.93</v>
      </c>
      <c r="R3850">
        <f>1935.79</f>
        <v>1935.79</v>
      </c>
      <c r="S3850">
        <f>1384.51</f>
        <v>1384.51</v>
      </c>
      <c r="T3850">
        <f>986.154</f>
        <v>986.154</v>
      </c>
      <c r="U3850">
        <f>24499.94</f>
        <v>24499.94</v>
      </c>
      <c r="V3850">
        <f>124.65</f>
        <v>124.65</v>
      </c>
    </row>
    <row r="3851" spans="1:22" x14ac:dyDescent="0.2">
      <c r="A3851" s="1">
        <v>39716</v>
      </c>
      <c r="B3851">
        <f>2393.02</f>
        <v>2393.02</v>
      </c>
      <c r="C3851">
        <f>5822.99</f>
        <v>5822.99</v>
      </c>
      <c r="D3851">
        <f>3120.11</f>
        <v>3120.11</v>
      </c>
      <c r="E3851">
        <f>1420.837</f>
        <v>1420.837</v>
      </c>
      <c r="F3851">
        <f>1634.94</f>
        <v>1634.94</v>
      </c>
      <c r="G3851">
        <f>5850.398</f>
        <v>5850.3980000000001</v>
      </c>
      <c r="H3851">
        <f>1629.17</f>
        <v>1629.17</v>
      </c>
      <c r="I3851">
        <f>6584.125</f>
        <v>6584.125</v>
      </c>
      <c r="J3851">
        <f>1317.91</f>
        <v>1317.91</v>
      </c>
      <c r="K3851">
        <f>4005.22</f>
        <v>4005.22</v>
      </c>
      <c r="L3851">
        <f>1006.77</f>
        <v>1006.77</v>
      </c>
      <c r="M3851">
        <f>3974.14</f>
        <v>3974.14</v>
      </c>
      <c r="N3851">
        <f>131.522</f>
        <v>131.52199999999999</v>
      </c>
      <c r="O3851">
        <f>1502.62</f>
        <v>1502.62</v>
      </c>
      <c r="P3851">
        <f>86.69</f>
        <v>86.69</v>
      </c>
      <c r="Q3851">
        <f>761.93</f>
        <v>761.93</v>
      </c>
      <c r="R3851">
        <f>1929.24</f>
        <v>1929.24</v>
      </c>
      <c r="S3851">
        <f>1391.82</f>
        <v>1391.82</v>
      </c>
      <c r="T3851">
        <f>988.142</f>
        <v>988.14200000000005</v>
      </c>
      <c r="U3851">
        <f>24936.43</f>
        <v>24936.43</v>
      </c>
      <c r="V3851">
        <f>124.26</f>
        <v>124.26</v>
      </c>
    </row>
    <row r="3852" spans="1:22" x14ac:dyDescent="0.2">
      <c r="A3852" s="1">
        <v>39715</v>
      </c>
      <c r="B3852">
        <f>2356.08</f>
        <v>2356.08</v>
      </c>
      <c r="C3852">
        <f>5776.56</f>
        <v>5776.56</v>
      </c>
      <c r="D3852">
        <f>3059.2</f>
        <v>3059.2</v>
      </c>
      <c r="E3852">
        <f>1408.952</f>
        <v>1408.952</v>
      </c>
      <c r="F3852">
        <f>1566.34</f>
        <v>1566.34</v>
      </c>
      <c r="G3852">
        <f>5751.78</f>
        <v>5751.78</v>
      </c>
      <c r="H3852">
        <f>1645.85</f>
        <v>1645.85</v>
      </c>
      <c r="I3852">
        <f>6441.485</f>
        <v>6441.4849999999997</v>
      </c>
      <c r="J3852">
        <f>1286.99</f>
        <v>1286.99</v>
      </c>
      <c r="K3852">
        <f>3930.21</f>
        <v>3930.21</v>
      </c>
      <c r="L3852">
        <f>983.89</f>
        <v>983.89</v>
      </c>
      <c r="M3852">
        <f>3916.69</f>
        <v>3916.69</v>
      </c>
      <c r="N3852">
        <f>128.99</f>
        <v>128.99</v>
      </c>
      <c r="O3852">
        <f>1471.64</f>
        <v>1471.64</v>
      </c>
      <c r="P3852">
        <f>87.07</f>
        <v>87.07</v>
      </c>
      <c r="Q3852">
        <f>749.31</f>
        <v>749.31</v>
      </c>
      <c r="R3852">
        <f>1892.05</f>
        <v>1892.05</v>
      </c>
      <c r="S3852">
        <f>1397.47</f>
        <v>1397.47</v>
      </c>
      <c r="T3852" t="e">
        <f>NA()</f>
        <v>#N/A</v>
      </c>
      <c r="U3852" t="e">
        <f>NA()</f>
        <v>#N/A</v>
      </c>
      <c r="V3852" t="e">
        <f>NA()</f>
        <v>#N/A</v>
      </c>
    </row>
    <row r="3853" spans="1:22" x14ac:dyDescent="0.2">
      <c r="A3853" s="1">
        <v>39714</v>
      </c>
      <c r="B3853">
        <f>2359.97</f>
        <v>2359.9699999999998</v>
      </c>
      <c r="C3853">
        <f>5792.27</f>
        <v>5792.27</v>
      </c>
      <c r="D3853">
        <f>3082.12</f>
        <v>3082.12</v>
      </c>
      <c r="E3853">
        <f>1407.271</f>
        <v>1407.271</v>
      </c>
      <c r="F3853">
        <f>1586.01</f>
        <v>1586.01</v>
      </c>
      <c r="G3853">
        <f>5802.699</f>
        <v>5802.6989999999996</v>
      </c>
      <c r="H3853">
        <f>1649.24</f>
        <v>1649.24</v>
      </c>
      <c r="I3853">
        <f>6511.04</f>
        <v>6511.04</v>
      </c>
      <c r="J3853">
        <f>1288.63</f>
        <v>1288.6300000000001</v>
      </c>
      <c r="K3853">
        <f>3937.68</f>
        <v>3937.68</v>
      </c>
      <c r="L3853">
        <f>988.07</f>
        <v>988.07</v>
      </c>
      <c r="M3853">
        <f>3934.21</f>
        <v>3934.21</v>
      </c>
      <c r="N3853">
        <f>129.158</f>
        <v>129.15799999999999</v>
      </c>
      <c r="O3853">
        <f>1480.66</f>
        <v>1480.66</v>
      </c>
      <c r="P3853" t="e">
        <f>NA()</f>
        <v>#N/A</v>
      </c>
      <c r="Q3853">
        <f>750.44</f>
        <v>750.44</v>
      </c>
      <c r="R3853">
        <f>1895.78</f>
        <v>1895.78</v>
      </c>
      <c r="S3853" t="e">
        <f>NA()</f>
        <v>#N/A</v>
      </c>
      <c r="T3853">
        <f>984.917</f>
        <v>984.91700000000003</v>
      </c>
      <c r="U3853">
        <f>24923.34</f>
        <v>24923.34</v>
      </c>
      <c r="V3853">
        <f>123.66</f>
        <v>123.66</v>
      </c>
    </row>
    <row r="3854" spans="1:22" x14ac:dyDescent="0.2">
      <c r="A3854" s="1">
        <v>39713</v>
      </c>
      <c r="B3854">
        <f>2467.31</f>
        <v>2467.31</v>
      </c>
      <c r="C3854">
        <f>5928.9</f>
        <v>5928.9</v>
      </c>
      <c r="D3854">
        <f>3142.21</f>
        <v>3142.21</v>
      </c>
      <c r="E3854">
        <f>1448.18</f>
        <v>1448.18</v>
      </c>
      <c r="F3854">
        <f>1637.42</f>
        <v>1637.42</v>
      </c>
      <c r="G3854">
        <f>5884.802</f>
        <v>5884.8019999999997</v>
      </c>
      <c r="H3854">
        <f>1633.02</f>
        <v>1633.02</v>
      </c>
      <c r="I3854">
        <f>6582.352</f>
        <v>6582.3519999999999</v>
      </c>
      <c r="J3854">
        <f>1310.82</f>
        <v>1310.82</v>
      </c>
      <c r="K3854">
        <f>3999.74</f>
        <v>3999.74</v>
      </c>
      <c r="L3854">
        <f>1000.7</f>
        <v>1000.7</v>
      </c>
      <c r="M3854">
        <f>3982.03</f>
        <v>3982.03</v>
      </c>
      <c r="N3854">
        <f>131.666</f>
        <v>131.666</v>
      </c>
      <c r="O3854">
        <f>1505.28</f>
        <v>1505.28</v>
      </c>
      <c r="P3854">
        <f>87.49</f>
        <v>87.49</v>
      </c>
      <c r="Q3854">
        <f>764.52</f>
        <v>764.52</v>
      </c>
      <c r="R3854">
        <f>1925.86</f>
        <v>1925.86</v>
      </c>
      <c r="S3854">
        <f>1398.32</f>
        <v>1398.32</v>
      </c>
      <c r="T3854">
        <f>1023.709</f>
        <v>1023.7089999999999</v>
      </c>
      <c r="U3854">
        <f>25893.43</f>
        <v>25893.43</v>
      </c>
      <c r="V3854">
        <f>129.68</f>
        <v>129.68</v>
      </c>
    </row>
    <row r="3855" spans="1:22" x14ac:dyDescent="0.2">
      <c r="A3855" s="1">
        <v>39710</v>
      </c>
      <c r="B3855">
        <f>2539.91</f>
        <v>2539.91</v>
      </c>
      <c r="C3855">
        <f>5834.04</f>
        <v>5834.04</v>
      </c>
      <c r="D3855">
        <f>3187.26</f>
        <v>3187.26</v>
      </c>
      <c r="E3855">
        <f>1432.989</f>
        <v>1432.989</v>
      </c>
      <c r="F3855">
        <f>1662.64</f>
        <v>1662.64</v>
      </c>
      <c r="G3855">
        <f>5935.194</f>
        <v>5935.1940000000004</v>
      </c>
      <c r="H3855">
        <f>1600.37</f>
        <v>1600.37</v>
      </c>
      <c r="I3855">
        <f>6599.818</f>
        <v>6599.8180000000002</v>
      </c>
      <c r="J3855">
        <f>1374.9</f>
        <v>1374.9</v>
      </c>
      <c r="K3855">
        <f>4159.32</f>
        <v>4159.32</v>
      </c>
      <c r="L3855">
        <f>1020.25</f>
        <v>1020.25</v>
      </c>
      <c r="M3855">
        <f>4049.21</f>
        <v>4049.21</v>
      </c>
      <c r="N3855">
        <f>135.565</f>
        <v>135.565</v>
      </c>
      <c r="O3855">
        <f>1538.49</f>
        <v>1538.49</v>
      </c>
      <c r="P3855">
        <f>86.34</f>
        <v>86.34</v>
      </c>
      <c r="Q3855">
        <f>798.17</f>
        <v>798.17</v>
      </c>
      <c r="R3855">
        <f>2002.32</f>
        <v>2002.32</v>
      </c>
      <c r="S3855">
        <f>1374.91</f>
        <v>1374.91</v>
      </c>
      <c r="T3855">
        <f>1000</f>
        <v>1000</v>
      </c>
      <c r="U3855">
        <f>25402.11</f>
        <v>25402.11</v>
      </c>
      <c r="V3855">
        <f>126.42</f>
        <v>126.42</v>
      </c>
    </row>
    <row r="3856" spans="1:22" x14ac:dyDescent="0.2">
      <c r="A3856" s="1">
        <v>39709</v>
      </c>
      <c r="B3856">
        <f>2307.53</f>
        <v>2307.5300000000002</v>
      </c>
      <c r="C3856">
        <f>5403.49</f>
        <v>5403.49</v>
      </c>
      <c r="D3856">
        <f>2928.42</f>
        <v>2928.42</v>
      </c>
      <c r="E3856">
        <f>1301.098</f>
        <v>1301.098</v>
      </c>
      <c r="F3856">
        <f>1436.79</f>
        <v>1436.79</v>
      </c>
      <c r="G3856">
        <f>5412.147</f>
        <v>5412.1469999999999</v>
      </c>
      <c r="H3856">
        <f>1567.6</f>
        <v>1567.6</v>
      </c>
      <c r="I3856">
        <f>6115.602</f>
        <v>6115.6019999999999</v>
      </c>
      <c r="J3856">
        <f>1313.43</f>
        <v>1313.43</v>
      </c>
      <c r="K3856">
        <f>3994.17</f>
        <v>3994.17</v>
      </c>
      <c r="L3856">
        <f>939.51</f>
        <v>939.51</v>
      </c>
      <c r="M3856">
        <f>3829.91</f>
        <v>3829.91</v>
      </c>
      <c r="N3856">
        <f>125.581</f>
        <v>125.581</v>
      </c>
      <c r="O3856">
        <f>1419.87</f>
        <v>1419.87</v>
      </c>
      <c r="P3856">
        <f>83.99</f>
        <v>83.99</v>
      </c>
      <c r="Q3856">
        <f>768.33</f>
        <v>768.33</v>
      </c>
      <c r="R3856">
        <f>1924.85</f>
        <v>1924.85</v>
      </c>
      <c r="S3856">
        <f>1313.36</f>
        <v>1313.36</v>
      </c>
      <c r="T3856" t="e">
        <f>NA()</f>
        <v>#N/A</v>
      </c>
      <c r="U3856">
        <f>24092.74</f>
        <v>24092.74</v>
      </c>
      <c r="V3856">
        <f>120.13</f>
        <v>120.13</v>
      </c>
    </row>
    <row r="3857" spans="1:22" x14ac:dyDescent="0.2">
      <c r="A3857" s="1">
        <v>39708</v>
      </c>
      <c r="B3857">
        <f>2283</f>
        <v>2283</v>
      </c>
      <c r="C3857">
        <f>5457.16</f>
        <v>5457.16</v>
      </c>
      <c r="D3857">
        <f>2947.84</f>
        <v>2947.84</v>
      </c>
      <c r="E3857">
        <f>1302.869</f>
        <v>1302.8689999999999</v>
      </c>
      <c r="F3857">
        <f>1451.98</f>
        <v>1451.98</v>
      </c>
      <c r="G3857">
        <f>5375.285</f>
        <v>5375.2849999999999</v>
      </c>
      <c r="H3857">
        <f>1610.25</f>
        <v>1610.25</v>
      </c>
      <c r="I3857">
        <f>6067.933</f>
        <v>6067.933</v>
      </c>
      <c r="J3857">
        <f>1249.18</f>
        <v>1249.18</v>
      </c>
      <c r="K3857">
        <f>3828.85</f>
        <v>3828.85</v>
      </c>
      <c r="L3857">
        <f>918.14</f>
        <v>918.14</v>
      </c>
      <c r="M3857">
        <f>3749.41</f>
        <v>3749.41</v>
      </c>
      <c r="N3857">
        <f>126.881</f>
        <v>126.881</v>
      </c>
      <c r="O3857">
        <f>1428.55</f>
        <v>1428.55</v>
      </c>
      <c r="P3857">
        <f>85.43</f>
        <v>85.43</v>
      </c>
      <c r="Q3857">
        <f>728.85</f>
        <v>728.85</v>
      </c>
      <c r="R3857">
        <f>1844.31</f>
        <v>1844.31</v>
      </c>
      <c r="S3857">
        <f>1341.78</f>
        <v>1341.78</v>
      </c>
      <c r="T3857" t="e">
        <f>NA()</f>
        <v>#N/A</v>
      </c>
      <c r="U3857">
        <f>24323.19</f>
        <v>24323.19</v>
      </c>
      <c r="V3857">
        <f>122.88</f>
        <v>122.88</v>
      </c>
    </row>
    <row r="3858" spans="1:22" x14ac:dyDescent="0.2">
      <c r="A3858" s="1">
        <v>39707</v>
      </c>
      <c r="B3858">
        <f>2307.85</f>
        <v>2307.85</v>
      </c>
      <c r="C3858">
        <f>5547.29</f>
        <v>5547.29</v>
      </c>
      <c r="D3858">
        <f>3015.17</f>
        <v>3015.17</v>
      </c>
      <c r="E3858">
        <f>1329.38</f>
        <v>1329.38</v>
      </c>
      <c r="F3858">
        <f>1481.18</f>
        <v>1481.18</v>
      </c>
      <c r="G3858">
        <f>5433.677</f>
        <v>5433.6769999999997</v>
      </c>
      <c r="H3858">
        <f>1604.39</f>
        <v>1604.39</v>
      </c>
      <c r="I3858">
        <f>6177.296</f>
        <v>6177.2960000000003</v>
      </c>
      <c r="J3858">
        <f>1307.67</f>
        <v>1307.67</v>
      </c>
      <c r="K3858">
        <f>4016.68</f>
        <v>4016.68</v>
      </c>
      <c r="L3858">
        <f>945.63</f>
        <v>945.63</v>
      </c>
      <c r="M3858">
        <f>3864.8</f>
        <v>3864.8</v>
      </c>
      <c r="N3858">
        <f>129.179</f>
        <v>129.179</v>
      </c>
      <c r="O3858">
        <f>1458.11</f>
        <v>1458.11</v>
      </c>
      <c r="P3858">
        <f>85.45</f>
        <v>85.45</v>
      </c>
      <c r="Q3858">
        <f>760.39</f>
        <v>760.39</v>
      </c>
      <c r="R3858">
        <f>1935.49</f>
        <v>1935.49</v>
      </c>
      <c r="S3858">
        <f>1337.16</f>
        <v>1337.16</v>
      </c>
      <c r="T3858" t="e">
        <f>NA()</f>
        <v>#N/A</v>
      </c>
      <c r="U3858">
        <f>24978.86</f>
        <v>24978.86</v>
      </c>
      <c r="V3858">
        <f>126.48</f>
        <v>126.48</v>
      </c>
    </row>
    <row r="3859" spans="1:22" x14ac:dyDescent="0.2">
      <c r="A3859" s="1">
        <v>39706</v>
      </c>
      <c r="B3859">
        <f>2365.52</f>
        <v>2365.52</v>
      </c>
      <c r="C3859">
        <f>5790.12</f>
        <v>5790.12</v>
      </c>
      <c r="D3859">
        <f>3122.32</f>
        <v>3122.32</v>
      </c>
      <c r="E3859">
        <f>1398.08</f>
        <v>1398.08</v>
      </c>
      <c r="F3859">
        <f>1563.26</f>
        <v>1563.26</v>
      </c>
      <c r="G3859">
        <f>5685.415</f>
        <v>5685.415</v>
      </c>
      <c r="H3859">
        <f>1660.39</f>
        <v>1660.39</v>
      </c>
      <c r="I3859">
        <f>6336.356</f>
        <v>6336.3559999999998</v>
      </c>
      <c r="J3859">
        <f>1281.3</f>
        <v>1281.3</v>
      </c>
      <c r="K3859">
        <f>3947.58</f>
        <v>3947.58</v>
      </c>
      <c r="L3859">
        <f>959.24</f>
        <v>959.24</v>
      </c>
      <c r="M3859">
        <f>3892.43</f>
        <v>3892.43</v>
      </c>
      <c r="N3859">
        <f>132.003</f>
        <v>132.00299999999999</v>
      </c>
      <c r="O3859">
        <f>1496.8</f>
        <v>1496.8</v>
      </c>
      <c r="P3859" t="e">
        <f>NA()</f>
        <v>#N/A</v>
      </c>
      <c r="Q3859">
        <f>744.37</f>
        <v>744.37</v>
      </c>
      <c r="R3859">
        <f>1902.17</f>
        <v>1902.17</v>
      </c>
      <c r="S3859" t="e">
        <f>NA()</f>
        <v>#N/A</v>
      </c>
      <c r="T3859" t="e">
        <f>NA()</f>
        <v>#N/A</v>
      </c>
      <c r="U3859">
        <f>25642.3</f>
        <v>25642.3</v>
      </c>
      <c r="V3859">
        <f>128.48</f>
        <v>128.47999999999999</v>
      </c>
    </row>
    <row r="3860" spans="1:22" x14ac:dyDescent="0.2">
      <c r="A3860" s="1">
        <v>39703</v>
      </c>
      <c r="B3860">
        <f>2466.87</f>
        <v>2466.87</v>
      </c>
      <c r="C3860">
        <f>5960.56</f>
        <v>5960.56</v>
      </c>
      <c r="D3860">
        <f>3249.83</f>
        <v>3249.83</v>
      </c>
      <c r="E3860">
        <f>1448.189</f>
        <v>1448.1890000000001</v>
      </c>
      <c r="F3860">
        <f>1654.49</f>
        <v>1654.49</v>
      </c>
      <c r="G3860">
        <f>5891.942</f>
        <v>5891.942</v>
      </c>
      <c r="H3860">
        <f>1644.76</f>
        <v>1644.76</v>
      </c>
      <c r="I3860">
        <f>6553.9</f>
        <v>6553.9</v>
      </c>
      <c r="J3860">
        <f>1343.53</f>
        <v>1343.53</v>
      </c>
      <c r="K3860">
        <f>4141.75</f>
        <v>4141.75</v>
      </c>
      <c r="L3860">
        <f>1002.64</f>
        <v>1002.64</v>
      </c>
      <c r="M3860">
        <f>4037.72</f>
        <v>4037.72</v>
      </c>
      <c r="N3860">
        <f>136.64</f>
        <v>136.63999999999999</v>
      </c>
      <c r="O3860">
        <f>1551.89</f>
        <v>1551.89</v>
      </c>
      <c r="P3860">
        <f>88.7</f>
        <v>88.7</v>
      </c>
      <c r="Q3860">
        <f>769.65</f>
        <v>769.65</v>
      </c>
      <c r="R3860">
        <f>1996.26</f>
        <v>1996.26</v>
      </c>
      <c r="S3860">
        <f>1408.49</f>
        <v>1408.49</v>
      </c>
      <c r="T3860" t="e">
        <f>NA()</f>
        <v>#N/A</v>
      </c>
      <c r="U3860">
        <f>26154.97</f>
        <v>26154.97</v>
      </c>
      <c r="V3860">
        <f>130.86</f>
        <v>130.86000000000001</v>
      </c>
    </row>
    <row r="3861" spans="1:22" x14ac:dyDescent="0.2">
      <c r="A3861" s="1">
        <v>39702</v>
      </c>
      <c r="B3861">
        <f>2449.64</f>
        <v>2449.64</v>
      </c>
      <c r="C3861">
        <f>5856.79</f>
        <v>5856.79</v>
      </c>
      <c r="D3861">
        <f>3190.82</f>
        <v>3190.82</v>
      </c>
      <c r="E3861">
        <f>1421.091</f>
        <v>1421.0909999999999</v>
      </c>
      <c r="F3861">
        <f>1592.21</f>
        <v>1592.21</v>
      </c>
      <c r="G3861">
        <f>5673.648</f>
        <v>5673.6480000000001</v>
      </c>
      <c r="H3861">
        <f>1646.89</f>
        <v>1646.89</v>
      </c>
      <c r="I3861">
        <f>6336.212</f>
        <v>6336.2120000000004</v>
      </c>
      <c r="J3861">
        <f>1344.04</f>
        <v>1344.04</v>
      </c>
      <c r="K3861">
        <f>4128.02</f>
        <v>4128.0200000000004</v>
      </c>
      <c r="L3861">
        <f>981.49</f>
        <v>981.49</v>
      </c>
      <c r="M3861">
        <f>3974.56</f>
        <v>3974.56</v>
      </c>
      <c r="N3861">
        <f>134.081</f>
        <v>134.08099999999999</v>
      </c>
      <c r="O3861">
        <f>1523.7</f>
        <v>1523.7</v>
      </c>
      <c r="P3861">
        <f>87.88</f>
        <v>87.88</v>
      </c>
      <c r="Q3861">
        <f>763.39</f>
        <v>763.39</v>
      </c>
      <c r="R3861">
        <f>1992</f>
        <v>1992</v>
      </c>
      <c r="S3861">
        <f>1391.17</f>
        <v>1391.17</v>
      </c>
      <c r="T3861" t="e">
        <f>NA()</f>
        <v>#N/A</v>
      </c>
      <c r="U3861">
        <f>25549.29</f>
        <v>25549.29</v>
      </c>
      <c r="V3861">
        <f>130.64</f>
        <v>130.63999999999999</v>
      </c>
    </row>
    <row r="3862" spans="1:22" x14ac:dyDescent="0.2">
      <c r="A3862" s="1">
        <v>39701</v>
      </c>
      <c r="B3862">
        <f>2507.55</f>
        <v>2507.5500000000002</v>
      </c>
      <c r="C3862">
        <f>6031.07</f>
        <v>6031.07</v>
      </c>
      <c r="D3862">
        <f>3219.53</f>
        <v>3219.53</v>
      </c>
      <c r="E3862">
        <f>1453.376</f>
        <v>1453.376</v>
      </c>
      <c r="F3862">
        <f>1627.67</f>
        <v>1627.67</v>
      </c>
      <c r="G3862">
        <f>5742.411</f>
        <v>5742.4110000000001</v>
      </c>
      <c r="H3862">
        <f>1659.85</f>
        <v>1659.85</v>
      </c>
      <c r="I3862">
        <f>6443.648</f>
        <v>6443.6480000000001</v>
      </c>
      <c r="J3862">
        <f>1324</f>
        <v>1324</v>
      </c>
      <c r="K3862">
        <f>4072.17</f>
        <v>4072.17</v>
      </c>
      <c r="L3862">
        <f>989.7</f>
        <v>989.7</v>
      </c>
      <c r="M3862">
        <f>3977.58</f>
        <v>3977.58</v>
      </c>
      <c r="N3862">
        <f>135.344</f>
        <v>135.34399999999999</v>
      </c>
      <c r="O3862">
        <f>1535.02</f>
        <v>1535.02</v>
      </c>
      <c r="P3862">
        <f>89.63</f>
        <v>89.63</v>
      </c>
      <c r="Q3862">
        <f>754.56</f>
        <v>754.56</v>
      </c>
      <c r="R3862">
        <f>1964.25</f>
        <v>1964.25</v>
      </c>
      <c r="S3862">
        <f>1426.66</f>
        <v>1426.66</v>
      </c>
      <c r="T3862" t="e">
        <f>NA()</f>
        <v>#N/A</v>
      </c>
      <c r="U3862">
        <f>25273.6</f>
        <v>25273.599999999999</v>
      </c>
      <c r="V3862">
        <f>132.43</f>
        <v>132.43</v>
      </c>
    </row>
    <row r="3863" spans="1:22" x14ac:dyDescent="0.2">
      <c r="A3863" s="1">
        <v>39700</v>
      </c>
      <c r="B3863">
        <f>2564.28</f>
        <v>2564.2800000000002</v>
      </c>
      <c r="C3863">
        <f>6081.29</f>
        <v>6081.29</v>
      </c>
      <c r="D3863">
        <f>3247.78</f>
        <v>3247.78</v>
      </c>
      <c r="E3863">
        <f>1469.46</f>
        <v>1469.46</v>
      </c>
      <c r="F3863">
        <f>1671.19</f>
        <v>1671.19</v>
      </c>
      <c r="G3863">
        <f>5824.368</f>
        <v>5824.3680000000004</v>
      </c>
      <c r="H3863">
        <f>1664.04</f>
        <v>1664.04</v>
      </c>
      <c r="I3863">
        <f>6524.922</f>
        <v>6524.9219999999996</v>
      </c>
      <c r="J3863">
        <f>1326.23</f>
        <v>1326.23</v>
      </c>
      <c r="K3863">
        <f>4044.56</f>
        <v>4044.56</v>
      </c>
      <c r="L3863">
        <f>999.88</f>
        <v>999.88</v>
      </c>
      <c r="M3863">
        <f>3979.27</f>
        <v>3979.27</v>
      </c>
      <c r="N3863">
        <f>136.138</f>
        <v>136.13800000000001</v>
      </c>
      <c r="O3863">
        <f>1544.51</f>
        <v>1544.51</v>
      </c>
      <c r="P3863">
        <f>90.12</f>
        <v>90.12</v>
      </c>
      <c r="Q3863">
        <f>755.74</f>
        <v>755.74</v>
      </c>
      <c r="R3863">
        <f>1952.14</f>
        <v>1952.14</v>
      </c>
      <c r="S3863">
        <f>1425.72</f>
        <v>1425.72</v>
      </c>
      <c r="T3863" t="e">
        <f>NA()</f>
        <v>#N/A</v>
      </c>
      <c r="U3863">
        <f>25320.51</f>
        <v>25320.51</v>
      </c>
      <c r="V3863">
        <f>132.59</f>
        <v>132.59</v>
      </c>
    </row>
    <row r="3864" spans="1:22" x14ac:dyDescent="0.2">
      <c r="A3864" s="1">
        <v>39699</v>
      </c>
      <c r="B3864">
        <f>2557.03</f>
        <v>2557.0300000000002</v>
      </c>
      <c r="C3864">
        <f>6292.88</f>
        <v>6292.88</v>
      </c>
      <c r="D3864">
        <f>3266.18</f>
        <v>3266.18</v>
      </c>
      <c r="E3864">
        <f>1526.498</f>
        <v>1526.498</v>
      </c>
      <c r="F3864">
        <f>1654.29</f>
        <v>1654.29</v>
      </c>
      <c r="G3864">
        <f>5856.031</f>
        <v>5856.0309999999999</v>
      </c>
      <c r="H3864">
        <f>1686.93</f>
        <v>1686.93</v>
      </c>
      <c r="I3864">
        <f>6613.862</f>
        <v>6613.8620000000001</v>
      </c>
      <c r="J3864">
        <f>1363.69</f>
        <v>1363.69</v>
      </c>
      <c r="K3864">
        <f>4189.29</f>
        <v>4189.29</v>
      </c>
      <c r="L3864">
        <f>1016.44</f>
        <v>1016.44</v>
      </c>
      <c r="M3864">
        <f>4081.94</f>
        <v>4081.94</v>
      </c>
      <c r="N3864">
        <f>136.753</f>
        <v>136.75299999999999</v>
      </c>
      <c r="O3864">
        <f>1552.73</f>
        <v>1552.73</v>
      </c>
      <c r="P3864">
        <f>92.11</f>
        <v>92.11</v>
      </c>
      <c r="Q3864">
        <f>776.62</f>
        <v>776.62</v>
      </c>
      <c r="R3864">
        <f>2021.13</f>
        <v>2021.13</v>
      </c>
      <c r="S3864">
        <f>1455.41</f>
        <v>1455.41</v>
      </c>
      <c r="T3864" t="e">
        <f>NA()</f>
        <v>#N/A</v>
      </c>
      <c r="U3864">
        <f>26238.12</f>
        <v>26238.12</v>
      </c>
      <c r="V3864">
        <f>131.64</f>
        <v>131.63999999999999</v>
      </c>
    </row>
    <row r="3865" spans="1:22" x14ac:dyDescent="0.2">
      <c r="A3865" s="1">
        <v>39696</v>
      </c>
      <c r="B3865">
        <f>2433.11</f>
        <v>2433.11</v>
      </c>
      <c r="C3865">
        <f>6061.77</f>
        <v>6061.77</v>
      </c>
      <c r="D3865">
        <f>3142.87</f>
        <v>3142.87</v>
      </c>
      <c r="E3865">
        <f>1477.564</f>
        <v>1477.5640000000001</v>
      </c>
      <c r="F3865">
        <f>1556.88</f>
        <v>1556.88</v>
      </c>
      <c r="G3865">
        <f>5644.022</f>
        <v>5644.0219999999999</v>
      </c>
      <c r="H3865">
        <f>1670.06</f>
        <v>1670.06</v>
      </c>
      <c r="I3865">
        <f>6454.01</f>
        <v>6454.01</v>
      </c>
      <c r="J3865">
        <f>1317.04</f>
        <v>1317.04</v>
      </c>
      <c r="K3865">
        <f>4111.27</f>
        <v>4111.2700000000004</v>
      </c>
      <c r="L3865">
        <f>980.52</f>
        <v>980.52</v>
      </c>
      <c r="M3865">
        <f>3991.82</f>
        <v>3991.82</v>
      </c>
      <c r="N3865">
        <f>131.784</f>
        <v>131.78399999999999</v>
      </c>
      <c r="O3865">
        <f>1501.92</f>
        <v>1501.92</v>
      </c>
      <c r="P3865">
        <f>89.39</f>
        <v>89.39</v>
      </c>
      <c r="Q3865">
        <f>752.6</f>
        <v>752.6</v>
      </c>
      <c r="R3865">
        <f>1980.18</f>
        <v>1980.18</v>
      </c>
      <c r="S3865">
        <f>1400.89</f>
        <v>1400.89</v>
      </c>
      <c r="T3865" t="e">
        <f>NA()</f>
        <v>#N/A</v>
      </c>
      <c r="U3865">
        <f>25416.67</f>
        <v>25416.67</v>
      </c>
      <c r="V3865">
        <f>127.11</f>
        <v>127.11</v>
      </c>
    </row>
    <row r="3866" spans="1:22" x14ac:dyDescent="0.2">
      <c r="A3866" s="1">
        <v>39695</v>
      </c>
      <c r="B3866">
        <f>2483.75</f>
        <v>2483.75</v>
      </c>
      <c r="C3866">
        <f>6191.07</f>
        <v>6191.07</v>
      </c>
      <c r="D3866">
        <f>3215.67</f>
        <v>3215.67</v>
      </c>
      <c r="E3866">
        <f>1510.675</f>
        <v>1510.675</v>
      </c>
      <c r="F3866">
        <f>1611.3</f>
        <v>1611.3</v>
      </c>
      <c r="G3866">
        <f>5792.6</f>
        <v>5792.6</v>
      </c>
      <c r="H3866">
        <f>1679.44</f>
        <v>1679.44</v>
      </c>
      <c r="I3866">
        <f>6661.49</f>
        <v>6661.49</v>
      </c>
      <c r="J3866">
        <f>1304.82</f>
        <v>1304.82</v>
      </c>
      <c r="K3866">
        <f>4092.73</f>
        <v>4092.73</v>
      </c>
      <c r="L3866">
        <f>995.41</f>
        <v>995.41</v>
      </c>
      <c r="M3866">
        <f>4032.33</f>
        <v>4032.33</v>
      </c>
      <c r="N3866">
        <f>133.86</f>
        <v>133.86000000000001</v>
      </c>
      <c r="O3866">
        <f>1534.89</f>
        <v>1534.89</v>
      </c>
      <c r="P3866">
        <f>91.23</f>
        <v>91.23</v>
      </c>
      <c r="Q3866">
        <f>743.44</f>
        <v>743.44</v>
      </c>
      <c r="R3866">
        <f>1971.37</f>
        <v>1971.37</v>
      </c>
      <c r="S3866">
        <f>1437.75</f>
        <v>1437.75</v>
      </c>
      <c r="T3866" t="e">
        <f>NA()</f>
        <v>#N/A</v>
      </c>
      <c r="U3866">
        <f>26190.09</f>
        <v>26190.09</v>
      </c>
      <c r="V3866">
        <f>128.3</f>
        <v>128.30000000000001</v>
      </c>
    </row>
    <row r="3867" spans="1:22" x14ac:dyDescent="0.2">
      <c r="A3867" s="1">
        <v>39694</v>
      </c>
      <c r="B3867">
        <f>2551.93</f>
        <v>2551.9299999999998</v>
      </c>
      <c r="C3867">
        <f>6307.8</f>
        <v>6307.8</v>
      </c>
      <c r="D3867">
        <f>3298.2</f>
        <v>3298.2</v>
      </c>
      <c r="E3867">
        <f>1542.165</f>
        <v>1542.165</v>
      </c>
      <c r="F3867">
        <f>1672.08</f>
        <v>1672.08</v>
      </c>
      <c r="G3867">
        <f>5955.648</f>
        <v>5955.6480000000001</v>
      </c>
      <c r="H3867">
        <f>1697.22</f>
        <v>1697.22</v>
      </c>
      <c r="I3867">
        <f>6886.26</f>
        <v>6886.26</v>
      </c>
      <c r="J3867">
        <f>1341.1</f>
        <v>1341.1</v>
      </c>
      <c r="K3867">
        <f>4216.42</f>
        <v>4216.42</v>
      </c>
      <c r="L3867">
        <f>1024.97</f>
        <v>1024.97</v>
      </c>
      <c r="M3867">
        <f>4145.94</f>
        <v>4145.9399999999996</v>
      </c>
      <c r="N3867">
        <f>137.213</f>
        <v>137.21299999999999</v>
      </c>
      <c r="O3867">
        <f>1575.51</f>
        <v>1575.51</v>
      </c>
      <c r="P3867">
        <f>91.8</f>
        <v>91.8</v>
      </c>
      <c r="Q3867">
        <f>763.13</f>
        <v>763.13</v>
      </c>
      <c r="R3867">
        <f>2032.13</f>
        <v>2032.13</v>
      </c>
      <c r="S3867">
        <f>1460.36</f>
        <v>1460.36</v>
      </c>
      <c r="T3867" t="e">
        <f>NA()</f>
        <v>#N/A</v>
      </c>
      <c r="U3867">
        <f>26532.11</f>
        <v>26532.11</v>
      </c>
      <c r="V3867">
        <f>129.29</f>
        <v>129.29</v>
      </c>
    </row>
    <row r="3868" spans="1:22" x14ac:dyDescent="0.2">
      <c r="A3868" s="1">
        <v>39693</v>
      </c>
      <c r="B3868">
        <f>2601.85</f>
        <v>2601.85</v>
      </c>
      <c r="C3868">
        <f>6424.68</f>
        <v>6424.68</v>
      </c>
      <c r="D3868">
        <f>3368.22</f>
        <v>3368.22</v>
      </c>
      <c r="E3868">
        <f>1570.152</f>
        <v>1570.152</v>
      </c>
      <c r="F3868">
        <f>1719.12</f>
        <v>1719.12</v>
      </c>
      <c r="G3868">
        <f>6113.645</f>
        <v>6113.6450000000004</v>
      </c>
      <c r="H3868">
        <f>1676.46</f>
        <v>1676.46</v>
      </c>
      <c r="I3868">
        <f>7000.196</f>
        <v>7000.1959999999999</v>
      </c>
      <c r="J3868">
        <f>1334.61</f>
        <v>1334.61</v>
      </c>
      <c r="K3868">
        <f>4227.82</f>
        <v>4227.82</v>
      </c>
      <c r="L3868">
        <f>1033.82</f>
        <v>1033.82</v>
      </c>
      <c r="M3868">
        <f>4177.1</f>
        <v>4177.1000000000004</v>
      </c>
      <c r="N3868">
        <f>139.805</f>
        <v>139.80500000000001</v>
      </c>
      <c r="O3868">
        <f>1598.99</f>
        <v>1598.99</v>
      </c>
      <c r="P3868">
        <f>90.84</f>
        <v>90.84</v>
      </c>
      <c r="Q3868">
        <f>758.56</f>
        <v>758.56</v>
      </c>
      <c r="R3868">
        <f>2035.24</f>
        <v>2035.24</v>
      </c>
      <c r="S3868">
        <f>1450.58</f>
        <v>1450.58</v>
      </c>
      <c r="T3868" t="e">
        <f>NA()</f>
        <v>#N/A</v>
      </c>
      <c r="U3868">
        <f>26747.82</f>
        <v>26747.82</v>
      </c>
      <c r="V3868">
        <f>129.21</f>
        <v>129.21</v>
      </c>
    </row>
    <row r="3869" spans="1:22" x14ac:dyDescent="0.2">
      <c r="A3869" s="1">
        <v>39692</v>
      </c>
      <c r="B3869">
        <f>2548.65</f>
        <v>2548.65</v>
      </c>
      <c r="C3869">
        <f>6479.99</f>
        <v>6479.99</v>
      </c>
      <c r="D3869">
        <f>3357.5</f>
        <v>3357.5</v>
      </c>
      <c r="E3869">
        <f>1580.242</f>
        <v>1580.242</v>
      </c>
      <c r="F3869">
        <f>1698.32</f>
        <v>1698.32</v>
      </c>
      <c r="G3869">
        <f>6133.294</f>
        <v>6133.2939999999999</v>
      </c>
      <c r="H3869">
        <f>1712.89</f>
        <v>1712.89</v>
      </c>
      <c r="I3869">
        <f>6941.356</f>
        <v>6941.3559999999998</v>
      </c>
      <c r="J3869">
        <f>1322.17</f>
        <v>1322.17</v>
      </c>
      <c r="K3869">
        <f>4250.38</f>
        <v>4250.38</v>
      </c>
      <c r="L3869">
        <f>1025.11</f>
        <v>1025.1099999999999</v>
      </c>
      <c r="M3869">
        <f>4199.03</f>
        <v>4199.03</v>
      </c>
      <c r="N3869">
        <f>137.349</f>
        <v>137.34899999999999</v>
      </c>
      <c r="O3869">
        <f>1583.58</f>
        <v>1583.58</v>
      </c>
      <c r="P3869">
        <f>92.59</f>
        <v>92.59</v>
      </c>
      <c r="Q3869">
        <f>748.18</f>
        <v>748.18</v>
      </c>
      <c r="R3869" t="e">
        <f>NA()</f>
        <v>#N/A</v>
      </c>
      <c r="S3869">
        <f>1472.43</f>
        <v>1472.43</v>
      </c>
      <c r="T3869" t="e">
        <f>NA()</f>
        <v>#N/A</v>
      </c>
      <c r="U3869">
        <f>26857.09</f>
        <v>26857.09</v>
      </c>
      <c r="V3869">
        <f>128.05</f>
        <v>128.05000000000001</v>
      </c>
    </row>
    <row r="3870" spans="1:22" x14ac:dyDescent="0.2">
      <c r="A3870" s="1">
        <v>39689</v>
      </c>
      <c r="B3870">
        <f>2540.65</f>
        <v>2540.65</v>
      </c>
      <c r="C3870">
        <f>6638.06</f>
        <v>6638.06</v>
      </c>
      <c r="D3870">
        <f>3377.75</f>
        <v>3377.75</v>
      </c>
      <c r="E3870">
        <f>1616.719</f>
        <v>1616.7190000000001</v>
      </c>
      <c r="F3870">
        <f>1715.38</f>
        <v>1715.38</v>
      </c>
      <c r="G3870">
        <f>6253.981</f>
        <v>6253.9809999999998</v>
      </c>
      <c r="H3870">
        <f>1738.38</f>
        <v>1738.38</v>
      </c>
      <c r="I3870">
        <f>7009.626</f>
        <v>7009.6260000000002</v>
      </c>
      <c r="J3870">
        <f>1322.17</f>
        <v>1322.17</v>
      </c>
      <c r="K3870">
        <f>4250.38</f>
        <v>4250.38</v>
      </c>
      <c r="L3870">
        <f>1033.79</f>
        <v>1033.79</v>
      </c>
      <c r="M3870">
        <f>4227.71</f>
        <v>4227.71</v>
      </c>
      <c r="N3870">
        <f>137.472</f>
        <v>137.47200000000001</v>
      </c>
      <c r="O3870">
        <f>1589.13</f>
        <v>1589.13</v>
      </c>
      <c r="P3870">
        <f>93.87</f>
        <v>93.87</v>
      </c>
      <c r="Q3870">
        <f>748.18</f>
        <v>748.18</v>
      </c>
      <c r="R3870">
        <f>2043.53</f>
        <v>2043.53</v>
      </c>
      <c r="S3870">
        <f>1501.23</f>
        <v>1501.23</v>
      </c>
      <c r="T3870" t="e">
        <f>NA()</f>
        <v>#N/A</v>
      </c>
      <c r="U3870">
        <f>27702.06</f>
        <v>27702.06</v>
      </c>
      <c r="V3870">
        <f>129.58</f>
        <v>129.58000000000001</v>
      </c>
    </row>
    <row r="3871" spans="1:22" x14ac:dyDescent="0.2">
      <c r="A3871" s="1">
        <v>39688</v>
      </c>
      <c r="B3871">
        <f>2525.78</f>
        <v>2525.7800000000002</v>
      </c>
      <c r="C3871">
        <f>6633.49</f>
        <v>6633.49</v>
      </c>
      <c r="D3871">
        <f>3356.5</f>
        <v>3356.5</v>
      </c>
      <c r="E3871">
        <f>1617.727</f>
        <v>1617.7270000000001</v>
      </c>
      <c r="F3871">
        <f>1720.67</f>
        <v>1720.67</v>
      </c>
      <c r="G3871">
        <f>6232.907</f>
        <v>6232.9070000000002</v>
      </c>
      <c r="H3871">
        <f>1674.61</f>
        <v>1674.61</v>
      </c>
      <c r="I3871">
        <f>6986.474</f>
        <v>6986.4740000000002</v>
      </c>
      <c r="J3871">
        <f>1338.6</f>
        <v>1338.6</v>
      </c>
      <c r="K3871">
        <f>4308.47</f>
        <v>4308.47</v>
      </c>
      <c r="L3871">
        <f>1034.31</f>
        <v>1034.31</v>
      </c>
      <c r="M3871">
        <f>4235.15</f>
        <v>4235.1499999999996</v>
      </c>
      <c r="N3871">
        <f>137.177</f>
        <v>137.17699999999999</v>
      </c>
      <c r="O3871">
        <f>1583.91</f>
        <v>1583.91</v>
      </c>
      <c r="P3871">
        <f>91.15</f>
        <v>91.15</v>
      </c>
      <c r="Q3871">
        <f>753.4</f>
        <v>753.4</v>
      </c>
      <c r="R3871">
        <f>2071.86</f>
        <v>2071.86</v>
      </c>
      <c r="S3871">
        <f>1459.14</f>
        <v>1459.14</v>
      </c>
      <c r="T3871" t="e">
        <f>NA()</f>
        <v>#N/A</v>
      </c>
      <c r="U3871">
        <f>28027.74</f>
        <v>28027.74</v>
      </c>
      <c r="V3871">
        <f>129.63</f>
        <v>129.63</v>
      </c>
    </row>
    <row r="3872" spans="1:22" x14ac:dyDescent="0.2">
      <c r="A3872" s="1">
        <v>39687</v>
      </c>
      <c r="B3872">
        <f>2473.49</f>
        <v>2473.4899999999998</v>
      </c>
      <c r="C3872">
        <f>6581.38</f>
        <v>6581.38</v>
      </c>
      <c r="D3872">
        <f>3312.76</f>
        <v>3312.76</v>
      </c>
      <c r="E3872">
        <f>1612.239</f>
        <v>1612.239</v>
      </c>
      <c r="F3872">
        <f>1685.58</f>
        <v>1685.58</v>
      </c>
      <c r="G3872">
        <f>6179.57</f>
        <v>6179.57</v>
      </c>
      <c r="H3872">
        <f>1670.7</f>
        <v>1670.7</v>
      </c>
      <c r="I3872">
        <f>6867.009</f>
        <v>6867.009</v>
      </c>
      <c r="J3872">
        <f>1311.96</f>
        <v>1311.96</v>
      </c>
      <c r="K3872">
        <f>4246.53</f>
        <v>4246.53</v>
      </c>
      <c r="L3872">
        <f>1014.16</f>
        <v>1014.16</v>
      </c>
      <c r="M3872">
        <f>4181.72</f>
        <v>4181.72</v>
      </c>
      <c r="N3872">
        <f>134.661</f>
        <v>134.661</v>
      </c>
      <c r="O3872">
        <f>1560.89</f>
        <v>1560.89</v>
      </c>
      <c r="P3872">
        <f>91.53</f>
        <v>91.53</v>
      </c>
      <c r="Q3872">
        <f>739.43</f>
        <v>739.43</v>
      </c>
      <c r="R3872">
        <f>2041.24</f>
        <v>2041.24</v>
      </c>
      <c r="S3872">
        <f>1464.12</f>
        <v>1464.12</v>
      </c>
      <c r="T3872" t="e">
        <f>NA()</f>
        <v>#N/A</v>
      </c>
      <c r="U3872">
        <f>27426.59</f>
        <v>27426.59</v>
      </c>
      <c r="V3872">
        <f>125.14</f>
        <v>125.14</v>
      </c>
    </row>
    <row r="3873" spans="1:22" x14ac:dyDescent="0.2">
      <c r="A3873" s="1">
        <v>39686</v>
      </c>
      <c r="B3873">
        <f>2461.82</f>
        <v>2461.8200000000002</v>
      </c>
      <c r="C3873">
        <f>6484.54</f>
        <v>6484.54</v>
      </c>
      <c r="D3873">
        <f>3277.97</f>
        <v>3277.97</v>
      </c>
      <c r="E3873">
        <f>1586.424</f>
        <v>1586.424</v>
      </c>
      <c r="F3873">
        <f>1662.47</f>
        <v>1662.47</v>
      </c>
      <c r="G3873">
        <f>6119.146</f>
        <v>6119.1459999999997</v>
      </c>
      <c r="H3873">
        <f>1672.11</f>
        <v>1672.11</v>
      </c>
      <c r="I3873">
        <f>6838.304</f>
        <v>6838.3040000000001</v>
      </c>
      <c r="J3873">
        <f>1302.21</f>
        <v>1302.21</v>
      </c>
      <c r="K3873">
        <f>4211.42</f>
        <v>4211.42</v>
      </c>
      <c r="L3873">
        <f>1007.1</f>
        <v>1007.1</v>
      </c>
      <c r="M3873">
        <f>4154.1</f>
        <v>4154.1000000000004</v>
      </c>
      <c r="N3873">
        <f>134.739</f>
        <v>134.739</v>
      </c>
      <c r="O3873">
        <f>1558.49</f>
        <v>1558.49</v>
      </c>
      <c r="P3873">
        <f>91.73</f>
        <v>91.73</v>
      </c>
      <c r="Q3873">
        <f>734.51</f>
        <v>734.51</v>
      </c>
      <c r="R3873">
        <f>2024.72</f>
        <v>2024.72</v>
      </c>
      <c r="S3873">
        <f>1470.89</f>
        <v>1470.89</v>
      </c>
      <c r="T3873" t="e">
        <f>NA()</f>
        <v>#N/A</v>
      </c>
      <c r="U3873">
        <f>27023.37</f>
        <v>27023.37</v>
      </c>
      <c r="V3873">
        <f>123.79</f>
        <v>123.79</v>
      </c>
    </row>
    <row r="3874" spans="1:22" x14ac:dyDescent="0.2">
      <c r="A3874" s="1">
        <v>39685</v>
      </c>
      <c r="B3874" t="e">
        <f>NA()</f>
        <v>#N/A</v>
      </c>
      <c r="C3874">
        <f>6561.9</f>
        <v>6561.9</v>
      </c>
      <c r="D3874" t="e">
        <f>NA()</f>
        <v>#N/A</v>
      </c>
      <c r="E3874">
        <f>1606.116</f>
        <v>1606.116</v>
      </c>
      <c r="F3874">
        <f>1693.9</f>
        <v>1693.9</v>
      </c>
      <c r="G3874">
        <f>6204.749</f>
        <v>6204.7489999999998</v>
      </c>
      <c r="H3874">
        <f>1689.73</f>
        <v>1689.73</v>
      </c>
      <c r="I3874">
        <f>6863.674</f>
        <v>6863.674</v>
      </c>
      <c r="J3874">
        <f>1300.43</f>
        <v>1300.43</v>
      </c>
      <c r="K3874">
        <f>4195.09</f>
        <v>4195.09</v>
      </c>
      <c r="L3874">
        <f>1013.49</f>
        <v>1013.49</v>
      </c>
      <c r="M3874">
        <f>4161.13</f>
        <v>4161.13</v>
      </c>
      <c r="N3874">
        <f>134.897</f>
        <v>134.89699999999999</v>
      </c>
      <c r="O3874">
        <f>1557.27</f>
        <v>1557.27</v>
      </c>
      <c r="P3874">
        <f>92.32</f>
        <v>92.32</v>
      </c>
      <c r="Q3874">
        <f>731.68</f>
        <v>731.68</v>
      </c>
      <c r="R3874">
        <f>2017.27</f>
        <v>2017.27</v>
      </c>
      <c r="S3874">
        <f>1482.48</f>
        <v>1482.48</v>
      </c>
      <c r="T3874" t="e">
        <f>NA()</f>
        <v>#N/A</v>
      </c>
      <c r="U3874">
        <f>26703.51</f>
        <v>26703.51</v>
      </c>
      <c r="V3874">
        <f>122.86</f>
        <v>122.86</v>
      </c>
    </row>
    <row r="3875" spans="1:22" x14ac:dyDescent="0.2">
      <c r="A3875" s="1">
        <v>39682</v>
      </c>
      <c r="B3875">
        <f>2475.27</f>
        <v>2475.27</v>
      </c>
      <c r="C3875">
        <f>6581.07</f>
        <v>6581.07</v>
      </c>
      <c r="D3875">
        <f>3298.89</f>
        <v>3298.89</v>
      </c>
      <c r="E3875">
        <f>1615.858</f>
        <v>1615.8579999999999</v>
      </c>
      <c r="F3875">
        <f>1698.88</f>
        <v>1698.88</v>
      </c>
      <c r="G3875">
        <f>6223</f>
        <v>6223</v>
      </c>
      <c r="H3875">
        <f>1659.93</f>
        <v>1659.93</v>
      </c>
      <c r="I3875">
        <f>6936.555</f>
        <v>6936.5550000000003</v>
      </c>
      <c r="J3875">
        <f>1327.28</f>
        <v>1327.28</v>
      </c>
      <c r="K3875">
        <f>4278.19</f>
        <v>4278.1899999999996</v>
      </c>
      <c r="L3875">
        <f>1024.36</f>
        <v>1024.3599999999999</v>
      </c>
      <c r="M3875">
        <f>4202.93</f>
        <v>4202.93</v>
      </c>
      <c r="N3875">
        <f>135.251</f>
        <v>135.251</v>
      </c>
      <c r="O3875">
        <f>1564.55</f>
        <v>1564.55</v>
      </c>
      <c r="P3875">
        <f>90.98</f>
        <v>90.98</v>
      </c>
      <c r="Q3875">
        <f>746.51</f>
        <v>746.51</v>
      </c>
      <c r="R3875">
        <f>2057.64</f>
        <v>2057.64</v>
      </c>
      <c r="S3875">
        <f>1455.16</f>
        <v>1455.16</v>
      </c>
      <c r="T3875" t="e">
        <f>NA()</f>
        <v>#N/A</v>
      </c>
      <c r="U3875">
        <f>27161.34</f>
        <v>27161.34</v>
      </c>
      <c r="V3875">
        <f>123.12</f>
        <v>123.12</v>
      </c>
    </row>
    <row r="3876" spans="1:22" x14ac:dyDescent="0.2">
      <c r="A3876" s="1">
        <v>39681</v>
      </c>
      <c r="B3876">
        <f>2400.05</f>
        <v>2400.0500000000002</v>
      </c>
      <c r="C3876">
        <f>6565.19</f>
        <v>6565.19</v>
      </c>
      <c r="D3876">
        <f>3217.77</f>
        <v>3217.77</v>
      </c>
      <c r="E3876">
        <f>1617.357</f>
        <v>1617.357</v>
      </c>
      <c r="F3876">
        <f>1643.94</f>
        <v>1643.94</v>
      </c>
      <c r="G3876">
        <f>6125.778</f>
        <v>6125.7780000000002</v>
      </c>
      <c r="H3876">
        <f>1685.87</f>
        <v>1685.87</v>
      </c>
      <c r="I3876">
        <f>6839.709</f>
        <v>6839.7089999999998</v>
      </c>
      <c r="J3876">
        <f>1307.6</f>
        <v>1307.5999999999999</v>
      </c>
      <c r="K3876">
        <f>4231.67</f>
        <v>4231.67</v>
      </c>
      <c r="L3876">
        <f>1009.27</f>
        <v>1009.27</v>
      </c>
      <c r="M3876">
        <f>4171.59</f>
        <v>4171.59</v>
      </c>
      <c r="N3876">
        <f>132.395</f>
        <v>132.39500000000001</v>
      </c>
      <c r="O3876">
        <f>1535.55</f>
        <v>1535.55</v>
      </c>
      <c r="P3876">
        <f>91.84</f>
        <v>91.84</v>
      </c>
      <c r="Q3876">
        <f>734.24</f>
        <v>734.24</v>
      </c>
      <c r="R3876">
        <f>2034.35</f>
        <v>2034.35</v>
      </c>
      <c r="S3876">
        <f>1464.87</f>
        <v>1464.87</v>
      </c>
      <c r="T3876" t="e">
        <f>NA()</f>
        <v>#N/A</v>
      </c>
      <c r="U3876">
        <f>27064.87</f>
        <v>27064.87</v>
      </c>
      <c r="V3876">
        <f>121.42</f>
        <v>121.42</v>
      </c>
    </row>
    <row r="3877" spans="1:22" x14ac:dyDescent="0.2">
      <c r="A3877" s="1">
        <v>39680</v>
      </c>
      <c r="B3877">
        <f>2402.86</f>
        <v>2402.86</v>
      </c>
      <c r="C3877">
        <f>6571.28</f>
        <v>6571.28</v>
      </c>
      <c r="D3877">
        <f>3218.72</f>
        <v>3218.72</v>
      </c>
      <c r="E3877">
        <f>1624.367</f>
        <v>1624.367</v>
      </c>
      <c r="F3877">
        <f>1652.07</f>
        <v>1652.07</v>
      </c>
      <c r="G3877">
        <f>6072.167</f>
        <v>6072.1670000000004</v>
      </c>
      <c r="H3877">
        <f>1664.2</f>
        <v>1664.2</v>
      </c>
      <c r="I3877">
        <f>6845.889</f>
        <v>6845.8890000000001</v>
      </c>
      <c r="J3877">
        <f>1308.19</f>
        <v>1308.19</v>
      </c>
      <c r="K3877">
        <f>4220.81</f>
        <v>4220.8100000000004</v>
      </c>
      <c r="L3877">
        <f>1010.53</f>
        <v>1010.53</v>
      </c>
      <c r="M3877">
        <f>4155.4</f>
        <v>4155.3999999999996</v>
      </c>
      <c r="N3877">
        <f>134.114</f>
        <v>134.114</v>
      </c>
      <c r="O3877">
        <f>1550.21</f>
        <v>1550.21</v>
      </c>
      <c r="P3877">
        <f>92.46</f>
        <v>92.46</v>
      </c>
      <c r="Q3877">
        <f>735.45</f>
        <v>735.45</v>
      </c>
      <c r="R3877">
        <f>2029.15</f>
        <v>2029.15</v>
      </c>
      <c r="S3877">
        <f>1475.44</f>
        <v>1475.44</v>
      </c>
      <c r="T3877" t="e">
        <f>NA()</f>
        <v>#N/A</v>
      </c>
      <c r="U3877">
        <f>26794.25</f>
        <v>26794.25</v>
      </c>
      <c r="V3877">
        <f>121.14</f>
        <v>121.14</v>
      </c>
    </row>
    <row r="3878" spans="1:22" x14ac:dyDescent="0.2">
      <c r="A3878" s="1">
        <v>39679</v>
      </c>
      <c r="B3878">
        <f>2414.59</f>
        <v>2414.59</v>
      </c>
      <c r="C3878">
        <f>6474.85</f>
        <v>6474.85</v>
      </c>
      <c r="D3878">
        <f>3178.44</f>
        <v>3178.44</v>
      </c>
      <c r="E3878">
        <f>1592.851</f>
        <v>1592.8510000000001</v>
      </c>
      <c r="F3878">
        <f>1650.82</f>
        <v>1650.82</v>
      </c>
      <c r="G3878">
        <f>6009.918</f>
        <v>6009.9179999999997</v>
      </c>
      <c r="H3878">
        <f>1676.35</f>
        <v>1676.35</v>
      </c>
      <c r="I3878">
        <f>6814.126</f>
        <v>6814.1260000000002</v>
      </c>
      <c r="J3878">
        <f>1301.1</f>
        <v>1301.0999999999999</v>
      </c>
      <c r="K3878">
        <f>4194.14</f>
        <v>4194.1400000000003</v>
      </c>
      <c r="L3878">
        <f>1004.62</f>
        <v>1004.62</v>
      </c>
      <c r="M3878">
        <f>4128.52</f>
        <v>4128.5200000000004</v>
      </c>
      <c r="N3878">
        <f>133.744</f>
        <v>133.744</v>
      </c>
      <c r="O3878">
        <f>1541.15</f>
        <v>1541.15</v>
      </c>
      <c r="P3878">
        <f>92.44</f>
        <v>92.44</v>
      </c>
      <c r="Q3878">
        <f>734.48</f>
        <v>734.48</v>
      </c>
      <c r="R3878">
        <f>2016.52</f>
        <v>2016.52</v>
      </c>
      <c r="S3878">
        <f>1478.04</f>
        <v>1478.04</v>
      </c>
      <c r="T3878" t="e">
        <f>NA()</f>
        <v>#N/A</v>
      </c>
      <c r="U3878">
        <f>26270.46</f>
        <v>26270.46</v>
      </c>
      <c r="V3878">
        <f>122.12</f>
        <v>122.12</v>
      </c>
    </row>
    <row r="3879" spans="1:22" x14ac:dyDescent="0.2">
      <c r="A3879" s="1">
        <v>39678</v>
      </c>
      <c r="B3879">
        <f>2506.01</f>
        <v>2506.0100000000002</v>
      </c>
      <c r="C3879">
        <f>6602.31</f>
        <v>6602.31</v>
      </c>
      <c r="D3879">
        <f>3256.01</f>
        <v>3256.01</v>
      </c>
      <c r="E3879">
        <f>1621.698</f>
        <v>1621.6980000000001</v>
      </c>
      <c r="F3879">
        <f>1721.28</f>
        <v>1721.28</v>
      </c>
      <c r="G3879">
        <f>6172.324</f>
        <v>6172.3239999999996</v>
      </c>
      <c r="H3879">
        <f>1705.92</f>
        <v>1705.92</v>
      </c>
      <c r="I3879">
        <f>6985.237</f>
        <v>6985.2370000000001</v>
      </c>
      <c r="J3879">
        <f>1319.74</f>
        <v>1319.74</v>
      </c>
      <c r="K3879">
        <f>4231.7</f>
        <v>4231.7</v>
      </c>
      <c r="L3879">
        <f>1030.82</f>
        <v>1030.82</v>
      </c>
      <c r="M3879">
        <f>4193.83</f>
        <v>4193.83</v>
      </c>
      <c r="N3879">
        <f>138.1</f>
        <v>138.1</v>
      </c>
      <c r="O3879">
        <f>1582.01</f>
        <v>1582.01</v>
      </c>
      <c r="P3879">
        <f>94.4</f>
        <v>94.4</v>
      </c>
      <c r="Q3879">
        <f>745.82</f>
        <v>745.82</v>
      </c>
      <c r="R3879">
        <f>2035.3</f>
        <v>2035.3</v>
      </c>
      <c r="S3879">
        <f>1511.78</f>
        <v>1511.78</v>
      </c>
      <c r="T3879" t="e">
        <f>NA()</f>
        <v>#N/A</v>
      </c>
      <c r="U3879">
        <f>26806.03</f>
        <v>26806.03</v>
      </c>
      <c r="V3879">
        <f>126.17</f>
        <v>126.17</v>
      </c>
    </row>
    <row r="3880" spans="1:22" x14ac:dyDescent="0.2">
      <c r="A3880" s="1">
        <v>39675</v>
      </c>
      <c r="B3880">
        <f>2529.73</f>
        <v>2529.73</v>
      </c>
      <c r="C3880">
        <f>6656.69</f>
        <v>6656.69</v>
      </c>
      <c r="D3880">
        <f>3258.74</f>
        <v>3258.74</v>
      </c>
      <c r="E3880">
        <f>1640.844</f>
        <v>1640.8440000000001</v>
      </c>
      <c r="F3880">
        <f>1732.06</f>
        <v>1732.06</v>
      </c>
      <c r="G3880">
        <f>6171.586</f>
        <v>6171.5860000000002</v>
      </c>
      <c r="H3880">
        <f>1680.72</f>
        <v>1680.72</v>
      </c>
      <c r="I3880">
        <f>6983.707</f>
        <v>6983.7070000000003</v>
      </c>
      <c r="J3880">
        <f>1339.98</f>
        <v>1339.98</v>
      </c>
      <c r="K3880">
        <f>4295.58</f>
        <v>4295.58</v>
      </c>
      <c r="L3880">
        <f>1035.45</f>
        <v>1035.45</v>
      </c>
      <c r="M3880">
        <f>4217.38</f>
        <v>4217.38</v>
      </c>
      <c r="N3880">
        <f>139.199</f>
        <v>139.19900000000001</v>
      </c>
      <c r="O3880">
        <f>1584.38</f>
        <v>1584.38</v>
      </c>
      <c r="P3880">
        <f>93.29</f>
        <v>93.29</v>
      </c>
      <c r="Q3880">
        <f>757.48</f>
        <v>757.48</v>
      </c>
      <c r="R3880">
        <f>2066.36</f>
        <v>2066.36</v>
      </c>
      <c r="S3880">
        <f>1492.11</f>
        <v>1492.11</v>
      </c>
      <c r="T3880" t="e">
        <f>NA()</f>
        <v>#N/A</v>
      </c>
      <c r="U3880">
        <f>27246.63</f>
        <v>27246.63</v>
      </c>
      <c r="V3880">
        <f>126.87</f>
        <v>126.87</v>
      </c>
    </row>
    <row r="3881" spans="1:22" x14ac:dyDescent="0.2">
      <c r="A3881" s="1">
        <v>39674</v>
      </c>
      <c r="B3881">
        <f>2512.61</f>
        <v>2512.61</v>
      </c>
      <c r="C3881">
        <f>6740.36</f>
        <v>6740.36</v>
      </c>
      <c r="D3881">
        <f>3284.24</f>
        <v>3284.24</v>
      </c>
      <c r="E3881">
        <f>1661.011</f>
        <v>1661.011</v>
      </c>
      <c r="F3881">
        <f>1733.25</f>
        <v>1733.25</v>
      </c>
      <c r="G3881">
        <f>6255.668</f>
        <v>6255.6679999999997</v>
      </c>
      <c r="H3881">
        <f>1691.56</f>
        <v>1691.56</v>
      </c>
      <c r="I3881">
        <f>7041.929</f>
        <v>7041.9290000000001</v>
      </c>
      <c r="J3881">
        <f>1328.6</f>
        <v>1328.6</v>
      </c>
      <c r="K3881">
        <f>4279.77</f>
        <v>4279.7700000000004</v>
      </c>
      <c r="L3881">
        <f>1039.06</f>
        <v>1039.06</v>
      </c>
      <c r="M3881">
        <f>4230.41</f>
        <v>4230.41</v>
      </c>
      <c r="N3881">
        <f>137.477</f>
        <v>137.477</v>
      </c>
      <c r="O3881">
        <f>1577.27</f>
        <v>1577.27</v>
      </c>
      <c r="P3881">
        <f>92.47</f>
        <v>92.47</v>
      </c>
      <c r="Q3881">
        <f>750.36</f>
        <v>750.36</v>
      </c>
      <c r="R3881">
        <f>2057.72</f>
        <v>2057.7199999999998</v>
      </c>
      <c r="S3881">
        <f>1482.06</f>
        <v>1482.06</v>
      </c>
      <c r="T3881" t="e">
        <f>NA()</f>
        <v>#N/A</v>
      </c>
      <c r="U3881">
        <f>27819.88</f>
        <v>27819.88</v>
      </c>
      <c r="V3881">
        <f>126.37</f>
        <v>126.37</v>
      </c>
    </row>
    <row r="3882" spans="1:22" x14ac:dyDescent="0.2">
      <c r="A3882" s="1">
        <v>39673</v>
      </c>
      <c r="B3882">
        <f>2531.28</f>
        <v>2531.2800000000002</v>
      </c>
      <c r="C3882">
        <f>6644.79</f>
        <v>6644.79</v>
      </c>
      <c r="D3882">
        <f>3255.07</f>
        <v>3255.07</v>
      </c>
      <c r="E3882">
        <f>1643.618</f>
        <v>1643.6179999999999</v>
      </c>
      <c r="F3882">
        <f>1724.21</f>
        <v>1724.21</v>
      </c>
      <c r="G3882">
        <f>6167.348</f>
        <v>6167.348</v>
      </c>
      <c r="H3882">
        <f>1707.29</f>
        <v>1707.29</v>
      </c>
      <c r="I3882">
        <f>7009.814</f>
        <v>7009.8140000000003</v>
      </c>
      <c r="J3882">
        <f>1318.47</f>
        <v>1318.47</v>
      </c>
      <c r="K3882">
        <f>4256.13</f>
        <v>4256.13</v>
      </c>
      <c r="L3882">
        <f>1031.79</f>
        <v>1031.79</v>
      </c>
      <c r="M3882">
        <f>4212.54</f>
        <v>4212.54</v>
      </c>
      <c r="N3882">
        <f>137.491</f>
        <v>137.49100000000001</v>
      </c>
      <c r="O3882">
        <f>1568.58</f>
        <v>1568.58</v>
      </c>
      <c r="P3882">
        <f>92.94</f>
        <v>92.94</v>
      </c>
      <c r="Q3882">
        <f>742.39</f>
        <v>742.39</v>
      </c>
      <c r="R3882">
        <f>2046.35</f>
        <v>2046.35</v>
      </c>
      <c r="S3882">
        <f>1491.1</f>
        <v>1491.1</v>
      </c>
      <c r="T3882" t="e">
        <f>NA()</f>
        <v>#N/A</v>
      </c>
      <c r="U3882">
        <f>27035.65</f>
        <v>27035.65</v>
      </c>
      <c r="V3882">
        <f>124.88</f>
        <v>124.88</v>
      </c>
    </row>
    <row r="3883" spans="1:22" x14ac:dyDescent="0.2">
      <c r="A3883" s="1">
        <v>39672</v>
      </c>
      <c r="B3883">
        <f>2630.84</f>
        <v>2630.84</v>
      </c>
      <c r="C3883">
        <f>6675.12</f>
        <v>6675.12</v>
      </c>
      <c r="D3883">
        <f>3301.64</f>
        <v>3301.64</v>
      </c>
      <c r="E3883">
        <f>1657.815</f>
        <v>1657.8150000000001</v>
      </c>
      <c r="F3883">
        <f>1830.9</f>
        <v>1830.9</v>
      </c>
      <c r="G3883">
        <f>6379.603</f>
        <v>6379.6030000000001</v>
      </c>
      <c r="H3883">
        <f>1714.67</f>
        <v>1714.67</v>
      </c>
      <c r="I3883">
        <f>7185.58</f>
        <v>7185.58</v>
      </c>
      <c r="J3883">
        <f>1333.57</f>
        <v>1333.57</v>
      </c>
      <c r="K3883">
        <f>4262.98</f>
        <v>4262.9799999999996</v>
      </c>
      <c r="L3883">
        <f>1058.27</f>
        <v>1058.27</v>
      </c>
      <c r="M3883">
        <f>4259.45</f>
        <v>4259.45</v>
      </c>
      <c r="N3883">
        <f>141.869</f>
        <v>141.869</v>
      </c>
      <c r="O3883">
        <f>1609.29</f>
        <v>1609.29</v>
      </c>
      <c r="P3883">
        <f>94.42</f>
        <v>94.42</v>
      </c>
      <c r="Q3883">
        <f>752.03</f>
        <v>752.03</v>
      </c>
      <c r="R3883">
        <f>2051.66</f>
        <v>2051.66</v>
      </c>
      <c r="S3883">
        <f>1520.93</f>
        <v>1520.93</v>
      </c>
      <c r="T3883" t="e">
        <f>NA()</f>
        <v>#N/A</v>
      </c>
      <c r="U3883">
        <f>26922.36</f>
        <v>26922.36</v>
      </c>
      <c r="V3883">
        <f>126.61</f>
        <v>126.61</v>
      </c>
    </row>
    <row r="3884" spans="1:22" x14ac:dyDescent="0.2">
      <c r="A3884" s="1">
        <v>39671</v>
      </c>
      <c r="B3884">
        <f>2624.88</f>
        <v>2624.88</v>
      </c>
      <c r="C3884">
        <f>6737.04</f>
        <v>6737.04</v>
      </c>
      <c r="D3884">
        <f>3306.01</f>
        <v>3306.01</v>
      </c>
      <c r="E3884">
        <f>1671.175</f>
        <v>1671.175</v>
      </c>
      <c r="F3884">
        <f>1851.14</f>
        <v>1851.14</v>
      </c>
      <c r="G3884">
        <f>6443.706</f>
        <v>6443.7060000000001</v>
      </c>
      <c r="H3884">
        <f>1723.99</f>
        <v>1723.99</v>
      </c>
      <c r="I3884">
        <f>7254.551</f>
        <v>7254.5510000000004</v>
      </c>
      <c r="J3884">
        <f>1356.67</f>
        <v>1356.67</v>
      </c>
      <c r="K3884">
        <f>4312.67</f>
        <v>4312.67</v>
      </c>
      <c r="L3884">
        <f>1071.49</f>
        <v>1071.49</v>
      </c>
      <c r="M3884">
        <f>4298.99</f>
        <v>4298.99</v>
      </c>
      <c r="N3884">
        <f>142.646</f>
        <v>142.64599999999999</v>
      </c>
      <c r="O3884">
        <f>1615.11</f>
        <v>1615.11</v>
      </c>
      <c r="P3884">
        <f>94.91</f>
        <v>94.91</v>
      </c>
      <c r="Q3884">
        <f>764.21</f>
        <v>764.21</v>
      </c>
      <c r="R3884">
        <f>2076.59</f>
        <v>2076.59</v>
      </c>
      <c r="S3884">
        <f>1531.2</f>
        <v>1531.2</v>
      </c>
      <c r="T3884" t="e">
        <f>NA()</f>
        <v>#N/A</v>
      </c>
      <c r="U3884">
        <f>26960.95</f>
        <v>26960.95</v>
      </c>
      <c r="V3884">
        <f>126.17</f>
        <v>126.17</v>
      </c>
    </row>
    <row r="3885" spans="1:22" x14ac:dyDescent="0.2">
      <c r="A3885" s="1">
        <v>39668</v>
      </c>
      <c r="B3885">
        <f>2543.1</f>
        <v>2543.1</v>
      </c>
      <c r="C3885">
        <f>6726.07</f>
        <v>6726.07</v>
      </c>
      <c r="D3885">
        <f>3274.62</f>
        <v>3274.62</v>
      </c>
      <c r="E3885">
        <f>1670.055</f>
        <v>1670.0550000000001</v>
      </c>
      <c r="F3885">
        <f>1806.75</f>
        <v>1806.75</v>
      </c>
      <c r="G3885">
        <f>6370.173</f>
        <v>6370.1729999999998</v>
      </c>
      <c r="H3885">
        <f>1697.25</f>
        <v>1697.25</v>
      </c>
      <c r="I3885">
        <f>7176.778</f>
        <v>7176.7780000000002</v>
      </c>
      <c r="J3885">
        <f>1339.68</f>
        <v>1339.68</v>
      </c>
      <c r="K3885">
        <f>4282.43</f>
        <v>4282.43</v>
      </c>
      <c r="L3885">
        <f>1056.66</f>
        <v>1056.6600000000001</v>
      </c>
      <c r="M3885">
        <f>4261.16</f>
        <v>4261.16</v>
      </c>
      <c r="N3885">
        <f>140.353</f>
        <v>140.35300000000001</v>
      </c>
      <c r="O3885">
        <f>1593.9</f>
        <v>1593.9</v>
      </c>
      <c r="P3885">
        <f>93.31</f>
        <v>93.31</v>
      </c>
      <c r="Q3885">
        <f>754.19</f>
        <v>754.19</v>
      </c>
      <c r="R3885">
        <f>2061.77</f>
        <v>2061.77</v>
      </c>
      <c r="S3885">
        <f>1507.19</f>
        <v>1507.19</v>
      </c>
      <c r="T3885" t="e">
        <f>NA()</f>
        <v>#N/A</v>
      </c>
      <c r="U3885">
        <f>26759.92</f>
        <v>26759.919999999998</v>
      </c>
      <c r="V3885">
        <f>122.09</f>
        <v>122.09</v>
      </c>
    </row>
    <row r="3886" spans="1:22" x14ac:dyDescent="0.2">
      <c r="A3886" s="1">
        <v>39667</v>
      </c>
      <c r="B3886">
        <f>2506.88</f>
        <v>2506.88</v>
      </c>
      <c r="C3886">
        <f>6801.74</f>
        <v>6801.74</v>
      </c>
      <c r="D3886">
        <f>3267.65</f>
        <v>3267.65</v>
      </c>
      <c r="E3886">
        <f>1700.237</f>
        <v>1700.2370000000001</v>
      </c>
      <c r="F3886">
        <f>1814.93</f>
        <v>1814.93</v>
      </c>
      <c r="G3886">
        <f>6447.624</f>
        <v>6447.6239999999998</v>
      </c>
      <c r="H3886">
        <f>1693.63</f>
        <v>1693.63</v>
      </c>
      <c r="I3886">
        <f>7291.419</f>
        <v>7291.4189999999999</v>
      </c>
      <c r="J3886">
        <f>1303.9</f>
        <v>1303.9000000000001</v>
      </c>
      <c r="K3886">
        <f>4187.25</f>
        <v>4187.25</v>
      </c>
      <c r="L3886">
        <f>1059.24</f>
        <v>1059.24</v>
      </c>
      <c r="M3886">
        <f>4243.49</f>
        <v>4243.49</v>
      </c>
      <c r="N3886">
        <f>137.588</f>
        <v>137.58799999999999</v>
      </c>
      <c r="O3886">
        <f>1581.4</f>
        <v>1581.4</v>
      </c>
      <c r="P3886">
        <f>93.52</f>
        <v>93.52</v>
      </c>
      <c r="Q3886">
        <f>731.63</f>
        <v>731.63</v>
      </c>
      <c r="R3886">
        <f>2013.66</f>
        <v>2013.66</v>
      </c>
      <c r="S3886">
        <f>1505.84</f>
        <v>1505.84</v>
      </c>
      <c r="T3886" t="e">
        <f>NA()</f>
        <v>#N/A</v>
      </c>
      <c r="U3886">
        <f>26664.58</f>
        <v>26664.58</v>
      </c>
      <c r="V3886">
        <f>121.84</f>
        <v>121.84</v>
      </c>
    </row>
    <row r="3887" spans="1:22" x14ac:dyDescent="0.2">
      <c r="A3887" s="1">
        <v>39666</v>
      </c>
      <c r="B3887">
        <f>2510.47</f>
        <v>2510.4699999999998</v>
      </c>
      <c r="C3887">
        <f>6868.23</f>
        <v>6868.23</v>
      </c>
      <c r="D3887">
        <f>3272.8</f>
        <v>3272.8</v>
      </c>
      <c r="E3887">
        <f>1707.02</f>
        <v>1707.02</v>
      </c>
      <c r="F3887">
        <f>1819.95</f>
        <v>1819.95</v>
      </c>
      <c r="G3887">
        <f>6478.49</f>
        <v>6478.49</v>
      </c>
      <c r="H3887">
        <f>1718.68</f>
        <v>1718.68</v>
      </c>
      <c r="I3887">
        <f>7334.393</f>
        <v>7334.393</v>
      </c>
      <c r="J3887">
        <f>1330.48</f>
        <v>1330.48</v>
      </c>
      <c r="K3887">
        <f>4260.79</f>
        <v>4260.79</v>
      </c>
      <c r="L3887">
        <f>1071.47</f>
        <v>1071.47</v>
      </c>
      <c r="M3887">
        <f>4296.65</f>
        <v>4296.6499999999996</v>
      </c>
      <c r="N3887">
        <f>138.23</f>
        <v>138.22999999999999</v>
      </c>
      <c r="O3887">
        <f>1584.2</f>
        <v>1584.2</v>
      </c>
      <c r="P3887">
        <f>94.52</f>
        <v>94.52</v>
      </c>
      <c r="Q3887">
        <f>748.64</f>
        <v>748.64</v>
      </c>
      <c r="R3887">
        <f>2050.23</f>
        <v>2050.23</v>
      </c>
      <c r="S3887">
        <f>1527.92</f>
        <v>1527.92</v>
      </c>
      <c r="T3887" t="e">
        <f>NA()</f>
        <v>#N/A</v>
      </c>
      <c r="U3887">
        <f>26945.35</f>
        <v>26945.35</v>
      </c>
      <c r="V3887">
        <f>121.73</f>
        <v>121.73</v>
      </c>
    </row>
    <row r="3888" spans="1:22" x14ac:dyDescent="0.2">
      <c r="A3888" s="1">
        <v>39665</v>
      </c>
      <c r="B3888">
        <f>2494.99</f>
        <v>2494.9899999999998</v>
      </c>
      <c r="C3888">
        <f>6774.28</f>
        <v>6774.28</v>
      </c>
      <c r="D3888">
        <f>3246.42</f>
        <v>3246.42</v>
      </c>
      <c r="E3888">
        <f>1685.315</f>
        <v>1685.3150000000001</v>
      </c>
      <c r="F3888">
        <f>1827.53</f>
        <v>1827.53</v>
      </c>
      <c r="G3888">
        <f>6440.583</f>
        <v>6440.5829999999996</v>
      </c>
      <c r="H3888">
        <f>1706.25</f>
        <v>1706.25</v>
      </c>
      <c r="I3888">
        <f>7292.966</f>
        <v>7292.9660000000003</v>
      </c>
      <c r="J3888">
        <f>1330.97</f>
        <v>1330.97</v>
      </c>
      <c r="K3888">
        <f>4241.28</f>
        <v>4241.28</v>
      </c>
      <c r="L3888">
        <f>1067.99</f>
        <v>1067.99</v>
      </c>
      <c r="M3888">
        <f>4267.91</f>
        <v>4267.91</v>
      </c>
      <c r="N3888">
        <f>137.223</f>
        <v>137.22300000000001</v>
      </c>
      <c r="O3888">
        <f>1569.82</f>
        <v>1569.82</v>
      </c>
      <c r="P3888">
        <f>91.96</f>
        <v>91.96</v>
      </c>
      <c r="Q3888">
        <f>745.39</f>
        <v>745.39</v>
      </c>
      <c r="R3888">
        <f>2042.44</f>
        <v>2042.44</v>
      </c>
      <c r="S3888">
        <f>1492.56</f>
        <v>1492.56</v>
      </c>
      <c r="T3888" t="e">
        <f>NA()</f>
        <v>#N/A</v>
      </c>
      <c r="U3888">
        <f>26410.98</f>
        <v>26410.98</v>
      </c>
      <c r="V3888">
        <f>120.54</f>
        <v>120.54</v>
      </c>
    </row>
    <row r="3889" spans="1:22" x14ac:dyDescent="0.2">
      <c r="A3889" s="1">
        <v>39664</v>
      </c>
      <c r="B3889">
        <f>2365.73</f>
        <v>2365.73</v>
      </c>
      <c r="C3889">
        <f>6809.12</f>
        <v>6809.12</v>
      </c>
      <c r="D3889">
        <f>3166.52</f>
        <v>3166.52</v>
      </c>
      <c r="E3889">
        <f>1700.144</f>
        <v>1700.144</v>
      </c>
      <c r="F3889">
        <f>1738.68</f>
        <v>1738.68</v>
      </c>
      <c r="G3889">
        <f>6309.034</f>
        <v>6309.0339999999997</v>
      </c>
      <c r="H3889">
        <f>1710.43</f>
        <v>1710.43</v>
      </c>
      <c r="I3889">
        <f>7172.794</f>
        <v>7172.7939999999999</v>
      </c>
      <c r="J3889">
        <f>1292.15</f>
        <v>1292.1500000000001</v>
      </c>
      <c r="K3889">
        <f>4127.06</f>
        <v>4127.0600000000004</v>
      </c>
      <c r="L3889">
        <f>1044.2</f>
        <v>1044.2</v>
      </c>
      <c r="M3889">
        <f>4198.6</f>
        <v>4198.6000000000004</v>
      </c>
      <c r="N3889">
        <f>132.75</f>
        <v>132.75</v>
      </c>
      <c r="O3889">
        <f>1528.43</f>
        <v>1528.43</v>
      </c>
      <c r="P3889">
        <f>91.82</f>
        <v>91.82</v>
      </c>
      <c r="Q3889">
        <f>722.67</f>
        <v>722.67</v>
      </c>
      <c r="R3889">
        <f>1985.23</f>
        <v>1985.23</v>
      </c>
      <c r="S3889">
        <f>1493.21</f>
        <v>1493.21</v>
      </c>
      <c r="T3889" t="e">
        <f>NA()</f>
        <v>#N/A</v>
      </c>
      <c r="U3889">
        <f>25875.63</f>
        <v>25875.63</v>
      </c>
      <c r="V3889">
        <f>119.1</f>
        <v>119.1</v>
      </c>
    </row>
    <row r="3890" spans="1:22" x14ac:dyDescent="0.2">
      <c r="A3890" s="1">
        <v>39661</v>
      </c>
      <c r="B3890">
        <f>2346.75</f>
        <v>2346.75</v>
      </c>
      <c r="C3890">
        <f>6886.54</f>
        <v>6886.54</v>
      </c>
      <c r="D3890">
        <f>3187.02</f>
        <v>3187.02</v>
      </c>
      <c r="E3890">
        <f>1736.204</f>
        <v>1736.204</v>
      </c>
      <c r="F3890">
        <f>1749.48</f>
        <v>1749.48</v>
      </c>
      <c r="G3890">
        <f>6372.892</f>
        <v>6372.8919999999998</v>
      </c>
      <c r="H3890">
        <f>1744.58</f>
        <v>1744.58</v>
      </c>
      <c r="I3890">
        <f>7206.156</f>
        <v>7206.1559999999999</v>
      </c>
      <c r="J3890">
        <f>1294.69</f>
        <v>1294.69</v>
      </c>
      <c r="K3890">
        <f>4169.7</f>
        <v>4169.7</v>
      </c>
      <c r="L3890">
        <f>1048.82</f>
        <v>1048.82</v>
      </c>
      <c r="M3890">
        <f>4239.98</f>
        <v>4239.9799999999996</v>
      </c>
      <c r="N3890">
        <f>133.261</f>
        <v>133.261</v>
      </c>
      <c r="O3890">
        <f>1542</f>
        <v>1542</v>
      </c>
      <c r="P3890">
        <f>93.97</f>
        <v>93.97</v>
      </c>
      <c r="Q3890">
        <f>723.74</f>
        <v>723.74</v>
      </c>
      <c r="R3890">
        <f>2003.16</f>
        <v>2003.16</v>
      </c>
      <c r="S3890">
        <f>1522.73</f>
        <v>1522.73</v>
      </c>
      <c r="T3890" t="e">
        <f>NA()</f>
        <v>#N/A</v>
      </c>
      <c r="U3890">
        <f>26504.58</f>
        <v>26504.58</v>
      </c>
      <c r="V3890">
        <f>119.86</f>
        <v>119.86</v>
      </c>
    </row>
    <row r="3891" spans="1:22" x14ac:dyDescent="0.2">
      <c r="A3891" s="1">
        <v>39660</v>
      </c>
      <c r="B3891">
        <f>2328.11</f>
        <v>2328.11</v>
      </c>
      <c r="C3891">
        <f>6970.99</f>
        <v>6970.99</v>
      </c>
      <c r="D3891">
        <f>3221.09</f>
        <v>3221.09</v>
      </c>
      <c r="E3891">
        <f>1756.441</f>
        <v>1756.441</v>
      </c>
      <c r="F3891">
        <f>1745.17</f>
        <v>1745.17</v>
      </c>
      <c r="G3891">
        <f>6461.851</f>
        <v>6461.8509999999997</v>
      </c>
      <c r="H3891">
        <f>1763.04</f>
        <v>1763.04</v>
      </c>
      <c r="I3891">
        <f>7320.555</f>
        <v>7320.5550000000003</v>
      </c>
      <c r="J3891">
        <f>1296.31</f>
        <v>1296.31</v>
      </c>
      <c r="K3891">
        <f>4192.95</f>
        <v>4192.95</v>
      </c>
      <c r="L3891">
        <f>1058.13</f>
        <v>1058.1300000000001</v>
      </c>
      <c r="M3891">
        <f>4285.97</f>
        <v>4285.97</v>
      </c>
      <c r="N3891">
        <f>133.576</f>
        <v>133.57599999999999</v>
      </c>
      <c r="O3891">
        <f>1561.43</f>
        <v>1561.43</v>
      </c>
      <c r="P3891">
        <f>96.36</f>
        <v>96.36</v>
      </c>
      <c r="Q3891">
        <f>725.64</f>
        <v>725.64</v>
      </c>
      <c r="R3891">
        <f>2014.39</f>
        <v>2014.39</v>
      </c>
      <c r="S3891">
        <f>1559.44</f>
        <v>1559.44</v>
      </c>
      <c r="T3891" t="e">
        <f>NA()</f>
        <v>#N/A</v>
      </c>
      <c r="U3891">
        <f>27719.67</f>
        <v>27719.67</v>
      </c>
      <c r="V3891">
        <f>122.4</f>
        <v>122.4</v>
      </c>
    </row>
    <row r="3892" spans="1:22" x14ac:dyDescent="0.2">
      <c r="A3892" s="1">
        <v>39659</v>
      </c>
      <c r="B3892">
        <f>2352.18</f>
        <v>2352.1799999999998</v>
      </c>
      <c r="C3892">
        <f>6949.04</f>
        <v>6949.04</v>
      </c>
      <c r="D3892">
        <f>3226.33</f>
        <v>3226.33</v>
      </c>
      <c r="E3892">
        <f>1750.93</f>
        <v>1750.93</v>
      </c>
      <c r="F3892">
        <f>1750.1</f>
        <v>1750.1</v>
      </c>
      <c r="G3892">
        <f>6468.329</f>
        <v>6468.3289999999997</v>
      </c>
      <c r="H3892">
        <f>1751.44</f>
        <v>1751.44</v>
      </c>
      <c r="I3892">
        <f>7297.024</f>
        <v>7297.0240000000003</v>
      </c>
      <c r="J3892">
        <f>1310.66</f>
        <v>1310.6600000000001</v>
      </c>
      <c r="K3892">
        <f>4248.87</f>
        <v>4248.87</v>
      </c>
      <c r="L3892">
        <f>1060.58</f>
        <v>1060.58</v>
      </c>
      <c r="M3892">
        <f>4311.36</f>
        <v>4311.3599999999997</v>
      </c>
      <c r="N3892">
        <f>133.456</f>
        <v>133.45599999999999</v>
      </c>
      <c r="O3892">
        <f>1563.88</f>
        <v>1563.88</v>
      </c>
      <c r="P3892">
        <f>95.86</f>
        <v>95.86</v>
      </c>
      <c r="Q3892">
        <f>734.16</f>
        <v>734.16</v>
      </c>
      <c r="R3892">
        <f>2040.81</f>
        <v>2040.81</v>
      </c>
      <c r="S3892">
        <f>1558.7</f>
        <v>1558.7</v>
      </c>
      <c r="T3892" t="e">
        <f>NA()</f>
        <v>#N/A</v>
      </c>
      <c r="U3892">
        <f>27767.57</f>
        <v>27767.57</v>
      </c>
      <c r="V3892">
        <f>122.54</f>
        <v>122.54</v>
      </c>
    </row>
    <row r="3893" spans="1:22" x14ac:dyDescent="0.2">
      <c r="A3893" s="1">
        <v>39658</v>
      </c>
      <c r="B3893">
        <f>2315</f>
        <v>2315</v>
      </c>
      <c r="C3893">
        <f>6802.43</f>
        <v>6802.43</v>
      </c>
      <c r="D3893">
        <f>3164.17</f>
        <v>3164.17</v>
      </c>
      <c r="E3893">
        <f>1711.825</f>
        <v>1711.825</v>
      </c>
      <c r="F3893">
        <f>1725.44</f>
        <v>1725.44</v>
      </c>
      <c r="G3893">
        <f>6350.835</f>
        <v>6350.835</v>
      </c>
      <c r="H3893">
        <f>1720.07</f>
        <v>1720.07</v>
      </c>
      <c r="I3893">
        <f>7217.008</f>
        <v>7217.0079999999998</v>
      </c>
      <c r="J3893">
        <f>1293.18</f>
        <v>1293.18</v>
      </c>
      <c r="K3893">
        <f>4177.12</f>
        <v>4177.12</v>
      </c>
      <c r="L3893">
        <f>1045.43</f>
        <v>1045.43</v>
      </c>
      <c r="M3893">
        <f>4242.83</f>
        <v>4242.83</v>
      </c>
      <c r="N3893">
        <f>130.879</f>
        <v>130.87899999999999</v>
      </c>
      <c r="O3893">
        <f>1540.18</f>
        <v>1540.18</v>
      </c>
      <c r="P3893">
        <f>93.56</f>
        <v>93.56</v>
      </c>
      <c r="Q3893">
        <f>725.78</f>
        <v>725.78</v>
      </c>
      <c r="R3893">
        <f>2007.21</f>
        <v>2007.21</v>
      </c>
      <c r="S3893">
        <f>1533.16</f>
        <v>1533.16</v>
      </c>
      <c r="T3893" t="e">
        <f>NA()</f>
        <v>#N/A</v>
      </c>
      <c r="U3893">
        <f>27164.09</f>
        <v>27164.09</v>
      </c>
      <c r="V3893">
        <f>119.56</f>
        <v>119.56</v>
      </c>
    </row>
    <row r="3894" spans="1:22" x14ac:dyDescent="0.2">
      <c r="A3894" s="1">
        <v>39657</v>
      </c>
      <c r="B3894">
        <f>2328.41</f>
        <v>2328.41</v>
      </c>
      <c r="C3894">
        <f>6831.32</f>
        <v>6831.32</v>
      </c>
      <c r="D3894">
        <f>3160.22</f>
        <v>3160.22</v>
      </c>
      <c r="E3894">
        <f>1726.099</f>
        <v>1726.0989999999999</v>
      </c>
      <c r="F3894">
        <f>1735.56</f>
        <v>1735.56</v>
      </c>
      <c r="G3894">
        <f>6379.456</f>
        <v>6379.4560000000001</v>
      </c>
      <c r="H3894">
        <f>1752.22</f>
        <v>1752.22</v>
      </c>
      <c r="I3894">
        <f>7265.818</f>
        <v>7265.8180000000002</v>
      </c>
      <c r="J3894">
        <f>1255.62</f>
        <v>1255.6199999999999</v>
      </c>
      <c r="K3894">
        <f>4084.24</f>
        <v>4084.24</v>
      </c>
      <c r="L3894">
        <f>1040.08</f>
        <v>1040.08</v>
      </c>
      <c r="M3894">
        <f>4219.27</f>
        <v>4219.2700000000004</v>
      </c>
      <c r="N3894">
        <f>130.476</f>
        <v>130.476</v>
      </c>
      <c r="O3894">
        <f>1535.12</f>
        <v>1535.12</v>
      </c>
      <c r="P3894">
        <f>94.53</f>
        <v>94.53</v>
      </c>
      <c r="Q3894">
        <f>705.58</f>
        <v>705.58</v>
      </c>
      <c r="R3894">
        <f>1961.23</f>
        <v>1961.23</v>
      </c>
      <c r="S3894">
        <f>1556.06</f>
        <v>1556.06</v>
      </c>
      <c r="T3894" t="e">
        <f>NA()</f>
        <v>#N/A</v>
      </c>
      <c r="U3894">
        <f>27320.04</f>
        <v>27320.04</v>
      </c>
      <c r="V3894">
        <f>118.7</f>
        <v>118.7</v>
      </c>
    </row>
    <row r="3895" spans="1:22" x14ac:dyDescent="0.2">
      <c r="A3895" s="1">
        <v>39654</v>
      </c>
      <c r="B3895">
        <f>2401.31</f>
        <v>2401.31</v>
      </c>
      <c r="C3895">
        <f>6828.73</f>
        <v>6828.73</v>
      </c>
      <c r="D3895">
        <f>3183.99</f>
        <v>3183.99</v>
      </c>
      <c r="E3895">
        <f>1726.259</f>
        <v>1726.259</v>
      </c>
      <c r="F3895">
        <f>1788.95</f>
        <v>1788.95</v>
      </c>
      <c r="G3895">
        <f>6420.073</f>
        <v>6420.0730000000003</v>
      </c>
      <c r="H3895">
        <f>1737.52</f>
        <v>1737.52</v>
      </c>
      <c r="I3895">
        <f>7307.539</f>
        <v>7307.5389999999998</v>
      </c>
      <c r="J3895">
        <f>1281.51</f>
        <v>1281.51</v>
      </c>
      <c r="K3895">
        <f>4158.68</f>
        <v>4158.68</v>
      </c>
      <c r="L3895">
        <f>1056.69</f>
        <v>1056.69</v>
      </c>
      <c r="M3895">
        <f>4265.94</f>
        <v>4265.9399999999996</v>
      </c>
      <c r="N3895">
        <f>132.473</f>
        <v>132.47300000000001</v>
      </c>
      <c r="O3895">
        <f>1550.89</f>
        <v>1550.89</v>
      </c>
      <c r="P3895">
        <f>94.13</f>
        <v>94.13</v>
      </c>
      <c r="Q3895">
        <f>717.51</f>
        <v>717.51</v>
      </c>
      <c r="R3895">
        <f>1998.41</f>
        <v>1998.41</v>
      </c>
      <c r="S3895">
        <f>1552.99</f>
        <v>1552.99</v>
      </c>
      <c r="T3895" t="e">
        <f>NA()</f>
        <v>#N/A</v>
      </c>
      <c r="U3895">
        <f>26995.8</f>
        <v>26995.8</v>
      </c>
      <c r="V3895">
        <f>119.94</f>
        <v>119.94</v>
      </c>
    </row>
    <row r="3896" spans="1:22" x14ac:dyDescent="0.2">
      <c r="A3896" s="1">
        <v>39653</v>
      </c>
      <c r="B3896">
        <f>2460.47</f>
        <v>2460.4699999999998</v>
      </c>
      <c r="C3896">
        <f>6933.56</f>
        <v>6933.56</v>
      </c>
      <c r="D3896">
        <f>3189.76</f>
        <v>3189.76</v>
      </c>
      <c r="E3896">
        <f>1756.861</f>
        <v>1756.8610000000001</v>
      </c>
      <c r="F3896">
        <f>1801.08</f>
        <v>1801.08</v>
      </c>
      <c r="G3896">
        <f>6420.473</f>
        <v>6420.473</v>
      </c>
      <c r="H3896">
        <f>1779.99</f>
        <v>1779.99</v>
      </c>
      <c r="I3896">
        <f>7322.525</f>
        <v>7322.5249999999996</v>
      </c>
      <c r="J3896">
        <f>1285.76</f>
        <v>1285.76</v>
      </c>
      <c r="K3896">
        <f>4140.31</f>
        <v>4140.3100000000004</v>
      </c>
      <c r="L3896">
        <f>1065.07</f>
        <v>1065.07</v>
      </c>
      <c r="M3896">
        <f>4277.14</f>
        <v>4277.1400000000003</v>
      </c>
      <c r="N3896">
        <f>133.121</f>
        <v>133.12100000000001</v>
      </c>
      <c r="O3896">
        <f>1553.21</f>
        <v>1553.21</v>
      </c>
      <c r="P3896">
        <f>95.84</f>
        <v>95.84</v>
      </c>
      <c r="Q3896">
        <f>719.66</f>
        <v>719.66</v>
      </c>
      <c r="R3896">
        <f>1990.09</f>
        <v>1990.09</v>
      </c>
      <c r="S3896">
        <f>1594.02</f>
        <v>1594.02</v>
      </c>
      <c r="T3896" t="e">
        <f>NA()</f>
        <v>#N/A</v>
      </c>
      <c r="U3896">
        <f>27430.12</f>
        <v>27430.12</v>
      </c>
      <c r="V3896">
        <f>121.2</f>
        <v>121.2</v>
      </c>
    </row>
    <row r="3897" spans="1:22" x14ac:dyDescent="0.2">
      <c r="A3897" s="1">
        <v>39652</v>
      </c>
      <c r="B3897">
        <f>2484</f>
        <v>2484</v>
      </c>
      <c r="C3897">
        <f>6960.76</f>
        <v>6960.76</v>
      </c>
      <c r="D3897">
        <f>3241.89</f>
        <v>3241.89</v>
      </c>
      <c r="E3897">
        <f>1768.08</f>
        <v>1768.08</v>
      </c>
      <c r="F3897">
        <f>1828.1</f>
        <v>1828.1</v>
      </c>
      <c r="G3897">
        <f>6570.434</f>
        <v>6570.4340000000002</v>
      </c>
      <c r="H3897">
        <f>1734.72</f>
        <v>1734.72</v>
      </c>
      <c r="I3897">
        <f>7431.194</f>
        <v>7431.1940000000004</v>
      </c>
      <c r="J3897">
        <f>1317.87</f>
        <v>1317.87</v>
      </c>
      <c r="K3897">
        <f>4238.9</f>
        <v>4238.8999999999996</v>
      </c>
      <c r="L3897">
        <f>1084.06</f>
        <v>1084.06</v>
      </c>
      <c r="M3897">
        <f>4343.39</f>
        <v>4343.3900000000003</v>
      </c>
      <c r="N3897">
        <f>134.685</f>
        <v>134.685</v>
      </c>
      <c r="O3897">
        <f>1576.97</f>
        <v>1576.97</v>
      </c>
      <c r="P3897">
        <f>93.69</f>
        <v>93.69</v>
      </c>
      <c r="Q3897">
        <f>740.47</f>
        <v>740.47</v>
      </c>
      <c r="R3897">
        <f>2037.15</f>
        <v>2037.15</v>
      </c>
      <c r="S3897">
        <f>1559.06</f>
        <v>1559.06</v>
      </c>
      <c r="T3897" t="e">
        <f>NA()</f>
        <v>#N/A</v>
      </c>
      <c r="U3897">
        <f>27373.79</f>
        <v>27373.79</v>
      </c>
      <c r="V3897">
        <f>119.8</f>
        <v>119.8</v>
      </c>
    </row>
    <row r="3898" spans="1:22" x14ac:dyDescent="0.2">
      <c r="A3898" s="1">
        <v>39651</v>
      </c>
      <c r="B3898">
        <f>2379.93</f>
        <v>2379.9299999999998</v>
      </c>
      <c r="C3898">
        <f>6860.66</f>
        <v>6860.66</v>
      </c>
      <c r="D3898">
        <f>3190.74</f>
        <v>3190.74</v>
      </c>
      <c r="E3898">
        <f>1743.915</f>
        <v>1743.915</v>
      </c>
      <c r="F3898">
        <f>1734.97</f>
        <v>1734.97</v>
      </c>
      <c r="G3898">
        <f>6461.22</f>
        <v>6461.22</v>
      </c>
      <c r="H3898">
        <f>1744.59</f>
        <v>1744.59</v>
      </c>
      <c r="I3898">
        <f>7367.71</f>
        <v>7367.71</v>
      </c>
      <c r="J3898">
        <f>1302.27</f>
        <v>1302.27</v>
      </c>
      <c r="K3898">
        <f>4224.59</f>
        <v>4224.59</v>
      </c>
      <c r="L3898">
        <f>1065.62</f>
        <v>1065.6199999999999</v>
      </c>
      <c r="M3898">
        <f>4318.74</f>
        <v>4318.74</v>
      </c>
      <c r="N3898">
        <f>130.908</f>
        <v>130.90799999999999</v>
      </c>
      <c r="O3898">
        <f>1543.75</f>
        <v>1543.75</v>
      </c>
      <c r="P3898">
        <f>92.63</f>
        <v>92.63</v>
      </c>
      <c r="Q3898">
        <f>736.34</f>
        <v>736.34</v>
      </c>
      <c r="R3898">
        <f>2028.91</f>
        <v>2028.91</v>
      </c>
      <c r="S3898">
        <f>1540.39</f>
        <v>1540.39</v>
      </c>
      <c r="T3898" t="e">
        <f>NA()</f>
        <v>#N/A</v>
      </c>
      <c r="U3898">
        <f>27265.45</f>
        <v>27265.45</v>
      </c>
      <c r="V3898">
        <f>114.85</f>
        <v>114.85</v>
      </c>
    </row>
    <row r="3899" spans="1:22" x14ac:dyDescent="0.2">
      <c r="A3899" s="1">
        <v>39650</v>
      </c>
      <c r="B3899">
        <f>2410.16</f>
        <v>2410.16</v>
      </c>
      <c r="C3899">
        <f>6885.35</f>
        <v>6885.35</v>
      </c>
      <c r="D3899">
        <f>3214.65</f>
        <v>3214.65</v>
      </c>
      <c r="E3899">
        <f>1753.244</f>
        <v>1753.2439999999999</v>
      </c>
      <c r="F3899">
        <f>1820.7</f>
        <v>1820.7</v>
      </c>
      <c r="G3899">
        <f>6511.83</f>
        <v>6511.83</v>
      </c>
      <c r="H3899">
        <f>1690.51</f>
        <v>1690.51</v>
      </c>
      <c r="I3899">
        <f>7408.366</f>
        <v>7408.366</v>
      </c>
      <c r="J3899">
        <f>1271.68</f>
        <v>1271.68</v>
      </c>
      <c r="K3899">
        <f>4173.38</f>
        <v>4173.38</v>
      </c>
      <c r="L3899">
        <f>1061.73</f>
        <v>1061.73</v>
      </c>
      <c r="M3899">
        <f>4292.19</f>
        <v>4292.1899999999996</v>
      </c>
      <c r="N3899">
        <f>131.337</f>
        <v>131.33699999999999</v>
      </c>
      <c r="O3899">
        <f>1550.78</f>
        <v>1550.78</v>
      </c>
      <c r="P3899" t="e">
        <f>NA()</f>
        <v>#N/A</v>
      </c>
      <c r="Q3899">
        <f>716.22</f>
        <v>716.22</v>
      </c>
      <c r="R3899">
        <f>2001.86</f>
        <v>2001.86</v>
      </c>
      <c r="S3899" t="e">
        <f>NA()</f>
        <v>#N/A</v>
      </c>
      <c r="T3899" t="e">
        <f>NA()</f>
        <v>#N/A</v>
      </c>
      <c r="U3899">
        <f>27701.5</f>
        <v>27701.5</v>
      </c>
      <c r="V3899">
        <f>115.82</f>
        <v>115.82</v>
      </c>
    </row>
    <row r="3900" spans="1:22" x14ac:dyDescent="0.2">
      <c r="A3900" s="1">
        <v>39647</v>
      </c>
      <c r="B3900">
        <f>2378.86</f>
        <v>2378.86</v>
      </c>
      <c r="C3900">
        <f>6751.46</f>
        <v>6751.46</v>
      </c>
      <c r="D3900">
        <f>3198.01</f>
        <v>3198.01</v>
      </c>
      <c r="E3900">
        <f>1720.526</f>
        <v>1720.5260000000001</v>
      </c>
      <c r="F3900">
        <f>1829.46</f>
        <v>1829.46</v>
      </c>
      <c r="G3900">
        <f>6479.208</f>
        <v>6479.2079999999996</v>
      </c>
      <c r="H3900">
        <f>1692.41</f>
        <v>1692.41</v>
      </c>
      <c r="I3900">
        <f>7356.276</f>
        <v>7356.2759999999998</v>
      </c>
      <c r="J3900">
        <f>1280.08</f>
        <v>1280.08</v>
      </c>
      <c r="K3900">
        <f>4169.81</f>
        <v>4169.8100000000004</v>
      </c>
      <c r="L3900">
        <f>1057.63</f>
        <v>1057.6300000000001</v>
      </c>
      <c r="M3900">
        <f>4271.31</f>
        <v>4271.3100000000004</v>
      </c>
      <c r="N3900">
        <f>131.799</f>
        <v>131.79900000000001</v>
      </c>
      <c r="O3900">
        <f>1543.45</f>
        <v>1543.45</v>
      </c>
      <c r="P3900">
        <f>90.08</f>
        <v>90.08</v>
      </c>
      <c r="Q3900">
        <f>719.58</f>
        <v>719.58</v>
      </c>
      <c r="R3900">
        <f>2002.88</f>
        <v>2002.88</v>
      </c>
      <c r="S3900">
        <f>1498.15</f>
        <v>1498.15</v>
      </c>
      <c r="T3900" t="e">
        <f>NA()</f>
        <v>#N/A</v>
      </c>
      <c r="U3900">
        <f>27610.09</f>
        <v>27610.09</v>
      </c>
      <c r="V3900">
        <f>117.44</f>
        <v>117.44</v>
      </c>
    </row>
    <row r="3901" spans="1:22" x14ac:dyDescent="0.2">
      <c r="A3901" s="1">
        <v>39646</v>
      </c>
      <c r="B3901">
        <f>2279.09</f>
        <v>2279.09</v>
      </c>
      <c r="C3901">
        <f>6813.6</f>
        <v>6813.6</v>
      </c>
      <c r="D3901">
        <f>3144.42</f>
        <v>3144.42</v>
      </c>
      <c r="E3901">
        <f>1735.886</f>
        <v>1735.886</v>
      </c>
      <c r="F3901">
        <f>1754.83</f>
        <v>1754.83</v>
      </c>
      <c r="G3901">
        <f>6396.238</f>
        <v>6396.2380000000003</v>
      </c>
      <c r="H3901">
        <f>1724.45</f>
        <v>1724.45</v>
      </c>
      <c r="I3901">
        <f>7254.3</f>
        <v>7254.3</v>
      </c>
      <c r="J3901">
        <f>1277.58</f>
        <v>1277.58</v>
      </c>
      <c r="K3901">
        <f>4169.96</f>
        <v>4169.96</v>
      </c>
      <c r="L3901">
        <f>1045.45</f>
        <v>1045.45</v>
      </c>
      <c r="M3901">
        <f>4263.27</f>
        <v>4263.2700000000004</v>
      </c>
      <c r="N3901">
        <f>127.826</f>
        <v>127.82599999999999</v>
      </c>
      <c r="O3901">
        <f>1517.31</f>
        <v>1517.31</v>
      </c>
      <c r="P3901">
        <f>90.86</f>
        <v>90.86</v>
      </c>
      <c r="Q3901">
        <f>717.93</f>
        <v>717.93</v>
      </c>
      <c r="R3901">
        <f>2002.3</f>
        <v>2002.3</v>
      </c>
      <c r="S3901">
        <f>1511.56</f>
        <v>1511.56</v>
      </c>
      <c r="T3901" t="e">
        <f>NA()</f>
        <v>#N/A</v>
      </c>
      <c r="U3901">
        <f>27995.64</f>
        <v>27995.64</v>
      </c>
      <c r="V3901">
        <f>115.66</f>
        <v>115.66</v>
      </c>
    </row>
    <row r="3902" spans="1:22" x14ac:dyDescent="0.2">
      <c r="A3902" s="1">
        <v>39645</v>
      </c>
      <c r="B3902">
        <f>2190.16</f>
        <v>2190.16</v>
      </c>
      <c r="C3902">
        <f>6661.81</f>
        <v>6661.81</v>
      </c>
      <c r="D3902">
        <f>3063.73</f>
        <v>3063.73</v>
      </c>
      <c r="E3902">
        <f>1709.483</f>
        <v>1709.4829999999999</v>
      </c>
      <c r="F3902">
        <f>1674.82</f>
        <v>1674.82</v>
      </c>
      <c r="G3902">
        <f>6190.784</f>
        <v>6190.7839999999997</v>
      </c>
      <c r="H3902">
        <f>1732.05</f>
        <v>1732.05</v>
      </c>
      <c r="I3902">
        <f>7030.203</f>
        <v>7030.2030000000004</v>
      </c>
      <c r="J3902">
        <f>1255.43</f>
        <v>1255.43</v>
      </c>
      <c r="K3902">
        <f>4122.93</f>
        <v>4122.93</v>
      </c>
      <c r="L3902">
        <f>1012.77</f>
        <v>1012.77</v>
      </c>
      <c r="M3902">
        <f>4192.89</f>
        <v>4192.8900000000003</v>
      </c>
      <c r="N3902">
        <f>123.894</f>
        <v>123.89400000000001</v>
      </c>
      <c r="O3902">
        <f>1476.25</f>
        <v>1476.25</v>
      </c>
      <c r="P3902">
        <f>90.5</f>
        <v>90.5</v>
      </c>
      <c r="Q3902">
        <f>698.99</f>
        <v>698.99</v>
      </c>
      <c r="R3902">
        <f>1978.47</f>
        <v>1978.47</v>
      </c>
      <c r="S3902">
        <f>1494.37</f>
        <v>1494.37</v>
      </c>
      <c r="T3902" t="e">
        <f>NA()</f>
        <v>#N/A</v>
      </c>
      <c r="U3902">
        <f>26876.95</f>
        <v>26876.95</v>
      </c>
      <c r="V3902">
        <f>109.61</f>
        <v>109.61</v>
      </c>
    </row>
    <row r="3903" spans="1:22" x14ac:dyDescent="0.2">
      <c r="A3903" s="1">
        <v>39644</v>
      </c>
      <c r="B3903">
        <f>2151.81</f>
        <v>2151.81</v>
      </c>
      <c r="C3903">
        <f>6646.46</f>
        <v>6646.46</v>
      </c>
      <c r="D3903">
        <f>3075.52</f>
        <v>3075.52</v>
      </c>
      <c r="E3903">
        <f>1708.094</f>
        <v>1708.0940000000001</v>
      </c>
      <c r="F3903">
        <f>1661.38</f>
        <v>1661.38</v>
      </c>
      <c r="G3903">
        <f>6235.078</f>
        <v>6235.0780000000004</v>
      </c>
      <c r="H3903">
        <f>1750.07</f>
        <v>1750.07</v>
      </c>
      <c r="I3903">
        <f>7034.073</f>
        <v>7034.0730000000003</v>
      </c>
      <c r="J3903">
        <f>1213.03</f>
        <v>1213.03</v>
      </c>
      <c r="K3903">
        <f>4026.29</f>
        <v>4026.29</v>
      </c>
      <c r="L3903">
        <f>996.75</f>
        <v>996.75</v>
      </c>
      <c r="M3903">
        <f>4150</f>
        <v>4150</v>
      </c>
      <c r="N3903">
        <f>122.171</f>
        <v>122.17100000000001</v>
      </c>
      <c r="O3903">
        <f>1466.95</f>
        <v>1466.95</v>
      </c>
      <c r="P3903">
        <f>91.28</f>
        <v>91.28</v>
      </c>
      <c r="Q3903">
        <f>673.6</f>
        <v>673.6</v>
      </c>
      <c r="R3903">
        <f>1929.85</f>
        <v>1929.85</v>
      </c>
      <c r="S3903">
        <f>1498.98</f>
        <v>1498.98</v>
      </c>
      <c r="T3903" t="e">
        <f>NA()</f>
        <v>#N/A</v>
      </c>
      <c r="U3903">
        <f>27079.11</f>
        <v>27079.11</v>
      </c>
      <c r="V3903">
        <f>105.75</f>
        <v>105.75</v>
      </c>
    </row>
    <row r="3904" spans="1:22" x14ac:dyDescent="0.2">
      <c r="A3904" s="1">
        <v>39643</v>
      </c>
      <c r="B3904">
        <f>2228.11</f>
        <v>2228.11</v>
      </c>
      <c r="C3904">
        <f>6833.39</f>
        <v>6833.39</v>
      </c>
      <c r="D3904">
        <f>3151.91</f>
        <v>3151.91</v>
      </c>
      <c r="E3904">
        <f>1752.814</f>
        <v>1752.8140000000001</v>
      </c>
      <c r="F3904">
        <f>1706.96</f>
        <v>1706.96</v>
      </c>
      <c r="G3904">
        <f>6350.693</f>
        <v>6350.6930000000002</v>
      </c>
      <c r="H3904">
        <f>1742.75</f>
        <v>1742.75</v>
      </c>
      <c r="I3904">
        <f>7154.331</f>
        <v>7154.3310000000001</v>
      </c>
      <c r="J3904">
        <f>1225.05</f>
        <v>1225.05</v>
      </c>
      <c r="K3904">
        <f>4071.33</f>
        <v>4071.33</v>
      </c>
      <c r="L3904">
        <f>1014.43</f>
        <v>1014.43</v>
      </c>
      <c r="M3904">
        <f>4205.38</f>
        <v>4205.38</v>
      </c>
      <c r="N3904">
        <f>124.556</f>
        <v>124.556</v>
      </c>
      <c r="O3904">
        <f>1498.05</f>
        <v>1498.05</v>
      </c>
      <c r="P3904">
        <f>92.28</f>
        <v>92.28</v>
      </c>
      <c r="Q3904">
        <f>679.11</f>
        <v>679.11</v>
      </c>
      <c r="R3904">
        <f>1951.08</f>
        <v>1951.08</v>
      </c>
      <c r="S3904">
        <f>1531.99</f>
        <v>1531.99</v>
      </c>
      <c r="T3904" t="e">
        <f>NA()</f>
        <v>#N/A</v>
      </c>
      <c r="U3904">
        <f>27720.65</f>
        <v>27720.65</v>
      </c>
      <c r="V3904">
        <f>106.96</f>
        <v>106.96</v>
      </c>
    </row>
    <row r="3905" spans="1:22" x14ac:dyDescent="0.2">
      <c r="A3905" s="1">
        <v>39640</v>
      </c>
      <c r="B3905">
        <f>2176.59</f>
        <v>2176.59</v>
      </c>
      <c r="C3905">
        <f>6858.57</f>
        <v>6858.57</v>
      </c>
      <c r="D3905">
        <f>3128.86</f>
        <v>3128.86</v>
      </c>
      <c r="E3905">
        <f>1752.288</f>
        <v>1752.288</v>
      </c>
      <c r="F3905">
        <f>1681.6</f>
        <v>1681.6</v>
      </c>
      <c r="G3905">
        <f>6291.692</f>
        <v>6291.692</v>
      </c>
      <c r="H3905">
        <f>1769.24</f>
        <v>1769.24</v>
      </c>
      <c r="I3905">
        <f>7116.411</f>
        <v>7116.4110000000001</v>
      </c>
      <c r="J3905">
        <f>1244.11</f>
        <v>1244.1099999999999</v>
      </c>
      <c r="K3905">
        <f>4105.44</f>
        <v>4105.4399999999996</v>
      </c>
      <c r="L3905">
        <f>1019.87</f>
        <v>1019.87</v>
      </c>
      <c r="M3905">
        <f>4217.37</f>
        <v>4217.37</v>
      </c>
      <c r="N3905">
        <f>122.022</f>
        <v>122.02200000000001</v>
      </c>
      <c r="O3905">
        <f>1487.07</f>
        <v>1487.07</v>
      </c>
      <c r="P3905">
        <f>93.23</f>
        <v>93.23</v>
      </c>
      <c r="Q3905">
        <f>692.61</f>
        <v>692.61</v>
      </c>
      <c r="R3905">
        <f>1968.86</f>
        <v>1968.86</v>
      </c>
      <c r="S3905">
        <f>1538.19</f>
        <v>1538.19</v>
      </c>
      <c r="T3905" t="e">
        <f>NA()</f>
        <v>#N/A</v>
      </c>
      <c r="U3905">
        <f>27735.64</f>
        <v>27735.64</v>
      </c>
      <c r="V3905">
        <f>107.38</f>
        <v>107.38</v>
      </c>
    </row>
    <row r="3906" spans="1:22" x14ac:dyDescent="0.2">
      <c r="A3906" s="1">
        <v>39639</v>
      </c>
      <c r="B3906">
        <f>2249.92</f>
        <v>2249.92</v>
      </c>
      <c r="C3906">
        <f>6791.25</f>
        <v>6791.25</v>
      </c>
      <c r="D3906">
        <f>3215.17</f>
        <v>3215.17</v>
      </c>
      <c r="E3906">
        <f>1741.35</f>
        <v>1741.35</v>
      </c>
      <c r="F3906">
        <f>1756.2</f>
        <v>1756.2</v>
      </c>
      <c r="G3906">
        <f>6434.799</f>
        <v>6434.799</v>
      </c>
      <c r="H3906">
        <f>1767.15</f>
        <v>1767.15</v>
      </c>
      <c r="I3906">
        <f>7251.947</f>
        <v>7251.9470000000001</v>
      </c>
      <c r="J3906">
        <f>1259.13</f>
        <v>1259.1300000000001</v>
      </c>
      <c r="K3906">
        <f>4149.15</f>
        <v>4149.1499999999996</v>
      </c>
      <c r="L3906">
        <f>1037</f>
        <v>1037</v>
      </c>
      <c r="M3906">
        <f>4262.45</f>
        <v>4262.45</v>
      </c>
      <c r="N3906">
        <f>126.803</f>
        <v>126.803</v>
      </c>
      <c r="O3906">
        <f>1529.08</f>
        <v>1529.08</v>
      </c>
      <c r="P3906">
        <f>93.62</f>
        <v>93.62</v>
      </c>
      <c r="Q3906">
        <f>699.01</f>
        <v>699.01</v>
      </c>
      <c r="R3906">
        <f>1990.78</f>
        <v>1990.78</v>
      </c>
      <c r="S3906">
        <f>1543.99</f>
        <v>1543.99</v>
      </c>
      <c r="T3906" t="e">
        <f>NA()</f>
        <v>#N/A</v>
      </c>
      <c r="U3906">
        <f>27687.48</f>
        <v>27687.48</v>
      </c>
      <c r="V3906">
        <f>107.55</f>
        <v>107.55</v>
      </c>
    </row>
    <row r="3907" spans="1:22" x14ac:dyDescent="0.2">
      <c r="A3907" s="1">
        <v>39638</v>
      </c>
      <c r="B3907">
        <f>2279.97</f>
        <v>2279.9699999999998</v>
      </c>
      <c r="C3907">
        <f>6789.28</f>
        <v>6789.28</v>
      </c>
      <c r="D3907">
        <f>3288.23</f>
        <v>3288.23</v>
      </c>
      <c r="E3907">
        <f>1741.786</f>
        <v>1741.7860000000001</v>
      </c>
      <c r="F3907">
        <f>1800.75</f>
        <v>1800.75</v>
      </c>
      <c r="G3907">
        <f>6581.981</f>
        <v>6581.9809999999998</v>
      </c>
      <c r="H3907">
        <f>1757.65</f>
        <v>1757.65</v>
      </c>
      <c r="I3907">
        <f>7358.796</f>
        <v>7358.7960000000003</v>
      </c>
      <c r="J3907">
        <f>1251.46</f>
        <v>1251.46</v>
      </c>
      <c r="K3907">
        <f>4118.79</f>
        <v>4118.79</v>
      </c>
      <c r="L3907">
        <f>1047.79</f>
        <v>1047.79</v>
      </c>
      <c r="M3907">
        <f>4267.98</f>
        <v>4267.9799999999996</v>
      </c>
      <c r="N3907">
        <f>128.927</f>
        <v>128.92699999999999</v>
      </c>
      <c r="O3907">
        <f>1561.42</f>
        <v>1561.42</v>
      </c>
      <c r="P3907">
        <f>93.3</f>
        <v>93.3</v>
      </c>
      <c r="Q3907">
        <f>692</f>
        <v>692</v>
      </c>
      <c r="R3907">
        <f>1976.97</f>
        <v>1976.97</v>
      </c>
      <c r="S3907">
        <f>1537.74</f>
        <v>1537.74</v>
      </c>
      <c r="T3907" t="e">
        <f>NA()</f>
        <v>#N/A</v>
      </c>
      <c r="U3907">
        <f>28009.41</f>
        <v>28009.41</v>
      </c>
      <c r="V3907">
        <f>107.34</f>
        <v>107.34</v>
      </c>
    </row>
    <row r="3908" spans="1:22" x14ac:dyDescent="0.2">
      <c r="A3908" s="1">
        <v>39637</v>
      </c>
      <c r="B3908">
        <f>2208.56</f>
        <v>2208.56</v>
      </c>
      <c r="C3908">
        <f>6691.55</f>
        <v>6691.55</v>
      </c>
      <c r="D3908">
        <f>3234.46</f>
        <v>3234.46</v>
      </c>
      <c r="E3908">
        <f>1717.597</f>
        <v>1717.597</v>
      </c>
      <c r="F3908">
        <f>1751.98</f>
        <v>1751.98</v>
      </c>
      <c r="G3908">
        <f>6450.093</f>
        <v>6450.0929999999998</v>
      </c>
      <c r="H3908">
        <f>1754.09</f>
        <v>1754.09</v>
      </c>
      <c r="I3908">
        <f>7208.422</f>
        <v>7208.4219999999996</v>
      </c>
      <c r="J3908">
        <f>1275.37</f>
        <v>1275.3699999999999</v>
      </c>
      <c r="K3908">
        <f>4211.16</f>
        <v>4211.16</v>
      </c>
      <c r="L3908">
        <f>1041.21</f>
        <v>1041.21</v>
      </c>
      <c r="M3908">
        <f>4280.7</f>
        <v>4280.7</v>
      </c>
      <c r="N3908">
        <f>126.566</f>
        <v>126.566</v>
      </c>
      <c r="O3908">
        <f>1534.36</f>
        <v>1534.36</v>
      </c>
      <c r="P3908">
        <f>93.61</f>
        <v>93.61</v>
      </c>
      <c r="Q3908">
        <f>707.79</f>
        <v>707.79</v>
      </c>
      <c r="R3908">
        <f>2022.83</f>
        <v>2022.83</v>
      </c>
      <c r="S3908">
        <f>1535.32</f>
        <v>1535.32</v>
      </c>
      <c r="T3908" t="e">
        <f>NA()</f>
        <v>#N/A</v>
      </c>
      <c r="U3908">
        <f>27611.63</f>
        <v>27611.63</v>
      </c>
      <c r="V3908">
        <f>105.45</f>
        <v>105.45</v>
      </c>
    </row>
    <row r="3909" spans="1:22" x14ac:dyDescent="0.2">
      <c r="A3909" s="1">
        <v>39636</v>
      </c>
      <c r="B3909">
        <f>2239.11</f>
        <v>2239.11</v>
      </c>
      <c r="C3909">
        <f>6801.71</f>
        <v>6801.71</v>
      </c>
      <c r="D3909">
        <f>3277.38</f>
        <v>3277.38</v>
      </c>
      <c r="E3909">
        <f>1743.391</f>
        <v>1743.3910000000001</v>
      </c>
      <c r="F3909">
        <f>1753.66</f>
        <v>1753.66</v>
      </c>
      <c r="G3909">
        <f>6527.799</f>
        <v>6527.799</v>
      </c>
      <c r="H3909">
        <f>1776.92</f>
        <v>1776.92</v>
      </c>
      <c r="I3909">
        <f>7313.866</f>
        <v>7313.866</v>
      </c>
      <c r="J3909">
        <f>1242.29</f>
        <v>1242.29</v>
      </c>
      <c r="K3909">
        <f>4140.15</f>
        <v>4140.1499999999996</v>
      </c>
      <c r="L3909">
        <f>1039.5</f>
        <v>1039.5</v>
      </c>
      <c r="M3909">
        <f>4276.92</f>
        <v>4276.92</v>
      </c>
      <c r="N3909">
        <f>128.618</f>
        <v>128.61799999999999</v>
      </c>
      <c r="O3909">
        <f>1557.07</f>
        <v>1557.07</v>
      </c>
      <c r="P3909">
        <f>95.29</f>
        <v>95.29</v>
      </c>
      <c r="Q3909">
        <f>686.39</f>
        <v>686.39</v>
      </c>
      <c r="R3909">
        <f>1988.09</f>
        <v>1988.09</v>
      </c>
      <c r="S3909">
        <f>1570.36</f>
        <v>1570.36</v>
      </c>
      <c r="T3909" t="e">
        <f>NA()</f>
        <v>#N/A</v>
      </c>
      <c r="U3909">
        <f>28173.95</f>
        <v>28173.95</v>
      </c>
      <c r="V3909">
        <f>106.84</f>
        <v>106.84</v>
      </c>
    </row>
    <row r="3910" spans="1:22" x14ac:dyDescent="0.2">
      <c r="A3910" s="1">
        <v>39633</v>
      </c>
      <c r="B3910">
        <f>2236.89</f>
        <v>2236.89</v>
      </c>
      <c r="C3910">
        <f>6745.41</f>
        <v>6745.41</v>
      </c>
      <c r="D3910">
        <f>3217.96</f>
        <v>3217.96</v>
      </c>
      <c r="E3910">
        <f>1729.753</f>
        <v>1729.7529999999999</v>
      </c>
      <c r="F3910">
        <f>1747.91</f>
        <v>1747.91</v>
      </c>
      <c r="G3910">
        <f>6452.133</f>
        <v>6452.1329999999998</v>
      </c>
      <c r="H3910">
        <f>1776.9</f>
        <v>1776.9</v>
      </c>
      <c r="I3910">
        <f>7232.693</f>
        <v>7232.6930000000002</v>
      </c>
      <c r="J3910">
        <f>1256.01</f>
        <v>1256.01</v>
      </c>
      <c r="K3910">
        <f>4175.25</f>
        <v>4175.25</v>
      </c>
      <c r="L3910">
        <f>1037.45</f>
        <v>1037.45</v>
      </c>
      <c r="M3910">
        <f>4283.2</f>
        <v>4283.2</v>
      </c>
      <c r="N3910">
        <f>127.185</f>
        <v>127.185</v>
      </c>
      <c r="O3910">
        <f>1534.69</f>
        <v>1534.69</v>
      </c>
      <c r="P3910">
        <f>94.57</f>
        <v>94.57</v>
      </c>
      <c r="Q3910">
        <f>693.39</f>
        <v>693.39</v>
      </c>
      <c r="R3910" t="e">
        <f>NA()</f>
        <v>#N/A</v>
      </c>
      <c r="S3910">
        <f>1552.51</f>
        <v>1552.51</v>
      </c>
      <c r="T3910" t="e">
        <f>NA()</f>
        <v>#N/A</v>
      </c>
      <c r="U3910">
        <f>28172.28</f>
        <v>28172.28</v>
      </c>
      <c r="V3910">
        <f>107.31</f>
        <v>107.31</v>
      </c>
    </row>
    <row r="3911" spans="1:22" x14ac:dyDescent="0.2">
      <c r="A3911" s="1">
        <v>39632</v>
      </c>
      <c r="B3911">
        <f>2285.99</f>
        <v>2285.9899999999998</v>
      </c>
      <c r="C3911">
        <f>6796.11</f>
        <v>6796.11</v>
      </c>
      <c r="D3911">
        <f>3255.9</f>
        <v>3255.9</v>
      </c>
      <c r="E3911">
        <f>1734.944</f>
        <v>1734.944</v>
      </c>
      <c r="F3911">
        <f>1785.76</f>
        <v>1785.76</v>
      </c>
      <c r="G3911">
        <f>6530.901</f>
        <v>6530.9009999999998</v>
      </c>
      <c r="H3911">
        <f>1779.12</f>
        <v>1779.12</v>
      </c>
      <c r="I3911">
        <f>7339.626</f>
        <v>7339.6260000000002</v>
      </c>
      <c r="J3911">
        <f>1256.01</f>
        <v>1256.01</v>
      </c>
      <c r="K3911">
        <f>4175.25</f>
        <v>4175.25</v>
      </c>
      <c r="L3911">
        <f>1046.67</f>
        <v>1046.67</v>
      </c>
      <c r="M3911">
        <f>4301.35</f>
        <v>4301.3500000000004</v>
      </c>
      <c r="N3911">
        <f>128.787</f>
        <v>128.78700000000001</v>
      </c>
      <c r="O3911">
        <f>1555.61</f>
        <v>1555.61</v>
      </c>
      <c r="P3911">
        <f>94.75</f>
        <v>94.75</v>
      </c>
      <c r="Q3911">
        <f>693.39</f>
        <v>693.39</v>
      </c>
      <c r="R3911">
        <f>2004.87</f>
        <v>2004.87</v>
      </c>
      <c r="S3911">
        <f>1552.68</f>
        <v>1552.68</v>
      </c>
      <c r="T3911" t="e">
        <f>NA()</f>
        <v>#N/A</v>
      </c>
      <c r="U3911">
        <f>28392.19</f>
        <v>28392.19</v>
      </c>
      <c r="V3911">
        <f>108.31</f>
        <v>108.31</v>
      </c>
    </row>
    <row r="3912" spans="1:22" x14ac:dyDescent="0.2">
      <c r="A3912" s="1">
        <v>39631</v>
      </c>
      <c r="B3912">
        <f>2258.09</f>
        <v>2258.09</v>
      </c>
      <c r="C3912">
        <f>6917.04</f>
        <v>6917.04</v>
      </c>
      <c r="D3912">
        <f>3226.02</f>
        <v>3226.02</v>
      </c>
      <c r="E3912">
        <f>1774.472</f>
        <v>1774.472</v>
      </c>
      <c r="F3912">
        <f>1760.33</f>
        <v>1760.33</v>
      </c>
      <c r="G3912">
        <f>6501.275</f>
        <v>6501.2749999999996</v>
      </c>
      <c r="H3912">
        <f>1807.96</f>
        <v>1807.96</v>
      </c>
      <c r="I3912">
        <f>7366.928</f>
        <v>7366.9279999999999</v>
      </c>
      <c r="J3912">
        <f>1251.02</f>
        <v>1251.02</v>
      </c>
      <c r="K3912">
        <f>4175.76</f>
        <v>4175.76</v>
      </c>
      <c r="L3912">
        <f>1043.52</f>
        <v>1043.52</v>
      </c>
      <c r="M3912">
        <f>4309.35</f>
        <v>4309.3500000000004</v>
      </c>
      <c r="N3912">
        <f>127.653</f>
        <v>127.65300000000001</v>
      </c>
      <c r="O3912">
        <f>1541.38</f>
        <v>1541.38</v>
      </c>
      <c r="P3912">
        <f>95.38</f>
        <v>95.38</v>
      </c>
      <c r="Q3912">
        <f>692.95</f>
        <v>692.95</v>
      </c>
      <c r="R3912">
        <f>2002.64</f>
        <v>2002.64</v>
      </c>
      <c r="S3912">
        <f>1556.42</f>
        <v>1556.42</v>
      </c>
      <c r="T3912" t="e">
        <f>NA()</f>
        <v>#N/A</v>
      </c>
      <c r="U3912">
        <f>29303.69</f>
        <v>29303.69</v>
      </c>
      <c r="V3912">
        <f>110.99</f>
        <v>110.99</v>
      </c>
    </row>
    <row r="3913" spans="1:22" x14ac:dyDescent="0.2">
      <c r="A3913" s="1">
        <v>39630</v>
      </c>
      <c r="B3913">
        <f>2334.13</f>
        <v>2334.13</v>
      </c>
      <c r="C3913">
        <f>6970.95</f>
        <v>6970.95</v>
      </c>
      <c r="D3913">
        <f>3257.86</f>
        <v>3257.86</v>
      </c>
      <c r="E3913">
        <f>1793.058</f>
        <v>1793.058</v>
      </c>
      <c r="F3913">
        <f>1753.09</f>
        <v>1753.09</v>
      </c>
      <c r="G3913">
        <f>6566.729</f>
        <v>6566.7290000000003</v>
      </c>
      <c r="H3913">
        <f>1825.15</f>
        <v>1825.15</v>
      </c>
      <c r="I3913">
        <f>7343.188</f>
        <v>7343.1880000000001</v>
      </c>
      <c r="J3913">
        <f>1264.64</f>
        <v>1264.6400000000001</v>
      </c>
      <c r="K3913">
        <f>4256.83</f>
        <v>4256.83</v>
      </c>
      <c r="L3913">
        <f>1044.38</f>
        <v>1044.3800000000001</v>
      </c>
      <c r="M3913">
        <f>4362.93</f>
        <v>4362.93</v>
      </c>
      <c r="N3913">
        <f>128.876</f>
        <v>128.876</v>
      </c>
      <c r="O3913">
        <f>1552.04</f>
        <v>1552.04</v>
      </c>
      <c r="P3913">
        <f>96.71</f>
        <v>96.71</v>
      </c>
      <c r="Q3913">
        <f>705.63</f>
        <v>705.63</v>
      </c>
      <c r="R3913">
        <f>2039.66</f>
        <v>2039.66</v>
      </c>
      <c r="S3913">
        <f>1579.05</f>
        <v>1579.05</v>
      </c>
      <c r="T3913" t="e">
        <f>NA()</f>
        <v>#N/A</v>
      </c>
      <c r="U3913">
        <f>30003.76</f>
        <v>30003.759999999998</v>
      </c>
      <c r="V3913">
        <f>111.86</f>
        <v>111.86</v>
      </c>
    </row>
    <row r="3914" spans="1:22" x14ac:dyDescent="0.2">
      <c r="A3914" s="1">
        <v>39629</v>
      </c>
      <c r="B3914">
        <f>2419.75</f>
        <v>2419.75</v>
      </c>
      <c r="C3914">
        <f>7087.64</f>
        <v>7087.64</v>
      </c>
      <c r="D3914">
        <f>3344.64</f>
        <v>3344.64</v>
      </c>
      <c r="E3914">
        <f>1823.792</f>
        <v>1823.7919999999999</v>
      </c>
      <c r="F3914">
        <f>1798.08</f>
        <v>1798.08</v>
      </c>
      <c r="G3914">
        <f>6738.117</f>
        <v>6738.1170000000002</v>
      </c>
      <c r="H3914">
        <f>1807.82</f>
        <v>1807.82</v>
      </c>
      <c r="I3914">
        <f>7491.384</f>
        <v>7491.384</v>
      </c>
      <c r="J3914">
        <f>1257.68</f>
        <v>1257.68</v>
      </c>
      <c r="K3914">
        <f>4241.46</f>
        <v>4241.46</v>
      </c>
      <c r="L3914">
        <f>1058.2</f>
        <v>1058.2</v>
      </c>
      <c r="M3914">
        <f>4392.17</f>
        <v>4392.17</v>
      </c>
      <c r="N3914">
        <f>131.902</f>
        <v>131.90199999999999</v>
      </c>
      <c r="O3914">
        <f>1585.64</f>
        <v>1585.64</v>
      </c>
      <c r="P3914">
        <f>95.99</f>
        <v>95.99</v>
      </c>
      <c r="Q3914">
        <f>698.61</f>
        <v>698.61</v>
      </c>
      <c r="R3914">
        <f>2031.47</f>
        <v>2031.47</v>
      </c>
      <c r="S3914">
        <f>1579.09</f>
        <v>1579.09</v>
      </c>
      <c r="T3914" t="e">
        <f>NA()</f>
        <v>#N/A</v>
      </c>
      <c r="U3914">
        <f>30413.43</f>
        <v>30413.43</v>
      </c>
      <c r="V3914">
        <f>113.73</f>
        <v>113.73</v>
      </c>
    </row>
    <row r="3915" spans="1:22" x14ac:dyDescent="0.2">
      <c r="A3915" s="1">
        <v>39626</v>
      </c>
      <c r="B3915">
        <f>2415.77</f>
        <v>2415.77</v>
      </c>
      <c r="C3915">
        <f>7065.66</f>
        <v>7065.66</v>
      </c>
      <c r="D3915">
        <f>3287.6</f>
        <v>3287.6</v>
      </c>
      <c r="E3915">
        <f>1819.642</f>
        <v>1819.6420000000001</v>
      </c>
      <c r="F3915">
        <f>1778.52</f>
        <v>1778.52</v>
      </c>
      <c r="G3915">
        <f>6630.662</f>
        <v>6630.6620000000003</v>
      </c>
      <c r="H3915">
        <f>1786.02</f>
        <v>1786.02</v>
      </c>
      <c r="I3915">
        <f>7462.969</f>
        <v>7462.9690000000001</v>
      </c>
      <c r="J3915">
        <f>1250.74</f>
        <v>1250.74</v>
      </c>
      <c r="K3915">
        <f>4236.45</f>
        <v>4236.45</v>
      </c>
      <c r="L3915">
        <f>1053.08</f>
        <v>1053.08</v>
      </c>
      <c r="M3915">
        <f>4377.91</f>
        <v>4377.91</v>
      </c>
      <c r="N3915">
        <f>131.299</f>
        <v>131.29900000000001</v>
      </c>
      <c r="O3915">
        <f>1573.56</f>
        <v>1573.56</v>
      </c>
      <c r="P3915">
        <f>95.68</f>
        <v>95.68</v>
      </c>
      <c r="Q3915">
        <f>700.36</f>
        <v>700.36</v>
      </c>
      <c r="R3915">
        <f>2028.89</f>
        <v>2028.89</v>
      </c>
      <c r="S3915">
        <f>1579.78</f>
        <v>1579.78</v>
      </c>
      <c r="T3915" t="e">
        <f>NA()</f>
        <v>#N/A</v>
      </c>
      <c r="U3915">
        <f>30375.47</f>
        <v>30375.47</v>
      </c>
      <c r="V3915">
        <f>114.3</f>
        <v>114.3</v>
      </c>
    </row>
    <row r="3916" spans="1:22" x14ac:dyDescent="0.2">
      <c r="A3916" s="1">
        <v>39625</v>
      </c>
      <c r="B3916">
        <f>2434.43</f>
        <v>2434.4299999999998</v>
      </c>
      <c r="C3916">
        <f>7152.36</f>
        <v>7152.36</v>
      </c>
      <c r="D3916">
        <f>3280.63</f>
        <v>3280.63</v>
      </c>
      <c r="E3916">
        <f>1844.532</f>
        <v>1844.5319999999999</v>
      </c>
      <c r="F3916">
        <f>1775.96</f>
        <v>1775.96</v>
      </c>
      <c r="G3916">
        <f>6607.628</f>
        <v>6607.6279999999997</v>
      </c>
      <c r="H3916">
        <f>1789.43</f>
        <v>1789.43</v>
      </c>
      <c r="I3916">
        <f>7517.891</f>
        <v>7517.8909999999996</v>
      </c>
      <c r="J3916">
        <f>1263</f>
        <v>1263</v>
      </c>
      <c r="K3916">
        <f>4250.61</f>
        <v>4250.6099999999997</v>
      </c>
      <c r="L3916">
        <f>1059.72</f>
        <v>1059.72</v>
      </c>
      <c r="M3916">
        <f>4395.78</f>
        <v>4395.78</v>
      </c>
      <c r="N3916">
        <f>131.982</f>
        <v>131.982</v>
      </c>
      <c r="O3916">
        <f>1579.89</f>
        <v>1579.89</v>
      </c>
      <c r="P3916">
        <f>96.78</f>
        <v>96.78</v>
      </c>
      <c r="Q3916">
        <f>704.68</f>
        <v>704.68</v>
      </c>
      <c r="R3916">
        <f>2036.4</f>
        <v>2036.4</v>
      </c>
      <c r="S3916">
        <f>1608.63</f>
        <v>1608.63</v>
      </c>
      <c r="T3916" t="e">
        <f>NA()</f>
        <v>#N/A</v>
      </c>
      <c r="U3916">
        <f>29988.12</f>
        <v>29988.12</v>
      </c>
      <c r="V3916">
        <f>114.19</f>
        <v>114.19</v>
      </c>
    </row>
    <row r="3917" spans="1:22" x14ac:dyDescent="0.2">
      <c r="A3917" s="1">
        <v>39624</v>
      </c>
      <c r="B3917">
        <f>2508.25</f>
        <v>2508.25</v>
      </c>
      <c r="C3917">
        <f>7199.06</f>
        <v>7199.06</v>
      </c>
      <c r="D3917">
        <f>3368.55</f>
        <v>3368.55</v>
      </c>
      <c r="E3917">
        <f>1855.356</f>
        <v>1855.356</v>
      </c>
      <c r="F3917">
        <f>1835.81</f>
        <v>1835.81</v>
      </c>
      <c r="G3917">
        <f>6710.93</f>
        <v>6710.93</v>
      </c>
      <c r="H3917">
        <f>1776.18</f>
        <v>1776.18</v>
      </c>
      <c r="I3917">
        <f>7618.944</f>
        <v>7618.9440000000004</v>
      </c>
      <c r="J3917">
        <f>1301.96</f>
        <v>1301.96</v>
      </c>
      <c r="K3917">
        <f>4375.85</f>
        <v>4375.8500000000004</v>
      </c>
      <c r="L3917">
        <f>1078.81</f>
        <v>1078.81</v>
      </c>
      <c r="M3917">
        <f>4473.31</f>
        <v>4473.3100000000004</v>
      </c>
      <c r="N3917">
        <f>135.206</f>
        <v>135.20599999999999</v>
      </c>
      <c r="O3917">
        <f>1621.05</f>
        <v>1621.05</v>
      </c>
      <c r="P3917">
        <f>96.86</f>
        <v>96.86</v>
      </c>
      <c r="Q3917">
        <f>723.48</f>
        <v>723.48</v>
      </c>
      <c r="R3917">
        <f>2097.36</f>
        <v>2097.36</v>
      </c>
      <c r="S3917">
        <f>1610.17</f>
        <v>1610.17</v>
      </c>
      <c r="T3917" t="e">
        <f>NA()</f>
        <v>#N/A</v>
      </c>
      <c r="U3917">
        <f>29964.55</f>
        <v>29964.55</v>
      </c>
      <c r="V3917">
        <f>114.1</f>
        <v>114.1</v>
      </c>
    </row>
    <row r="3918" spans="1:22" x14ac:dyDescent="0.2">
      <c r="A3918" s="1">
        <v>39623</v>
      </c>
      <c r="B3918">
        <f>2468.04</f>
        <v>2468.04</v>
      </c>
      <c r="C3918">
        <f>7090.27</f>
        <v>7090.27</v>
      </c>
      <c r="D3918">
        <f>3348.52</f>
        <v>3348.52</v>
      </c>
      <c r="E3918">
        <f>1830.427</f>
        <v>1830.4269999999999</v>
      </c>
      <c r="F3918">
        <f>1804.49</f>
        <v>1804.49</v>
      </c>
      <c r="G3918">
        <f>6679.916</f>
        <v>6679.9160000000002</v>
      </c>
      <c r="H3918">
        <f>1784.47</f>
        <v>1784.47</v>
      </c>
      <c r="I3918">
        <f>7524.904</f>
        <v>7524.9040000000005</v>
      </c>
      <c r="J3918">
        <f>1293.19</f>
        <v>1293.19</v>
      </c>
      <c r="K3918">
        <f>4349.83</f>
        <v>4349.83</v>
      </c>
      <c r="L3918">
        <f>1067.56</f>
        <v>1067.56</v>
      </c>
      <c r="M3918">
        <f>4449.76</f>
        <v>4449.76</v>
      </c>
      <c r="N3918">
        <f>133.088</f>
        <v>133.08799999999999</v>
      </c>
      <c r="O3918">
        <f>1602.17</f>
        <v>1602.17</v>
      </c>
      <c r="P3918">
        <f>95.87</f>
        <v>95.87</v>
      </c>
      <c r="Q3918">
        <f>716.89</f>
        <v>716.89</v>
      </c>
      <c r="R3918">
        <f>2085.08</f>
        <v>2085.08</v>
      </c>
      <c r="S3918">
        <f>1612.94</f>
        <v>1612.94</v>
      </c>
      <c r="T3918" t="e">
        <f>NA()</f>
        <v>#N/A</v>
      </c>
      <c r="U3918">
        <f>30222.88</f>
        <v>30222.880000000001</v>
      </c>
      <c r="V3918">
        <f>113.55</f>
        <v>113.55</v>
      </c>
    </row>
    <row r="3919" spans="1:22" x14ac:dyDescent="0.2">
      <c r="A3919" s="1">
        <v>39622</v>
      </c>
      <c r="B3919">
        <f>2490.03</f>
        <v>2490.0300000000002</v>
      </c>
      <c r="C3919">
        <f>7151.64</f>
        <v>7151.64</v>
      </c>
      <c r="D3919">
        <f>3367.82</f>
        <v>3367.82</v>
      </c>
      <c r="E3919">
        <f>1844.141</f>
        <v>1844.1410000000001</v>
      </c>
      <c r="F3919">
        <f>1793.55</f>
        <v>1793.55</v>
      </c>
      <c r="G3919">
        <f>6679.858</f>
        <v>6679.8580000000002</v>
      </c>
      <c r="H3919">
        <f>1788.51</f>
        <v>1788.51</v>
      </c>
      <c r="I3919">
        <f>7531.046</f>
        <v>7531.0460000000003</v>
      </c>
      <c r="J3919">
        <f>1287.27</f>
        <v>1287.27</v>
      </c>
      <c r="K3919">
        <f>4365.71</f>
        <v>4365.71</v>
      </c>
      <c r="L3919">
        <f>1065.45</f>
        <v>1065.45</v>
      </c>
      <c r="M3919">
        <f>4460.09</f>
        <v>4460.09</v>
      </c>
      <c r="N3919">
        <f>133.801</f>
        <v>133.80099999999999</v>
      </c>
      <c r="O3919">
        <f>1613.77</f>
        <v>1613.77</v>
      </c>
      <c r="P3919">
        <f>95.67</f>
        <v>95.67</v>
      </c>
      <c r="Q3919">
        <f>715.86</f>
        <v>715.86</v>
      </c>
      <c r="R3919">
        <f>2090.94</f>
        <v>2090.94</v>
      </c>
      <c r="S3919">
        <f>1611.43</f>
        <v>1611.43</v>
      </c>
      <c r="T3919" t="e">
        <f>NA()</f>
        <v>#N/A</v>
      </c>
      <c r="U3919">
        <f>30473.44</f>
        <v>30473.439999999999</v>
      </c>
      <c r="V3919">
        <f>115.22</f>
        <v>115.22</v>
      </c>
    </row>
    <row r="3920" spans="1:22" x14ac:dyDescent="0.2">
      <c r="A3920" s="1">
        <v>39619</v>
      </c>
      <c r="B3920">
        <f>2491.48</f>
        <v>2491.48</v>
      </c>
      <c r="C3920">
        <f>7199.62</f>
        <v>7199.62</v>
      </c>
      <c r="D3920">
        <f>3340.21</f>
        <v>3340.21</v>
      </c>
      <c r="E3920">
        <f>1862.122</f>
        <v>1862.1220000000001</v>
      </c>
      <c r="F3920">
        <f>1817.71</f>
        <v>1817.71</v>
      </c>
      <c r="G3920">
        <f>6681.751</f>
        <v>6681.7510000000002</v>
      </c>
      <c r="H3920">
        <f>1809.5</f>
        <v>1809.5</v>
      </c>
      <c r="I3920">
        <f>7636.459</f>
        <v>7636.4589999999998</v>
      </c>
      <c r="J3920">
        <f>1290.17</f>
        <v>1290.17</v>
      </c>
      <c r="K3920">
        <f>4365.14</f>
        <v>4365.1400000000003</v>
      </c>
      <c r="L3920">
        <f>1072.8</f>
        <v>1072.8</v>
      </c>
      <c r="M3920">
        <f>4478.28</f>
        <v>4478.28</v>
      </c>
      <c r="N3920">
        <f>134.286</f>
        <v>134.286</v>
      </c>
      <c r="O3920">
        <f>1612.84</f>
        <v>1612.84</v>
      </c>
      <c r="P3920">
        <f>95.8</f>
        <v>95.8</v>
      </c>
      <c r="Q3920">
        <f>720.25</f>
        <v>720.25</v>
      </c>
      <c r="R3920">
        <f>2090.82</f>
        <v>2090.8200000000002</v>
      </c>
      <c r="S3920">
        <f>1621.96</f>
        <v>1621.96</v>
      </c>
      <c r="T3920" t="e">
        <f>NA()</f>
        <v>#N/A</v>
      </c>
      <c r="U3920">
        <f>30580.63</f>
        <v>30580.63</v>
      </c>
      <c r="V3920">
        <f>117.29</f>
        <v>117.29</v>
      </c>
    </row>
    <row r="3921" spans="1:22" x14ac:dyDescent="0.2">
      <c r="A3921" s="1">
        <v>39618</v>
      </c>
      <c r="B3921">
        <f>2527.59</f>
        <v>2527.59</v>
      </c>
      <c r="C3921">
        <f>7291.08</f>
        <v>7291.08</v>
      </c>
      <c r="D3921">
        <f>3392.27</f>
        <v>3392.27</v>
      </c>
      <c r="E3921">
        <f>1889.316</f>
        <v>1889.316</v>
      </c>
      <c r="F3921">
        <f>1860.08</f>
        <v>1860.08</v>
      </c>
      <c r="G3921">
        <f>6771.28</f>
        <v>6771.28</v>
      </c>
      <c r="H3921">
        <f>1822.4</f>
        <v>1822.4</v>
      </c>
      <c r="I3921">
        <f>7684.292</f>
        <v>7684.2920000000004</v>
      </c>
      <c r="J3921">
        <f>1311.49</f>
        <v>1311.49</v>
      </c>
      <c r="K3921">
        <f>4446.08</f>
        <v>4446.08</v>
      </c>
      <c r="L3921">
        <f>1086.66</f>
        <v>1086.6600000000001</v>
      </c>
      <c r="M3921">
        <f>4539.94</f>
        <v>4539.9399999999996</v>
      </c>
      <c r="N3921">
        <f>136.22</f>
        <v>136.22</v>
      </c>
      <c r="O3921">
        <f>1642.1</f>
        <v>1642.1</v>
      </c>
      <c r="P3921">
        <f>96.75</f>
        <v>96.75</v>
      </c>
      <c r="Q3921">
        <f>731.46</f>
        <v>731.46</v>
      </c>
      <c r="R3921">
        <f>2130.3</f>
        <v>2130.3000000000002</v>
      </c>
      <c r="S3921">
        <f>1644.5</f>
        <v>1644.5</v>
      </c>
      <c r="T3921" t="e">
        <f>NA()</f>
        <v>#N/A</v>
      </c>
      <c r="U3921">
        <f>31295.46</f>
        <v>31295.46</v>
      </c>
      <c r="V3921">
        <f>118.51</f>
        <v>118.51</v>
      </c>
    </row>
    <row r="3922" spans="1:22" x14ac:dyDescent="0.2">
      <c r="A3922" s="1">
        <v>39617</v>
      </c>
      <c r="B3922">
        <f>2567.68</f>
        <v>2567.6799999999998</v>
      </c>
      <c r="C3922">
        <f>7343.15</f>
        <v>7343.15</v>
      </c>
      <c r="D3922">
        <f>3421.08</f>
        <v>3421.08</v>
      </c>
      <c r="E3922">
        <f>1909.135</f>
        <v>1909.135</v>
      </c>
      <c r="F3922">
        <f>1880.66</f>
        <v>1880.66</v>
      </c>
      <c r="G3922">
        <f>6786.496</f>
        <v>6786.4960000000001</v>
      </c>
      <c r="H3922">
        <f>1872.26</f>
        <v>1872.26</v>
      </c>
      <c r="I3922">
        <f>7751.545</f>
        <v>7751.5450000000001</v>
      </c>
      <c r="J3922">
        <f>1306.73</f>
        <v>1306.73</v>
      </c>
      <c r="K3922">
        <f>4431.36</f>
        <v>4431.3599999999997</v>
      </c>
      <c r="L3922">
        <f>1093.18</f>
        <v>1093.18</v>
      </c>
      <c r="M3922">
        <f>4560.36</f>
        <v>4560.3599999999997</v>
      </c>
      <c r="N3922">
        <f>136.69</f>
        <v>136.69</v>
      </c>
      <c r="O3922">
        <f>1650.87</f>
        <v>1650.87</v>
      </c>
      <c r="P3922">
        <f>98.71</f>
        <v>98.71</v>
      </c>
      <c r="Q3922">
        <f>727.57</f>
        <v>727.57</v>
      </c>
      <c r="R3922">
        <f>2121.78</f>
        <v>2121.7800000000002</v>
      </c>
      <c r="S3922">
        <f>1685.2</f>
        <v>1685.2</v>
      </c>
      <c r="T3922" t="e">
        <f>NA()</f>
        <v>#N/A</v>
      </c>
      <c r="U3922">
        <f>30981.81</f>
        <v>30981.81</v>
      </c>
      <c r="V3922">
        <f>119.12</f>
        <v>119.12</v>
      </c>
    </row>
    <row r="3923" spans="1:22" x14ac:dyDescent="0.2">
      <c r="A3923" s="1">
        <v>39616</v>
      </c>
      <c r="B3923">
        <f>2654.5</f>
        <v>2654.5</v>
      </c>
      <c r="C3923">
        <f>7387.37</f>
        <v>7387.37</v>
      </c>
      <c r="D3923">
        <f>3482.99</f>
        <v>3482.99</v>
      </c>
      <c r="E3923">
        <f>1917.463</f>
        <v>1917.463</v>
      </c>
      <c r="F3923">
        <f>1923.6</f>
        <v>1923.6</v>
      </c>
      <c r="G3923">
        <f>6889.808</f>
        <v>6889.808</v>
      </c>
      <c r="H3923">
        <f>1855.69</f>
        <v>1855.69</v>
      </c>
      <c r="I3923">
        <f>7857.515</f>
        <v>7857.5150000000003</v>
      </c>
      <c r="J3923">
        <f>1322.6</f>
        <v>1322.6</v>
      </c>
      <c r="K3923">
        <f>4474.08</f>
        <v>4474.08</v>
      </c>
      <c r="L3923">
        <f>1107.55</f>
        <v>1107.55</v>
      </c>
      <c r="M3923">
        <f>4597.44</f>
        <v>4597.4399999999996</v>
      </c>
      <c r="N3923">
        <f>139.306</f>
        <v>139.30600000000001</v>
      </c>
      <c r="O3923">
        <f>1675.25</f>
        <v>1675.25</v>
      </c>
      <c r="P3923">
        <f>98.37</f>
        <v>98.37</v>
      </c>
      <c r="Q3923">
        <f>741.68</f>
        <v>741.68</v>
      </c>
      <c r="R3923">
        <f>2142.55</f>
        <v>2142.5500000000002</v>
      </c>
      <c r="S3923">
        <f>1676.04</f>
        <v>1676.04</v>
      </c>
      <c r="T3923" t="e">
        <f>NA()</f>
        <v>#N/A</v>
      </c>
      <c r="U3923">
        <f>31451.04</f>
        <v>31451.040000000001</v>
      </c>
      <c r="V3923">
        <f>120.04</f>
        <v>120.04</v>
      </c>
    </row>
    <row r="3924" spans="1:22" x14ac:dyDescent="0.2">
      <c r="A3924" s="1">
        <v>39615</v>
      </c>
      <c r="B3924">
        <f>2650.33</f>
        <v>2650.33</v>
      </c>
      <c r="C3924">
        <f>7344.87</f>
        <v>7344.87</v>
      </c>
      <c r="D3924">
        <f>3442.97</f>
        <v>3442.97</v>
      </c>
      <c r="E3924">
        <f>1898.972</f>
        <v>1898.972</v>
      </c>
      <c r="F3924">
        <f>1906.6</f>
        <v>1906.6</v>
      </c>
      <c r="G3924">
        <f>6850.4</f>
        <v>6850.4</v>
      </c>
      <c r="H3924">
        <f>1852.65</f>
        <v>1852.65</v>
      </c>
      <c r="I3924">
        <f>7793.207</f>
        <v>7793.2070000000003</v>
      </c>
      <c r="J3924">
        <f>1334.54</f>
        <v>1334.54</v>
      </c>
      <c r="K3924">
        <f>4500.34</f>
        <v>4500.34</v>
      </c>
      <c r="L3924">
        <f>1107.51</f>
        <v>1107.51</v>
      </c>
      <c r="M3924">
        <f>4593.79</f>
        <v>4593.79</v>
      </c>
      <c r="N3924">
        <f>138.645</f>
        <v>138.64500000000001</v>
      </c>
      <c r="O3924">
        <f>1667.53</f>
        <v>1667.53</v>
      </c>
      <c r="P3924">
        <f>97.91</f>
        <v>97.91</v>
      </c>
      <c r="Q3924">
        <f>749.28</f>
        <v>749.28</v>
      </c>
      <c r="R3924">
        <f>2157.14</f>
        <v>2157.14</v>
      </c>
      <c r="S3924">
        <f>1675.69</f>
        <v>1675.69</v>
      </c>
      <c r="T3924" t="e">
        <f>NA()</f>
        <v>#N/A</v>
      </c>
      <c r="U3924" t="e">
        <f>NA()</f>
        <v>#N/A</v>
      </c>
      <c r="V3924" t="e">
        <f>NA()</f>
        <v>#N/A</v>
      </c>
    </row>
    <row r="3925" spans="1:22" x14ac:dyDescent="0.2">
      <c r="A3925" s="1">
        <v>39612</v>
      </c>
      <c r="B3925">
        <f>2642.97</f>
        <v>2642.97</v>
      </c>
      <c r="C3925">
        <f>7272.83</f>
        <v>7272.83</v>
      </c>
      <c r="D3925">
        <f>3447.85</f>
        <v>3447.85</v>
      </c>
      <c r="E3925">
        <f>1877.022</f>
        <v>1877.0219999999999</v>
      </c>
      <c r="F3925">
        <f>1906.85</f>
        <v>1906.85</v>
      </c>
      <c r="G3925">
        <f>6793.035</f>
        <v>6793.0349999999999</v>
      </c>
      <c r="H3925">
        <f>1813.71</f>
        <v>1813.71</v>
      </c>
      <c r="I3925">
        <f>7761.433</f>
        <v>7761.433</v>
      </c>
      <c r="J3925">
        <f>1340.05</f>
        <v>1340.05</v>
      </c>
      <c r="K3925">
        <f>4497.04</f>
        <v>4497.04</v>
      </c>
      <c r="L3925">
        <f>1105.24</f>
        <v>1105.24</v>
      </c>
      <c r="M3925">
        <f>4569.7</f>
        <v>4569.7</v>
      </c>
      <c r="N3925">
        <f>139.088</f>
        <v>139.08799999999999</v>
      </c>
      <c r="O3925">
        <f>1674.07</f>
        <v>1674.07</v>
      </c>
      <c r="P3925">
        <f>96.33</f>
        <v>96.33</v>
      </c>
      <c r="Q3925">
        <f>748.84</f>
        <v>748.84</v>
      </c>
      <c r="R3925">
        <f>2156.96</f>
        <v>2156.96</v>
      </c>
      <c r="S3925">
        <f>1639.68</f>
        <v>1639.68</v>
      </c>
      <c r="T3925" t="e">
        <f>NA()</f>
        <v>#N/A</v>
      </c>
      <c r="U3925">
        <f>31067.56</f>
        <v>31067.56</v>
      </c>
      <c r="V3925">
        <f>120.51</f>
        <v>120.51</v>
      </c>
    </row>
    <row r="3926" spans="1:22" x14ac:dyDescent="0.2">
      <c r="A3926" s="1">
        <v>39611</v>
      </c>
      <c r="B3926">
        <f>2574.22</f>
        <v>2574.2199999999998</v>
      </c>
      <c r="C3926">
        <f>7282.52</f>
        <v>7282.52</v>
      </c>
      <c r="D3926">
        <f>3440.56</f>
        <v>3440.56</v>
      </c>
      <c r="E3926">
        <f>1882.019</f>
        <v>1882.019</v>
      </c>
      <c r="F3926">
        <f>1868.24</f>
        <v>1868.24</v>
      </c>
      <c r="G3926">
        <f>6780.159</f>
        <v>6780.1589999999997</v>
      </c>
      <c r="H3926">
        <f>1805.62</f>
        <v>1805.62</v>
      </c>
      <c r="I3926">
        <f>7768</f>
        <v>7768</v>
      </c>
      <c r="J3926">
        <f>1328.59</f>
        <v>1328.59</v>
      </c>
      <c r="K3926">
        <f>4430.13</f>
        <v>4430.13</v>
      </c>
      <c r="L3926">
        <f>1101.71</f>
        <v>1101.71</v>
      </c>
      <c r="M3926">
        <f>4530.25</f>
        <v>4530.25</v>
      </c>
      <c r="N3926">
        <f>138.041</f>
        <v>138.041</v>
      </c>
      <c r="O3926">
        <f>1664.77</f>
        <v>1664.77</v>
      </c>
      <c r="P3926">
        <f>96.43</f>
        <v>96.43</v>
      </c>
      <c r="Q3926">
        <f>742.34</f>
        <v>742.34</v>
      </c>
      <c r="R3926">
        <f>2124.94</f>
        <v>2124.94</v>
      </c>
      <c r="S3926">
        <f>1629.6</f>
        <v>1629.6</v>
      </c>
      <c r="T3926" t="e">
        <f>NA()</f>
        <v>#N/A</v>
      </c>
      <c r="U3926">
        <f>31033.3</f>
        <v>31033.3</v>
      </c>
      <c r="V3926">
        <f>120.09</f>
        <v>120.09</v>
      </c>
    </row>
    <row r="3927" spans="1:22" x14ac:dyDescent="0.2">
      <c r="A3927" s="1">
        <v>39610</v>
      </c>
      <c r="B3927">
        <f>2538.96</f>
        <v>2538.96</v>
      </c>
      <c r="C3927">
        <f>7348.46</f>
        <v>7348.46</v>
      </c>
      <c r="D3927">
        <f>3400.64</f>
        <v>3400.64</v>
      </c>
      <c r="E3927">
        <f>1895.689</f>
        <v>1895.6890000000001</v>
      </c>
      <c r="F3927">
        <f>1848.05</f>
        <v>1848.05</v>
      </c>
      <c r="G3927">
        <f>6760.255</f>
        <v>6760.2550000000001</v>
      </c>
      <c r="H3927">
        <f>1871.28</f>
        <v>1871.28</v>
      </c>
      <c r="I3927">
        <f>7766.856</f>
        <v>7766.8559999999998</v>
      </c>
      <c r="J3927">
        <f>1324.44</f>
        <v>1324.44</v>
      </c>
      <c r="K3927">
        <f>4417.19</f>
        <v>4417.1899999999996</v>
      </c>
      <c r="L3927">
        <f>1104.08</f>
        <v>1104.08</v>
      </c>
      <c r="M3927">
        <f>4548.29</f>
        <v>4548.29</v>
      </c>
      <c r="N3927">
        <f>136.933</f>
        <v>136.93299999999999</v>
      </c>
      <c r="O3927">
        <f>1648.87</f>
        <v>1648.87</v>
      </c>
      <c r="P3927">
        <f>97.73</f>
        <v>97.73</v>
      </c>
      <c r="Q3927">
        <f>741.81</f>
        <v>741.81</v>
      </c>
      <c r="R3927">
        <f>2117.84</f>
        <v>2117.84</v>
      </c>
      <c r="S3927">
        <f>1661.75</f>
        <v>1661.75</v>
      </c>
      <c r="T3927" t="e">
        <f>NA()</f>
        <v>#N/A</v>
      </c>
      <c r="U3927">
        <f>30639.95</f>
        <v>30639.95</v>
      </c>
      <c r="V3927">
        <f>118.99</f>
        <v>118.99</v>
      </c>
    </row>
    <row r="3928" spans="1:22" x14ac:dyDescent="0.2">
      <c r="A3928" s="1">
        <v>39609</v>
      </c>
      <c r="B3928">
        <f>2642.46</f>
        <v>2642.46</v>
      </c>
      <c r="C3928">
        <f>7397.12</f>
        <v>7397.12</v>
      </c>
      <c r="D3928">
        <f>3461.98</f>
        <v>3461.98</v>
      </c>
      <c r="E3928">
        <f>1906.824</f>
        <v>1906.8240000000001</v>
      </c>
      <c r="F3928">
        <f>1913.47</f>
        <v>1913.47</v>
      </c>
      <c r="G3928">
        <f>6847.339</f>
        <v>6847.3389999999999</v>
      </c>
      <c r="H3928">
        <f>1852.81</f>
        <v>1852.81</v>
      </c>
      <c r="I3928">
        <f>7872.907</f>
        <v>7872.9070000000002</v>
      </c>
      <c r="J3928">
        <f>1346.36</f>
        <v>1346.36</v>
      </c>
      <c r="K3928">
        <f>4490.52</f>
        <v>4490.5200000000004</v>
      </c>
      <c r="L3928">
        <f>1118.58</f>
        <v>1118.58</v>
      </c>
      <c r="M3928">
        <f>4597.48</f>
        <v>4597.4799999999996</v>
      </c>
      <c r="N3928">
        <f>139.352</f>
        <v>139.352</v>
      </c>
      <c r="O3928">
        <f>1678.17</f>
        <v>1678.17</v>
      </c>
      <c r="P3928">
        <f>97.22</f>
        <v>97.22</v>
      </c>
      <c r="Q3928">
        <f>755.86</f>
        <v>755.86</v>
      </c>
      <c r="R3928">
        <f>2153.77</f>
        <v>2153.77</v>
      </c>
      <c r="S3928">
        <f>1653.59</f>
        <v>1653.59</v>
      </c>
      <c r="T3928" t="e">
        <f>NA()</f>
        <v>#N/A</v>
      </c>
      <c r="U3928">
        <f>31047.43</f>
        <v>31047.43</v>
      </c>
      <c r="V3928">
        <f>120.09</f>
        <v>120.09</v>
      </c>
    </row>
    <row r="3929" spans="1:22" x14ac:dyDescent="0.2">
      <c r="A3929" s="1">
        <v>39608</v>
      </c>
      <c r="B3929">
        <f>2696.64</f>
        <v>2696.64</v>
      </c>
      <c r="C3929">
        <f>7574.26</f>
        <v>7574.26</v>
      </c>
      <c r="D3929">
        <f>3491.83</f>
        <v>3491.83</v>
      </c>
      <c r="E3929">
        <f>1955.691</f>
        <v>1955.691</v>
      </c>
      <c r="F3929">
        <f>1949</f>
        <v>1949</v>
      </c>
      <c r="G3929">
        <f>6991.69</f>
        <v>6991.69</v>
      </c>
      <c r="H3929">
        <f>1887.39</f>
        <v>1887.39</v>
      </c>
      <c r="I3929">
        <f>8061.218</f>
        <v>8061.2179999999998</v>
      </c>
      <c r="J3929">
        <f>1343.47</f>
        <v>1343.47</v>
      </c>
      <c r="K3929">
        <f>4504.33</f>
        <v>4504.33</v>
      </c>
      <c r="L3929">
        <f>1136.16</f>
        <v>1136.1600000000001</v>
      </c>
      <c r="M3929">
        <f>4659.69</f>
        <v>4659.6899999999996</v>
      </c>
      <c r="N3929">
        <f>139.642</f>
        <v>139.642</v>
      </c>
      <c r="O3929">
        <f>1688.52</f>
        <v>1688.52</v>
      </c>
      <c r="P3929">
        <f>97.74</f>
        <v>97.74</v>
      </c>
      <c r="Q3929">
        <f>755.67</f>
        <v>755.67</v>
      </c>
      <c r="R3929">
        <f>2159.03</f>
        <v>2159.0300000000002</v>
      </c>
      <c r="S3929">
        <f>1670.72</f>
        <v>1670.72</v>
      </c>
      <c r="T3929" t="e">
        <f>NA()</f>
        <v>#N/A</v>
      </c>
      <c r="U3929">
        <f>31487.15</f>
        <v>31487.15</v>
      </c>
      <c r="V3929">
        <f>121.74</f>
        <v>121.74</v>
      </c>
    </row>
    <row r="3930" spans="1:22" x14ac:dyDescent="0.2">
      <c r="A3930" s="1">
        <v>39605</v>
      </c>
      <c r="B3930">
        <f>2740.67</f>
        <v>2740.67</v>
      </c>
      <c r="C3930">
        <f>7693.15</f>
        <v>7693.15</v>
      </c>
      <c r="D3930">
        <f>3509.22</f>
        <v>3509.22</v>
      </c>
      <c r="E3930">
        <f>1981.23</f>
        <v>1981.23</v>
      </c>
      <c r="F3930">
        <f>2000.71</f>
        <v>2000.71</v>
      </c>
      <c r="G3930">
        <f>7005.959</f>
        <v>7005.9589999999998</v>
      </c>
      <c r="H3930">
        <f>1939.34</f>
        <v>1939.34</v>
      </c>
      <c r="I3930">
        <f>8111.721</f>
        <v>8111.7209999999995</v>
      </c>
      <c r="J3930">
        <f>1350.63</f>
        <v>1350.63</v>
      </c>
      <c r="K3930">
        <f>4500.96</f>
        <v>4500.96</v>
      </c>
      <c r="L3930">
        <f>1144.96</f>
        <v>1144.96</v>
      </c>
      <c r="M3930">
        <f>4682.97</f>
        <v>4682.97</v>
      </c>
      <c r="N3930">
        <f>141.262</f>
        <v>141.262</v>
      </c>
      <c r="O3930">
        <f>1695.14</f>
        <v>1695.14</v>
      </c>
      <c r="P3930">
        <f>98.97</f>
        <v>98.97</v>
      </c>
      <c r="Q3930">
        <f>756.29</f>
        <v>756.29</v>
      </c>
      <c r="R3930">
        <f>2157.24</f>
        <v>2157.2399999999998</v>
      </c>
      <c r="S3930">
        <f>1707.27</f>
        <v>1707.27</v>
      </c>
      <c r="T3930" t="e">
        <f>NA()</f>
        <v>#N/A</v>
      </c>
      <c r="U3930">
        <f>31696.42</f>
        <v>31696.42</v>
      </c>
      <c r="V3930">
        <f>123.72</f>
        <v>123.72</v>
      </c>
    </row>
    <row r="3931" spans="1:22" x14ac:dyDescent="0.2">
      <c r="A3931" s="1">
        <v>39604</v>
      </c>
      <c r="B3931">
        <f>2814</f>
        <v>2814</v>
      </c>
      <c r="C3931">
        <f>7689.45</f>
        <v>7689.45</v>
      </c>
      <c r="D3931">
        <f>3561.79</f>
        <v>3561.79</v>
      </c>
      <c r="E3931">
        <f>1983.883</f>
        <v>1983.883</v>
      </c>
      <c r="F3931">
        <f>2036.72</f>
        <v>2036.72</v>
      </c>
      <c r="G3931">
        <f>7058.515</f>
        <v>7058.5150000000003</v>
      </c>
      <c r="H3931">
        <f>1912.33</f>
        <v>1912.33</v>
      </c>
      <c r="I3931">
        <f>8169.385</f>
        <v>8169.3850000000002</v>
      </c>
      <c r="J3931">
        <f>1392.66</f>
        <v>1392.66</v>
      </c>
      <c r="K3931">
        <f>4638.95</f>
        <v>4638.95</v>
      </c>
      <c r="L3931">
        <f>1162.29</f>
        <v>1162.29</v>
      </c>
      <c r="M3931">
        <f>4752.04</f>
        <v>4752.04</v>
      </c>
      <c r="N3931">
        <f>144.493</f>
        <v>144.49299999999999</v>
      </c>
      <c r="O3931">
        <f>1729.97</f>
        <v>1729.97</v>
      </c>
      <c r="P3931">
        <f>99.23</f>
        <v>99.23</v>
      </c>
      <c r="Q3931">
        <f>781.13</f>
        <v>781.13</v>
      </c>
      <c r="R3931">
        <f>2225.74</f>
        <v>2225.7399999999998</v>
      </c>
      <c r="S3931">
        <f>1702.9</f>
        <v>1702.9</v>
      </c>
      <c r="T3931" t="e">
        <f>NA()</f>
        <v>#N/A</v>
      </c>
      <c r="U3931">
        <f>31741.26</f>
        <v>31741.26</v>
      </c>
      <c r="V3931">
        <f>124.26</f>
        <v>124.26</v>
      </c>
    </row>
    <row r="3932" spans="1:22" x14ac:dyDescent="0.2">
      <c r="A3932" s="1">
        <v>39603</v>
      </c>
      <c r="B3932">
        <f>2775.61</f>
        <v>2775.61</v>
      </c>
      <c r="C3932">
        <f>7625.45</f>
        <v>7625.45</v>
      </c>
      <c r="D3932">
        <f>3546.83</f>
        <v>3546.83</v>
      </c>
      <c r="E3932">
        <f>1965.307</f>
        <v>1965.307</v>
      </c>
      <c r="F3932">
        <f>1996.39</f>
        <v>1996.39</v>
      </c>
      <c r="G3932">
        <f>7023.734</f>
        <v>7023.7340000000004</v>
      </c>
      <c r="H3932">
        <f>1935.32</f>
        <v>1935.32</v>
      </c>
      <c r="I3932">
        <f>8134.445</f>
        <v>8134.4449999999997</v>
      </c>
      <c r="J3932">
        <f>1372.36</f>
        <v>1372.36</v>
      </c>
      <c r="K3932">
        <f>4547.71</f>
        <v>4547.71</v>
      </c>
      <c r="L3932">
        <f>1153.66</f>
        <v>1153.6600000000001</v>
      </c>
      <c r="M3932">
        <f>4707.7</f>
        <v>4707.7</v>
      </c>
      <c r="N3932">
        <f>144.683</f>
        <v>144.68299999999999</v>
      </c>
      <c r="O3932">
        <f>1732.86</f>
        <v>1732.86</v>
      </c>
      <c r="P3932">
        <f>99.09</f>
        <v>99.09</v>
      </c>
      <c r="Q3932">
        <f>768.58</f>
        <v>768.58</v>
      </c>
      <c r="R3932">
        <f>2183.01</f>
        <v>2183.0100000000002</v>
      </c>
      <c r="S3932">
        <f>1710.1</f>
        <v>1710.1</v>
      </c>
      <c r="T3932" t="e">
        <f>NA()</f>
        <v>#N/A</v>
      </c>
      <c r="U3932">
        <f>31480.36</f>
        <v>31480.36</v>
      </c>
      <c r="V3932">
        <f>121.99</f>
        <v>121.99</v>
      </c>
    </row>
    <row r="3933" spans="1:22" x14ac:dyDescent="0.2">
      <c r="A3933" s="1">
        <v>39602</v>
      </c>
      <c r="B3933">
        <f>2785.51</f>
        <v>2785.51</v>
      </c>
      <c r="C3933">
        <f>7684.3</f>
        <v>7684.3</v>
      </c>
      <c r="D3933">
        <f>3590.06</f>
        <v>3590.06</v>
      </c>
      <c r="E3933">
        <f>1993.82</f>
        <v>1993.82</v>
      </c>
      <c r="F3933">
        <f>2023.65</f>
        <v>2023.65</v>
      </c>
      <c r="G3933">
        <f>7153.943</f>
        <v>7153.9430000000002</v>
      </c>
      <c r="H3933">
        <f>1910.54</f>
        <v>1910.54</v>
      </c>
      <c r="I3933">
        <f>8219.15</f>
        <v>8219.15</v>
      </c>
      <c r="J3933">
        <f>1374.92</f>
        <v>1374.92</v>
      </c>
      <c r="K3933">
        <f>4548.23</f>
        <v>4548.2299999999996</v>
      </c>
      <c r="L3933">
        <f>1163.82</f>
        <v>1163.82</v>
      </c>
      <c r="M3933">
        <f>4719.86</f>
        <v>4719.8599999999997</v>
      </c>
      <c r="N3933">
        <f>145.562</f>
        <v>145.56200000000001</v>
      </c>
      <c r="O3933">
        <f>1754.11</f>
        <v>1754.11</v>
      </c>
      <c r="P3933">
        <f>97.93</f>
        <v>97.93</v>
      </c>
      <c r="Q3933">
        <f>767.41</f>
        <v>767.41</v>
      </c>
      <c r="R3933">
        <f>2182.65</f>
        <v>2182.65</v>
      </c>
      <c r="S3933">
        <f>1682.56</f>
        <v>1682.56</v>
      </c>
      <c r="T3933" t="e">
        <f>NA()</f>
        <v>#N/A</v>
      </c>
      <c r="U3933">
        <f>31688.24</f>
        <v>31688.240000000002</v>
      </c>
      <c r="V3933">
        <f>121.75</f>
        <v>121.75</v>
      </c>
    </row>
    <row r="3934" spans="1:22" x14ac:dyDescent="0.2">
      <c r="A3934" s="1">
        <v>39601</v>
      </c>
      <c r="B3934">
        <f>2767.02</f>
        <v>2767.02</v>
      </c>
      <c r="C3934">
        <f>7761.65</f>
        <v>7761.65</v>
      </c>
      <c r="D3934">
        <f>3560.37</f>
        <v>3560.37</v>
      </c>
      <c r="E3934">
        <f>2022.392</f>
        <v>2022.3920000000001</v>
      </c>
      <c r="F3934">
        <f>1982.82</f>
        <v>1982.82</v>
      </c>
      <c r="G3934">
        <f>7086.122</f>
        <v>7086.1220000000003</v>
      </c>
      <c r="H3934">
        <f>1945.36</f>
        <v>1945.36</v>
      </c>
      <c r="I3934">
        <f>8209.636</f>
        <v>8209.6360000000004</v>
      </c>
      <c r="J3934">
        <f>1383.03</f>
        <v>1383.03</v>
      </c>
      <c r="K3934">
        <f>4572.22</f>
        <v>4572.22</v>
      </c>
      <c r="L3934">
        <f>1166.1</f>
        <v>1166.0999999999999</v>
      </c>
      <c r="M3934">
        <f>4740.78</f>
        <v>4740.78</v>
      </c>
      <c r="N3934">
        <f>144.796</f>
        <v>144.79599999999999</v>
      </c>
      <c r="O3934">
        <f>1740.57</f>
        <v>1740.57</v>
      </c>
      <c r="P3934">
        <f>99.5</f>
        <v>99.5</v>
      </c>
      <c r="Q3934">
        <f>769.94</f>
        <v>769.94</v>
      </c>
      <c r="R3934">
        <f>2195.27</f>
        <v>2195.27</v>
      </c>
      <c r="S3934">
        <f>1703.68</f>
        <v>1703.68</v>
      </c>
      <c r="T3934" t="e">
        <f>NA()</f>
        <v>#N/A</v>
      </c>
      <c r="U3934">
        <f>31727.76</f>
        <v>31727.759999999998</v>
      </c>
      <c r="V3934">
        <f>122.1</f>
        <v>122.1</v>
      </c>
    </row>
    <row r="3935" spans="1:22" x14ac:dyDescent="0.2">
      <c r="A3935" s="1">
        <v>39598</v>
      </c>
      <c r="B3935">
        <f>2836.36</f>
        <v>2836.36</v>
      </c>
      <c r="C3935">
        <f>7767.46</f>
        <v>7767.46</v>
      </c>
      <c r="D3935">
        <f>3587.58</f>
        <v>3587.58</v>
      </c>
      <c r="E3935">
        <f>2025.589</f>
        <v>2025.5889999999999</v>
      </c>
      <c r="F3935">
        <f>2033.12</f>
        <v>2033.12</v>
      </c>
      <c r="G3935">
        <f>7188.592</f>
        <v>7188.5919999999996</v>
      </c>
      <c r="H3935">
        <f>1918.68</f>
        <v>1918.68</v>
      </c>
      <c r="I3935">
        <f>8302.585</f>
        <v>8302.5849999999991</v>
      </c>
      <c r="J3935">
        <f>1398.24</f>
        <v>1398.24</v>
      </c>
      <c r="K3935">
        <f>4617.85</f>
        <v>4617.8500000000004</v>
      </c>
      <c r="L3935">
        <f>1182.53</f>
        <v>1182.53</v>
      </c>
      <c r="M3935">
        <f>4770.99</f>
        <v>4770.99</v>
      </c>
      <c r="N3935">
        <f>146.563</f>
        <v>146.56299999999999</v>
      </c>
      <c r="O3935">
        <f>1761.17</f>
        <v>1761.17</v>
      </c>
      <c r="P3935">
        <f>99.24</f>
        <v>99.24</v>
      </c>
      <c r="Q3935">
        <f>777.08</f>
        <v>777.08</v>
      </c>
      <c r="R3935">
        <f>2218.5</f>
        <v>2218.5</v>
      </c>
      <c r="S3935">
        <f>1683.4</f>
        <v>1683.4</v>
      </c>
      <c r="T3935" t="e">
        <f>NA()</f>
        <v>#N/A</v>
      </c>
      <c r="U3935">
        <f>31841.27</f>
        <v>31841.27</v>
      </c>
      <c r="V3935">
        <f>123.27</f>
        <v>123.27</v>
      </c>
    </row>
    <row r="3936" spans="1:22" x14ac:dyDescent="0.2">
      <c r="A3936" s="1">
        <v>39597</v>
      </c>
      <c r="B3936">
        <f>2848.25</f>
        <v>2848.25</v>
      </c>
      <c r="C3936">
        <f>7763.98</f>
        <v>7763.98</v>
      </c>
      <c r="D3936">
        <f>3596.25</f>
        <v>3596.25</v>
      </c>
      <c r="E3936">
        <f>2011.818</f>
        <v>2011.818</v>
      </c>
      <c r="F3936">
        <f>2027.79</f>
        <v>2027.79</v>
      </c>
      <c r="G3936">
        <f>7209.883</f>
        <v>7209.8829999999998</v>
      </c>
      <c r="H3936">
        <f>1888.14</f>
        <v>1888.14</v>
      </c>
      <c r="I3936">
        <f>8245.116</f>
        <v>8245.116</v>
      </c>
      <c r="J3936">
        <f>1402.02</f>
        <v>1402.02</v>
      </c>
      <c r="K3936">
        <f>4608.64</f>
        <v>4608.6400000000003</v>
      </c>
      <c r="L3936">
        <f>1181.81</f>
        <v>1181.81</v>
      </c>
      <c r="M3936">
        <f>4753.13</f>
        <v>4753.13</v>
      </c>
      <c r="N3936">
        <f>145.997</f>
        <v>145.99700000000001</v>
      </c>
      <c r="O3936">
        <f>1754.35</f>
        <v>1754.35</v>
      </c>
      <c r="P3936">
        <f>97.57</f>
        <v>97.57</v>
      </c>
      <c r="Q3936">
        <f>779.23</f>
        <v>779.23</v>
      </c>
      <c r="R3936">
        <f>2215.12</f>
        <v>2215.12</v>
      </c>
      <c r="S3936">
        <f>1650.52</f>
        <v>1650.52</v>
      </c>
      <c r="T3936" t="e">
        <f>NA()</f>
        <v>#N/A</v>
      </c>
      <c r="U3936">
        <f>31894.2</f>
        <v>31894.2</v>
      </c>
      <c r="V3936">
        <f>123.05</f>
        <v>123.05</v>
      </c>
    </row>
    <row r="3937" spans="1:22" x14ac:dyDescent="0.2">
      <c r="A3937" s="1">
        <v>39596</v>
      </c>
      <c r="B3937">
        <f>2866.23</f>
        <v>2866.23</v>
      </c>
      <c r="C3937">
        <f>7774.86</f>
        <v>7774.86</v>
      </c>
      <c r="D3937">
        <f>3597.11</f>
        <v>3597.11</v>
      </c>
      <c r="E3937">
        <f>2000.896</f>
        <v>2000.896</v>
      </c>
      <c r="F3937">
        <f>2053.34</f>
        <v>2053.34</v>
      </c>
      <c r="G3937">
        <f>7227.799</f>
        <v>7227.799</v>
      </c>
      <c r="H3937">
        <f>1861.81</f>
        <v>1861.81</v>
      </c>
      <c r="I3937">
        <f>8273.598</f>
        <v>8273.598</v>
      </c>
      <c r="J3937">
        <f>1386.59</f>
        <v>1386.59</v>
      </c>
      <c r="K3937">
        <f>4583.18</f>
        <v>4583.18</v>
      </c>
      <c r="L3937">
        <f>1178.66</f>
        <v>1178.6600000000001</v>
      </c>
      <c r="M3937">
        <f>4735.94</f>
        <v>4735.9399999999996</v>
      </c>
      <c r="N3937">
        <f>145.823</f>
        <v>145.82300000000001</v>
      </c>
      <c r="O3937">
        <f>1749.44</f>
        <v>1749.44</v>
      </c>
      <c r="P3937">
        <f>95.52</f>
        <v>95.52</v>
      </c>
      <c r="Q3937">
        <f>770.94</f>
        <v>770.94</v>
      </c>
      <c r="R3937">
        <f>2203.1</f>
        <v>2203.1</v>
      </c>
      <c r="S3937">
        <f>1612.33</f>
        <v>1612.33</v>
      </c>
      <c r="T3937" t="e">
        <f>NA()</f>
        <v>#N/A</v>
      </c>
      <c r="U3937">
        <f>32208.96</f>
        <v>32208.959999999999</v>
      </c>
      <c r="V3937">
        <f>125.07</f>
        <v>125.07</v>
      </c>
    </row>
    <row r="3938" spans="1:22" x14ac:dyDescent="0.2">
      <c r="A3938" s="1">
        <v>39595</v>
      </c>
      <c r="B3938">
        <f>2863.76</f>
        <v>2863.76</v>
      </c>
      <c r="C3938">
        <f>7765.53</f>
        <v>7765.53</v>
      </c>
      <c r="D3938">
        <f>3589.56</f>
        <v>3589.56</v>
      </c>
      <c r="E3938">
        <f>1994.998</f>
        <v>1994.998</v>
      </c>
      <c r="F3938">
        <f>2041.02</f>
        <v>2041.02</v>
      </c>
      <c r="G3938">
        <f>7190.198</f>
        <v>7190.1980000000003</v>
      </c>
      <c r="H3938">
        <f>1903.67</f>
        <v>1903.67</v>
      </c>
      <c r="I3938">
        <f>8251.088</f>
        <v>8251.0879999999997</v>
      </c>
      <c r="J3938">
        <f>1387.07</f>
        <v>1387.07</v>
      </c>
      <c r="K3938">
        <f>4562.48</f>
        <v>4562.4799999999996</v>
      </c>
      <c r="L3938">
        <f>1177.32</f>
        <v>1177.32</v>
      </c>
      <c r="M3938">
        <f>4728.21</f>
        <v>4728.21</v>
      </c>
      <c r="N3938">
        <f>144.031</f>
        <v>144.03100000000001</v>
      </c>
      <c r="O3938">
        <f>1732.6</f>
        <v>1732.6</v>
      </c>
      <c r="P3938">
        <f>97.14</f>
        <v>97.14</v>
      </c>
      <c r="Q3938">
        <f>771.31</f>
        <v>771.31</v>
      </c>
      <c r="R3938">
        <f>2193.98</f>
        <v>2193.98</v>
      </c>
      <c r="S3938">
        <f>1635.72</f>
        <v>1635.72</v>
      </c>
      <c r="T3938" t="e">
        <f>NA()</f>
        <v>#N/A</v>
      </c>
      <c r="U3938">
        <f>32464.77</f>
        <v>32464.77</v>
      </c>
      <c r="V3938">
        <f>124.79</f>
        <v>124.79</v>
      </c>
    </row>
    <row r="3939" spans="1:22" x14ac:dyDescent="0.2">
      <c r="A3939" s="1">
        <v>39594</v>
      </c>
      <c r="B3939" t="e">
        <f>NA()</f>
        <v>#N/A</v>
      </c>
      <c r="C3939">
        <f>7820.3</f>
        <v>7820.3</v>
      </c>
      <c r="D3939" t="e">
        <f>NA()</f>
        <v>#N/A</v>
      </c>
      <c r="E3939">
        <f>1997.084</f>
        <v>1997.0840000000001</v>
      </c>
      <c r="F3939">
        <f>2059.85</f>
        <v>2059.85</v>
      </c>
      <c r="G3939">
        <f>7255.253</f>
        <v>7255.2529999999997</v>
      </c>
      <c r="H3939">
        <f>1882.29</f>
        <v>1882.29</v>
      </c>
      <c r="I3939">
        <f>8302.449</f>
        <v>8302.4490000000005</v>
      </c>
      <c r="J3939">
        <f>1380.98</f>
        <v>1380.98</v>
      </c>
      <c r="K3939">
        <f>4533.1</f>
        <v>4533.1000000000004</v>
      </c>
      <c r="L3939">
        <f>1181.77</f>
        <v>1181.77</v>
      </c>
      <c r="M3939">
        <f>4724.07</f>
        <v>4724.07</v>
      </c>
      <c r="N3939">
        <f>144.195</f>
        <v>144.19499999999999</v>
      </c>
      <c r="O3939">
        <f>1738.66</f>
        <v>1738.66</v>
      </c>
      <c r="P3939">
        <f>95.84</f>
        <v>95.84</v>
      </c>
      <c r="Q3939">
        <f>766.92</f>
        <v>766.92</v>
      </c>
      <c r="R3939" t="e">
        <f>NA()</f>
        <v>#N/A</v>
      </c>
      <c r="S3939">
        <f>1606.88</f>
        <v>1606.88</v>
      </c>
      <c r="T3939" t="e">
        <f>NA()</f>
        <v>#N/A</v>
      </c>
      <c r="U3939">
        <f>32722.22</f>
        <v>32722.22</v>
      </c>
      <c r="V3939">
        <f>125.28</f>
        <v>125.28</v>
      </c>
    </row>
    <row r="3940" spans="1:22" x14ac:dyDescent="0.2">
      <c r="A3940" s="1">
        <v>39591</v>
      </c>
      <c r="B3940">
        <f>2879.01</f>
        <v>2879.01</v>
      </c>
      <c r="C3940">
        <f>7850.99</f>
        <v>7850.99</v>
      </c>
      <c r="D3940">
        <f>3606.6</f>
        <v>3606.6</v>
      </c>
      <c r="E3940">
        <f>2021.373</f>
        <v>2021.373</v>
      </c>
      <c r="F3940">
        <f>2059.7</f>
        <v>2059.6999999999998</v>
      </c>
      <c r="G3940">
        <f>7254.704</f>
        <v>7254.7039999999997</v>
      </c>
      <c r="H3940">
        <f>1925.47</f>
        <v>1925.47</v>
      </c>
      <c r="I3940">
        <f>8321.995</f>
        <v>8321.9950000000008</v>
      </c>
      <c r="J3940">
        <f>1380.98</f>
        <v>1380.98</v>
      </c>
      <c r="K3940">
        <f>4533.1</f>
        <v>4533.1000000000004</v>
      </c>
      <c r="L3940">
        <f>1182.97</f>
        <v>1182.97</v>
      </c>
      <c r="M3940">
        <f>4740.87</f>
        <v>4740.87</v>
      </c>
      <c r="N3940">
        <f>144.145</f>
        <v>144.14500000000001</v>
      </c>
      <c r="O3940">
        <f>1741.08</f>
        <v>1741.08</v>
      </c>
      <c r="P3940">
        <f>97.79</f>
        <v>97.79</v>
      </c>
      <c r="Q3940">
        <f>766.92</f>
        <v>766.92</v>
      </c>
      <c r="R3940">
        <f>2179.05</f>
        <v>2179.0500000000002</v>
      </c>
      <c r="S3940">
        <f>1645.74</f>
        <v>1645.74</v>
      </c>
      <c r="T3940" t="e">
        <f>NA()</f>
        <v>#N/A</v>
      </c>
      <c r="U3940">
        <f>32542.39</f>
        <v>32542.39</v>
      </c>
      <c r="V3940">
        <f>126.04</f>
        <v>126.04</v>
      </c>
    </row>
    <row r="3941" spans="1:22" x14ac:dyDescent="0.2">
      <c r="A3941" s="1">
        <v>39590</v>
      </c>
      <c r="B3941">
        <f>2898.33</f>
        <v>2898.33</v>
      </c>
      <c r="C3941">
        <f>7990.17</f>
        <v>7990.17</v>
      </c>
      <c r="D3941">
        <f>3662.46</f>
        <v>3662.46</v>
      </c>
      <c r="E3941">
        <f>2044.56</f>
        <v>2044.56</v>
      </c>
      <c r="F3941">
        <f>2067.46</f>
        <v>2067.46</v>
      </c>
      <c r="G3941">
        <f>7363.755</f>
        <v>7363.7550000000001</v>
      </c>
      <c r="H3941">
        <f>1929.06</f>
        <v>1929.06</v>
      </c>
      <c r="I3941">
        <f>8426.181</f>
        <v>8426.1810000000005</v>
      </c>
      <c r="J3941">
        <f>1399.84</f>
        <v>1399.84</v>
      </c>
      <c r="K3941">
        <f>4592.06</f>
        <v>4592.0600000000004</v>
      </c>
      <c r="L3941">
        <f>1197.92</f>
        <v>1197.92</v>
      </c>
      <c r="M3941">
        <f>4792.78</f>
        <v>4792.78</v>
      </c>
      <c r="N3941">
        <f>145.645</f>
        <v>145.64500000000001</v>
      </c>
      <c r="O3941">
        <f>1770.65</f>
        <v>1770.65</v>
      </c>
      <c r="P3941">
        <f>97.91</f>
        <v>97.91</v>
      </c>
      <c r="Q3941">
        <f>776.91</f>
        <v>776.91</v>
      </c>
      <c r="R3941">
        <f>2208.2</f>
        <v>2208.1999999999998</v>
      </c>
      <c r="S3941">
        <f>1649.3</f>
        <v>1649.3</v>
      </c>
      <c r="T3941" t="e">
        <f>NA()</f>
        <v>#N/A</v>
      </c>
      <c r="U3941">
        <f>33232.89</f>
        <v>33232.89</v>
      </c>
      <c r="V3941">
        <f>127.42</f>
        <v>127.42</v>
      </c>
    </row>
    <row r="3942" spans="1:22" x14ac:dyDescent="0.2">
      <c r="A3942" s="1">
        <v>39589</v>
      </c>
      <c r="B3942">
        <f>2893.62</f>
        <v>2893.62</v>
      </c>
      <c r="C3942">
        <f>8038.68</f>
        <v>8038.68</v>
      </c>
      <c r="D3942">
        <f>3672.25</f>
        <v>3672.25</v>
      </c>
      <c r="E3942">
        <f>2063.119</f>
        <v>2063.1190000000001</v>
      </c>
      <c r="F3942">
        <f>2040.14</f>
        <v>2040.14</v>
      </c>
      <c r="G3942">
        <f>7318.165</f>
        <v>7318.165</v>
      </c>
      <c r="H3942">
        <f>1932.63</f>
        <v>1932.63</v>
      </c>
      <c r="I3942">
        <f>8435.119</f>
        <v>8435.1190000000006</v>
      </c>
      <c r="J3942">
        <f>1391.31</f>
        <v>1391.31</v>
      </c>
      <c r="K3942">
        <f>4579.52</f>
        <v>4579.5200000000004</v>
      </c>
      <c r="L3942">
        <f>1195.88</f>
        <v>1195.8800000000001</v>
      </c>
      <c r="M3942">
        <f>4786.54</f>
        <v>4786.54</v>
      </c>
      <c r="N3942">
        <f>144.986</f>
        <v>144.98599999999999</v>
      </c>
      <c r="O3942">
        <f>1762.96</f>
        <v>1762.96</v>
      </c>
      <c r="P3942">
        <f>96.7</f>
        <v>96.7</v>
      </c>
      <c r="Q3942">
        <f>773.03</f>
        <v>773.03</v>
      </c>
      <c r="R3942">
        <f>2202.02</f>
        <v>2202.02</v>
      </c>
      <c r="S3942">
        <f>1637.85</f>
        <v>1637.85</v>
      </c>
      <c r="T3942" t="e">
        <f>NA()</f>
        <v>#N/A</v>
      </c>
      <c r="U3942">
        <f>32907.72</f>
        <v>32907.72</v>
      </c>
      <c r="V3942">
        <f>127.8</f>
        <v>127.8</v>
      </c>
    </row>
    <row r="3943" spans="1:22" x14ac:dyDescent="0.2">
      <c r="A3943" s="1">
        <v>39588</v>
      </c>
      <c r="B3943">
        <f>2956.61</f>
        <v>2956.61</v>
      </c>
      <c r="C3943">
        <f>8027.53</f>
        <v>8027.53</v>
      </c>
      <c r="D3943">
        <f>3663.49</f>
        <v>3663.49</v>
      </c>
      <c r="E3943">
        <f>2063.944</f>
        <v>2063.944</v>
      </c>
      <c r="F3943">
        <f>2081.9</f>
        <v>2081.9</v>
      </c>
      <c r="G3943">
        <f>7319.087</f>
        <v>7319.0870000000004</v>
      </c>
      <c r="H3943">
        <f>1964.76</f>
        <v>1964.76</v>
      </c>
      <c r="I3943">
        <f>8421.166</f>
        <v>8421.1659999999993</v>
      </c>
      <c r="J3943">
        <f>1410.51</f>
        <v>1410.51</v>
      </c>
      <c r="K3943">
        <f>4654.2</f>
        <v>4654.2</v>
      </c>
      <c r="L3943">
        <f>1202.08</f>
        <v>1202.08</v>
      </c>
      <c r="M3943">
        <f>4832.81</f>
        <v>4832.8100000000004</v>
      </c>
      <c r="N3943">
        <f>146.912</f>
        <v>146.91200000000001</v>
      </c>
      <c r="O3943">
        <f>1775.77</f>
        <v>1775.77</v>
      </c>
      <c r="P3943">
        <f>98.39</f>
        <v>98.39</v>
      </c>
      <c r="Q3943">
        <f>784.37</f>
        <v>784.37</v>
      </c>
      <c r="R3943">
        <f>2237.79</f>
        <v>2237.79</v>
      </c>
      <c r="S3943">
        <f>1673.42</f>
        <v>1673.42</v>
      </c>
      <c r="T3943" t="e">
        <f>NA()</f>
        <v>#N/A</v>
      </c>
      <c r="U3943">
        <f>32958.55</f>
        <v>32958.550000000003</v>
      </c>
      <c r="V3943">
        <f>128.77</f>
        <v>128.77000000000001</v>
      </c>
    </row>
    <row r="3944" spans="1:22" x14ac:dyDescent="0.2">
      <c r="A3944" s="1">
        <v>39587</v>
      </c>
      <c r="B3944">
        <f>3050.21</f>
        <v>3050.21</v>
      </c>
      <c r="C3944">
        <f>8103.87</f>
        <v>8103.87</v>
      </c>
      <c r="D3944">
        <f>3772.87</f>
        <v>3772.87</v>
      </c>
      <c r="E3944">
        <f>2089.703</f>
        <v>2089.703</v>
      </c>
      <c r="F3944">
        <f>2110.16</f>
        <v>2110.16</v>
      </c>
      <c r="G3944">
        <f>7466.794</f>
        <v>7466.7939999999999</v>
      </c>
      <c r="H3944">
        <f>1951.61</f>
        <v>1951.61</v>
      </c>
      <c r="I3944">
        <f>8494.914</f>
        <v>8494.9140000000007</v>
      </c>
      <c r="J3944">
        <f>1430.77</f>
        <v>1430.77</v>
      </c>
      <c r="K3944">
        <f>4695.8</f>
        <v>4695.8</v>
      </c>
      <c r="L3944">
        <f>1214.17</f>
        <v>1214.17</v>
      </c>
      <c r="M3944">
        <f>4871.41</f>
        <v>4871.41</v>
      </c>
      <c r="N3944">
        <f>149.854</f>
        <v>149.85400000000001</v>
      </c>
      <c r="O3944">
        <f>1810.58</f>
        <v>1810.58</v>
      </c>
      <c r="P3944">
        <f>98.47</f>
        <v>98.47</v>
      </c>
      <c r="Q3944">
        <f>791.72</f>
        <v>791.72</v>
      </c>
      <c r="R3944">
        <f>2258.74</f>
        <v>2258.7399999999998</v>
      </c>
      <c r="S3944">
        <f>1678.69</f>
        <v>1678.69</v>
      </c>
      <c r="T3944" t="e">
        <f>NA()</f>
        <v>#N/A</v>
      </c>
      <c r="U3944">
        <f>33191.8</f>
        <v>33191.800000000003</v>
      </c>
      <c r="V3944">
        <f>130.15</f>
        <v>130.15</v>
      </c>
    </row>
    <row r="3945" spans="1:22" x14ac:dyDescent="0.2">
      <c r="A3945" s="1">
        <v>39584</v>
      </c>
      <c r="B3945">
        <f>3043.42</f>
        <v>3043.42</v>
      </c>
      <c r="C3945">
        <f>7988.72</f>
        <v>7988.72</v>
      </c>
      <c r="D3945">
        <f>3730.14</f>
        <v>3730.14</v>
      </c>
      <c r="E3945">
        <f>2073.478</f>
        <v>2073.4780000000001</v>
      </c>
      <c r="F3945">
        <f>2112.45</f>
        <v>2112.4499999999998</v>
      </c>
      <c r="G3945">
        <f>7403.089</f>
        <v>7403.0889999999999</v>
      </c>
      <c r="H3945">
        <f>1936.23</f>
        <v>1936.23</v>
      </c>
      <c r="I3945">
        <f>8418.141</f>
        <v>8418.1409999999996</v>
      </c>
      <c r="J3945">
        <f>1426.67</f>
        <v>1426.67</v>
      </c>
      <c r="K3945">
        <f>4693.33</f>
        <v>4693.33</v>
      </c>
      <c r="L3945">
        <f>1207.62</f>
        <v>1207.6199999999999</v>
      </c>
      <c r="M3945">
        <f>4851.92</f>
        <v>4851.92</v>
      </c>
      <c r="N3945">
        <f>148.656</f>
        <v>148.65600000000001</v>
      </c>
      <c r="O3945">
        <f>1791.17</f>
        <v>1791.17</v>
      </c>
      <c r="P3945">
        <f>98.12</f>
        <v>98.12</v>
      </c>
      <c r="Q3945">
        <f>793.01</f>
        <v>793.01</v>
      </c>
      <c r="R3945">
        <f>2256.64</f>
        <v>2256.64</v>
      </c>
      <c r="S3945">
        <f>1668.67</f>
        <v>1668.67</v>
      </c>
      <c r="T3945" t="e">
        <f>NA()</f>
        <v>#N/A</v>
      </c>
      <c r="U3945">
        <f>32700.98</f>
        <v>32700.98</v>
      </c>
      <c r="V3945">
        <f>129.35</f>
        <v>129.35</v>
      </c>
    </row>
    <row r="3946" spans="1:22" x14ac:dyDescent="0.2">
      <c r="A3946" s="1">
        <v>39583</v>
      </c>
      <c r="B3946">
        <f>3008.98</f>
        <v>3008.98</v>
      </c>
      <c r="C3946">
        <f>7841.01</f>
        <v>7841.01</v>
      </c>
      <c r="D3946">
        <f>3699.11</f>
        <v>3699.11</v>
      </c>
      <c r="E3946">
        <f>2041.666</f>
        <v>2041.6659999999999</v>
      </c>
      <c r="F3946">
        <f>2100.34</f>
        <v>2100.34</v>
      </c>
      <c r="G3946">
        <f>7313.136</f>
        <v>7313.1360000000004</v>
      </c>
      <c r="H3946">
        <f>1909.34</f>
        <v>1909.34</v>
      </c>
      <c r="I3946">
        <f>8334.468</f>
        <v>8334.4680000000008</v>
      </c>
      <c r="J3946">
        <f>1430.97</f>
        <v>1430.97</v>
      </c>
      <c r="K3946">
        <f>4684.89</f>
        <v>4684.8900000000003</v>
      </c>
      <c r="L3946">
        <f>1200.4</f>
        <v>1200.4000000000001</v>
      </c>
      <c r="M3946">
        <f>4818.85</f>
        <v>4818.8500000000004</v>
      </c>
      <c r="N3946">
        <f>147.631</f>
        <v>147.631</v>
      </c>
      <c r="O3946">
        <f>1781.49</f>
        <v>1781.49</v>
      </c>
      <c r="P3946">
        <f>98.62</f>
        <v>98.62</v>
      </c>
      <c r="Q3946">
        <f>796.81</f>
        <v>796.81</v>
      </c>
      <c r="R3946">
        <f>2253.76</f>
        <v>2253.7600000000002</v>
      </c>
      <c r="S3946">
        <f>1665.09</f>
        <v>1665.09</v>
      </c>
      <c r="T3946" t="e">
        <f>NA()</f>
        <v>#N/A</v>
      </c>
      <c r="U3946">
        <f>32647.43</f>
        <v>32647.43</v>
      </c>
      <c r="V3946">
        <f>128.35</f>
        <v>128.35</v>
      </c>
    </row>
    <row r="3947" spans="1:22" x14ac:dyDescent="0.2">
      <c r="A3947" s="1">
        <v>39582</v>
      </c>
      <c r="B3947">
        <f>3015.53</f>
        <v>3015.53</v>
      </c>
      <c r="C3947">
        <f>7728.28</f>
        <v>7728.28</v>
      </c>
      <c r="D3947">
        <f>3677.91</f>
        <v>3677.91</v>
      </c>
      <c r="E3947">
        <f>2018.28</f>
        <v>2018.28</v>
      </c>
      <c r="F3947">
        <f>2096.09</f>
        <v>2096.09</v>
      </c>
      <c r="G3947">
        <f>7255.773</f>
        <v>7255.7730000000001</v>
      </c>
      <c r="H3947">
        <f>1873.74</f>
        <v>1873.74</v>
      </c>
      <c r="I3947">
        <f>8300.769</f>
        <v>8300.7690000000002</v>
      </c>
      <c r="J3947">
        <f>1421.87</f>
        <v>1421.87</v>
      </c>
      <c r="K3947">
        <f>4633.81</f>
        <v>4633.8100000000004</v>
      </c>
      <c r="L3947">
        <f>1195.15</f>
        <v>1195.1500000000001</v>
      </c>
      <c r="M3947">
        <f>4772.15</f>
        <v>4772.1499999999996</v>
      </c>
      <c r="N3947">
        <f>147.818</f>
        <v>147.81800000000001</v>
      </c>
      <c r="O3947">
        <f>1775.18</f>
        <v>1775.18</v>
      </c>
      <c r="P3947">
        <f>97.3</f>
        <v>97.3</v>
      </c>
      <c r="Q3947">
        <f>790.58</f>
        <v>790.58</v>
      </c>
      <c r="R3947">
        <f>2229.74</f>
        <v>2229.7399999999998</v>
      </c>
      <c r="S3947">
        <f>1641.38</f>
        <v>1641.38</v>
      </c>
      <c r="T3947" t="e">
        <f>NA()</f>
        <v>#N/A</v>
      </c>
      <c r="U3947">
        <f>32387.01</f>
        <v>32387.01</v>
      </c>
      <c r="V3947">
        <f>127.83</f>
        <v>127.83</v>
      </c>
    </row>
    <row r="3948" spans="1:22" x14ac:dyDescent="0.2">
      <c r="A3948" s="1">
        <v>39581</v>
      </c>
      <c r="B3948">
        <f>3073.53</f>
        <v>3073.53</v>
      </c>
      <c r="C3948">
        <f>7748.9</f>
        <v>7748.9</v>
      </c>
      <c r="D3948">
        <f>3669.16</f>
        <v>3669.16</v>
      </c>
      <c r="E3948">
        <f>2014.897</f>
        <v>2014.8969999999999</v>
      </c>
      <c r="F3948">
        <f>2119.71</f>
        <v>2119.71</v>
      </c>
      <c r="G3948">
        <f>7259.381</f>
        <v>7259.3810000000003</v>
      </c>
      <c r="H3948">
        <f>1865.3</f>
        <v>1865.3</v>
      </c>
      <c r="I3948">
        <f>8250.976</f>
        <v>8250.9760000000006</v>
      </c>
      <c r="J3948">
        <f>1412.21</f>
        <v>1412.21</v>
      </c>
      <c r="K3948">
        <f>4615.71</f>
        <v>4615.71</v>
      </c>
      <c r="L3948">
        <f>1190.38</f>
        <v>1190.3800000000001</v>
      </c>
      <c r="M3948">
        <f>4756.04</f>
        <v>4756.04</v>
      </c>
      <c r="N3948">
        <f>148.306</f>
        <v>148.30600000000001</v>
      </c>
      <c r="O3948">
        <f>1764.24</f>
        <v>1764.24</v>
      </c>
      <c r="P3948">
        <f>95.78</f>
        <v>95.78</v>
      </c>
      <c r="Q3948">
        <f>783.94</f>
        <v>783.94</v>
      </c>
      <c r="R3948">
        <f>2220.46</f>
        <v>2220.46</v>
      </c>
      <c r="S3948">
        <f>1625.85</f>
        <v>1625.85</v>
      </c>
      <c r="T3948" t="e">
        <f>NA()</f>
        <v>#N/A</v>
      </c>
      <c r="U3948">
        <f>31999.02</f>
        <v>31999.02</v>
      </c>
      <c r="V3948">
        <f>128.37</f>
        <v>128.37</v>
      </c>
    </row>
    <row r="3949" spans="1:22" x14ac:dyDescent="0.2">
      <c r="A3949" s="1">
        <v>39580</v>
      </c>
      <c r="B3949">
        <f>3136.51</f>
        <v>3136.51</v>
      </c>
      <c r="C3949">
        <f>7650.84</f>
        <v>7650.84</v>
      </c>
      <c r="D3949">
        <f>3674.35</f>
        <v>3674.35</v>
      </c>
      <c r="E3949">
        <f>1995.108</f>
        <v>1995.1079999999999</v>
      </c>
      <c r="F3949">
        <f>2142.35</f>
        <v>2142.35</v>
      </c>
      <c r="G3949">
        <f>7328.191</f>
        <v>7328.1909999999998</v>
      </c>
      <c r="H3949">
        <f>1859.41</f>
        <v>1859.41</v>
      </c>
      <c r="I3949">
        <f>8238.413</f>
        <v>8238.4130000000005</v>
      </c>
      <c r="J3949">
        <f>1418.33</f>
        <v>1418.33</v>
      </c>
      <c r="K3949">
        <f>4614.79</f>
        <v>4614.79</v>
      </c>
      <c r="L3949">
        <f>1195.14</f>
        <v>1195.1400000000001</v>
      </c>
      <c r="M3949">
        <f>4756.41</f>
        <v>4756.41</v>
      </c>
      <c r="N3949">
        <f>149.354</f>
        <v>149.35400000000001</v>
      </c>
      <c r="O3949">
        <f>1764.66</f>
        <v>1764.66</v>
      </c>
      <c r="P3949">
        <f>95.13</f>
        <v>95.13</v>
      </c>
      <c r="Q3949">
        <f>784.14</f>
        <v>784.14</v>
      </c>
      <c r="R3949">
        <f>2220.81</f>
        <v>2220.81</v>
      </c>
      <c r="S3949">
        <f>1605.21</f>
        <v>1605.21</v>
      </c>
      <c r="T3949" t="e">
        <f>NA()</f>
        <v>#N/A</v>
      </c>
      <c r="U3949">
        <f>32145.49</f>
        <v>32145.49</v>
      </c>
      <c r="V3949">
        <f>129.27</f>
        <v>129.27000000000001</v>
      </c>
    </row>
    <row r="3950" spans="1:22" x14ac:dyDescent="0.2">
      <c r="A3950" s="1">
        <v>39577</v>
      </c>
      <c r="B3950">
        <f>3107.72</f>
        <v>3107.72</v>
      </c>
      <c r="C3950">
        <f>7607.93</f>
        <v>7607.93</v>
      </c>
      <c r="D3950">
        <f>3664.93</f>
        <v>3664.93</v>
      </c>
      <c r="E3950">
        <f>1985.576</f>
        <v>1985.576</v>
      </c>
      <c r="F3950">
        <f>2118.09</f>
        <v>2118.09</v>
      </c>
      <c r="G3950">
        <f>7251.517</f>
        <v>7251.5169999999998</v>
      </c>
      <c r="H3950">
        <f>1875.64</f>
        <v>1875.64</v>
      </c>
      <c r="I3950">
        <f>8180.891</f>
        <v>8180.8909999999996</v>
      </c>
      <c r="J3950">
        <f>1402.7</f>
        <v>1402.7</v>
      </c>
      <c r="K3950">
        <f>4565.32</f>
        <v>4565.32</v>
      </c>
      <c r="L3950">
        <f>1183.35</f>
        <v>1183.3499999999999</v>
      </c>
      <c r="M3950">
        <f>4715.86</f>
        <v>4715.8599999999997</v>
      </c>
      <c r="N3950">
        <f>148.663</f>
        <v>148.66300000000001</v>
      </c>
      <c r="O3950">
        <f>1759.94</f>
        <v>1759.94</v>
      </c>
      <c r="P3950">
        <f>94.88</f>
        <v>94.88</v>
      </c>
      <c r="Q3950">
        <f>771.99</f>
        <v>771.99</v>
      </c>
      <c r="R3950">
        <f>2196.54</f>
        <v>2196.54</v>
      </c>
      <c r="S3950">
        <f>1603.98</f>
        <v>1603.98</v>
      </c>
      <c r="T3950" t="e">
        <f>NA()</f>
        <v>#N/A</v>
      </c>
      <c r="U3950">
        <f>32136.15</f>
        <v>32136.15</v>
      </c>
      <c r="V3950">
        <f>129.46</f>
        <v>129.46</v>
      </c>
    </row>
    <row r="3951" spans="1:22" x14ac:dyDescent="0.2">
      <c r="A3951" s="1">
        <v>39576</v>
      </c>
      <c r="B3951">
        <f>3152.81</f>
        <v>3152.81</v>
      </c>
      <c r="C3951">
        <f>7627.81</f>
        <v>7627.81</v>
      </c>
      <c r="D3951">
        <f>3703.98</f>
        <v>3703.98</v>
      </c>
      <c r="E3951">
        <f>1998.476</f>
        <v>1998.4760000000001</v>
      </c>
      <c r="F3951">
        <f>2161.82</f>
        <v>2161.8200000000002</v>
      </c>
      <c r="G3951">
        <f>7367.407</f>
        <v>7367.4070000000002</v>
      </c>
      <c r="H3951">
        <f>1905.29</f>
        <v>1905.29</v>
      </c>
      <c r="I3951">
        <f>8255.715</f>
        <v>8255.7150000000001</v>
      </c>
      <c r="J3951">
        <f>1411.18</f>
        <v>1411.18</v>
      </c>
      <c r="K3951">
        <f>4593.11</f>
        <v>4593.1099999999997</v>
      </c>
      <c r="L3951">
        <f>1193.01</f>
        <v>1193.01</v>
      </c>
      <c r="M3951">
        <f>4756.26</f>
        <v>4756.26</v>
      </c>
      <c r="N3951">
        <f>150.645</f>
        <v>150.64500000000001</v>
      </c>
      <c r="O3951">
        <f>1781.12</f>
        <v>1781.12</v>
      </c>
      <c r="P3951">
        <f>96.98</f>
        <v>96.98</v>
      </c>
      <c r="Q3951">
        <f>775.46</f>
        <v>775.46</v>
      </c>
      <c r="R3951">
        <f>2210.95</f>
        <v>2210.9499999999998</v>
      </c>
      <c r="S3951">
        <f>1641.26</f>
        <v>1641.26</v>
      </c>
      <c r="T3951" t="e">
        <f>NA()</f>
        <v>#N/A</v>
      </c>
      <c r="U3951">
        <f>32153.48</f>
        <v>32153.48</v>
      </c>
      <c r="V3951">
        <f>128.91</f>
        <v>128.91</v>
      </c>
    </row>
    <row r="3952" spans="1:22" x14ac:dyDescent="0.2">
      <c r="A3952" s="1">
        <v>39575</v>
      </c>
      <c r="B3952">
        <f>3132.78</f>
        <v>3132.78</v>
      </c>
      <c r="C3952">
        <f>7699.73</f>
        <v>7699.73</v>
      </c>
      <c r="D3952">
        <f>3698.16</f>
        <v>3698.16</v>
      </c>
      <c r="E3952">
        <f>2014.322</f>
        <v>2014.3219999999999</v>
      </c>
      <c r="F3952">
        <f>2169.9</f>
        <v>2169.9</v>
      </c>
      <c r="G3952">
        <f>7330.674</f>
        <v>7330.674</v>
      </c>
      <c r="H3952">
        <f>1900.44</f>
        <v>1900.44</v>
      </c>
      <c r="I3952">
        <f>8260.697</f>
        <v>8260.6970000000001</v>
      </c>
      <c r="J3952">
        <f>1413.16</f>
        <v>1413.16</v>
      </c>
      <c r="K3952">
        <f>4574.43</f>
        <v>4574.43</v>
      </c>
      <c r="L3952">
        <f>1194.13</f>
        <v>1194.1300000000001</v>
      </c>
      <c r="M3952">
        <f>4742.62</f>
        <v>4742.62</v>
      </c>
      <c r="N3952">
        <f>151.055</f>
        <v>151.05500000000001</v>
      </c>
      <c r="O3952">
        <f>1784.13</f>
        <v>1784.13</v>
      </c>
      <c r="P3952">
        <f>97.51</f>
        <v>97.51</v>
      </c>
      <c r="Q3952">
        <f>776.43</f>
        <v>776.43</v>
      </c>
      <c r="R3952">
        <f>2202.77</f>
        <v>2202.77</v>
      </c>
      <c r="S3952">
        <f>1665.57</f>
        <v>1665.57</v>
      </c>
      <c r="T3952" t="e">
        <f>NA()</f>
        <v>#N/A</v>
      </c>
      <c r="U3952">
        <f>31894.69</f>
        <v>31894.69</v>
      </c>
      <c r="V3952">
        <f>129.13</f>
        <v>129.13</v>
      </c>
    </row>
    <row r="3953" spans="1:22" x14ac:dyDescent="0.2">
      <c r="A3953" s="1">
        <v>39574</v>
      </c>
      <c r="B3953">
        <f>3088.96</f>
        <v>3088.96</v>
      </c>
      <c r="C3953">
        <f>7720.67</f>
        <v>7720.67</v>
      </c>
      <c r="D3953">
        <f>3669.95</f>
        <v>3669.95</v>
      </c>
      <c r="E3953">
        <f>2029.755</f>
        <v>2029.7550000000001</v>
      </c>
      <c r="F3953">
        <f>2168.68</f>
        <v>2168.6799999999998</v>
      </c>
      <c r="G3953">
        <f>7362.479</f>
        <v>7362.4790000000003</v>
      </c>
      <c r="H3953">
        <f>1874.16</f>
        <v>1874.16</v>
      </c>
      <c r="I3953">
        <f>8262.68</f>
        <v>8262.68</v>
      </c>
      <c r="J3953">
        <f>1441.46</f>
        <v>1441.46</v>
      </c>
      <c r="K3953">
        <f>4653.63</f>
        <v>4653.63</v>
      </c>
      <c r="L3953">
        <f>1205.66</f>
        <v>1205.6600000000001</v>
      </c>
      <c r="M3953">
        <f>4784.54</f>
        <v>4784.54</v>
      </c>
      <c r="N3953">
        <f>148.578</f>
        <v>148.578</v>
      </c>
      <c r="O3953">
        <f>1767.83</f>
        <v>1767.83</v>
      </c>
      <c r="P3953" t="e">
        <f>NA()</f>
        <v>#N/A</v>
      </c>
      <c r="Q3953">
        <f>786.81</f>
        <v>786.81</v>
      </c>
      <c r="R3953">
        <f>2242.47</f>
        <v>2242.4699999999998</v>
      </c>
      <c r="S3953" t="e">
        <f>NA()</f>
        <v>#N/A</v>
      </c>
      <c r="T3953" t="e">
        <f>NA()</f>
        <v>#N/A</v>
      </c>
      <c r="U3953">
        <f>31929.09</f>
        <v>31929.09</v>
      </c>
      <c r="V3953">
        <f>128.29</f>
        <v>128.29</v>
      </c>
    </row>
    <row r="3954" spans="1:22" x14ac:dyDescent="0.2">
      <c r="A3954" s="1">
        <v>39573</v>
      </c>
      <c r="B3954">
        <f>3114.87</f>
        <v>3114.87</v>
      </c>
      <c r="C3954">
        <f>7647.76</f>
        <v>7647.76</v>
      </c>
      <c r="D3954">
        <f>3670.12</f>
        <v>3670.12</v>
      </c>
      <c r="E3954">
        <f>2019.938</f>
        <v>2019.9380000000001</v>
      </c>
      <c r="F3954">
        <f>2187.54</f>
        <v>2187.54</v>
      </c>
      <c r="G3954">
        <f>7337.014</f>
        <v>7337.0140000000001</v>
      </c>
      <c r="H3954">
        <f>1860.98</f>
        <v>1860.98</v>
      </c>
      <c r="I3954">
        <f>8276.701</f>
        <v>8276.7009999999991</v>
      </c>
      <c r="J3954">
        <f>1438.59</f>
        <v>1438.59</v>
      </c>
      <c r="K3954">
        <f>4618.21</f>
        <v>4618.21</v>
      </c>
      <c r="L3954">
        <f>1207.75</f>
        <v>1207.75</v>
      </c>
      <c r="M3954">
        <f>4760.86</f>
        <v>4760.8599999999997</v>
      </c>
      <c r="N3954">
        <f>149.214</f>
        <v>149.214</v>
      </c>
      <c r="O3954">
        <f>1777.15</f>
        <v>1777.15</v>
      </c>
      <c r="P3954" t="e">
        <f>NA()</f>
        <v>#N/A</v>
      </c>
      <c r="Q3954">
        <f>783.88</f>
        <v>783.88</v>
      </c>
      <c r="R3954">
        <f>2225.37</f>
        <v>2225.37</v>
      </c>
      <c r="S3954" t="e">
        <f>NA()</f>
        <v>#N/A</v>
      </c>
      <c r="T3954" t="e">
        <f>NA()</f>
        <v>#N/A</v>
      </c>
      <c r="U3954">
        <f>31299.93</f>
        <v>31299.93</v>
      </c>
      <c r="V3954">
        <f>127.74</f>
        <v>127.74</v>
      </c>
    </row>
    <row r="3955" spans="1:22" x14ac:dyDescent="0.2">
      <c r="A3955" s="1">
        <v>39570</v>
      </c>
      <c r="B3955">
        <f>3114.87</f>
        <v>3114.87</v>
      </c>
      <c r="C3955">
        <f>7624.03</f>
        <v>7624.03</v>
      </c>
      <c r="D3955">
        <f>3670.12</f>
        <v>3670.12</v>
      </c>
      <c r="E3955">
        <f>2015.677</f>
        <v>2015.6769999999999</v>
      </c>
      <c r="F3955">
        <f>2194.04</f>
        <v>2194.04</v>
      </c>
      <c r="G3955">
        <f>7358.812</f>
        <v>7358.8119999999999</v>
      </c>
      <c r="H3955">
        <f>1858.5</f>
        <v>1858.5</v>
      </c>
      <c r="I3955">
        <f>8240.396</f>
        <v>8240.3960000000006</v>
      </c>
      <c r="J3955">
        <f>1450.29</f>
        <v>1450.29</v>
      </c>
      <c r="K3955">
        <f>4635.85</f>
        <v>4635.8500000000004</v>
      </c>
      <c r="L3955">
        <f>1209.81</f>
        <v>1209.81</v>
      </c>
      <c r="M3955">
        <f>4761.92</f>
        <v>4761.92</v>
      </c>
      <c r="N3955">
        <f>149.668</f>
        <v>149.66800000000001</v>
      </c>
      <c r="O3955">
        <f>1782.55</f>
        <v>1782.55</v>
      </c>
      <c r="P3955">
        <f>96.37</f>
        <v>96.37</v>
      </c>
      <c r="Q3955">
        <f>787.12</f>
        <v>787.12</v>
      </c>
      <c r="R3955">
        <f>2235.3</f>
        <v>2235.3000000000002</v>
      </c>
      <c r="S3955">
        <f>1646.58</f>
        <v>1646.58</v>
      </c>
      <c r="T3955" t="e">
        <f>NA()</f>
        <v>#N/A</v>
      </c>
      <c r="U3955" t="e">
        <f>NA()</f>
        <v>#N/A</v>
      </c>
      <c r="V3955" t="e">
        <f>NA()</f>
        <v>#N/A</v>
      </c>
    </row>
    <row r="3956" spans="1:22" x14ac:dyDescent="0.2">
      <c r="A3956" s="1">
        <v>39569</v>
      </c>
      <c r="B3956">
        <f>3039.58</f>
        <v>3039.58</v>
      </c>
      <c r="C3956">
        <f>7535.34</f>
        <v>7535.34</v>
      </c>
      <c r="D3956">
        <f>3593.82</f>
        <v>3593.82</v>
      </c>
      <c r="E3956">
        <f>1990.521</f>
        <v>1990.521</v>
      </c>
      <c r="F3956">
        <f>2136.41</f>
        <v>2136.41</v>
      </c>
      <c r="G3956">
        <f>7207.729</f>
        <v>7207.7290000000003</v>
      </c>
      <c r="H3956">
        <f>1849.15</f>
        <v>1849.15</v>
      </c>
      <c r="I3956">
        <f>8134.759</f>
        <v>8134.759</v>
      </c>
      <c r="J3956">
        <f>1444.65</f>
        <v>1444.65</v>
      </c>
      <c r="K3956">
        <f>4621.05</f>
        <v>4621.05</v>
      </c>
      <c r="L3956">
        <f>1193.27</f>
        <v>1193.27</v>
      </c>
      <c r="M3956">
        <f>4715.6</f>
        <v>4715.6000000000004</v>
      </c>
      <c r="N3956">
        <f>147.126</f>
        <v>147.126</v>
      </c>
      <c r="O3956">
        <f>1750.31</f>
        <v>1750.31</v>
      </c>
      <c r="P3956">
        <f>94.54</f>
        <v>94.54</v>
      </c>
      <c r="Q3956">
        <f>788.84</f>
        <v>788.84</v>
      </c>
      <c r="R3956">
        <f>2228.09</f>
        <v>2228.09</v>
      </c>
      <c r="S3956">
        <f>1609.16</f>
        <v>1609.16</v>
      </c>
      <c r="T3956" t="e">
        <f>NA()</f>
        <v>#N/A</v>
      </c>
      <c r="U3956" t="e">
        <f>NA()</f>
        <v>#N/A</v>
      </c>
      <c r="V3956" t="e">
        <f>NA()</f>
        <v>#N/A</v>
      </c>
    </row>
    <row r="3957" spans="1:22" x14ac:dyDescent="0.2">
      <c r="A3957" s="1">
        <v>39568</v>
      </c>
      <c r="B3957">
        <f>3054.76</f>
        <v>3054.76</v>
      </c>
      <c r="C3957">
        <f>7523.79</f>
        <v>7523.79</v>
      </c>
      <c r="D3957">
        <f>3593.84</f>
        <v>3593.84</v>
      </c>
      <c r="E3957">
        <f>1988.128</f>
        <v>1988.1279999999999</v>
      </c>
      <c r="F3957">
        <f>2143.01</f>
        <v>2143.0100000000002</v>
      </c>
      <c r="G3957">
        <f>7231.357</f>
        <v>7231.357</v>
      </c>
      <c r="H3957">
        <f>1852.07</f>
        <v>1852.07</v>
      </c>
      <c r="I3957">
        <f>8196.594</f>
        <v>8196.5939999999991</v>
      </c>
      <c r="J3957">
        <f>1415.78</f>
        <v>1415.78</v>
      </c>
      <c r="K3957">
        <f>4545.32</f>
        <v>4545.32</v>
      </c>
      <c r="L3957">
        <f>1189.43</f>
        <v>1189.43</v>
      </c>
      <c r="M3957">
        <f>4693.58</f>
        <v>4693.58</v>
      </c>
      <c r="N3957">
        <f>147.035</f>
        <v>147.035</v>
      </c>
      <c r="O3957">
        <f>1749.15</f>
        <v>1749.15</v>
      </c>
      <c r="P3957">
        <f>95.13</f>
        <v>95.13</v>
      </c>
      <c r="Q3957">
        <f>771.79</f>
        <v>771.79</v>
      </c>
      <c r="R3957">
        <f>2190.13</f>
        <v>2190.13</v>
      </c>
      <c r="S3957">
        <f>1624.17</f>
        <v>1624.17</v>
      </c>
      <c r="T3957" t="e">
        <f>NA()</f>
        <v>#N/A</v>
      </c>
      <c r="U3957">
        <f>30743.49</f>
        <v>30743.49</v>
      </c>
      <c r="V3957">
        <f>126.58</f>
        <v>126.58</v>
      </c>
    </row>
    <row r="3958" spans="1:22" x14ac:dyDescent="0.2">
      <c r="A3958" s="1">
        <v>39567</v>
      </c>
      <c r="B3958">
        <f>3036.11</f>
        <v>3036.11</v>
      </c>
      <c r="C3958">
        <f>7444.36</f>
        <v>7444.36</v>
      </c>
      <c r="D3958">
        <f>3592.55</f>
        <v>3592.55</v>
      </c>
      <c r="E3958">
        <f>1969.054</f>
        <v>1969.0540000000001</v>
      </c>
      <c r="F3958">
        <f>2126.48</f>
        <v>2126.48</v>
      </c>
      <c r="G3958">
        <f>7193.875</f>
        <v>7193.875</v>
      </c>
      <c r="H3958">
        <f>1894.26</f>
        <v>1894.26</v>
      </c>
      <c r="I3958">
        <f>8155.562</f>
        <v>8155.5619999999999</v>
      </c>
      <c r="J3958">
        <f>1418.12</f>
        <v>1418.12</v>
      </c>
      <c r="K3958">
        <f>4561.14</f>
        <v>4561.1400000000003</v>
      </c>
      <c r="L3958">
        <f>1185.65</f>
        <v>1185.6500000000001</v>
      </c>
      <c r="M3958">
        <f>4695.79</f>
        <v>4695.79</v>
      </c>
      <c r="N3958">
        <f>145.855</f>
        <v>145.85499999999999</v>
      </c>
      <c r="O3958">
        <f>1736.1</f>
        <v>1736.1</v>
      </c>
      <c r="P3958" t="e">
        <f>NA()</f>
        <v>#N/A</v>
      </c>
      <c r="Q3958">
        <f>778.6</f>
        <v>778.6</v>
      </c>
      <c r="R3958">
        <f>2198.5</f>
        <v>2198.5</v>
      </c>
      <c r="S3958" t="e">
        <f>NA()</f>
        <v>#N/A</v>
      </c>
      <c r="T3958" t="e">
        <f>NA()</f>
        <v>#N/A</v>
      </c>
      <c r="U3958">
        <f>30584</f>
        <v>30584</v>
      </c>
      <c r="V3958">
        <f>126.74</f>
        <v>126.74</v>
      </c>
    </row>
    <row r="3959" spans="1:22" x14ac:dyDescent="0.2">
      <c r="A3959" s="1">
        <v>39566</v>
      </c>
      <c r="B3959">
        <f>3068.11</f>
        <v>3068.11</v>
      </c>
      <c r="C3959">
        <f>7590.05</f>
        <v>7590.05</v>
      </c>
      <c r="D3959">
        <f>3593.14</f>
        <v>3593.14</v>
      </c>
      <c r="E3959">
        <f>1992.539</f>
        <v>1992.539</v>
      </c>
      <c r="F3959">
        <f>2162.86</f>
        <v>2162.86</v>
      </c>
      <c r="G3959">
        <f>7281.95</f>
        <v>7281.95</v>
      </c>
      <c r="H3959">
        <f>1873.95</f>
        <v>1873.95</v>
      </c>
      <c r="I3959">
        <f>8235.03</f>
        <v>8235.0300000000007</v>
      </c>
      <c r="J3959">
        <f>1422.91</f>
        <v>1422.91</v>
      </c>
      <c r="K3959">
        <f>4580.63</f>
        <v>4580.63</v>
      </c>
      <c r="L3959">
        <f>1192.8</f>
        <v>1192.8</v>
      </c>
      <c r="M3959">
        <f>4720.58</f>
        <v>4720.58</v>
      </c>
      <c r="N3959">
        <f>147.578</f>
        <v>147.578</v>
      </c>
      <c r="O3959">
        <f>1747.98</f>
        <v>1747.98</v>
      </c>
      <c r="P3959">
        <f>95.67</f>
        <v>95.67</v>
      </c>
      <c r="Q3959">
        <f>779.39</f>
        <v>779.39</v>
      </c>
      <c r="R3959">
        <f>2207.02</f>
        <v>2207.02</v>
      </c>
      <c r="S3959">
        <f>1627.87</f>
        <v>1627.87</v>
      </c>
      <c r="T3959" t="e">
        <f>NA()</f>
        <v>#N/A</v>
      </c>
      <c r="U3959" t="e">
        <f>NA()</f>
        <v>#N/A</v>
      </c>
      <c r="V3959" t="e">
        <f>NA()</f>
        <v>#N/A</v>
      </c>
    </row>
    <row r="3960" spans="1:22" x14ac:dyDescent="0.2">
      <c r="A3960" s="1">
        <v>39563</v>
      </c>
      <c r="B3960">
        <f>3036.8</f>
        <v>3036.8</v>
      </c>
      <c r="C3960">
        <f>7526.02</f>
        <v>7526.02</v>
      </c>
      <c r="D3960">
        <f>3593.73</f>
        <v>3593.73</v>
      </c>
      <c r="E3960">
        <f>1983.328</f>
        <v>1983.328</v>
      </c>
      <c r="F3960">
        <f>2150.2</f>
        <v>2150.1999999999998</v>
      </c>
      <c r="G3960">
        <f>7256.213</f>
        <v>7256.2129999999997</v>
      </c>
      <c r="H3960">
        <f>1876.51</f>
        <v>1876.51</v>
      </c>
      <c r="I3960">
        <f>8185.909</f>
        <v>8185.9089999999997</v>
      </c>
      <c r="J3960">
        <f>1424.99</f>
        <v>1424.99</v>
      </c>
      <c r="K3960">
        <f>4585.32</f>
        <v>4585.32</v>
      </c>
      <c r="L3960">
        <f>1189.13</f>
        <v>1189.1300000000001</v>
      </c>
      <c r="M3960">
        <f>4708.68</f>
        <v>4708.68</v>
      </c>
      <c r="N3960">
        <f>146.185</f>
        <v>146.185</v>
      </c>
      <c r="O3960">
        <f>1738.13</f>
        <v>1738.13</v>
      </c>
      <c r="P3960">
        <f>95.16</f>
        <v>95.16</v>
      </c>
      <c r="Q3960">
        <f>774.65</f>
        <v>774.65</v>
      </c>
      <c r="R3960">
        <f>2209.25</f>
        <v>2209.25</v>
      </c>
      <c r="S3960">
        <f>1601.77</f>
        <v>1601.77</v>
      </c>
      <c r="T3960" t="e">
        <f>NA()</f>
        <v>#N/A</v>
      </c>
      <c r="U3960">
        <f>31090.15</f>
        <v>31090.15</v>
      </c>
      <c r="V3960">
        <f>126.39</f>
        <v>126.39</v>
      </c>
    </row>
    <row r="3961" spans="1:22" x14ac:dyDescent="0.2">
      <c r="A3961" s="1">
        <v>39562</v>
      </c>
      <c r="B3961">
        <f>3010.84</f>
        <v>3010.84</v>
      </c>
      <c r="C3961">
        <f>7521.21</f>
        <v>7521.21</v>
      </c>
      <c r="D3961">
        <f>3569.73</f>
        <v>3569.73</v>
      </c>
      <c r="E3961">
        <f>1980.104</f>
        <v>1980.104</v>
      </c>
      <c r="F3961">
        <f>2109.84</f>
        <v>2109.84</v>
      </c>
      <c r="G3961">
        <f>7146.293</f>
        <v>7146.2929999999997</v>
      </c>
      <c r="H3961">
        <f>1841.06</f>
        <v>1841.06</v>
      </c>
      <c r="I3961">
        <f>8112.99</f>
        <v>8112.99</v>
      </c>
      <c r="J3961">
        <f>1413.68</f>
        <v>1413.68</v>
      </c>
      <c r="K3961">
        <f>4555.42</f>
        <v>4555.42</v>
      </c>
      <c r="L3961">
        <f>1177.47</f>
        <v>1177.47</v>
      </c>
      <c r="M3961">
        <f>4664.23</f>
        <v>4664.2299999999996</v>
      </c>
      <c r="N3961">
        <f>144.277</f>
        <v>144.27699999999999</v>
      </c>
      <c r="O3961">
        <f>1715.91</f>
        <v>1715.91</v>
      </c>
      <c r="P3961">
        <f>93.79</f>
        <v>93.79</v>
      </c>
      <c r="Q3961">
        <f>766.96</f>
        <v>766.96</v>
      </c>
      <c r="R3961">
        <f>2194.96</f>
        <v>2194.96</v>
      </c>
      <c r="S3961">
        <f>1563.12</f>
        <v>1563.12</v>
      </c>
      <c r="T3961" t="e">
        <f>NA()</f>
        <v>#N/A</v>
      </c>
      <c r="U3961">
        <f>31194.01</f>
        <v>31194.01</v>
      </c>
      <c r="V3961">
        <f>127.51</f>
        <v>127.51</v>
      </c>
    </row>
    <row r="3962" spans="1:22" x14ac:dyDescent="0.2">
      <c r="A3962" s="1">
        <v>39561</v>
      </c>
      <c r="B3962">
        <f>3038.22</f>
        <v>3038.22</v>
      </c>
      <c r="C3962">
        <f>7592.58</f>
        <v>7592.58</v>
      </c>
      <c r="D3962">
        <f>3589.15</f>
        <v>3589.15</v>
      </c>
      <c r="E3962">
        <f>1988.243</f>
        <v>1988.2429999999999</v>
      </c>
      <c r="F3962">
        <f>2108.34</f>
        <v>2108.34</v>
      </c>
      <c r="G3962">
        <f>7215.833</f>
        <v>7215.8329999999996</v>
      </c>
      <c r="H3962">
        <f>1860.98</f>
        <v>1860.98</v>
      </c>
      <c r="I3962">
        <f>8192.779</f>
        <v>8192.7790000000005</v>
      </c>
      <c r="J3962">
        <f>1398.34</f>
        <v>1398.34</v>
      </c>
      <c r="K3962">
        <f>4528.36</f>
        <v>4528.3599999999997</v>
      </c>
      <c r="L3962">
        <f>1178.93</f>
        <v>1178.93</v>
      </c>
      <c r="M3962">
        <f>4674.53</f>
        <v>4674.53</v>
      </c>
      <c r="N3962">
        <f>143.39</f>
        <v>143.38999999999999</v>
      </c>
      <c r="O3962">
        <f>1709.92</f>
        <v>1709.92</v>
      </c>
      <c r="P3962">
        <f>94.37</f>
        <v>94.37</v>
      </c>
      <c r="Q3962">
        <f>759.92</f>
        <v>759.92</v>
      </c>
      <c r="R3962">
        <f>2180.91</f>
        <v>2180.91</v>
      </c>
      <c r="S3962">
        <f>1571.25</f>
        <v>1571.25</v>
      </c>
      <c r="T3962" t="e">
        <f>NA()</f>
        <v>#N/A</v>
      </c>
      <c r="U3962">
        <f>31740.75</f>
        <v>31740.75</v>
      </c>
      <c r="V3962">
        <f>129.41</f>
        <v>129.41</v>
      </c>
    </row>
    <row r="3963" spans="1:22" x14ac:dyDescent="0.2">
      <c r="A3963" s="1">
        <v>39560</v>
      </c>
      <c r="B3963">
        <f>3056.36</f>
        <v>3056.36</v>
      </c>
      <c r="C3963">
        <f>7615.45</f>
        <v>7615.45</v>
      </c>
      <c r="D3963">
        <f>3557.22</f>
        <v>3557.22</v>
      </c>
      <c r="E3963">
        <f>1984.192</f>
        <v>1984.192</v>
      </c>
      <c r="F3963">
        <f>2135.54</f>
        <v>2135.54</v>
      </c>
      <c r="G3963">
        <f>7206.806</f>
        <v>7206.8059999999996</v>
      </c>
      <c r="H3963">
        <f>1863.62</f>
        <v>1863.62</v>
      </c>
      <c r="I3963">
        <f>8190.384</f>
        <v>8190.384</v>
      </c>
      <c r="J3963">
        <f>1395.6</f>
        <v>1395.6</v>
      </c>
      <c r="K3963">
        <f>4515.57</f>
        <v>4515.57</v>
      </c>
      <c r="L3963">
        <f>1179.98</f>
        <v>1179.98</v>
      </c>
      <c r="M3963">
        <f>4669.94</f>
        <v>4669.9399999999996</v>
      </c>
      <c r="N3963">
        <f>142.238</f>
        <v>142.238</v>
      </c>
      <c r="O3963">
        <f>1699.95</f>
        <v>1699.95</v>
      </c>
      <c r="P3963">
        <f>94.1</f>
        <v>94.1</v>
      </c>
      <c r="Q3963">
        <f>761.76</f>
        <v>761.76</v>
      </c>
      <c r="R3963">
        <f>2174.59</f>
        <v>2174.59</v>
      </c>
      <c r="S3963">
        <f>1567.75</f>
        <v>1567.75</v>
      </c>
      <c r="T3963" t="e">
        <f>NA()</f>
        <v>#N/A</v>
      </c>
      <c r="U3963">
        <f>31713.29</f>
        <v>31713.29</v>
      </c>
      <c r="V3963">
        <f>129.09</f>
        <v>129.09</v>
      </c>
    </row>
    <row r="3964" spans="1:22" x14ac:dyDescent="0.2">
      <c r="A3964" s="1">
        <v>39559</v>
      </c>
      <c r="B3964">
        <f>3113.35</f>
        <v>3113.35</v>
      </c>
      <c r="C3964">
        <f>7583.62</f>
        <v>7583.62</v>
      </c>
      <c r="D3964">
        <f>3567.98</f>
        <v>3567.98</v>
      </c>
      <c r="E3964">
        <f>1979.241</f>
        <v>1979.241</v>
      </c>
      <c r="F3964">
        <f>2144.89</f>
        <v>2144.89</v>
      </c>
      <c r="G3964">
        <f>7185.556</f>
        <v>7185.5559999999996</v>
      </c>
      <c r="H3964">
        <f>1885.84</f>
        <v>1885.84</v>
      </c>
      <c r="I3964">
        <f>8211.141</f>
        <v>8211.1409999999996</v>
      </c>
      <c r="J3964">
        <f>1402.23</f>
        <v>1402.23</v>
      </c>
      <c r="K3964">
        <f>4554.64</f>
        <v>4554.6400000000003</v>
      </c>
      <c r="L3964">
        <f>1183.56</f>
        <v>1183.56</v>
      </c>
      <c r="M3964">
        <f>4698.82</f>
        <v>4698.82</v>
      </c>
      <c r="N3964">
        <f>143.537</f>
        <v>143.53700000000001</v>
      </c>
      <c r="O3964">
        <f>1709.65</f>
        <v>1709.65</v>
      </c>
      <c r="P3964">
        <f>94.84</f>
        <v>94.84</v>
      </c>
      <c r="Q3964">
        <f>769.95</f>
        <v>769.95</v>
      </c>
      <c r="R3964">
        <f>2193.87</f>
        <v>2193.87</v>
      </c>
      <c r="S3964">
        <f>1591.72</f>
        <v>1591.72</v>
      </c>
      <c r="T3964" t="e">
        <f>NA()</f>
        <v>#N/A</v>
      </c>
      <c r="U3964">
        <f>31774.1</f>
        <v>31774.1</v>
      </c>
      <c r="V3964">
        <f>130.41</f>
        <v>130.41</v>
      </c>
    </row>
    <row r="3965" spans="1:22" x14ac:dyDescent="0.2">
      <c r="A3965" s="1">
        <v>39556</v>
      </c>
      <c r="B3965">
        <f>3148.59</f>
        <v>3148.59</v>
      </c>
      <c r="C3965">
        <f>7535.83</f>
        <v>7535.83</v>
      </c>
      <c r="D3965">
        <f>3570.08</f>
        <v>3570.08</v>
      </c>
      <c r="E3965">
        <f>1960.486</f>
        <v>1960.4860000000001</v>
      </c>
      <c r="F3965">
        <f>2195.61</f>
        <v>2195.61</v>
      </c>
      <c r="G3965">
        <f>7251.135</f>
        <v>7251.1350000000002</v>
      </c>
      <c r="H3965">
        <f>1824.17</f>
        <v>1824.17</v>
      </c>
      <c r="I3965">
        <f>8169.683</f>
        <v>8169.683</v>
      </c>
      <c r="J3965">
        <f>1413.49</f>
        <v>1413.49</v>
      </c>
      <c r="K3965">
        <f>4559.77</f>
        <v>4559.7700000000004</v>
      </c>
      <c r="L3965">
        <f>1185.43</f>
        <v>1185.43</v>
      </c>
      <c r="M3965">
        <f>4672.86</f>
        <v>4672.8599999999997</v>
      </c>
      <c r="N3965">
        <f>146.013</f>
        <v>146.01300000000001</v>
      </c>
      <c r="O3965">
        <f>1727.77</f>
        <v>1727.77</v>
      </c>
      <c r="P3965">
        <f>93.77</f>
        <v>93.77</v>
      </c>
      <c r="Q3965">
        <f>775.11</f>
        <v>775.11</v>
      </c>
      <c r="R3965">
        <f>2197.24</f>
        <v>2197.2399999999998</v>
      </c>
      <c r="S3965">
        <f>1558.91</f>
        <v>1558.91</v>
      </c>
      <c r="T3965" t="e">
        <f>NA()</f>
        <v>#N/A</v>
      </c>
      <c r="U3965">
        <f>31594.07</f>
        <v>31594.07</v>
      </c>
      <c r="V3965">
        <f>129.83</f>
        <v>129.83000000000001</v>
      </c>
    </row>
    <row r="3966" spans="1:22" x14ac:dyDescent="0.2">
      <c r="A3966" s="1">
        <v>39555</v>
      </c>
      <c r="B3966">
        <f>3076.61</f>
        <v>3076.61</v>
      </c>
      <c r="C3966">
        <f>7527.35</f>
        <v>7527.35</v>
      </c>
      <c r="D3966">
        <f>3525.17</f>
        <v>3525.17</v>
      </c>
      <c r="E3966">
        <f>1957.72</f>
        <v>1957.72</v>
      </c>
      <c r="F3966">
        <f>2131.87</f>
        <v>2131.87</v>
      </c>
      <c r="G3966">
        <f>7116.233</f>
        <v>7116.2330000000002</v>
      </c>
      <c r="H3966">
        <f>1846.97</f>
        <v>1846.97</v>
      </c>
      <c r="I3966">
        <f>8085.361</f>
        <v>8085.3609999999999</v>
      </c>
      <c r="J3966">
        <f>1397.25</f>
        <v>1397.25</v>
      </c>
      <c r="K3966">
        <f>4480.2</f>
        <v>4480.2</v>
      </c>
      <c r="L3966">
        <f>1169.89</f>
        <v>1169.8900000000001</v>
      </c>
      <c r="M3966">
        <f>4620.81</f>
        <v>4620.8100000000004</v>
      </c>
      <c r="N3966">
        <f>142.484</f>
        <v>142.48400000000001</v>
      </c>
      <c r="O3966">
        <f>1687.38</f>
        <v>1687.38</v>
      </c>
      <c r="P3966">
        <f>92.64</f>
        <v>92.64</v>
      </c>
      <c r="Q3966">
        <f>765.81</f>
        <v>765.81</v>
      </c>
      <c r="R3966">
        <f>2158.08</f>
        <v>2158.08</v>
      </c>
      <c r="S3966">
        <f>1546.06</f>
        <v>1546.06</v>
      </c>
      <c r="T3966" t="e">
        <f>NA()</f>
        <v>#N/A</v>
      </c>
      <c r="U3966">
        <f>31699.12</f>
        <v>31699.119999999999</v>
      </c>
      <c r="V3966">
        <f>128.88</f>
        <v>128.88</v>
      </c>
    </row>
    <row r="3967" spans="1:22" x14ac:dyDescent="0.2">
      <c r="A3967" s="1">
        <v>39554</v>
      </c>
      <c r="B3967">
        <f>3077.93</f>
        <v>3077.93</v>
      </c>
      <c r="C3967">
        <f>7458.19</f>
        <v>7458.19</v>
      </c>
      <c r="D3967">
        <f>3563.9</f>
        <v>3563.9</v>
      </c>
      <c r="E3967">
        <f>1942.242</f>
        <v>1942.242</v>
      </c>
      <c r="F3967">
        <f>2143.24</f>
        <v>2143.2399999999998</v>
      </c>
      <c r="G3967">
        <f>7154.982</f>
        <v>7154.982</v>
      </c>
      <c r="H3967">
        <f>1842.79</f>
        <v>1842.79</v>
      </c>
      <c r="I3967">
        <f>8169.013</f>
        <v>8169.0129999999999</v>
      </c>
      <c r="J3967">
        <f>1397.88</f>
        <v>1397.88</v>
      </c>
      <c r="K3967">
        <f>4478.62</f>
        <v>4478.62</v>
      </c>
      <c r="L3967">
        <f>1172.21</f>
        <v>1172.21</v>
      </c>
      <c r="M3967">
        <f>4630.53</f>
        <v>4630.53</v>
      </c>
      <c r="N3967">
        <f>143.17</f>
        <v>143.16999999999999</v>
      </c>
      <c r="O3967">
        <f>1695.1</f>
        <v>1695.1</v>
      </c>
      <c r="P3967">
        <f>91.87</f>
        <v>91.87</v>
      </c>
      <c r="Q3967">
        <f>763.74</f>
        <v>763.74</v>
      </c>
      <c r="R3967">
        <f>2156.67</f>
        <v>2156.67</v>
      </c>
      <c r="S3967">
        <f>1520.44</f>
        <v>1520.44</v>
      </c>
      <c r="T3967" t="e">
        <f>NA()</f>
        <v>#N/A</v>
      </c>
      <c r="U3967">
        <f>31857.3</f>
        <v>31857.3</v>
      </c>
      <c r="V3967">
        <f>129.22</f>
        <v>129.22</v>
      </c>
    </row>
    <row r="3968" spans="1:22" x14ac:dyDescent="0.2">
      <c r="A3968" s="1">
        <v>39553</v>
      </c>
      <c r="B3968">
        <f>2997.51</f>
        <v>2997.51</v>
      </c>
      <c r="C3968">
        <f>7367.23</f>
        <v>7367.23</v>
      </c>
      <c r="D3968">
        <f>3479.5</f>
        <v>3479.5</v>
      </c>
      <c r="E3968">
        <f>1918.552</f>
        <v>1918.5519999999999</v>
      </c>
      <c r="F3968">
        <f>2071.14</f>
        <v>2071.14</v>
      </c>
      <c r="G3968">
        <f>6938.021</f>
        <v>6938.0209999999997</v>
      </c>
      <c r="H3968">
        <f>1833.4</f>
        <v>1833.4</v>
      </c>
      <c r="I3968">
        <f>7960.115</f>
        <v>7960.1149999999998</v>
      </c>
      <c r="J3968">
        <f>1374.63</f>
        <v>1374.63</v>
      </c>
      <c r="K3968">
        <f>4377.68</f>
        <v>4377.68</v>
      </c>
      <c r="L3968">
        <f>1143.93</f>
        <v>1143.93</v>
      </c>
      <c r="M3968">
        <f>4521.81</f>
        <v>4521.8100000000004</v>
      </c>
      <c r="N3968">
        <f>140.648</f>
        <v>140.648</v>
      </c>
      <c r="O3968">
        <f>1665.86</f>
        <v>1665.86</v>
      </c>
      <c r="P3968">
        <f>91.31</f>
        <v>91.31</v>
      </c>
      <c r="Q3968">
        <f>747.61</f>
        <v>747.61</v>
      </c>
      <c r="R3968">
        <f>2108.59</f>
        <v>2108.59</v>
      </c>
      <c r="S3968">
        <f>1501.41</f>
        <v>1501.41</v>
      </c>
      <c r="T3968" t="e">
        <f>NA()</f>
        <v>#N/A</v>
      </c>
      <c r="U3968">
        <f>31280.19</f>
        <v>31280.19</v>
      </c>
      <c r="V3968">
        <f>128.46</f>
        <v>128.46</v>
      </c>
    </row>
    <row r="3969" spans="1:22" x14ac:dyDescent="0.2">
      <c r="A3969" s="1">
        <v>39552</v>
      </c>
      <c r="B3969">
        <f>2997.93</f>
        <v>2997.93</v>
      </c>
      <c r="C3969">
        <f>7308.22</f>
        <v>7308.22</v>
      </c>
      <c r="D3969">
        <f>3435.17</f>
        <v>3435.17</v>
      </c>
      <c r="E3969">
        <f>1909.013</f>
        <v>1909.0129999999999</v>
      </c>
      <c r="F3969">
        <f>2088.91</f>
        <v>2088.91</v>
      </c>
      <c r="G3969">
        <f>6925.931</f>
        <v>6925.9309999999996</v>
      </c>
      <c r="H3969">
        <f>1824.59</f>
        <v>1824.59</v>
      </c>
      <c r="I3969">
        <f>7940.32</f>
        <v>7940.32</v>
      </c>
      <c r="J3969">
        <f>1367.83</f>
        <v>1367.83</v>
      </c>
      <c r="K3969">
        <f>4358.26</f>
        <v>4358.26</v>
      </c>
      <c r="L3969">
        <f>1140.51</f>
        <v>1140.51</v>
      </c>
      <c r="M3969">
        <f>4503.9</f>
        <v>4503.8999999999996</v>
      </c>
      <c r="N3969">
        <f>140.76</f>
        <v>140.76</v>
      </c>
      <c r="O3969">
        <f>1658.12</f>
        <v>1658.12</v>
      </c>
      <c r="P3969">
        <f>91.02</f>
        <v>91.02</v>
      </c>
      <c r="Q3969">
        <f>742.81</f>
        <v>742.81</v>
      </c>
      <c r="R3969">
        <f>2098.92</f>
        <v>2098.92</v>
      </c>
      <c r="S3969">
        <f>1489.78</f>
        <v>1489.78</v>
      </c>
      <c r="T3969" t="e">
        <f>NA()</f>
        <v>#N/A</v>
      </c>
      <c r="U3969">
        <f>30772.35</f>
        <v>30772.35</v>
      </c>
      <c r="V3969">
        <f>127.52</f>
        <v>127.52</v>
      </c>
    </row>
    <row r="3970" spans="1:22" x14ac:dyDescent="0.2">
      <c r="A3970" s="1">
        <v>39549</v>
      </c>
      <c r="B3970">
        <f>3030.81</f>
        <v>3030.81</v>
      </c>
      <c r="C3970">
        <f>7327.65</f>
        <v>7327.65</v>
      </c>
      <c r="D3970">
        <f>3472.78</f>
        <v>3472.78</v>
      </c>
      <c r="E3970">
        <f>1933.856</f>
        <v>1933.856</v>
      </c>
      <c r="F3970">
        <f>2108.11</f>
        <v>2108.11</v>
      </c>
      <c r="G3970">
        <f>6957.112</f>
        <v>6957.1120000000001</v>
      </c>
      <c r="H3970">
        <f>1861.67</f>
        <v>1861.67</v>
      </c>
      <c r="I3970">
        <f>7997.715</f>
        <v>7997.7150000000001</v>
      </c>
      <c r="J3970">
        <f>1381.64</f>
        <v>1381.64</v>
      </c>
      <c r="K3970">
        <f>4372.52</f>
        <v>4372.5200000000004</v>
      </c>
      <c r="L3970">
        <f>1151.85</f>
        <v>1151.8499999999999</v>
      </c>
      <c r="M3970">
        <f>4535.5</f>
        <v>4535.5</v>
      </c>
      <c r="N3970">
        <f>141.998</f>
        <v>141.99799999999999</v>
      </c>
      <c r="O3970">
        <f>1672.34</f>
        <v>1672.34</v>
      </c>
      <c r="P3970">
        <f>93.02</f>
        <v>93.02</v>
      </c>
      <c r="Q3970">
        <f>748.9</f>
        <v>748.9</v>
      </c>
      <c r="R3970">
        <f>2106.01</f>
        <v>2106.0100000000002</v>
      </c>
      <c r="S3970">
        <f>1528.49</f>
        <v>1528.49</v>
      </c>
      <c r="T3970" t="e">
        <f>NA()</f>
        <v>#N/A</v>
      </c>
      <c r="U3970">
        <f>31121.55</f>
        <v>31121.55</v>
      </c>
      <c r="V3970">
        <f>129.52</f>
        <v>129.52000000000001</v>
      </c>
    </row>
    <row r="3971" spans="1:22" x14ac:dyDescent="0.2">
      <c r="A3971" s="1">
        <v>39548</v>
      </c>
      <c r="B3971">
        <f>3060.75</f>
        <v>3060.75</v>
      </c>
      <c r="C3971">
        <f>7338.24</f>
        <v>7338.24</v>
      </c>
      <c r="D3971">
        <f>3513.8</f>
        <v>3513.8</v>
      </c>
      <c r="E3971">
        <f>1930.649</f>
        <v>1930.6489999999999</v>
      </c>
      <c r="F3971">
        <f>2152.07</f>
        <v>2152.0700000000002</v>
      </c>
      <c r="G3971">
        <f>7067.085</f>
        <v>7067.085</v>
      </c>
      <c r="H3971">
        <f>1826.42</f>
        <v>1826.42</v>
      </c>
      <c r="I3971">
        <f>8085.682</f>
        <v>8085.6819999999998</v>
      </c>
      <c r="J3971">
        <f>1414.43</f>
        <v>1414.43</v>
      </c>
      <c r="K3971">
        <f>4463.7</f>
        <v>4463.7</v>
      </c>
      <c r="L3971">
        <f>1172.17</f>
        <v>1172.17</v>
      </c>
      <c r="M3971">
        <f>4591.77</f>
        <v>4591.7700000000004</v>
      </c>
      <c r="N3971">
        <f>143.887</f>
        <v>143.887</v>
      </c>
      <c r="O3971">
        <f>1695.88</f>
        <v>1695.88</v>
      </c>
      <c r="P3971">
        <f>90.75</f>
        <v>90.75</v>
      </c>
      <c r="Q3971">
        <f>761.45</f>
        <v>761.45</v>
      </c>
      <c r="R3971">
        <f>2149.67</f>
        <v>2149.67</v>
      </c>
      <c r="S3971">
        <f>1491.97</f>
        <v>1491.97</v>
      </c>
      <c r="T3971" t="e">
        <f>NA()</f>
        <v>#N/A</v>
      </c>
      <c r="U3971">
        <f>31215.17</f>
        <v>31215.17</v>
      </c>
      <c r="V3971">
        <f>130.08</f>
        <v>130.08000000000001</v>
      </c>
    </row>
    <row r="3972" spans="1:22" x14ac:dyDescent="0.2">
      <c r="A3972" s="1">
        <v>39547</v>
      </c>
      <c r="B3972">
        <f>3105</f>
        <v>3105</v>
      </c>
      <c r="C3972">
        <f>7271.04</f>
        <v>7271.04</v>
      </c>
      <c r="D3972">
        <f>3524.86</f>
        <v>3524.86</v>
      </c>
      <c r="E3972">
        <f>1916.407</f>
        <v>1916.4069999999999</v>
      </c>
      <c r="F3972">
        <f>2162.21</f>
        <v>2162.21</v>
      </c>
      <c r="G3972">
        <f>7073.308</f>
        <v>7073.308</v>
      </c>
      <c r="H3972">
        <f>1821.31</f>
        <v>1821.31</v>
      </c>
      <c r="I3972">
        <f>8111.235</f>
        <v>8111.2349999999997</v>
      </c>
      <c r="J3972">
        <f>1412.03</f>
        <v>1412.03</v>
      </c>
      <c r="K3972">
        <f>4440.85</f>
        <v>4440.8500000000004</v>
      </c>
      <c r="L3972">
        <f>1172.54</f>
        <v>1172.54</v>
      </c>
      <c r="M3972">
        <f>4581.94</f>
        <v>4581.9399999999996</v>
      </c>
      <c r="N3972">
        <f>144.452</f>
        <v>144.452</v>
      </c>
      <c r="O3972">
        <f>1700.75</f>
        <v>1700.75</v>
      </c>
      <c r="P3972">
        <f>91.91</f>
        <v>91.91</v>
      </c>
      <c r="Q3972">
        <f>759.6</f>
        <v>759.6</v>
      </c>
      <c r="R3972">
        <f>2139.99</f>
        <v>2139.9899999999998</v>
      </c>
      <c r="S3972">
        <f>1509.7</f>
        <v>1509.7</v>
      </c>
      <c r="T3972" t="e">
        <f>NA()</f>
        <v>#N/A</v>
      </c>
      <c r="U3972">
        <f>31360.12</f>
        <v>31360.12</v>
      </c>
      <c r="V3972">
        <f>132.35</f>
        <v>132.35</v>
      </c>
    </row>
    <row r="3973" spans="1:22" x14ac:dyDescent="0.2">
      <c r="A3973" s="1">
        <v>39546</v>
      </c>
      <c r="B3973">
        <f>3130.69</f>
        <v>3130.69</v>
      </c>
      <c r="C3973">
        <f>7281.52</f>
        <v>7281.52</v>
      </c>
      <c r="D3973">
        <f>3526.79</f>
        <v>3526.79</v>
      </c>
      <c r="E3973">
        <f>1921.526</f>
        <v>1921.5260000000001</v>
      </c>
      <c r="F3973">
        <f>2171.69</f>
        <v>2171.69</v>
      </c>
      <c r="G3973">
        <f>7055.509</f>
        <v>7055.509</v>
      </c>
      <c r="H3973">
        <f>1836.71</f>
        <v>1836.71</v>
      </c>
      <c r="I3973">
        <f>8144.702</f>
        <v>8144.7020000000002</v>
      </c>
      <c r="J3973">
        <f>1425.94</f>
        <v>1425.94</v>
      </c>
      <c r="K3973">
        <f>4477.92</f>
        <v>4477.92</v>
      </c>
      <c r="L3973">
        <f>1179.87</f>
        <v>1179.8699999999999</v>
      </c>
      <c r="M3973">
        <f>4612.01</f>
        <v>4612.01</v>
      </c>
      <c r="N3973">
        <f>146.685</f>
        <v>146.685</v>
      </c>
      <c r="O3973">
        <f>1714.05</f>
        <v>1714.05</v>
      </c>
      <c r="P3973">
        <f>92.98</f>
        <v>92.98</v>
      </c>
      <c r="Q3973">
        <f>767.03</f>
        <v>767.03</v>
      </c>
      <c r="R3973">
        <f>2157.28</f>
        <v>2157.2800000000002</v>
      </c>
      <c r="S3973">
        <f>1533.36</f>
        <v>1533.36</v>
      </c>
      <c r="T3973" t="e">
        <f>NA()</f>
        <v>#N/A</v>
      </c>
      <c r="U3973">
        <f>30821.13</f>
        <v>30821.13</v>
      </c>
      <c r="V3973">
        <f>132.54</f>
        <v>132.54</v>
      </c>
    </row>
    <row r="3974" spans="1:22" x14ac:dyDescent="0.2">
      <c r="A3974" s="1">
        <v>39545</v>
      </c>
      <c r="B3974">
        <f>3170.93</f>
        <v>3170.93</v>
      </c>
      <c r="C3974">
        <f>7284.91</f>
        <v>7284.91</v>
      </c>
      <c r="D3974">
        <f>3541.24</f>
        <v>3541.24</v>
      </c>
      <c r="E3974">
        <f>1933.269</f>
        <v>1933.269</v>
      </c>
      <c r="F3974">
        <f>2212.8</f>
        <v>2212.8000000000002</v>
      </c>
      <c r="G3974">
        <f>7165.298</f>
        <v>7165.2979999999998</v>
      </c>
      <c r="H3974">
        <f>1853.8</f>
        <v>1853.8</v>
      </c>
      <c r="I3974">
        <f>8205.773</f>
        <v>8205.7729999999992</v>
      </c>
      <c r="J3974">
        <f>1436.42</f>
        <v>1436.42</v>
      </c>
      <c r="K3974">
        <f>4497</f>
        <v>4497</v>
      </c>
      <c r="L3974">
        <f>1191.22</f>
        <v>1191.22</v>
      </c>
      <c r="M3974">
        <f>4647.4</f>
        <v>4647.3999999999996</v>
      </c>
      <c r="N3974">
        <f>148.983</f>
        <v>148.983</v>
      </c>
      <c r="O3974">
        <f>1728.36</f>
        <v>1728.36</v>
      </c>
      <c r="P3974">
        <f>94.34</f>
        <v>94.34</v>
      </c>
      <c r="Q3974">
        <f>771.94</f>
        <v>771.94</v>
      </c>
      <c r="R3974">
        <f>2167.61</f>
        <v>2167.61</v>
      </c>
      <c r="S3974">
        <f>1560.78</f>
        <v>1560.78</v>
      </c>
      <c r="T3974" t="e">
        <f>NA()</f>
        <v>#N/A</v>
      </c>
      <c r="U3974">
        <f>30970.19</f>
        <v>30970.19</v>
      </c>
      <c r="V3974">
        <f>132.69</f>
        <v>132.69</v>
      </c>
    </row>
    <row r="3975" spans="1:22" x14ac:dyDescent="0.2">
      <c r="A3975" s="1">
        <v>39542</v>
      </c>
      <c r="B3975">
        <f>3160.05</f>
        <v>3160.05</v>
      </c>
      <c r="C3975">
        <f>7207.31</f>
        <v>7207.31</v>
      </c>
      <c r="D3975">
        <f>3501.41</f>
        <v>3501.41</v>
      </c>
      <c r="E3975">
        <f>1906.795</f>
        <v>1906.7950000000001</v>
      </c>
      <c r="F3975">
        <f>2206.25</f>
        <v>2206.25</v>
      </c>
      <c r="G3975">
        <f>7104.108</f>
        <v>7104.1080000000002</v>
      </c>
      <c r="H3975">
        <f>1857.3</f>
        <v>1857.3</v>
      </c>
      <c r="I3975">
        <f>8149.595</f>
        <v>8149.5950000000003</v>
      </c>
      <c r="J3975">
        <f>1430.39</f>
        <v>1430.39</v>
      </c>
      <c r="K3975">
        <f>4490.15</f>
        <v>4490.1499999999996</v>
      </c>
      <c r="L3975">
        <f>1186</f>
        <v>1186</v>
      </c>
      <c r="M3975">
        <f>4628.65</f>
        <v>4628.6499999999996</v>
      </c>
      <c r="N3975">
        <f>148.125</f>
        <v>148.125</v>
      </c>
      <c r="O3975">
        <f>1714.28</f>
        <v>1714.28</v>
      </c>
      <c r="P3975">
        <f>93.31</f>
        <v>93.31</v>
      </c>
      <c r="Q3975">
        <f>770.68</f>
        <v>770.68</v>
      </c>
      <c r="R3975">
        <f>2164.21</f>
        <v>2164.21</v>
      </c>
      <c r="S3975">
        <f>1540.83</f>
        <v>1540.83</v>
      </c>
      <c r="T3975" t="e">
        <f>NA()</f>
        <v>#N/A</v>
      </c>
      <c r="U3975">
        <f>30396.34</f>
        <v>30396.34</v>
      </c>
      <c r="V3975">
        <f>130.25</f>
        <v>130.25</v>
      </c>
    </row>
    <row r="3976" spans="1:22" x14ac:dyDescent="0.2">
      <c r="A3976" s="1">
        <v>39541</v>
      </c>
      <c r="B3976">
        <f>3170.14</f>
        <v>3170.14</v>
      </c>
      <c r="C3976">
        <f>7180.13</f>
        <v>7180.13</v>
      </c>
      <c r="D3976">
        <f>3468.56</f>
        <v>3468.56</v>
      </c>
      <c r="E3976">
        <f>1902.694</f>
        <v>1902.694</v>
      </c>
      <c r="F3976">
        <f>2209.71</f>
        <v>2209.71</v>
      </c>
      <c r="G3976">
        <f>7043.519</f>
        <v>7043.5190000000002</v>
      </c>
      <c r="H3976">
        <f>1855.74</f>
        <v>1855.74</v>
      </c>
      <c r="I3976">
        <f>8051.653</f>
        <v>8051.6530000000002</v>
      </c>
      <c r="J3976">
        <f>1437.42</f>
        <v>1437.42</v>
      </c>
      <c r="K3976">
        <f>4484.75</f>
        <v>4484.75</v>
      </c>
      <c r="L3976">
        <f>1182.1</f>
        <v>1182.0999999999999</v>
      </c>
      <c r="M3976">
        <f>4606.19</f>
        <v>4606.1899999999996</v>
      </c>
      <c r="N3976">
        <f>147.561</f>
        <v>147.56100000000001</v>
      </c>
      <c r="O3976">
        <f>1706.63</f>
        <v>1706.63</v>
      </c>
      <c r="P3976">
        <f>93.85</f>
        <v>93.85</v>
      </c>
      <c r="Q3976">
        <f>772.03</f>
        <v>772.03</v>
      </c>
      <c r="R3976">
        <f>2162.46</f>
        <v>2162.46</v>
      </c>
      <c r="S3976">
        <f>1553.62</f>
        <v>1553.62</v>
      </c>
      <c r="T3976" t="e">
        <f>NA()</f>
        <v>#N/A</v>
      </c>
      <c r="U3976">
        <f>29980.09</f>
        <v>29980.09</v>
      </c>
      <c r="V3976">
        <f>129.99</f>
        <v>129.99</v>
      </c>
    </row>
    <row r="3977" spans="1:22" x14ac:dyDescent="0.2">
      <c r="A3977" s="1">
        <v>39540</v>
      </c>
      <c r="B3977">
        <f>3251.83</f>
        <v>3251.83</v>
      </c>
      <c r="C3977">
        <f>7160.34</f>
        <v>7160.34</v>
      </c>
      <c r="D3977">
        <f>3483.06</f>
        <v>3483.06</v>
      </c>
      <c r="E3977">
        <f>1893.944</f>
        <v>1893.944</v>
      </c>
      <c r="F3977">
        <f>2230.17</f>
        <v>2230.17</v>
      </c>
      <c r="G3977">
        <f>7029.404</f>
        <v>7029.4040000000005</v>
      </c>
      <c r="H3977">
        <f>1826.49</f>
        <v>1826.49</v>
      </c>
      <c r="I3977">
        <f>8094.835</f>
        <v>8094.835</v>
      </c>
      <c r="J3977">
        <f>1435.91</f>
        <v>1435.91</v>
      </c>
      <c r="K3977">
        <f>4477.68</f>
        <v>4477.68</v>
      </c>
      <c r="L3977">
        <f>1182.92</f>
        <v>1182.92</v>
      </c>
      <c r="M3977">
        <f>4592.82</f>
        <v>4592.82</v>
      </c>
      <c r="N3977">
        <f>149.734</f>
        <v>149.73400000000001</v>
      </c>
      <c r="O3977">
        <f>1715.41</f>
        <v>1715.41</v>
      </c>
      <c r="P3977">
        <f>93.1</f>
        <v>93.1</v>
      </c>
      <c r="Q3977">
        <f>774.07</f>
        <v>774.07</v>
      </c>
      <c r="R3977">
        <f>2159.63</f>
        <v>2159.63</v>
      </c>
      <c r="S3977">
        <f>1532.62</f>
        <v>1532.62</v>
      </c>
      <c r="T3977" t="e">
        <f>NA()</f>
        <v>#N/A</v>
      </c>
      <c r="U3977">
        <f>29932.97</f>
        <v>29932.97</v>
      </c>
      <c r="V3977">
        <f>130.44</f>
        <v>130.44</v>
      </c>
    </row>
    <row r="3978" spans="1:22" x14ac:dyDescent="0.2">
      <c r="A3978" s="1">
        <v>39539</v>
      </c>
      <c r="B3978">
        <f>3212.91</f>
        <v>3212.91</v>
      </c>
      <c r="C3978">
        <f>6975.61</f>
        <v>6975.61</v>
      </c>
      <c r="D3978">
        <f>3445.69</f>
        <v>3445.69</v>
      </c>
      <c r="E3978">
        <f>1854.076</f>
        <v>1854.076</v>
      </c>
      <c r="F3978">
        <f>2183.73</f>
        <v>2183.73</v>
      </c>
      <c r="G3978">
        <f>6933.753</f>
        <v>6933.7529999999997</v>
      </c>
      <c r="H3978">
        <f>1781.57</f>
        <v>1781.57</v>
      </c>
      <c r="I3978">
        <f>7999.509</f>
        <v>7999.509</v>
      </c>
      <c r="J3978">
        <f>1444.14</f>
        <v>1444.14</v>
      </c>
      <c r="K3978">
        <f>4484.23</f>
        <v>4484.2299999999996</v>
      </c>
      <c r="L3978">
        <f>1169.94</f>
        <v>1169.94</v>
      </c>
      <c r="M3978">
        <f>4550.35</f>
        <v>4550.3500000000004</v>
      </c>
      <c r="N3978">
        <f>147.855</f>
        <v>147.85499999999999</v>
      </c>
      <c r="O3978">
        <f>1694.79</f>
        <v>1694.79</v>
      </c>
      <c r="P3978">
        <f>90.28</f>
        <v>90.28</v>
      </c>
      <c r="Q3978">
        <f>773.93</f>
        <v>773.93</v>
      </c>
      <c r="R3978">
        <f>2163.38</f>
        <v>2163.38</v>
      </c>
      <c r="S3978">
        <f>1470.95</f>
        <v>1470.95</v>
      </c>
      <c r="T3978" t="e">
        <f>NA()</f>
        <v>#N/A</v>
      </c>
      <c r="U3978">
        <f>29627.64</f>
        <v>29627.64</v>
      </c>
      <c r="V3978">
        <f>127.61</f>
        <v>127.61</v>
      </c>
    </row>
    <row r="3979" spans="1:22" x14ac:dyDescent="0.2">
      <c r="A3979" s="1">
        <v>39538</v>
      </c>
      <c r="B3979">
        <f>3083.14</f>
        <v>3083.14</v>
      </c>
      <c r="C3979">
        <f>6925.91</f>
        <v>6925.91</v>
      </c>
      <c r="D3979">
        <f>3357.1</f>
        <v>3357.1</v>
      </c>
      <c r="E3979">
        <f>1838.62</f>
        <v>1838.62</v>
      </c>
      <c r="F3979">
        <f>2107.54</f>
        <v>2107.54</v>
      </c>
      <c r="G3979">
        <f>6791.794</f>
        <v>6791.7939999999999</v>
      </c>
      <c r="H3979">
        <f>1798.84</f>
        <v>1798.84</v>
      </c>
      <c r="I3979">
        <f>7887.301</f>
        <v>7887.3010000000004</v>
      </c>
      <c r="J3979">
        <f>1393.47</f>
        <v>1393.47</v>
      </c>
      <c r="K3979">
        <f>4330.95</f>
        <v>4330.95</v>
      </c>
      <c r="L3979">
        <f>1140.24</f>
        <v>1140.24</v>
      </c>
      <c r="M3979">
        <f>4455.8</f>
        <v>4455.8</v>
      </c>
      <c r="N3979">
        <f>143.017</f>
        <v>143.017</v>
      </c>
      <c r="O3979">
        <f>1640.41</f>
        <v>1640.41</v>
      </c>
      <c r="P3979">
        <f>89.13</f>
        <v>89.13</v>
      </c>
      <c r="Q3979">
        <f>746.82</f>
        <v>746.82</v>
      </c>
      <c r="R3979">
        <f>2088.42</f>
        <v>2088.42</v>
      </c>
      <c r="S3979">
        <f>1450</f>
        <v>1450</v>
      </c>
      <c r="T3979" t="e">
        <f>NA()</f>
        <v>#N/A</v>
      </c>
      <c r="U3979">
        <f>29587.51</f>
        <v>29587.51</v>
      </c>
      <c r="V3979">
        <f>126.6</f>
        <v>126.6</v>
      </c>
    </row>
    <row r="3980" spans="1:22" x14ac:dyDescent="0.2">
      <c r="A3980" s="1">
        <v>39535</v>
      </c>
      <c r="B3980">
        <f>3087.74</f>
        <v>3087.74</v>
      </c>
      <c r="C3980">
        <f>6963.81</f>
        <v>6963.81</v>
      </c>
      <c r="D3980">
        <f>3351.67</f>
        <v>3351.67</v>
      </c>
      <c r="E3980">
        <f>1852.095</f>
        <v>1852.095</v>
      </c>
      <c r="F3980">
        <f>2117.33</f>
        <v>2117.33</v>
      </c>
      <c r="G3980">
        <f>6783.598</f>
        <v>6783.598</v>
      </c>
      <c r="H3980">
        <f>1853.57</f>
        <v>1853.57</v>
      </c>
      <c r="I3980">
        <f>7853.582</f>
        <v>7853.5820000000003</v>
      </c>
      <c r="J3980">
        <f>1386.43</f>
        <v>1386.43</v>
      </c>
      <c r="K3980">
        <f>4305.19</f>
        <v>4305.1899999999996</v>
      </c>
      <c r="L3980">
        <f>1137.83</f>
        <v>1137.83</v>
      </c>
      <c r="M3980">
        <f>4450.08</f>
        <v>4450.08</v>
      </c>
      <c r="N3980">
        <f>143.749</f>
        <v>143.749</v>
      </c>
      <c r="O3980">
        <f>1644.54</f>
        <v>1644.54</v>
      </c>
      <c r="P3980">
        <f>90.91</f>
        <v>90.91</v>
      </c>
      <c r="Q3980">
        <f>741.35</f>
        <v>741.35</v>
      </c>
      <c r="R3980">
        <f>2076.56</f>
        <v>2076.56</v>
      </c>
      <c r="S3980">
        <f>1486.87</f>
        <v>1486.87</v>
      </c>
      <c r="T3980" t="e">
        <f>NA()</f>
        <v>#N/A</v>
      </c>
      <c r="U3980">
        <f>29962.18</f>
        <v>29962.18</v>
      </c>
      <c r="V3980">
        <f>128.38</f>
        <v>128.38</v>
      </c>
    </row>
    <row r="3981" spans="1:22" x14ac:dyDescent="0.2">
      <c r="A3981" s="1">
        <v>39534</v>
      </c>
      <c r="B3981">
        <f>3123.53</f>
        <v>3123.53</v>
      </c>
      <c r="C3981">
        <f>6992.37</f>
        <v>6992.37</v>
      </c>
      <c r="D3981">
        <f>3366.14</f>
        <v>3366.14</v>
      </c>
      <c r="E3981">
        <f>1841.822</f>
        <v>1841.8219999999999</v>
      </c>
      <c r="F3981">
        <f>2152.91</f>
        <v>2152.91</v>
      </c>
      <c r="G3981">
        <f>6881.127</f>
        <v>6881.1270000000004</v>
      </c>
      <c r="H3981">
        <f>1819.62</f>
        <v>1819.62</v>
      </c>
      <c r="I3981">
        <f>7892.708</f>
        <v>7892.7079999999996</v>
      </c>
      <c r="J3981">
        <f>1397.8</f>
        <v>1397.8</v>
      </c>
      <c r="K3981">
        <f>4339.87</f>
        <v>4339.87</v>
      </c>
      <c r="L3981">
        <f>1149.2</f>
        <v>1149.2</v>
      </c>
      <c r="M3981">
        <f>4474.49</f>
        <v>4474.49</v>
      </c>
      <c r="N3981">
        <f>144.078</f>
        <v>144.078</v>
      </c>
      <c r="O3981">
        <f>1652.75</f>
        <v>1652.75</v>
      </c>
      <c r="P3981">
        <f>89.44</f>
        <v>89.44</v>
      </c>
      <c r="Q3981">
        <f>747.58</f>
        <v>747.58</v>
      </c>
      <c r="R3981">
        <f>2093.11</f>
        <v>2093.11</v>
      </c>
      <c r="S3981">
        <f>1466.12</f>
        <v>1466.12</v>
      </c>
      <c r="T3981" t="e">
        <f>NA()</f>
        <v>#N/A</v>
      </c>
      <c r="U3981">
        <f>30095.06</f>
        <v>30095.06</v>
      </c>
      <c r="V3981">
        <f>129.07</f>
        <v>129.07</v>
      </c>
    </row>
    <row r="3982" spans="1:22" x14ac:dyDescent="0.2">
      <c r="A3982" s="1">
        <v>39533</v>
      </c>
      <c r="B3982">
        <f>3045.63</f>
        <v>3045.63</v>
      </c>
      <c r="C3982">
        <f>7032.02</f>
        <v>7032.02</v>
      </c>
      <c r="D3982">
        <f>3332.54</f>
        <v>3332.54</v>
      </c>
      <c r="E3982">
        <f>1843.265</f>
        <v>1843.2650000000001</v>
      </c>
      <c r="F3982">
        <f>2113.9</f>
        <v>2113.9</v>
      </c>
      <c r="G3982">
        <f>6781.996</f>
        <v>6781.9960000000001</v>
      </c>
      <c r="H3982">
        <f>1844.97</f>
        <v>1844.97</v>
      </c>
      <c r="I3982">
        <f>7779.815</f>
        <v>7779.8149999999996</v>
      </c>
      <c r="J3982">
        <f>1408.02</f>
        <v>1408.02</v>
      </c>
      <c r="K3982">
        <f>4389.46</f>
        <v>4389.46</v>
      </c>
      <c r="L3982">
        <f>1143.21</f>
        <v>1143.21</v>
      </c>
      <c r="M3982">
        <f>4483.34</f>
        <v>4483.34</v>
      </c>
      <c r="N3982">
        <f>143.044</f>
        <v>143.04400000000001</v>
      </c>
      <c r="O3982">
        <f>1634.8</f>
        <v>1634.8</v>
      </c>
      <c r="P3982">
        <f>89.57</f>
        <v>89.57</v>
      </c>
      <c r="Q3982">
        <f>756.34</f>
        <v>756.34</v>
      </c>
      <c r="R3982">
        <f>2116.93</f>
        <v>2116.9299999999998</v>
      </c>
      <c r="S3982">
        <f>1479.4</f>
        <v>1479.4</v>
      </c>
      <c r="T3982" t="e">
        <f>NA()</f>
        <v>#N/A</v>
      </c>
      <c r="U3982">
        <f>29693.15</f>
        <v>29693.15</v>
      </c>
      <c r="V3982">
        <f>128.02</f>
        <v>128.02000000000001</v>
      </c>
    </row>
    <row r="3983" spans="1:22" x14ac:dyDescent="0.2">
      <c r="A3983" s="1">
        <v>39532</v>
      </c>
      <c r="B3983">
        <f>3099.24</f>
        <v>3099.24</v>
      </c>
      <c r="C3983">
        <f>7001.14</f>
        <v>7001.14</v>
      </c>
      <c r="D3983">
        <f>3347.27</f>
        <v>3347.27</v>
      </c>
      <c r="E3983">
        <f>1838.086</f>
        <v>1838.086</v>
      </c>
      <c r="F3983">
        <f>2138.56</f>
        <v>2138.56</v>
      </c>
      <c r="G3983">
        <f>6805.5</f>
        <v>6805.5</v>
      </c>
      <c r="H3983">
        <f>1809.44</f>
        <v>1809.44</v>
      </c>
      <c r="I3983">
        <f>7720.225</f>
        <v>7720.2250000000004</v>
      </c>
      <c r="J3983">
        <f>1426.72</f>
        <v>1426.72</v>
      </c>
      <c r="K3983">
        <f>4426.3</f>
        <v>4426.3</v>
      </c>
      <c r="L3983">
        <f>1148.38</f>
        <v>1148.3800000000001</v>
      </c>
      <c r="M3983">
        <f>4484.32</f>
        <v>4484.32</v>
      </c>
      <c r="N3983">
        <f>145.126</f>
        <v>145.126</v>
      </c>
      <c r="O3983">
        <f>1645.91</f>
        <v>1645.91</v>
      </c>
      <c r="P3983">
        <f>89.27</f>
        <v>89.27</v>
      </c>
      <c r="Q3983">
        <f>766.11</f>
        <v>766.11</v>
      </c>
      <c r="R3983">
        <f>2135.54</f>
        <v>2135.54</v>
      </c>
      <c r="S3983">
        <f>1472.12</f>
        <v>1472.12</v>
      </c>
      <c r="T3983" t="e">
        <f>NA()</f>
        <v>#N/A</v>
      </c>
      <c r="U3983">
        <f>29152.42</f>
        <v>29152.42</v>
      </c>
      <c r="V3983">
        <f>125.14</f>
        <v>125.14</v>
      </c>
    </row>
    <row r="3984" spans="1:22" x14ac:dyDescent="0.2">
      <c r="A3984" s="1">
        <v>39531</v>
      </c>
      <c r="B3984" t="e">
        <f>NA()</f>
        <v>#N/A</v>
      </c>
      <c r="C3984">
        <f>6863.09</f>
        <v>6863.09</v>
      </c>
      <c r="D3984" t="e">
        <f>NA()</f>
        <v>#N/A</v>
      </c>
      <c r="E3984">
        <f>1785.228</f>
        <v>1785.2280000000001</v>
      </c>
      <c r="F3984">
        <f>2026.89</f>
        <v>2026.89</v>
      </c>
      <c r="G3984">
        <f>6522.298</f>
        <v>6522.2979999999998</v>
      </c>
      <c r="H3984">
        <f>1771.8</f>
        <v>1771.8</v>
      </c>
      <c r="I3984">
        <f>7369.573</f>
        <v>7369.5730000000003</v>
      </c>
      <c r="J3984">
        <f>1429.71</f>
        <v>1429.71</v>
      </c>
      <c r="K3984">
        <f>4412.08</f>
        <v>4412.08</v>
      </c>
      <c r="L3984">
        <f>1117.54</f>
        <v>1117.54</v>
      </c>
      <c r="M3984">
        <f>4386.74</f>
        <v>4386.74</v>
      </c>
      <c r="N3984" t="e">
        <f>NA()</f>
        <v>#N/A</v>
      </c>
      <c r="O3984" t="e">
        <f>NA()</f>
        <v>#N/A</v>
      </c>
      <c r="P3984">
        <f>87.58</f>
        <v>87.58</v>
      </c>
      <c r="Q3984">
        <f>765.24</f>
        <v>765.24</v>
      </c>
      <c r="R3984">
        <f>2130.62</f>
        <v>2130.62</v>
      </c>
      <c r="S3984">
        <f>1449.82</f>
        <v>1449.82</v>
      </c>
      <c r="T3984" t="e">
        <f>NA()</f>
        <v>#N/A</v>
      </c>
      <c r="U3984" t="e">
        <f>NA()</f>
        <v>#N/A</v>
      </c>
      <c r="V3984" t="e">
        <f>NA()</f>
        <v>#N/A</v>
      </c>
    </row>
    <row r="3985" spans="1:22" x14ac:dyDescent="0.2">
      <c r="A3985" s="1">
        <v>39528</v>
      </c>
      <c r="B3985" t="e">
        <f>NA()</f>
        <v>#N/A</v>
      </c>
      <c r="C3985">
        <f>6692.37</f>
        <v>6692.37</v>
      </c>
      <c r="D3985" t="e">
        <f>NA()</f>
        <v>#N/A</v>
      </c>
      <c r="E3985">
        <f>1750.628</f>
        <v>1750.6279999999999</v>
      </c>
      <c r="F3985">
        <f>2023.82</f>
        <v>2023.82</v>
      </c>
      <c r="G3985">
        <f>6512.442</f>
        <v>6512.442</v>
      </c>
      <c r="H3985">
        <f>1798.4</f>
        <v>1798.4</v>
      </c>
      <c r="I3985">
        <f>7391.651</f>
        <v>7391.6509999999998</v>
      </c>
      <c r="J3985">
        <f>1416.94</f>
        <v>1416.94</v>
      </c>
      <c r="K3985">
        <f>4343.03</f>
        <v>4343.03</v>
      </c>
      <c r="L3985">
        <f>1112.01</f>
        <v>1112.01</v>
      </c>
      <c r="M3985">
        <f>4355.45</f>
        <v>4355.45</v>
      </c>
      <c r="N3985" t="e">
        <f>NA()</f>
        <v>#N/A</v>
      </c>
      <c r="O3985" t="e">
        <f>NA()</f>
        <v>#N/A</v>
      </c>
      <c r="P3985">
        <f>87.52</f>
        <v>87.52</v>
      </c>
      <c r="Q3985">
        <f>754.65</f>
        <v>754.65</v>
      </c>
      <c r="R3985" t="e">
        <f>NA()</f>
        <v>#N/A</v>
      </c>
      <c r="S3985">
        <f>1444.96</f>
        <v>1444.96</v>
      </c>
      <c r="T3985" t="e">
        <f>NA()</f>
        <v>#N/A</v>
      </c>
      <c r="U3985" t="e">
        <f>NA()</f>
        <v>#N/A</v>
      </c>
      <c r="V3985" t="e">
        <f>NA()</f>
        <v>#N/A</v>
      </c>
    </row>
    <row r="3986" spans="1:22" x14ac:dyDescent="0.2">
      <c r="A3986" s="1">
        <v>39527</v>
      </c>
      <c r="B3986">
        <f>3001.65</f>
        <v>3001.65</v>
      </c>
      <c r="C3986">
        <f>6639.96</f>
        <v>6639.96</v>
      </c>
      <c r="D3986">
        <f>3233.23</f>
        <v>3233.23</v>
      </c>
      <c r="E3986">
        <f>1740.525</f>
        <v>1740.5250000000001</v>
      </c>
      <c r="F3986">
        <f>2023.82</f>
        <v>2023.82</v>
      </c>
      <c r="G3986">
        <f>6512.442</f>
        <v>6512.442</v>
      </c>
      <c r="H3986">
        <f>1775.83</f>
        <v>1775.83</v>
      </c>
      <c r="I3986">
        <f>7391.651</f>
        <v>7391.6509999999998</v>
      </c>
      <c r="J3986">
        <f>1416.94</f>
        <v>1416.94</v>
      </c>
      <c r="K3986">
        <f>4343.03</f>
        <v>4343.03</v>
      </c>
      <c r="L3986">
        <f>1111.86</f>
        <v>1111.8599999999999</v>
      </c>
      <c r="M3986">
        <f>4347.49</f>
        <v>4347.49</v>
      </c>
      <c r="N3986">
        <f>141.315</f>
        <v>141.315</v>
      </c>
      <c r="O3986">
        <f>1594.21</f>
        <v>1594.21</v>
      </c>
      <c r="P3986" t="e">
        <f>NA()</f>
        <v>#N/A</v>
      </c>
      <c r="Q3986">
        <f>754.65</f>
        <v>754.65</v>
      </c>
      <c r="R3986">
        <f>2098.46</f>
        <v>2098.46</v>
      </c>
      <c r="S3986" t="e">
        <f>NA()</f>
        <v>#N/A</v>
      </c>
      <c r="T3986" t="e">
        <f>NA()</f>
        <v>#N/A</v>
      </c>
      <c r="U3986">
        <f>28418.73</f>
        <v>28418.73</v>
      </c>
      <c r="V3986">
        <f>122.86</f>
        <v>122.86</v>
      </c>
    </row>
    <row r="3987" spans="1:22" x14ac:dyDescent="0.2">
      <c r="A3987" s="1">
        <v>39526</v>
      </c>
      <c r="B3987">
        <f>2997.97</f>
        <v>2997.97</v>
      </c>
      <c r="C3987">
        <f>6765.62</f>
        <v>6765.62</v>
      </c>
      <c r="D3987">
        <f>3262.87</f>
        <v>3262.87</v>
      </c>
      <c r="E3987">
        <f>1773.675</f>
        <v>1773.675</v>
      </c>
      <c r="F3987">
        <f>2008.93</f>
        <v>2008.93</v>
      </c>
      <c r="G3987">
        <f>6582.338</f>
        <v>6582.3379999999997</v>
      </c>
      <c r="H3987">
        <f>1765.73</f>
        <v>1765.73</v>
      </c>
      <c r="I3987">
        <f>7542.114</f>
        <v>7542.1139999999996</v>
      </c>
      <c r="J3987">
        <f>1372.86</f>
        <v>1372.86</v>
      </c>
      <c r="K3987">
        <f>4244.05</f>
        <v>4244.05</v>
      </c>
      <c r="L3987">
        <f>1108.14</f>
        <v>1108.1400000000001</v>
      </c>
      <c r="M3987">
        <f>4334.77</f>
        <v>4334.7700000000004</v>
      </c>
      <c r="N3987">
        <f>141.374</f>
        <v>141.374</v>
      </c>
      <c r="O3987">
        <f>1597.35</f>
        <v>1597.35</v>
      </c>
      <c r="P3987">
        <f>85.55</f>
        <v>85.55</v>
      </c>
      <c r="Q3987">
        <f>737.21</f>
        <v>737.21</v>
      </c>
      <c r="R3987">
        <f>2049.4</f>
        <v>2049.4</v>
      </c>
      <c r="S3987">
        <f>1416.84</f>
        <v>1416.84</v>
      </c>
      <c r="T3987" t="e">
        <f>NA()</f>
        <v>#N/A</v>
      </c>
      <c r="U3987">
        <f>29509.06</f>
        <v>29509.06</v>
      </c>
      <c r="V3987">
        <f>126.95</f>
        <v>126.95</v>
      </c>
    </row>
    <row r="3988" spans="1:22" x14ac:dyDescent="0.2">
      <c r="A3988" s="1">
        <v>39525</v>
      </c>
      <c r="B3988">
        <f>3011.56</f>
        <v>3011.56</v>
      </c>
      <c r="C3988">
        <f>6829.89</f>
        <v>6829.89</v>
      </c>
      <c r="D3988">
        <f>3291.95</f>
        <v>3291.95</v>
      </c>
      <c r="E3988">
        <f>1772.255</f>
        <v>1772.2550000000001</v>
      </c>
      <c r="F3988">
        <f>2054.8</f>
        <v>2054.8000000000002</v>
      </c>
      <c r="G3988">
        <f>6758.302</f>
        <v>6758.3019999999997</v>
      </c>
      <c r="H3988">
        <f>1746.12</f>
        <v>1746.12</v>
      </c>
      <c r="I3988">
        <f>7657.647</f>
        <v>7657.6469999999999</v>
      </c>
      <c r="J3988">
        <f>1394.09</f>
        <v>1394.09</v>
      </c>
      <c r="K3988">
        <f>4349.79</f>
        <v>4349.79</v>
      </c>
      <c r="L3988">
        <f>1123.35</f>
        <v>1123.3499999999999</v>
      </c>
      <c r="M3988">
        <f>4408.64</f>
        <v>4408.6400000000003</v>
      </c>
      <c r="N3988">
        <f>142.835</f>
        <v>142.83500000000001</v>
      </c>
      <c r="O3988">
        <f>1612.39</f>
        <v>1612.39</v>
      </c>
      <c r="P3988">
        <f>83.78</f>
        <v>83.78</v>
      </c>
      <c r="Q3988">
        <f>748.99</f>
        <v>748.99</v>
      </c>
      <c r="R3988">
        <f>2100.38</f>
        <v>2100.38</v>
      </c>
      <c r="S3988">
        <f>1378.14</f>
        <v>1378.14</v>
      </c>
      <c r="T3988" t="e">
        <f>NA()</f>
        <v>#N/A</v>
      </c>
      <c r="U3988">
        <f>30044.07</f>
        <v>30044.07</v>
      </c>
      <c r="V3988">
        <f>127.64</f>
        <v>127.64</v>
      </c>
    </row>
    <row r="3989" spans="1:22" x14ac:dyDescent="0.2">
      <c r="A3989" s="1">
        <v>39524</v>
      </c>
      <c r="B3989">
        <f>2909.14</f>
        <v>2909.14</v>
      </c>
      <c r="C3989">
        <f>6700.26</f>
        <v>6700.26</v>
      </c>
      <c r="D3989">
        <f>3179.58</f>
        <v>3179.58</v>
      </c>
      <c r="E3989">
        <f>1737.917</f>
        <v>1737.9169999999999</v>
      </c>
      <c r="F3989">
        <f>1938.35</f>
        <v>1938.35</v>
      </c>
      <c r="G3989">
        <f>6462.921</f>
        <v>6462.9210000000003</v>
      </c>
      <c r="H3989">
        <f>1760.62</f>
        <v>1760.62</v>
      </c>
      <c r="I3989">
        <f>7413.992</f>
        <v>7413.9920000000002</v>
      </c>
      <c r="J3989">
        <f>1339.35</f>
        <v>1339.35</v>
      </c>
      <c r="K3989">
        <f>4174.85</f>
        <v>4174.8500000000004</v>
      </c>
      <c r="L3989">
        <f>1080.08</f>
        <v>1080.08</v>
      </c>
      <c r="M3989">
        <f>4266.18</f>
        <v>4266.18</v>
      </c>
      <c r="N3989">
        <f>138.109</f>
        <v>138.10900000000001</v>
      </c>
      <c r="O3989">
        <f>1557.49</f>
        <v>1557.49</v>
      </c>
      <c r="P3989">
        <f>82.7</f>
        <v>82.7</v>
      </c>
      <c r="Q3989">
        <f>723.9</f>
        <v>723.9</v>
      </c>
      <c r="R3989">
        <f>2014.88</f>
        <v>2014.88</v>
      </c>
      <c r="S3989">
        <f>1361.59</f>
        <v>1361.59</v>
      </c>
      <c r="T3989" t="e">
        <f>NA()</f>
        <v>#N/A</v>
      </c>
      <c r="U3989">
        <f>29928.07</f>
        <v>29928.07</v>
      </c>
      <c r="V3989">
        <f>124.99</f>
        <v>124.99</v>
      </c>
    </row>
    <row r="3990" spans="1:22" x14ac:dyDescent="0.2">
      <c r="A3990" s="1">
        <v>39521</v>
      </c>
      <c r="B3990">
        <f>3011.31</f>
        <v>3011.31</v>
      </c>
      <c r="C3990">
        <f>6976.97</f>
        <v>6976.97</v>
      </c>
      <c r="D3990">
        <f>3307.18</f>
        <v>3307.18</v>
      </c>
      <c r="E3990">
        <f>1817.488</f>
        <v>1817.4880000000001</v>
      </c>
      <c r="F3990">
        <f>2051.69</f>
        <v>2051.69</v>
      </c>
      <c r="G3990">
        <f>6816.277</f>
        <v>6816.277</v>
      </c>
      <c r="H3990">
        <f>1770.5</f>
        <v>1770.5</v>
      </c>
      <c r="I3990">
        <f>7627.522</f>
        <v>7627.5219999999999</v>
      </c>
      <c r="J3990">
        <f>1335.44</f>
        <v>1335.44</v>
      </c>
      <c r="K3990">
        <f>4216.04</f>
        <v>4216.04</v>
      </c>
      <c r="L3990">
        <f>1103.9</f>
        <v>1103.9000000000001</v>
      </c>
      <c r="M3990">
        <f>4356.89</f>
        <v>4356.8900000000003</v>
      </c>
      <c r="N3990">
        <f>143.704</f>
        <v>143.70400000000001</v>
      </c>
      <c r="O3990">
        <f>1629.97</f>
        <v>1629.97</v>
      </c>
      <c r="P3990">
        <f>85.73</f>
        <v>85.73</v>
      </c>
      <c r="Q3990">
        <f>725.66</f>
        <v>725.66</v>
      </c>
      <c r="R3990">
        <f>2032.79</f>
        <v>2032.79</v>
      </c>
      <c r="S3990">
        <f>1413.2</f>
        <v>1413.2</v>
      </c>
      <c r="T3990" t="e">
        <f>NA()</f>
        <v>#N/A</v>
      </c>
      <c r="U3990">
        <f>30648.03</f>
        <v>30648.03</v>
      </c>
      <c r="V3990">
        <f>129.45</f>
        <v>129.44999999999999</v>
      </c>
    </row>
    <row r="3991" spans="1:22" x14ac:dyDescent="0.2">
      <c r="A3991" s="1">
        <v>39520</v>
      </c>
      <c r="B3991">
        <f>3042.39</f>
        <v>3042.39</v>
      </c>
      <c r="C3991">
        <f>7037.28</f>
        <v>7037.28</v>
      </c>
      <c r="D3991">
        <f>3342.84</f>
        <v>3342.84</v>
      </c>
      <c r="E3991">
        <f>1829.293</f>
        <v>1829.2929999999999</v>
      </c>
      <c r="F3991">
        <f>2092.14</f>
        <v>2092.14</v>
      </c>
      <c r="G3991">
        <f>6897.506</f>
        <v>6897.5060000000003</v>
      </c>
      <c r="H3991">
        <f>1797.55</f>
        <v>1797.55</v>
      </c>
      <c r="I3991">
        <f>7680.537</f>
        <v>7680.5370000000003</v>
      </c>
      <c r="J3991">
        <f>1365.58</f>
        <v>1365.58</v>
      </c>
      <c r="K3991">
        <f>4304.21</f>
        <v>4304.21</v>
      </c>
      <c r="L3991">
        <f>1120.77</f>
        <v>1120.77</v>
      </c>
      <c r="M3991">
        <f>4420.51</f>
        <v>4420.51</v>
      </c>
      <c r="N3991">
        <f>145.382</f>
        <v>145.38200000000001</v>
      </c>
      <c r="O3991">
        <f>1647.95</f>
        <v>1647.95</v>
      </c>
      <c r="P3991">
        <f>87.24</f>
        <v>87.24</v>
      </c>
      <c r="Q3991">
        <f>740.35</f>
        <v>740.35</v>
      </c>
      <c r="R3991">
        <f>2075.88</f>
        <v>2075.88</v>
      </c>
      <c r="S3991">
        <f>1440</f>
        <v>1440</v>
      </c>
      <c r="T3991" t="e">
        <f>NA()</f>
        <v>#N/A</v>
      </c>
      <c r="U3991">
        <f>30306.92</f>
        <v>30306.92</v>
      </c>
      <c r="V3991">
        <f>129.08</f>
        <v>129.08000000000001</v>
      </c>
    </row>
    <row r="3992" spans="1:22" x14ac:dyDescent="0.2">
      <c r="A3992" s="1">
        <v>39519</v>
      </c>
      <c r="B3992">
        <f>3083.3</f>
        <v>3083.3</v>
      </c>
      <c r="C3992">
        <f>7196.6</f>
        <v>7196.6</v>
      </c>
      <c r="D3992">
        <f>3392.16</f>
        <v>3392.16</v>
      </c>
      <c r="E3992">
        <f>1881.304</f>
        <v>1881.3040000000001</v>
      </c>
      <c r="F3992">
        <f>2125.1</f>
        <v>2125.1</v>
      </c>
      <c r="G3992">
        <f>6968.568</f>
        <v>6968.5680000000002</v>
      </c>
      <c r="H3992">
        <f>1809.07</f>
        <v>1809.07</v>
      </c>
      <c r="I3992">
        <f>7726.631</f>
        <v>7726.6310000000003</v>
      </c>
      <c r="J3992">
        <f>1364.09</f>
        <v>1364.09</v>
      </c>
      <c r="K3992">
        <f>4280.03</f>
        <v>4280.03</v>
      </c>
      <c r="L3992">
        <f>1128.27</f>
        <v>1128.27</v>
      </c>
      <c r="M3992">
        <f>4427.46</f>
        <v>4427.46</v>
      </c>
      <c r="N3992">
        <f>147.025</f>
        <v>147.02500000000001</v>
      </c>
      <c r="O3992">
        <f>1669.1</f>
        <v>1669.1</v>
      </c>
      <c r="P3992">
        <f>89.85</f>
        <v>89.85</v>
      </c>
      <c r="Q3992">
        <f>736.28</f>
        <v>736.28</v>
      </c>
      <c r="R3992">
        <f>2065.21</f>
        <v>2065.21</v>
      </c>
      <c r="S3992">
        <f>1486.5</f>
        <v>1486.5</v>
      </c>
      <c r="T3992" t="e">
        <f>NA()</f>
        <v>#N/A</v>
      </c>
      <c r="U3992">
        <f>30710.52</f>
        <v>30710.52</v>
      </c>
      <c r="V3992">
        <f>131.24</f>
        <v>131.24</v>
      </c>
    </row>
    <row r="3993" spans="1:22" x14ac:dyDescent="0.2">
      <c r="A3993" s="1">
        <v>39518</v>
      </c>
      <c r="B3993">
        <f>3038.2</f>
        <v>3038.2</v>
      </c>
      <c r="C3993">
        <f>7116.36</f>
        <v>7116.36</v>
      </c>
      <c r="D3993">
        <f>3336.88</f>
        <v>3336.88</v>
      </c>
      <c r="E3993">
        <f>1860.056</f>
        <v>1860.056</v>
      </c>
      <c r="F3993">
        <f>2072.71</f>
        <v>2072.71</v>
      </c>
      <c r="G3993">
        <f>6797.386</f>
        <v>6797.3860000000004</v>
      </c>
      <c r="H3993">
        <f>1777.91</f>
        <v>1777.91</v>
      </c>
      <c r="I3993">
        <f>7559.674</f>
        <v>7559.674</v>
      </c>
      <c r="J3993">
        <f>1377.09</f>
        <v>1377.09</v>
      </c>
      <c r="K3993">
        <f>4314.94</f>
        <v>4314.9399999999996</v>
      </c>
      <c r="L3993">
        <f>1116.05</f>
        <v>1116.05</v>
      </c>
      <c r="M3993">
        <f>4394.84</f>
        <v>4394.84</v>
      </c>
      <c r="N3993">
        <f>145.868</f>
        <v>145.86799999999999</v>
      </c>
      <c r="O3993">
        <f>1649.09</f>
        <v>1649.09</v>
      </c>
      <c r="P3993">
        <f>88.85</f>
        <v>88.85</v>
      </c>
      <c r="Q3993">
        <f>740.97</f>
        <v>740.97</v>
      </c>
      <c r="R3993">
        <f>2083.36</f>
        <v>2083.36</v>
      </c>
      <c r="S3993">
        <f>1462.83</f>
        <v>1462.83</v>
      </c>
      <c r="T3993" t="e">
        <f>NA()</f>
        <v>#N/A</v>
      </c>
      <c r="U3993">
        <f>30212.87</f>
        <v>30212.87</v>
      </c>
      <c r="V3993">
        <f>129.54</f>
        <v>129.54</v>
      </c>
    </row>
    <row r="3994" spans="1:22" x14ac:dyDescent="0.2">
      <c r="A3994" s="1">
        <v>39517</v>
      </c>
      <c r="B3994">
        <f>3005.65</f>
        <v>3005.65</v>
      </c>
      <c r="C3994">
        <f>6940.99</f>
        <v>6940.99</v>
      </c>
      <c r="D3994">
        <f>3300.93</f>
        <v>3300.93</v>
      </c>
      <c r="E3994">
        <f>1819.347</f>
        <v>1819.347</v>
      </c>
      <c r="F3994">
        <f>2033.38</f>
        <v>2033.38</v>
      </c>
      <c r="G3994">
        <f>6768.097</f>
        <v>6768.0969999999998</v>
      </c>
      <c r="H3994">
        <f>1784.7</f>
        <v>1784.7</v>
      </c>
      <c r="I3994">
        <f>7479.488</f>
        <v>7479.4880000000003</v>
      </c>
      <c r="J3994">
        <f>1321.08</f>
        <v>1321.08</v>
      </c>
      <c r="K3994">
        <f>4160.72</f>
        <v>4160.72</v>
      </c>
      <c r="L3994">
        <f>1087.65</f>
        <v>1087.6500000000001</v>
      </c>
      <c r="M3994">
        <f>4301.81</f>
        <v>4301.8100000000004</v>
      </c>
      <c r="N3994">
        <f>144.05</f>
        <v>144.05000000000001</v>
      </c>
      <c r="O3994">
        <f>1629.45</f>
        <v>1629.45</v>
      </c>
      <c r="P3994">
        <f>88.47</f>
        <v>88.47</v>
      </c>
      <c r="Q3994">
        <f>715.33</f>
        <v>715.33</v>
      </c>
      <c r="R3994">
        <f>2008.71</f>
        <v>2008.71</v>
      </c>
      <c r="S3994">
        <f>1450.09</f>
        <v>1450.09</v>
      </c>
      <c r="T3994" t="e">
        <f>NA()</f>
        <v>#N/A</v>
      </c>
      <c r="U3994">
        <f>30114.87</f>
        <v>30114.87</v>
      </c>
      <c r="V3994">
        <f>125.8</f>
        <v>125.8</v>
      </c>
    </row>
    <row r="3995" spans="1:22" x14ac:dyDescent="0.2">
      <c r="A3995" s="1">
        <v>39514</v>
      </c>
      <c r="B3995">
        <f>3036.47</f>
        <v>3036.47</v>
      </c>
      <c r="C3995">
        <f>7090.46</f>
        <v>7090.46</v>
      </c>
      <c r="D3995">
        <f>3342.46</f>
        <v>3342.46</v>
      </c>
      <c r="E3995">
        <f>1858.143</f>
        <v>1858.143</v>
      </c>
      <c r="F3995">
        <f>2051.52</f>
        <v>2051.52</v>
      </c>
      <c r="G3995">
        <f>6844.808</f>
        <v>6844.808</v>
      </c>
      <c r="H3995">
        <f>1801.54</f>
        <v>1801.54</v>
      </c>
      <c r="I3995">
        <f>7562.563</f>
        <v>7562.5630000000001</v>
      </c>
      <c r="J3995">
        <f>1338.68</f>
        <v>1338.68</v>
      </c>
      <c r="K3995">
        <f>4228.43</f>
        <v>4228.43</v>
      </c>
      <c r="L3995">
        <f>1099.62</f>
        <v>1099.6199999999999</v>
      </c>
      <c r="M3995">
        <f>4364.96</f>
        <v>4364.96</v>
      </c>
      <c r="N3995">
        <f>145.581</f>
        <v>145.58099999999999</v>
      </c>
      <c r="O3995">
        <f>1648.9</f>
        <v>1648.9</v>
      </c>
      <c r="P3995">
        <f>89.73</f>
        <v>89.73</v>
      </c>
      <c r="Q3995">
        <f>725.49</f>
        <v>725.49</v>
      </c>
      <c r="R3995">
        <f>2040.17</f>
        <v>2040.17</v>
      </c>
      <c r="S3995">
        <f>1477.79</f>
        <v>1477.79</v>
      </c>
      <c r="T3995" t="e">
        <f>NA()</f>
        <v>#N/A</v>
      </c>
      <c r="U3995">
        <f>30717.58</f>
        <v>30717.58</v>
      </c>
      <c r="V3995">
        <f>125.48</f>
        <v>125.48</v>
      </c>
    </row>
    <row r="3996" spans="1:22" x14ac:dyDescent="0.2">
      <c r="A3996" s="1">
        <v>39513</v>
      </c>
      <c r="B3996">
        <f>3079.26</f>
        <v>3079.26</v>
      </c>
      <c r="C3996">
        <f>7233.17</f>
        <v>7233.17</v>
      </c>
      <c r="D3996">
        <f>3381.44</f>
        <v>3381.44</v>
      </c>
      <c r="E3996">
        <f>1902.595</f>
        <v>1902.595</v>
      </c>
      <c r="F3996">
        <f>2061.67</f>
        <v>2061.67</v>
      </c>
      <c r="G3996">
        <f>6907.076</f>
        <v>6907.076</v>
      </c>
      <c r="H3996">
        <f>1852.47</f>
        <v>1852.47</v>
      </c>
      <c r="I3996">
        <f>7652.821</f>
        <v>7652.8209999999999</v>
      </c>
      <c r="J3996">
        <f>1347.75</f>
        <v>1347.75</v>
      </c>
      <c r="K3996">
        <f>4264.95</f>
        <v>4264.95</v>
      </c>
      <c r="L3996">
        <f>1109.94</f>
        <v>1109.94</v>
      </c>
      <c r="M3996">
        <f>4421.65</f>
        <v>4421.6499999999996</v>
      </c>
      <c r="N3996">
        <f>146.7</f>
        <v>146.69999999999999</v>
      </c>
      <c r="O3996">
        <f>1664.72</f>
        <v>1664.72</v>
      </c>
      <c r="P3996">
        <f>91.77</f>
        <v>91.77</v>
      </c>
      <c r="Q3996">
        <f>731.01</f>
        <v>731.01</v>
      </c>
      <c r="R3996">
        <f>2057.44</f>
        <v>2057.44</v>
      </c>
      <c r="S3996">
        <f>1524.89</f>
        <v>1524.89</v>
      </c>
      <c r="T3996" t="e">
        <f>NA()</f>
        <v>#N/A</v>
      </c>
      <c r="U3996">
        <f>31079.15</f>
        <v>31079.15</v>
      </c>
      <c r="V3996">
        <f>128.06</f>
        <v>128.06</v>
      </c>
    </row>
    <row r="3997" spans="1:22" x14ac:dyDescent="0.2">
      <c r="A3997" s="1">
        <v>39512</v>
      </c>
      <c r="B3997">
        <f>3122.39</f>
        <v>3122.39</v>
      </c>
      <c r="C3997">
        <f>7225.74</f>
        <v>7225.74</v>
      </c>
      <c r="D3997">
        <f>3432.51</f>
        <v>3432.51</v>
      </c>
      <c r="E3997">
        <f>1899.018</f>
        <v>1899.018</v>
      </c>
      <c r="F3997">
        <f>2090.82</f>
        <v>2090.8200000000002</v>
      </c>
      <c r="G3997">
        <f>6945.059</f>
        <v>6945.0590000000002</v>
      </c>
      <c r="H3997">
        <f>1814.9</f>
        <v>1814.9</v>
      </c>
      <c r="I3997">
        <f>7719.294</f>
        <v>7719.2939999999999</v>
      </c>
      <c r="J3997">
        <f>1375.94</f>
        <v>1375.94</v>
      </c>
      <c r="K3997">
        <f>4360.33</f>
        <v>4360.33</v>
      </c>
      <c r="L3997">
        <f>1126.7</f>
        <v>1126.7</v>
      </c>
      <c r="M3997">
        <f>4468.2</f>
        <v>4468.2</v>
      </c>
      <c r="N3997">
        <f>148.4</f>
        <v>148.4</v>
      </c>
      <c r="O3997">
        <f>1688.81</f>
        <v>1688.81</v>
      </c>
      <c r="P3997">
        <f>89.86</f>
        <v>89.86</v>
      </c>
      <c r="Q3997">
        <f>745.46</f>
        <v>745.46</v>
      </c>
      <c r="R3997">
        <f>2103.42</f>
        <v>2103.42</v>
      </c>
      <c r="S3997">
        <f>1496.9</f>
        <v>1496.9</v>
      </c>
      <c r="T3997" t="e">
        <f>NA()</f>
        <v>#N/A</v>
      </c>
      <c r="U3997">
        <f>30519.83</f>
        <v>30519.83</v>
      </c>
      <c r="V3997">
        <f>127.67</f>
        <v>127.67</v>
      </c>
    </row>
    <row r="3998" spans="1:22" x14ac:dyDescent="0.2">
      <c r="A3998" s="1">
        <v>39511</v>
      </c>
      <c r="B3998">
        <f>3080.89</f>
        <v>3080.89</v>
      </c>
      <c r="C3998">
        <f>7187.92</f>
        <v>7187.92</v>
      </c>
      <c r="D3998">
        <f>3364.65</f>
        <v>3364.65</v>
      </c>
      <c r="E3998">
        <f>1889.053</f>
        <v>1889.0530000000001</v>
      </c>
      <c r="F3998">
        <f>2038.52</f>
        <v>2038.52</v>
      </c>
      <c r="G3998">
        <f>6799.288</f>
        <v>6799.2879999999996</v>
      </c>
      <c r="H3998">
        <f>1825.9</f>
        <v>1825.9</v>
      </c>
      <c r="I3998">
        <f>7562.815</f>
        <v>7562.8149999999996</v>
      </c>
      <c r="J3998">
        <f>1371.98</f>
        <v>1371.98</v>
      </c>
      <c r="K3998">
        <f>4334.23</f>
        <v>4334.2299999999996</v>
      </c>
      <c r="L3998">
        <f>1113.86</f>
        <v>1113.8599999999999</v>
      </c>
      <c r="M3998">
        <f>4427.4</f>
        <v>4427.3999999999996</v>
      </c>
      <c r="N3998">
        <f>145.189</f>
        <v>145.18899999999999</v>
      </c>
      <c r="O3998">
        <f>1658.58</f>
        <v>1658.58</v>
      </c>
      <c r="P3998">
        <f>90.18</f>
        <v>90.18</v>
      </c>
      <c r="Q3998">
        <f>744</f>
        <v>744</v>
      </c>
      <c r="R3998">
        <f>2091.42</f>
        <v>2091.42</v>
      </c>
      <c r="S3998">
        <f>1498.97</f>
        <v>1498.97</v>
      </c>
      <c r="T3998" t="e">
        <f>NA()</f>
        <v>#N/A</v>
      </c>
      <c r="U3998">
        <f>30885.02</f>
        <v>30885.02</v>
      </c>
      <c r="V3998">
        <f>131.03</f>
        <v>131.03</v>
      </c>
    </row>
    <row r="3999" spans="1:22" x14ac:dyDescent="0.2">
      <c r="A3999" s="1">
        <v>39510</v>
      </c>
      <c r="B3999">
        <f>3086.69</f>
        <v>3086.69</v>
      </c>
      <c r="C3999">
        <f>7205.46</f>
        <v>7205.46</v>
      </c>
      <c r="D3999">
        <f>3394.34</f>
        <v>3394.34</v>
      </c>
      <c r="E3999">
        <f>1903.393</f>
        <v>1903.393</v>
      </c>
      <c r="F3999">
        <f>2065.67</f>
        <v>2065.67</v>
      </c>
      <c r="G3999">
        <f>6845.108</f>
        <v>6845.1080000000002</v>
      </c>
      <c r="H3999">
        <f>1822.86</f>
        <v>1822.86</v>
      </c>
      <c r="I3999">
        <f>7666.707</f>
        <v>7666.7070000000003</v>
      </c>
      <c r="J3999">
        <f>1375.53</f>
        <v>1375.53</v>
      </c>
      <c r="K3999">
        <f>4349.34</f>
        <v>4349.34</v>
      </c>
      <c r="L3999">
        <f>1123.61</f>
        <v>1123.6099999999999</v>
      </c>
      <c r="M3999">
        <f>4454.43</f>
        <v>4454.43</v>
      </c>
      <c r="N3999">
        <f>146.61</f>
        <v>146.61000000000001</v>
      </c>
      <c r="O3999">
        <f>1682.67</f>
        <v>1682.67</v>
      </c>
      <c r="P3999">
        <f>90.67</f>
        <v>90.67</v>
      </c>
      <c r="Q3999">
        <f>746.26</f>
        <v>746.26</v>
      </c>
      <c r="R3999">
        <f>2098.64</f>
        <v>2098.64</v>
      </c>
      <c r="S3999">
        <f>1505.47</f>
        <v>1505.47</v>
      </c>
      <c r="T3999" t="e">
        <f>NA()</f>
        <v>#N/A</v>
      </c>
      <c r="U3999">
        <f>30631.57</f>
        <v>30631.57</v>
      </c>
      <c r="V3999">
        <f>131.45</f>
        <v>131.44999999999999</v>
      </c>
    </row>
    <row r="4000" spans="1:22" x14ac:dyDescent="0.2">
      <c r="A4000" s="1">
        <v>39507</v>
      </c>
      <c r="B4000">
        <f>3128.63</f>
        <v>3128.63</v>
      </c>
      <c r="C4000">
        <f>7279.34</f>
        <v>7279.34</v>
      </c>
      <c r="D4000">
        <f>3432.64</f>
        <v>3432.64</v>
      </c>
      <c r="E4000">
        <f>1941.17</f>
        <v>1941.17</v>
      </c>
      <c r="F4000">
        <f>2104.91</f>
        <v>2104.91</v>
      </c>
      <c r="G4000">
        <f>6940.989</f>
        <v>6940.9889999999996</v>
      </c>
      <c r="H4000">
        <f>1876.97</f>
        <v>1876.97</v>
      </c>
      <c r="I4000">
        <f>7759.118</f>
        <v>7759.1180000000004</v>
      </c>
      <c r="J4000">
        <f>1376.44</f>
        <v>1376.44</v>
      </c>
      <c r="K4000">
        <f>4346.96</f>
        <v>4346.96</v>
      </c>
      <c r="L4000">
        <f>1136.91</f>
        <v>1136.9100000000001</v>
      </c>
      <c r="M4000">
        <f>4496.69</f>
        <v>4496.6899999999996</v>
      </c>
      <c r="N4000">
        <f>148.836</f>
        <v>148.83600000000001</v>
      </c>
      <c r="O4000">
        <f>1704.47</f>
        <v>1704.47</v>
      </c>
      <c r="P4000">
        <f>94.32</f>
        <v>94.32</v>
      </c>
      <c r="Q4000">
        <f>743.7</f>
        <v>743.7</v>
      </c>
      <c r="R4000">
        <f>2097.48</f>
        <v>2097.48</v>
      </c>
      <c r="S4000">
        <f>1568.39</f>
        <v>1568.39</v>
      </c>
      <c r="T4000" t="e">
        <f>NA()</f>
        <v>#N/A</v>
      </c>
      <c r="U4000">
        <f>30673.74</f>
        <v>30673.74</v>
      </c>
      <c r="V4000">
        <f>132.51</f>
        <v>132.51</v>
      </c>
    </row>
    <row r="4001" spans="1:22" x14ac:dyDescent="0.2">
      <c r="A4001" s="1">
        <v>39506</v>
      </c>
      <c r="B4001">
        <f>3174.5</f>
        <v>3174.5</v>
      </c>
      <c r="C4001">
        <f>7455.48</f>
        <v>7455.48</v>
      </c>
      <c r="D4001">
        <f>3480.11</f>
        <v>3480.11</v>
      </c>
      <c r="E4001">
        <f>1981.676</f>
        <v>1981.6759999999999</v>
      </c>
      <c r="F4001">
        <f>2143.77</f>
        <v>2143.77</v>
      </c>
      <c r="G4001">
        <f>7043.356</f>
        <v>7043.3559999999998</v>
      </c>
      <c r="H4001">
        <f>1874.69</f>
        <v>1874.69</v>
      </c>
      <c r="I4001">
        <f>7858.054</f>
        <v>7858.0540000000001</v>
      </c>
      <c r="J4001">
        <f>1413.1</f>
        <v>1413.1</v>
      </c>
      <c r="K4001">
        <f>4466.35</f>
        <v>4466.3500000000004</v>
      </c>
      <c r="L4001">
        <f>1159.46</f>
        <v>1159.46</v>
      </c>
      <c r="M4001">
        <f>4588.14</f>
        <v>4588.1400000000003</v>
      </c>
      <c r="N4001">
        <f>151.522</f>
        <v>151.52199999999999</v>
      </c>
      <c r="O4001">
        <f>1728.45</f>
        <v>1728.45</v>
      </c>
      <c r="P4001">
        <f>95.79</f>
        <v>95.79</v>
      </c>
      <c r="Q4001">
        <f>763.1</f>
        <v>763.1</v>
      </c>
      <c r="R4001">
        <f>2155.8</f>
        <v>2155.8000000000002</v>
      </c>
      <c r="S4001">
        <f>1602.52</f>
        <v>1602.52</v>
      </c>
      <c r="T4001" t="e">
        <f>NA()</f>
        <v>#N/A</v>
      </c>
      <c r="U4001">
        <f>30166.32</f>
        <v>30166.32</v>
      </c>
      <c r="V4001">
        <f>131.72</f>
        <v>131.72</v>
      </c>
    </row>
    <row r="4002" spans="1:22" x14ac:dyDescent="0.2">
      <c r="A4002" s="1">
        <v>39505</v>
      </c>
      <c r="B4002">
        <f>3246.84</f>
        <v>3246.84</v>
      </c>
      <c r="C4002">
        <f>7470.82</f>
        <v>7470.82</v>
      </c>
      <c r="D4002">
        <f>3544.79</f>
        <v>3544.79</v>
      </c>
      <c r="E4002">
        <f>1979.691</f>
        <v>1979.691</v>
      </c>
      <c r="F4002">
        <f>2196.58</f>
        <v>2196.58</v>
      </c>
      <c r="G4002">
        <f>7172.656</f>
        <v>7172.6559999999999</v>
      </c>
      <c r="H4002">
        <f>1879.29</f>
        <v>1879.29</v>
      </c>
      <c r="I4002">
        <f>7944.268</f>
        <v>7944.268</v>
      </c>
      <c r="J4002">
        <f>1430.96</f>
        <v>1430.96</v>
      </c>
      <c r="K4002">
        <f>4505.34</f>
        <v>4505.34</v>
      </c>
      <c r="L4002">
        <f>1175.18</f>
        <v>1175.18</v>
      </c>
      <c r="M4002">
        <f>4627.27</f>
        <v>4627.2700000000004</v>
      </c>
      <c r="N4002">
        <f>154.579</f>
        <v>154.57900000000001</v>
      </c>
      <c r="O4002">
        <f>1761.09</f>
        <v>1761.09</v>
      </c>
      <c r="P4002">
        <f>96.72</f>
        <v>96.72</v>
      </c>
      <c r="Q4002">
        <f>775.45</f>
        <v>775.45</v>
      </c>
      <c r="R4002">
        <f>2175</f>
        <v>2175</v>
      </c>
      <c r="S4002">
        <f>1616.05</f>
        <v>1616.05</v>
      </c>
      <c r="T4002" t="e">
        <f>NA()</f>
        <v>#N/A</v>
      </c>
      <c r="U4002">
        <f>30058.1</f>
        <v>30058.1</v>
      </c>
      <c r="V4002">
        <f>131.35</f>
        <v>131.35</v>
      </c>
    </row>
    <row r="4003" spans="1:22" x14ac:dyDescent="0.2">
      <c r="A4003" s="1">
        <v>39504</v>
      </c>
      <c r="B4003">
        <f>3237.86</f>
        <v>3237.86</v>
      </c>
      <c r="C4003">
        <f>7342.63</f>
        <v>7342.63</v>
      </c>
      <c r="D4003">
        <f>3549.77</f>
        <v>3549.77</v>
      </c>
      <c r="E4003">
        <f>1948.712</f>
        <v>1948.712</v>
      </c>
      <c r="F4003">
        <f>2199.69</f>
        <v>2199.69</v>
      </c>
      <c r="G4003">
        <f>7123.287</f>
        <v>7123.2870000000003</v>
      </c>
      <c r="H4003">
        <f>1843.32</f>
        <v>1843.32</v>
      </c>
      <c r="I4003">
        <f>7822.904</f>
        <v>7822.9040000000005</v>
      </c>
      <c r="J4003">
        <f>1432.78</f>
        <v>1432.78</v>
      </c>
      <c r="K4003">
        <f>4510.41</f>
        <v>4510.41</v>
      </c>
      <c r="L4003">
        <f>1167.04</f>
        <v>1167.04</v>
      </c>
      <c r="M4003">
        <f>4593.06</f>
        <v>4593.0600000000004</v>
      </c>
      <c r="N4003">
        <f>155.338</f>
        <v>155.33799999999999</v>
      </c>
      <c r="O4003">
        <f>1765.52</f>
        <v>1765.52</v>
      </c>
      <c r="P4003">
        <f>95.22</f>
        <v>95.22</v>
      </c>
      <c r="Q4003">
        <f>778.54</f>
        <v>778.54</v>
      </c>
      <c r="R4003">
        <f>2176.48</f>
        <v>2176.48</v>
      </c>
      <c r="S4003">
        <f>1595.86</f>
        <v>1595.86</v>
      </c>
      <c r="T4003" t="e">
        <f>NA()</f>
        <v>#N/A</v>
      </c>
      <c r="U4003">
        <f>30297.29</f>
        <v>30297.29</v>
      </c>
      <c r="V4003">
        <f>131.04</f>
        <v>131.04</v>
      </c>
    </row>
    <row r="4004" spans="1:22" x14ac:dyDescent="0.2">
      <c r="A4004" s="1">
        <v>39503</v>
      </c>
      <c r="B4004">
        <f>3200.86</f>
        <v>3200.86</v>
      </c>
      <c r="C4004">
        <f>7269.75</f>
        <v>7269.75</v>
      </c>
      <c r="D4004">
        <f>3498.53</f>
        <v>3498.53</v>
      </c>
      <c r="E4004">
        <f>1930.657</f>
        <v>1930.6569999999999</v>
      </c>
      <c r="F4004">
        <f>2143.04</f>
        <v>2143.04</v>
      </c>
      <c r="G4004">
        <f>7007.574</f>
        <v>7007.5739999999996</v>
      </c>
      <c r="H4004">
        <f>1851.79</f>
        <v>1851.79</v>
      </c>
      <c r="I4004">
        <f>7682.409</f>
        <v>7682.4089999999997</v>
      </c>
      <c r="J4004">
        <f>1428.1</f>
        <v>1428.1</v>
      </c>
      <c r="K4004">
        <f>4479.6</f>
        <v>4479.6000000000004</v>
      </c>
      <c r="L4004">
        <f>1152.7</f>
        <v>1152.7</v>
      </c>
      <c r="M4004">
        <f>4544.65</f>
        <v>4544.6499999999996</v>
      </c>
      <c r="N4004">
        <f>153.371</f>
        <v>153.37100000000001</v>
      </c>
      <c r="O4004">
        <f>1740.4</f>
        <v>1740.4</v>
      </c>
      <c r="P4004">
        <f>96.11</f>
        <v>96.11</v>
      </c>
      <c r="Q4004">
        <f>771.68</f>
        <v>771.68</v>
      </c>
      <c r="R4004">
        <f>2161.51</f>
        <v>2161.5100000000002</v>
      </c>
      <c r="S4004">
        <f>1605.1</f>
        <v>1605.1</v>
      </c>
      <c r="T4004" t="e">
        <f>NA()</f>
        <v>#N/A</v>
      </c>
      <c r="U4004">
        <f>29813.37</f>
        <v>29813.37</v>
      </c>
      <c r="V4004">
        <f>127.56</f>
        <v>127.56</v>
      </c>
    </row>
    <row r="4005" spans="1:22" x14ac:dyDescent="0.2">
      <c r="A4005" s="1">
        <v>39500</v>
      </c>
      <c r="B4005">
        <f>3120.03</f>
        <v>3120.03</v>
      </c>
      <c r="C4005">
        <f>7181.25</f>
        <v>7181.25</v>
      </c>
      <c r="D4005">
        <f>3433.79</f>
        <v>3433.79</v>
      </c>
      <c r="E4005">
        <f>1911.694</f>
        <v>1911.694</v>
      </c>
      <c r="F4005">
        <f>2081.51</f>
        <v>2081.5100000000002</v>
      </c>
      <c r="G4005">
        <f>6867.077</f>
        <v>6867.0770000000002</v>
      </c>
      <c r="H4005">
        <f>1844.65</f>
        <v>1844.65</v>
      </c>
      <c r="I4005">
        <f>7553.802</f>
        <v>7553.8019999999997</v>
      </c>
      <c r="J4005">
        <f>1412.98</f>
        <v>1412.98</v>
      </c>
      <c r="K4005">
        <f>4417.08</f>
        <v>4417.08</v>
      </c>
      <c r="L4005">
        <f>1133.38</f>
        <v>1133.3800000000001</v>
      </c>
      <c r="M4005">
        <f>4473.48</f>
        <v>4473.4799999999996</v>
      </c>
      <c r="N4005">
        <f>150.106</f>
        <v>150.10599999999999</v>
      </c>
      <c r="O4005">
        <f>1709.58</f>
        <v>1709.58</v>
      </c>
      <c r="P4005">
        <f>93.96</f>
        <v>93.96</v>
      </c>
      <c r="Q4005">
        <f>761.51</f>
        <v>761.51</v>
      </c>
      <c r="R4005">
        <f>2132.02</f>
        <v>2132.02</v>
      </c>
      <c r="S4005">
        <f>1564.64</f>
        <v>1564.64</v>
      </c>
      <c r="T4005" t="e">
        <f>NA()</f>
        <v>#N/A</v>
      </c>
      <c r="U4005">
        <f>29848.89</f>
        <v>29848.89</v>
      </c>
      <c r="V4005">
        <f>126.73</f>
        <v>126.73</v>
      </c>
    </row>
    <row r="4006" spans="1:22" x14ac:dyDescent="0.2">
      <c r="A4006" s="1">
        <v>39499</v>
      </c>
      <c r="B4006">
        <f>3151.8</f>
        <v>3151.8</v>
      </c>
      <c r="C4006">
        <f>7192.39</f>
        <v>7192.39</v>
      </c>
      <c r="D4006">
        <f>3459.29</f>
        <v>3459.29</v>
      </c>
      <c r="E4006">
        <f>1918.57</f>
        <v>1918.57</v>
      </c>
      <c r="F4006">
        <f>2081.7</f>
        <v>2081.6999999999998</v>
      </c>
      <c r="G4006">
        <f>6897.046</f>
        <v>6897.0460000000003</v>
      </c>
      <c r="H4006">
        <f>1848.77</f>
        <v>1848.77</v>
      </c>
      <c r="I4006">
        <f>7606.782</f>
        <v>7606.7820000000002</v>
      </c>
      <c r="J4006">
        <f>1399.8</f>
        <v>1399.8</v>
      </c>
      <c r="K4006">
        <f>4382.87</f>
        <v>4382.87</v>
      </c>
      <c r="L4006">
        <f>1134.31</f>
        <v>1134.31</v>
      </c>
      <c r="M4006">
        <f>4468.41</f>
        <v>4468.41</v>
      </c>
      <c r="N4006">
        <f>150.796</f>
        <v>150.79599999999999</v>
      </c>
      <c r="O4006">
        <f>1723.4</f>
        <v>1723.4</v>
      </c>
      <c r="P4006">
        <f>94.21</f>
        <v>94.21</v>
      </c>
      <c r="Q4006">
        <f>754.31</f>
        <v>754.31</v>
      </c>
      <c r="R4006">
        <f>2115.13</f>
        <v>2115.13</v>
      </c>
      <c r="S4006">
        <f>1580.45</f>
        <v>1580.45</v>
      </c>
      <c r="T4006" t="e">
        <f>NA()</f>
        <v>#N/A</v>
      </c>
      <c r="U4006">
        <f>30181.77</f>
        <v>30181.77</v>
      </c>
      <c r="V4006">
        <f>127.22</f>
        <v>127.22</v>
      </c>
    </row>
    <row r="4007" spans="1:22" x14ac:dyDescent="0.2">
      <c r="A4007" s="1">
        <v>39498</v>
      </c>
      <c r="B4007">
        <f>3150.19</f>
        <v>3150.19</v>
      </c>
      <c r="C4007">
        <f>7074.43</f>
        <v>7074.43</v>
      </c>
      <c r="D4007">
        <f>3436.76</f>
        <v>3436.76</v>
      </c>
      <c r="E4007">
        <f>1893.363</f>
        <v>1893.3630000000001</v>
      </c>
      <c r="F4007">
        <f>2043.07</f>
        <v>2043.07</v>
      </c>
      <c r="G4007">
        <f>6785.171</f>
        <v>6785.1710000000003</v>
      </c>
      <c r="H4007">
        <f>1808.59</f>
        <v>1808.59</v>
      </c>
      <c r="I4007">
        <f>7484.921</f>
        <v>7484.9210000000003</v>
      </c>
      <c r="J4007">
        <f>1413.42</f>
        <v>1413.42</v>
      </c>
      <c r="K4007">
        <f>4437.97</f>
        <v>4437.97</v>
      </c>
      <c r="L4007">
        <f>1128.19</f>
        <v>1128.19</v>
      </c>
      <c r="M4007">
        <f>4455.02</f>
        <v>4455.0200000000004</v>
      </c>
      <c r="N4007">
        <f>150.646</f>
        <v>150.64599999999999</v>
      </c>
      <c r="O4007">
        <f>1712.26</f>
        <v>1712.26</v>
      </c>
      <c r="P4007">
        <f>92.06</f>
        <v>92.06</v>
      </c>
      <c r="Q4007">
        <f>763.57</f>
        <v>763.57</v>
      </c>
      <c r="R4007">
        <f>2141.95</f>
        <v>2141.9499999999998</v>
      </c>
      <c r="S4007">
        <f>1542.56</f>
        <v>1542.56</v>
      </c>
      <c r="T4007" t="e">
        <f>NA()</f>
        <v>#N/A</v>
      </c>
      <c r="U4007">
        <f>29489.68</f>
        <v>29489.68</v>
      </c>
      <c r="V4007">
        <f>126.47</f>
        <v>126.47</v>
      </c>
    </row>
    <row r="4008" spans="1:22" x14ac:dyDescent="0.2">
      <c r="A4008" s="1">
        <v>39497</v>
      </c>
      <c r="B4008">
        <f>3185.65</f>
        <v>3185.65</v>
      </c>
      <c r="C4008">
        <f>7138.7</f>
        <v>7138.7</v>
      </c>
      <c r="D4008">
        <f>3474.79</f>
        <v>3474.79</v>
      </c>
      <c r="E4008">
        <f>1916.935</f>
        <v>1916.9349999999999</v>
      </c>
      <c r="F4008">
        <f>2091.04</f>
        <v>2091.04</v>
      </c>
      <c r="G4008">
        <f>6900.294</f>
        <v>6900.2939999999999</v>
      </c>
      <c r="H4008">
        <f>1872.77</f>
        <v>1872.77</v>
      </c>
      <c r="I4008">
        <f>7625.52</f>
        <v>7625.52</v>
      </c>
      <c r="J4008">
        <f>1410.19</f>
        <v>1410.19</v>
      </c>
      <c r="K4008">
        <f>4400.86</f>
        <v>4400.8599999999997</v>
      </c>
      <c r="L4008">
        <f>1141.05</f>
        <v>1141.05</v>
      </c>
      <c r="M4008">
        <f>4485.64</f>
        <v>4485.6400000000003</v>
      </c>
      <c r="N4008">
        <f>152.056</f>
        <v>152.05600000000001</v>
      </c>
      <c r="O4008">
        <f>1733.13</f>
        <v>1733.13</v>
      </c>
      <c r="P4008">
        <f>94.79</f>
        <v>94.79</v>
      </c>
      <c r="Q4008">
        <f>757.66</f>
        <v>757.66</v>
      </c>
      <c r="R4008">
        <f>2124.12</f>
        <v>2124.12</v>
      </c>
      <c r="S4008">
        <f>1592.96</f>
        <v>1592.96</v>
      </c>
      <c r="T4008" t="e">
        <f>NA()</f>
        <v>#N/A</v>
      </c>
      <c r="U4008">
        <f>29572.22</f>
        <v>29572.22</v>
      </c>
      <c r="V4008">
        <f>128.09</f>
        <v>128.09</v>
      </c>
    </row>
    <row r="4009" spans="1:22" x14ac:dyDescent="0.2">
      <c r="A4009" s="1">
        <v>39496</v>
      </c>
      <c r="B4009">
        <f>3164.57</f>
        <v>3164.57</v>
      </c>
      <c r="C4009">
        <f>7049.85</f>
        <v>7049.85</v>
      </c>
      <c r="D4009">
        <f>3462.96</f>
        <v>3462.96</v>
      </c>
      <c r="E4009">
        <f>1896.928</f>
        <v>1896.9280000000001</v>
      </c>
      <c r="F4009">
        <f>2085.6</f>
        <v>2085.6</v>
      </c>
      <c r="G4009">
        <f>6873.49</f>
        <v>6873.49</v>
      </c>
      <c r="H4009">
        <f>1844.66</f>
        <v>1844.66</v>
      </c>
      <c r="I4009">
        <f>7547.967</f>
        <v>7547.9669999999996</v>
      </c>
      <c r="J4009">
        <f>1418.33</f>
        <v>1418.33</v>
      </c>
      <c r="K4009">
        <f>4403.92</f>
        <v>4403.92</v>
      </c>
      <c r="L4009">
        <f>1138.04</f>
        <v>1138.04</v>
      </c>
      <c r="M4009">
        <f>4462.14</f>
        <v>4462.1400000000003</v>
      </c>
      <c r="N4009">
        <f>151.853</f>
        <v>151.85300000000001</v>
      </c>
      <c r="O4009">
        <f>1730.13</f>
        <v>1730.13</v>
      </c>
      <c r="P4009">
        <f>94.48</f>
        <v>94.48</v>
      </c>
      <c r="Q4009">
        <f>759.17</f>
        <v>759.17</v>
      </c>
      <c r="R4009" t="e">
        <f>NA()</f>
        <v>#N/A</v>
      </c>
      <c r="S4009">
        <f>1578.4</f>
        <v>1578.4</v>
      </c>
      <c r="T4009" t="e">
        <f>NA()</f>
        <v>#N/A</v>
      </c>
      <c r="U4009">
        <f>29018.06</f>
        <v>29018.06</v>
      </c>
      <c r="V4009">
        <f>125.96</f>
        <v>125.96</v>
      </c>
    </row>
    <row r="4010" spans="1:22" x14ac:dyDescent="0.2">
      <c r="A4010" s="1">
        <v>39493</v>
      </c>
      <c r="B4010">
        <f>3099.89</f>
        <v>3099.89</v>
      </c>
      <c r="C4010">
        <f>6978.83</f>
        <v>6978.83</v>
      </c>
      <c r="D4010">
        <f>3370.36</f>
        <v>3370.36</v>
      </c>
      <c r="E4010">
        <f>1883.619</f>
        <v>1883.6189999999999</v>
      </c>
      <c r="F4010">
        <f>2032.36</f>
        <v>2032.36</v>
      </c>
      <c r="G4010">
        <f>6730.523</f>
        <v>6730.5230000000001</v>
      </c>
      <c r="H4010">
        <f>1853.76</f>
        <v>1853.76</v>
      </c>
      <c r="I4010">
        <f>7437.684</f>
        <v>7437.6840000000002</v>
      </c>
      <c r="J4010">
        <f>1418.33</f>
        <v>1418.33</v>
      </c>
      <c r="K4010">
        <f>4403.92</f>
        <v>4403.92</v>
      </c>
      <c r="L4010">
        <f>1127.58</f>
        <v>1127.58</v>
      </c>
      <c r="M4010">
        <f>4442.21</f>
        <v>4442.21</v>
      </c>
      <c r="N4010">
        <f>149.68</f>
        <v>149.68</v>
      </c>
      <c r="O4010">
        <f>1697.3</f>
        <v>1697.3</v>
      </c>
      <c r="P4010">
        <f>94.22</f>
        <v>94.22</v>
      </c>
      <c r="Q4010">
        <f>759.17</f>
        <v>759.17</v>
      </c>
      <c r="R4010">
        <f>2125.85</f>
        <v>2125.85</v>
      </c>
      <c r="S4010">
        <f>1580.65</f>
        <v>1580.65</v>
      </c>
      <c r="T4010" t="e">
        <f>NA()</f>
        <v>#N/A</v>
      </c>
      <c r="U4010">
        <f>28505.82</f>
        <v>28505.82</v>
      </c>
      <c r="V4010">
        <f>124.5</f>
        <v>124.5</v>
      </c>
    </row>
    <row r="4011" spans="1:22" x14ac:dyDescent="0.2">
      <c r="A4011" s="1">
        <v>39492</v>
      </c>
      <c r="B4011">
        <f>3148.85</f>
        <v>3148.85</v>
      </c>
      <c r="C4011">
        <f>7023.4</f>
        <v>7023.4</v>
      </c>
      <c r="D4011">
        <f>3423.76</f>
        <v>3423.76</v>
      </c>
      <c r="E4011">
        <f>1886.82</f>
        <v>1886.82</v>
      </c>
      <c r="F4011">
        <f>2086.71</f>
        <v>2086.71</v>
      </c>
      <c r="G4011">
        <f>6870.354</f>
        <v>6870.3540000000003</v>
      </c>
      <c r="H4011">
        <f>1833.64</f>
        <v>1833.64</v>
      </c>
      <c r="I4011">
        <f>7534.419</f>
        <v>7534.4189999999999</v>
      </c>
      <c r="J4011">
        <f>1413.24</f>
        <v>1413.24</v>
      </c>
      <c r="K4011">
        <f>4400.76</f>
        <v>4400.76</v>
      </c>
      <c r="L4011">
        <f>1138.47</f>
        <v>1138.47</v>
      </c>
      <c r="M4011">
        <f>4461.98</f>
        <v>4461.9799999999996</v>
      </c>
      <c r="N4011">
        <f>152.282</f>
        <v>152.28200000000001</v>
      </c>
      <c r="O4011">
        <f>1730.82</f>
        <v>1730.82</v>
      </c>
      <c r="P4011">
        <f>93.1</f>
        <v>93.1</v>
      </c>
      <c r="Q4011">
        <f>758.28</f>
        <v>758.28</v>
      </c>
      <c r="R4011">
        <f>2123.94</f>
        <v>2123.94</v>
      </c>
      <c r="S4011">
        <f>1577.65</f>
        <v>1577.65</v>
      </c>
      <c r="T4011" t="e">
        <f>NA()</f>
        <v>#N/A</v>
      </c>
      <c r="U4011">
        <f>29039.56</f>
        <v>29039.56</v>
      </c>
      <c r="V4011">
        <f>126.77</f>
        <v>126.77</v>
      </c>
    </row>
    <row r="4012" spans="1:22" x14ac:dyDescent="0.2">
      <c r="A4012" s="1">
        <v>39491</v>
      </c>
      <c r="B4012">
        <f>3164.48</f>
        <v>3164.48</v>
      </c>
      <c r="C4012">
        <f>6904.09</f>
        <v>6904.09</v>
      </c>
      <c r="D4012">
        <f>3424.2</f>
        <v>3424.2</v>
      </c>
      <c r="E4012">
        <f>1846.455</f>
        <v>1846.4549999999999</v>
      </c>
      <c r="F4012">
        <f>2094.36</f>
        <v>2094.36</v>
      </c>
      <c r="G4012">
        <f>6839.9</f>
        <v>6839.9</v>
      </c>
      <c r="H4012">
        <f>1778.81</f>
        <v>1778.81</v>
      </c>
      <c r="I4012">
        <f>7497.896</f>
        <v>7497.8959999999997</v>
      </c>
      <c r="J4012">
        <f>1434.97</f>
        <v>1434.97</v>
      </c>
      <c r="K4012">
        <f>4460.77</f>
        <v>4460.7700000000004</v>
      </c>
      <c r="L4012">
        <f>1140.64</f>
        <v>1140.6400000000001</v>
      </c>
      <c r="M4012">
        <f>4460.42</f>
        <v>4460.42</v>
      </c>
      <c r="N4012">
        <f>152.61</f>
        <v>152.61000000000001</v>
      </c>
      <c r="O4012">
        <f>1730.66</f>
        <v>1730.66</v>
      </c>
      <c r="P4012">
        <f>89.85</f>
        <v>89.85</v>
      </c>
      <c r="Q4012">
        <f>767.57</f>
        <v>767.57</v>
      </c>
      <c r="R4012">
        <f>2152.76</f>
        <v>2152.7600000000002</v>
      </c>
      <c r="S4012">
        <f>1521.9</f>
        <v>1521.9</v>
      </c>
      <c r="T4012" t="e">
        <f>NA()</f>
        <v>#N/A</v>
      </c>
      <c r="U4012">
        <f>28502.23</f>
        <v>28502.23</v>
      </c>
      <c r="V4012">
        <f>124.83</f>
        <v>124.83</v>
      </c>
    </row>
    <row r="4013" spans="1:22" x14ac:dyDescent="0.2">
      <c r="A4013" s="1">
        <v>39490</v>
      </c>
      <c r="B4013">
        <f>3185.72</f>
        <v>3185.72</v>
      </c>
      <c r="C4013">
        <f>6845.3</f>
        <v>6845.3</v>
      </c>
      <c r="D4013">
        <f>3439.45</f>
        <v>3439.45</v>
      </c>
      <c r="E4013">
        <f>1829.363</f>
        <v>1829.3630000000001</v>
      </c>
      <c r="F4013">
        <f>2110.15</f>
        <v>2110.15</v>
      </c>
      <c r="G4013">
        <f>6860.309</f>
        <v>6860.3090000000002</v>
      </c>
      <c r="H4013">
        <f>1798.97</f>
        <v>1798.97</v>
      </c>
      <c r="I4013">
        <f>7497.132</f>
        <v>7497.1319999999996</v>
      </c>
      <c r="J4013">
        <f>1419.53</f>
        <v>1419.53</v>
      </c>
      <c r="K4013">
        <f>4398.53</f>
        <v>4398.53</v>
      </c>
      <c r="L4013">
        <f>1138.74</f>
        <v>1138.74</v>
      </c>
      <c r="M4013">
        <f>4436.6</f>
        <v>4436.6000000000004</v>
      </c>
      <c r="N4013">
        <f>151.74</f>
        <v>151.74</v>
      </c>
      <c r="O4013">
        <f>1730.41</f>
        <v>1730.41</v>
      </c>
      <c r="P4013">
        <f>90.01</f>
        <v>90.01</v>
      </c>
      <c r="Q4013">
        <f>762.19</f>
        <v>762.19</v>
      </c>
      <c r="R4013">
        <f>2123.06</f>
        <v>2123.06</v>
      </c>
      <c r="S4013">
        <f>1522.78</f>
        <v>1522.78</v>
      </c>
      <c r="T4013" t="e">
        <f>NA()</f>
        <v>#N/A</v>
      </c>
      <c r="U4013">
        <f>28585.6</f>
        <v>28585.599999999999</v>
      </c>
      <c r="V4013">
        <f>123.57</f>
        <v>123.57</v>
      </c>
    </row>
    <row r="4014" spans="1:22" x14ac:dyDescent="0.2">
      <c r="A4014" s="1">
        <v>39489</v>
      </c>
      <c r="B4014">
        <f>3100.42</f>
        <v>3100.42</v>
      </c>
      <c r="C4014">
        <f>6734.25</f>
        <v>6734.25</v>
      </c>
      <c r="D4014">
        <f>3321.73</f>
        <v>3321.73</v>
      </c>
      <c r="E4014">
        <f>1800.874</f>
        <v>1800.874</v>
      </c>
      <c r="F4014">
        <f>2013.58</f>
        <v>2013.58</v>
      </c>
      <c r="G4014">
        <f>6583.896</f>
        <v>6583.8959999999997</v>
      </c>
      <c r="H4014">
        <f>1794.43</f>
        <v>1794.43</v>
      </c>
      <c r="I4014">
        <f>7213.977</f>
        <v>7213.9769999999999</v>
      </c>
      <c r="J4014">
        <f>1403.09</f>
        <v>1403.09</v>
      </c>
      <c r="K4014">
        <f>4368.87</f>
        <v>4368.87</v>
      </c>
      <c r="L4014">
        <f>1109.29</f>
        <v>1109.29</v>
      </c>
      <c r="M4014">
        <f>4363.47</f>
        <v>4363.47</v>
      </c>
      <c r="N4014">
        <f>147.117</f>
        <v>147.11699999999999</v>
      </c>
      <c r="O4014">
        <f>1674.1</f>
        <v>1674.1</v>
      </c>
      <c r="P4014" t="e">
        <f>NA()</f>
        <v>#N/A</v>
      </c>
      <c r="Q4014">
        <f>755.4</f>
        <v>755.4</v>
      </c>
      <c r="R4014">
        <f>2107.65</f>
        <v>2107.65</v>
      </c>
      <c r="S4014" t="e">
        <f>NA()</f>
        <v>#N/A</v>
      </c>
      <c r="T4014" t="e">
        <f>NA()</f>
        <v>#N/A</v>
      </c>
      <c r="U4014">
        <f>27633</f>
        <v>27633</v>
      </c>
      <c r="V4014">
        <f>119.24</f>
        <v>119.24</v>
      </c>
    </row>
    <row r="4015" spans="1:22" x14ac:dyDescent="0.2">
      <c r="A4015" s="1">
        <v>39486</v>
      </c>
      <c r="B4015">
        <f>3131.15</f>
        <v>3131.15</v>
      </c>
      <c r="C4015">
        <f>6745.44</f>
        <v>6745.44</v>
      </c>
      <c r="D4015">
        <f>3366.15</f>
        <v>3366.15</v>
      </c>
      <c r="E4015">
        <f>1819.44</f>
        <v>1819.44</v>
      </c>
      <c r="F4015">
        <f>2060.42</f>
        <v>2060.42</v>
      </c>
      <c r="G4015">
        <f>6665.196</f>
        <v>6665.1959999999999</v>
      </c>
      <c r="H4015">
        <f>1782.82</f>
        <v>1782.82</v>
      </c>
      <c r="I4015">
        <f>7269.198</f>
        <v>7269.1980000000003</v>
      </c>
      <c r="J4015">
        <f>1400.29</f>
        <v>1400.29</v>
      </c>
      <c r="K4015">
        <f>4342</f>
        <v>4342</v>
      </c>
      <c r="L4015">
        <f>1116.83</f>
        <v>1116.83</v>
      </c>
      <c r="M4015">
        <f>4363.62</f>
        <v>4363.62</v>
      </c>
      <c r="N4015">
        <f>148.539</f>
        <v>148.53899999999999</v>
      </c>
      <c r="O4015">
        <f>1689.47</f>
        <v>1689.47</v>
      </c>
      <c r="P4015">
        <f>90.56</f>
        <v>90.56</v>
      </c>
      <c r="Q4015">
        <f>751.09</f>
        <v>751.09</v>
      </c>
      <c r="R4015">
        <f>2095.21</f>
        <v>2095.21</v>
      </c>
      <c r="S4015">
        <f>1524.01</f>
        <v>1524.01</v>
      </c>
      <c r="T4015" t="e">
        <f>NA()</f>
        <v>#N/A</v>
      </c>
      <c r="U4015">
        <f>27945.55</f>
        <v>27945.55</v>
      </c>
      <c r="V4015">
        <f>120.05</f>
        <v>120.05</v>
      </c>
    </row>
    <row r="4016" spans="1:22" x14ac:dyDescent="0.2">
      <c r="A4016" s="1">
        <v>39485</v>
      </c>
      <c r="B4016">
        <f>3118.32</f>
        <v>3118.32</v>
      </c>
      <c r="C4016">
        <f>6727.63</f>
        <v>6727.63</v>
      </c>
      <c r="D4016">
        <f>3331.29</f>
        <v>3331.29</v>
      </c>
      <c r="E4016">
        <f>1819.581</f>
        <v>1819.5809999999999</v>
      </c>
      <c r="F4016">
        <f>2037.4</f>
        <v>2037.4</v>
      </c>
      <c r="G4016">
        <f>6582.826</f>
        <v>6582.826</v>
      </c>
      <c r="H4016">
        <f>1819.86</f>
        <v>1819.86</v>
      </c>
      <c r="I4016">
        <f>7267.29</f>
        <v>7267.29</v>
      </c>
      <c r="J4016">
        <f>1419.3</f>
        <v>1419.3</v>
      </c>
      <c r="K4016">
        <f>4357.22</f>
        <v>4357.22</v>
      </c>
      <c r="L4016">
        <f>1120.95</f>
        <v>1120.95</v>
      </c>
      <c r="M4016">
        <f>4369.46</f>
        <v>4369.46</v>
      </c>
      <c r="N4016">
        <f>147.547</f>
        <v>147.547</v>
      </c>
      <c r="O4016">
        <f>1681.98</f>
        <v>1681.98</v>
      </c>
      <c r="P4016">
        <f>91.55</f>
        <v>91.55</v>
      </c>
      <c r="Q4016">
        <f>757.96</f>
        <v>757.96</v>
      </c>
      <c r="R4016">
        <f>2104.02</f>
        <v>2104.02</v>
      </c>
      <c r="S4016">
        <f>1545.26</f>
        <v>1545.26</v>
      </c>
      <c r="T4016" t="e">
        <f>NA()</f>
        <v>#N/A</v>
      </c>
      <c r="U4016">
        <f>27749.09</f>
        <v>27749.09</v>
      </c>
      <c r="V4016">
        <f>119.62</f>
        <v>119.62</v>
      </c>
    </row>
    <row r="4017" spans="1:22" x14ac:dyDescent="0.2">
      <c r="A4017" s="1">
        <v>39484</v>
      </c>
      <c r="B4017">
        <f>3179.03</f>
        <v>3179.03</v>
      </c>
      <c r="C4017">
        <f>6731.18</f>
        <v>6731.18</v>
      </c>
      <c r="D4017">
        <f>3419.31</f>
        <v>3419.31</v>
      </c>
      <c r="E4017">
        <f>1835.115</f>
        <v>1835.115</v>
      </c>
      <c r="F4017">
        <f>2121.37</f>
        <v>2121.37</v>
      </c>
      <c r="G4017">
        <f>6819.049</f>
        <v>6819.049</v>
      </c>
      <c r="H4017">
        <f>1796.47</f>
        <v>1796.47</v>
      </c>
      <c r="I4017">
        <f>7472.101</f>
        <v>7472.1009999999997</v>
      </c>
      <c r="J4017">
        <f>1406.99</f>
        <v>1406.99</v>
      </c>
      <c r="K4017">
        <f>4323.27</f>
        <v>4323.2700000000004</v>
      </c>
      <c r="L4017">
        <f>1136.48</f>
        <v>1136.48</v>
      </c>
      <c r="M4017">
        <f>4395.43</f>
        <v>4395.43</v>
      </c>
      <c r="N4017">
        <f>150.03</f>
        <v>150.03</v>
      </c>
      <c r="O4017">
        <f>1715.92</f>
        <v>1715.92</v>
      </c>
      <c r="P4017">
        <f>90.58</f>
        <v>90.58</v>
      </c>
      <c r="Q4017">
        <f>747.97</f>
        <v>747.97</v>
      </c>
      <c r="R4017">
        <f>2087.05</f>
        <v>2087.0500000000002</v>
      </c>
      <c r="S4017">
        <f>1537.36</f>
        <v>1537.36</v>
      </c>
      <c r="T4017" t="e">
        <f>NA()</f>
        <v>#N/A</v>
      </c>
      <c r="U4017">
        <f>27881.38</f>
        <v>27881.38</v>
      </c>
      <c r="V4017">
        <f>120.94</f>
        <v>120.94</v>
      </c>
    </row>
    <row r="4018" spans="1:22" x14ac:dyDescent="0.2">
      <c r="A4018" s="1">
        <v>39483</v>
      </c>
      <c r="B4018">
        <f>3182.77</f>
        <v>3182.77</v>
      </c>
      <c r="C4018">
        <f>6846.51</f>
        <v>6846.51</v>
      </c>
      <c r="D4018">
        <f>3409.85</f>
        <v>3409.85</v>
      </c>
      <c r="E4018">
        <f>1873.158</f>
        <v>1873.1579999999999</v>
      </c>
      <c r="F4018">
        <f>2135.36</f>
        <v>2135.36</v>
      </c>
      <c r="G4018">
        <f>6816.267</f>
        <v>6816.2669999999998</v>
      </c>
      <c r="H4018">
        <f>1860.03</f>
        <v>1860.03</v>
      </c>
      <c r="I4018">
        <f>7398.701</f>
        <v>7398.701</v>
      </c>
      <c r="J4018">
        <f>1410.56</f>
        <v>1410.56</v>
      </c>
      <c r="K4018">
        <f>4355.86</f>
        <v>4355.8599999999997</v>
      </c>
      <c r="L4018">
        <f>1137.33</f>
        <v>1137.33</v>
      </c>
      <c r="M4018">
        <f>4428.12</f>
        <v>4428.12</v>
      </c>
      <c r="N4018">
        <f>149.864</f>
        <v>149.864</v>
      </c>
      <c r="O4018">
        <f>1704.97</f>
        <v>1704.97</v>
      </c>
      <c r="P4018">
        <f>94.35</f>
        <v>94.35</v>
      </c>
      <c r="Q4018">
        <f>752.21</f>
        <v>752.21</v>
      </c>
      <c r="R4018">
        <f>2102.23</f>
        <v>2102.23</v>
      </c>
      <c r="S4018">
        <f>1604.93</f>
        <v>1604.93</v>
      </c>
      <c r="T4018" t="e">
        <f>NA()</f>
        <v>#N/A</v>
      </c>
      <c r="U4018">
        <f>27764.03</f>
        <v>27764.03</v>
      </c>
      <c r="V4018">
        <f>120.21</f>
        <v>120.21</v>
      </c>
    </row>
    <row r="4019" spans="1:22" x14ac:dyDescent="0.2">
      <c r="A4019" s="1">
        <v>39482</v>
      </c>
      <c r="B4019">
        <f>3277.87</f>
        <v>3277.87</v>
      </c>
      <c r="C4019">
        <f>6950.86</f>
        <v>6950.86</v>
      </c>
      <c r="D4019">
        <f>3501.76</f>
        <v>3501.76</v>
      </c>
      <c r="E4019">
        <f>1897.021</f>
        <v>1897.021</v>
      </c>
      <c r="F4019">
        <f>2219.12</f>
        <v>2219.12</v>
      </c>
      <c r="G4019">
        <f>7043.897</f>
        <v>7043.8969999999999</v>
      </c>
      <c r="H4019">
        <f>1863.46</f>
        <v>1863.46</v>
      </c>
      <c r="I4019">
        <f>7764.759</f>
        <v>7764.759</v>
      </c>
      <c r="J4019">
        <f>1455.73</f>
        <v>1455.73</v>
      </c>
      <c r="K4019">
        <f>4497.43</f>
        <v>4497.43</v>
      </c>
      <c r="L4019">
        <f>1180.53</f>
        <v>1180.53</v>
      </c>
      <c r="M4019">
        <f>4576.35</f>
        <v>4576.3500000000004</v>
      </c>
      <c r="N4019">
        <f>154.877</f>
        <v>154.87700000000001</v>
      </c>
      <c r="O4019">
        <f>1759.79</f>
        <v>1759.79</v>
      </c>
      <c r="P4019">
        <f>94.58</f>
        <v>94.58</v>
      </c>
      <c r="Q4019">
        <f>771.91</f>
        <v>771.91</v>
      </c>
      <c r="R4019">
        <f>2171.51</f>
        <v>2171.5100000000002</v>
      </c>
      <c r="S4019">
        <f>1615.87</f>
        <v>1615.87</v>
      </c>
      <c r="T4019" t="e">
        <f>NA()</f>
        <v>#N/A</v>
      </c>
      <c r="U4019">
        <f>28619.54</f>
        <v>28619.54</v>
      </c>
      <c r="V4019" t="e">
        <f>NA()</f>
        <v>#N/A</v>
      </c>
    </row>
    <row r="4020" spans="1:22" x14ac:dyDescent="0.2">
      <c r="A4020" s="1">
        <v>39479</v>
      </c>
      <c r="B4020">
        <f>3261.53</f>
        <v>3261.53</v>
      </c>
      <c r="C4020">
        <f>6904.91</f>
        <v>6904.91</v>
      </c>
      <c r="D4020">
        <f>3503.48</f>
        <v>3503.48</v>
      </c>
      <c r="E4020">
        <f>1859.341</f>
        <v>1859.3409999999999</v>
      </c>
      <c r="F4020">
        <f>2200.56</f>
        <v>2200.56</v>
      </c>
      <c r="G4020">
        <f>7021.033</f>
        <v>7021.0330000000004</v>
      </c>
      <c r="H4020">
        <f>1841.44</f>
        <v>1841.44</v>
      </c>
      <c r="I4020">
        <f>7759.875</f>
        <v>7759.875</v>
      </c>
      <c r="J4020">
        <f>1474.73</f>
        <v>1474.73</v>
      </c>
      <c r="K4020">
        <f>4544.45</f>
        <v>4544.45</v>
      </c>
      <c r="L4020">
        <f>1185.13</f>
        <v>1185.1300000000001</v>
      </c>
      <c r="M4020">
        <f>4586.26</f>
        <v>4586.26</v>
      </c>
      <c r="N4020">
        <f>154.046</f>
        <v>154.04599999999999</v>
      </c>
      <c r="O4020">
        <f>1756.45</f>
        <v>1756.45</v>
      </c>
      <c r="P4020">
        <f>93.06</f>
        <v>93.06</v>
      </c>
      <c r="Q4020">
        <f>784.06</f>
        <v>784.06</v>
      </c>
      <c r="R4020">
        <f>2194.43</f>
        <v>2194.4299999999998</v>
      </c>
      <c r="S4020">
        <f>1582.89</f>
        <v>1582.89</v>
      </c>
      <c r="T4020" t="e">
        <f>NA()</f>
        <v>#N/A</v>
      </c>
      <c r="U4020">
        <f>28751.87</f>
        <v>28751.87</v>
      </c>
      <c r="V4020" t="e">
        <f>NA()</f>
        <v>#N/A</v>
      </c>
    </row>
    <row r="4021" spans="1:22" x14ac:dyDescent="0.2">
      <c r="A4021" s="1">
        <v>39478</v>
      </c>
      <c r="B4021">
        <f>3175.59</f>
        <v>3175.59</v>
      </c>
      <c r="C4021">
        <f>6707.3</f>
        <v>6707.3</v>
      </c>
      <c r="D4021">
        <f>3416.67</f>
        <v>3416.67</v>
      </c>
      <c r="E4021">
        <f>1807.125</f>
        <v>1807.125</v>
      </c>
      <c r="F4021">
        <f>2174.09</f>
        <v>2174.09</v>
      </c>
      <c r="G4021">
        <f>6912.165</f>
        <v>6912.165</v>
      </c>
      <c r="H4021">
        <f>1855.59</f>
        <v>1855.59</v>
      </c>
      <c r="I4021">
        <f>7592.01</f>
        <v>7592.01</v>
      </c>
      <c r="J4021">
        <f>1459.81</f>
        <v>1459.81</v>
      </c>
      <c r="K4021">
        <f>4486.44</f>
        <v>4486.4399999999996</v>
      </c>
      <c r="L4021">
        <f>1166.85</f>
        <v>1166.8499999999999</v>
      </c>
      <c r="M4021">
        <f>4520.67</f>
        <v>4520.67</v>
      </c>
      <c r="N4021">
        <f>152.117</f>
        <v>152.11699999999999</v>
      </c>
      <c r="O4021">
        <f>1723.84</f>
        <v>1723.84</v>
      </c>
      <c r="P4021">
        <f>94.16</f>
        <v>94.16</v>
      </c>
      <c r="Q4021">
        <f>771.58</f>
        <v>771.58</v>
      </c>
      <c r="R4021">
        <f>2167.9</f>
        <v>2167.9</v>
      </c>
      <c r="S4021">
        <f>1594.07</f>
        <v>1594.07</v>
      </c>
      <c r="T4021" t="e">
        <f>NA()</f>
        <v>#N/A</v>
      </c>
      <c r="U4021">
        <f>27317.14</f>
        <v>27317.14</v>
      </c>
      <c r="V4021" t="e">
        <f>NA()</f>
        <v>#N/A</v>
      </c>
    </row>
    <row r="4022" spans="1:22" x14ac:dyDescent="0.2">
      <c r="A4022" s="1">
        <v>39477</v>
      </c>
      <c r="B4022">
        <f>3186.52</f>
        <v>3186.52</v>
      </c>
      <c r="C4022">
        <f>6719.91</f>
        <v>6719.91</v>
      </c>
      <c r="D4022">
        <f>3391.99</f>
        <v>3391.99</v>
      </c>
      <c r="E4022">
        <f>1811.974</f>
        <v>1811.9739999999999</v>
      </c>
      <c r="F4022">
        <f>2189.16</f>
        <v>2189.16</v>
      </c>
      <c r="G4022">
        <f>6866.765</f>
        <v>6866.7650000000003</v>
      </c>
      <c r="H4022">
        <f>1801.76</f>
        <v>1801.76</v>
      </c>
      <c r="I4022">
        <f>7598.282</f>
        <v>7598.2820000000002</v>
      </c>
      <c r="J4022">
        <f>1431.15</f>
        <v>1431.15</v>
      </c>
      <c r="K4022">
        <f>4411.44</f>
        <v>4411.4399999999996</v>
      </c>
      <c r="L4022">
        <f>1159.95</f>
        <v>1159.95</v>
      </c>
      <c r="M4022">
        <f>4467.97</f>
        <v>4467.97</v>
      </c>
      <c r="N4022">
        <f>152.418</f>
        <v>152.41800000000001</v>
      </c>
      <c r="O4022">
        <f>1724.37</f>
        <v>1724.37</v>
      </c>
      <c r="P4022">
        <f>91.96</f>
        <v>91.96</v>
      </c>
      <c r="Q4022">
        <f>755.99</f>
        <v>755.99</v>
      </c>
      <c r="R4022">
        <f>2131.79</f>
        <v>2131.79</v>
      </c>
      <c r="S4022">
        <f>1563.05</f>
        <v>1563.05</v>
      </c>
      <c r="T4022" t="e">
        <f>NA()</f>
        <v>#N/A</v>
      </c>
      <c r="U4022">
        <f>27068.16</f>
        <v>27068.16</v>
      </c>
      <c r="V4022" t="e">
        <f>NA()</f>
        <v>#N/A</v>
      </c>
    </row>
    <row r="4023" spans="1:22" x14ac:dyDescent="0.2">
      <c r="A4023" s="1">
        <v>39476</v>
      </c>
      <c r="B4023">
        <f>3199.98</f>
        <v>3199.98</v>
      </c>
      <c r="C4023">
        <f>6711.19</f>
        <v>6711.19</v>
      </c>
      <c r="D4023">
        <f>3419.51</f>
        <v>3419.51</v>
      </c>
      <c r="E4023">
        <f>1830.925</f>
        <v>1830.925</v>
      </c>
      <c r="F4023">
        <f>2202.21</f>
        <v>2202.21</v>
      </c>
      <c r="G4023">
        <f>6913.905</f>
        <v>6913.9049999999997</v>
      </c>
      <c r="H4023">
        <f>1821.68</f>
        <v>1821.68</v>
      </c>
      <c r="I4023">
        <f>7633.706</f>
        <v>7633.7060000000001</v>
      </c>
      <c r="J4023">
        <f>1438.28</f>
        <v>1438.28</v>
      </c>
      <c r="K4023">
        <f>4434.32</f>
        <v>4434.32</v>
      </c>
      <c r="L4023">
        <f>1167.03</f>
        <v>1167.03</v>
      </c>
      <c r="M4023">
        <f>4495.05</f>
        <v>4495.05</v>
      </c>
      <c r="N4023">
        <f>152.992</f>
        <v>152.99199999999999</v>
      </c>
      <c r="O4023">
        <f>1734.69</f>
        <v>1734.69</v>
      </c>
      <c r="P4023">
        <f>92.74</f>
        <v>92.74</v>
      </c>
      <c r="Q4023">
        <f>757.61</f>
        <v>757.61</v>
      </c>
      <c r="R4023">
        <f>2141.85</f>
        <v>2141.85</v>
      </c>
      <c r="S4023">
        <f>1573.26</f>
        <v>1573.26</v>
      </c>
      <c r="T4023" t="e">
        <f>NA()</f>
        <v>#N/A</v>
      </c>
      <c r="U4023">
        <f>26442.71</f>
        <v>26442.71</v>
      </c>
      <c r="V4023" t="e">
        <f>NA()</f>
        <v>#N/A</v>
      </c>
    </row>
    <row r="4024" spans="1:22" x14ac:dyDescent="0.2">
      <c r="A4024" s="1">
        <v>39475</v>
      </c>
      <c r="B4024">
        <f>3140.12</f>
        <v>3140.12</v>
      </c>
      <c r="C4024">
        <f>6601.7</f>
        <v>6601.7</v>
      </c>
      <c r="D4024">
        <f>3363.51</f>
        <v>3363.51</v>
      </c>
      <c r="E4024">
        <f>1805.836</f>
        <v>1805.836</v>
      </c>
      <c r="F4024">
        <f>2159.86</f>
        <v>2159.86</v>
      </c>
      <c r="G4024">
        <f>6797.667</f>
        <v>6797.6670000000004</v>
      </c>
      <c r="H4024">
        <f>1780.9</f>
        <v>1780.9</v>
      </c>
      <c r="I4024">
        <f>7528.133</f>
        <v>7528.1329999999998</v>
      </c>
      <c r="J4024">
        <f>1426.62</f>
        <v>1426.62</v>
      </c>
      <c r="K4024">
        <f>4407.61</f>
        <v>4407.6099999999997</v>
      </c>
      <c r="L4024">
        <f>1155.09</f>
        <v>1155.0899999999999</v>
      </c>
      <c r="M4024">
        <f>4449.07</f>
        <v>4449.07</v>
      </c>
      <c r="N4024">
        <f>150.483</f>
        <v>150.483</v>
      </c>
      <c r="O4024">
        <f>1707.69</f>
        <v>1707.69</v>
      </c>
      <c r="P4024">
        <f>90.45</f>
        <v>90.45</v>
      </c>
      <c r="Q4024">
        <f>752.71</f>
        <v>752.71</v>
      </c>
      <c r="R4024">
        <f>2128.64</f>
        <v>2128.64</v>
      </c>
      <c r="S4024">
        <f>1530.98</f>
        <v>1530.98</v>
      </c>
      <c r="T4024" t="e">
        <f>NA()</f>
        <v>#N/A</v>
      </c>
      <c r="U4024">
        <f>25692.87</f>
        <v>25692.87</v>
      </c>
      <c r="V4024" t="e">
        <f>NA()</f>
        <v>#N/A</v>
      </c>
    </row>
    <row r="4025" spans="1:22" x14ac:dyDescent="0.2">
      <c r="A4025" s="1">
        <v>39472</v>
      </c>
      <c r="B4025">
        <f>3166.99</f>
        <v>3166.99</v>
      </c>
      <c r="C4025">
        <f>6683.78</f>
        <v>6683.78</v>
      </c>
      <c r="D4025">
        <f>3410.05</f>
        <v>3410.05</v>
      </c>
      <c r="E4025">
        <f>1843.211</f>
        <v>1843.211</v>
      </c>
      <c r="F4025">
        <f>2190.71</f>
        <v>2190.71</v>
      </c>
      <c r="G4025">
        <f>6874.67</f>
        <v>6874.67</v>
      </c>
      <c r="H4025">
        <f>1834.36</f>
        <v>1834.36</v>
      </c>
      <c r="I4025">
        <f>7537.102</f>
        <v>7537.1019999999999</v>
      </c>
      <c r="J4025">
        <f>1395.14</f>
        <v>1395.14</v>
      </c>
      <c r="K4025">
        <f>4330.27</f>
        <v>4330.2700000000004</v>
      </c>
      <c r="L4025">
        <f>1148.27</f>
        <v>1148.27</v>
      </c>
      <c r="M4025">
        <f>4435.32</f>
        <v>4435.32</v>
      </c>
      <c r="N4025">
        <f>151.804</f>
        <v>151.804</v>
      </c>
      <c r="O4025">
        <f>1726.1</f>
        <v>1726.1</v>
      </c>
      <c r="P4025">
        <f>93.2</f>
        <v>93.2</v>
      </c>
      <c r="Q4025">
        <f>736.81</f>
        <v>736.81</v>
      </c>
      <c r="R4025">
        <f>2091.88</f>
        <v>2091.88</v>
      </c>
      <c r="S4025">
        <f>1592.18</f>
        <v>1592.18</v>
      </c>
      <c r="T4025" t="e">
        <f>NA()</f>
        <v>#N/A</v>
      </c>
      <c r="U4025">
        <f>26502.23</f>
        <v>26502.23</v>
      </c>
      <c r="V4025" t="e">
        <f>NA()</f>
        <v>#N/A</v>
      </c>
    </row>
    <row r="4026" spans="1:22" x14ac:dyDescent="0.2">
      <c r="A4026" s="1">
        <v>39471</v>
      </c>
      <c r="B4026">
        <f>3182.11</f>
        <v>3182.11</v>
      </c>
      <c r="C4026">
        <f>6591.19</f>
        <v>6591.19</v>
      </c>
      <c r="D4026">
        <f>3414.03</f>
        <v>3414.03</v>
      </c>
      <c r="E4026">
        <f>1796.978</f>
        <v>1796.9780000000001</v>
      </c>
      <c r="F4026">
        <f>2190.25</f>
        <v>2190.25</v>
      </c>
      <c r="G4026">
        <f>6848.195</f>
        <v>6848.1949999999997</v>
      </c>
      <c r="H4026">
        <f>1766.7</f>
        <v>1766.7</v>
      </c>
      <c r="I4026">
        <f>7552.67</f>
        <v>7552.67</v>
      </c>
      <c r="J4026">
        <f>1420.16</f>
        <v>1420.16</v>
      </c>
      <c r="K4026">
        <f>4399.42</f>
        <v>4399.42</v>
      </c>
      <c r="L4026">
        <f>1153.23</f>
        <v>1153.23</v>
      </c>
      <c r="M4026">
        <f>4438.22</f>
        <v>4438.22</v>
      </c>
      <c r="N4026">
        <f>151.956</f>
        <v>151.95599999999999</v>
      </c>
      <c r="O4026">
        <f>1726.46</f>
        <v>1726.46</v>
      </c>
      <c r="P4026">
        <f>90.24</f>
        <v>90.24</v>
      </c>
      <c r="Q4026">
        <f>747.08</f>
        <v>747.08</v>
      </c>
      <c r="R4026">
        <f>2125.61</f>
        <v>2125.61</v>
      </c>
      <c r="S4026">
        <f>1520.77</f>
        <v>1520.77</v>
      </c>
      <c r="T4026" t="e">
        <f>NA()</f>
        <v>#N/A</v>
      </c>
      <c r="U4026">
        <f>26463.13</f>
        <v>26463.13</v>
      </c>
      <c r="V4026" t="e">
        <f>NA()</f>
        <v>#N/A</v>
      </c>
    </row>
    <row r="4027" spans="1:22" x14ac:dyDescent="0.2">
      <c r="A4027" s="1">
        <v>39470</v>
      </c>
      <c r="B4027">
        <f>3027.76</f>
        <v>3027.76</v>
      </c>
      <c r="C4027">
        <f>6355.01</f>
        <v>6355.01</v>
      </c>
      <c r="D4027">
        <f>3259.21</f>
        <v>3259.21</v>
      </c>
      <c r="E4027">
        <f>1750.102</f>
        <v>1750.1020000000001</v>
      </c>
      <c r="F4027">
        <f>2055.89</f>
        <v>2055.89</v>
      </c>
      <c r="G4027">
        <f>6466.863</f>
        <v>6466.8630000000003</v>
      </c>
      <c r="H4027">
        <f>1742.76</f>
        <v>1742.76</v>
      </c>
      <c r="I4027">
        <f>7079.791</f>
        <v>7079.7910000000002</v>
      </c>
      <c r="J4027">
        <f>1418.74</f>
        <v>1418.74</v>
      </c>
      <c r="K4027">
        <f>4351.8</f>
        <v>4351.8</v>
      </c>
      <c r="L4027">
        <f>1110.84</f>
        <v>1110.8399999999999</v>
      </c>
      <c r="M4027">
        <f>4306.13</f>
        <v>4306.13</v>
      </c>
      <c r="N4027">
        <f>146.172</f>
        <v>146.172</v>
      </c>
      <c r="O4027">
        <f>1639.39</f>
        <v>1639.39</v>
      </c>
      <c r="P4027">
        <f>87.83</f>
        <v>87.83</v>
      </c>
      <c r="Q4027">
        <f>746.98</f>
        <v>746.98</v>
      </c>
      <c r="R4027">
        <f>2104.37</f>
        <v>2104.37</v>
      </c>
      <c r="S4027">
        <f>1479.89</f>
        <v>1479.89</v>
      </c>
      <c r="T4027" t="e">
        <f>NA()</f>
        <v>#N/A</v>
      </c>
      <c r="U4027">
        <f>25135.13</f>
        <v>25135.13</v>
      </c>
      <c r="V4027" t="e">
        <f>NA()</f>
        <v>#N/A</v>
      </c>
    </row>
    <row r="4028" spans="1:22" x14ac:dyDescent="0.2">
      <c r="A4028" s="1">
        <v>39469</v>
      </c>
      <c r="B4028">
        <f>3086.67</f>
        <v>3086.67</v>
      </c>
      <c r="C4028">
        <f>6360.29</f>
        <v>6360.29</v>
      </c>
      <c r="D4028">
        <f>3335.14</f>
        <v>3335.14</v>
      </c>
      <c r="E4028">
        <f>1726.643</f>
        <v>1726.643</v>
      </c>
      <c r="F4028">
        <f>2100.09</f>
        <v>2100.09</v>
      </c>
      <c r="G4028">
        <f>6655.211</f>
        <v>6655.2110000000002</v>
      </c>
      <c r="H4028">
        <f>1674.92</f>
        <v>1674.92</v>
      </c>
      <c r="I4028">
        <f>7355.56</f>
        <v>7355.56</v>
      </c>
      <c r="J4028">
        <f>1373.48</f>
        <v>1373.48</v>
      </c>
      <c r="K4028">
        <f>4261.73</f>
        <v>4261.7299999999996</v>
      </c>
      <c r="L4028">
        <f>1115.94</f>
        <v>1115.94</v>
      </c>
      <c r="M4028">
        <f>4288.56</f>
        <v>4288.5600000000004</v>
      </c>
      <c r="N4028">
        <f>148.899</f>
        <v>148.899</v>
      </c>
      <c r="O4028">
        <f>1692.38</f>
        <v>1692.38</v>
      </c>
      <c r="P4028">
        <f>85.95</f>
        <v>85.95</v>
      </c>
      <c r="Q4028">
        <f>724.25</f>
        <v>724.25</v>
      </c>
      <c r="R4028">
        <f>2060.15</f>
        <v>2060.15</v>
      </c>
      <c r="S4028">
        <f>1444.4</f>
        <v>1444.4</v>
      </c>
      <c r="T4028" t="e">
        <f>NA()</f>
        <v>#N/A</v>
      </c>
      <c r="U4028">
        <f>25397.17</f>
        <v>25397.17</v>
      </c>
      <c r="V4028" t="e">
        <f>NA()</f>
        <v>#N/A</v>
      </c>
    </row>
    <row r="4029" spans="1:22" x14ac:dyDescent="0.2">
      <c r="A4029" s="1">
        <v>39468</v>
      </c>
      <c r="B4029">
        <f>2998.82</f>
        <v>2998.82</v>
      </c>
      <c r="C4029">
        <f>6422.72</f>
        <v>6422.72</v>
      </c>
      <c r="D4029">
        <f>3241.08</f>
        <v>3241.08</v>
      </c>
      <c r="E4029">
        <f>1774.337</f>
        <v>1774.337</v>
      </c>
      <c r="F4029">
        <f>2000.11</f>
        <v>2000.11</v>
      </c>
      <c r="G4029">
        <f>6410.875</f>
        <v>6410.875</v>
      </c>
      <c r="H4029">
        <f>1795.28</f>
        <v>1795.28</v>
      </c>
      <c r="I4029">
        <f>7157.479</f>
        <v>7157.4790000000003</v>
      </c>
      <c r="J4029">
        <f>1382.11</f>
        <v>1382.11</v>
      </c>
      <c r="K4029">
        <f>4308.49</f>
        <v>4308.49</v>
      </c>
      <c r="L4029">
        <f>1102.39</f>
        <v>1102.3900000000001</v>
      </c>
      <c r="M4029">
        <f>4300.15</f>
        <v>4300.1499999999996</v>
      </c>
      <c r="N4029">
        <f>144.901</f>
        <v>144.90100000000001</v>
      </c>
      <c r="O4029">
        <f>1660.3</f>
        <v>1660.3</v>
      </c>
      <c r="P4029">
        <f>90.83</f>
        <v>90.83</v>
      </c>
      <c r="Q4029">
        <f>718.94</f>
        <v>718.94</v>
      </c>
      <c r="R4029" t="e">
        <f>NA()</f>
        <v>#N/A</v>
      </c>
      <c r="S4029">
        <f>1531.77</f>
        <v>1531.77</v>
      </c>
      <c r="T4029" t="e">
        <f>NA()</f>
        <v>#N/A</v>
      </c>
      <c r="U4029">
        <f>25423.69</f>
        <v>25423.69</v>
      </c>
      <c r="V4029" t="e">
        <f>NA()</f>
        <v>#N/A</v>
      </c>
    </row>
    <row r="4030" spans="1:22" x14ac:dyDescent="0.2">
      <c r="A4030" s="1">
        <v>39465</v>
      </c>
      <c r="B4030">
        <f>3136.06</f>
        <v>3136.06</v>
      </c>
      <c r="C4030">
        <f>6761.02</f>
        <v>6761.02</v>
      </c>
      <c r="D4030">
        <f>3429.03</f>
        <v>3429.03</v>
      </c>
      <c r="E4030">
        <f>1884.359</f>
        <v>1884.3589999999999</v>
      </c>
      <c r="F4030">
        <f>2122.85</f>
        <v>2122.85</v>
      </c>
      <c r="G4030">
        <f>6809.074</f>
        <v>6809.0739999999996</v>
      </c>
      <c r="H4030">
        <f>1837.68</f>
        <v>1837.68</v>
      </c>
      <c r="I4030">
        <f>7695.766</f>
        <v>7695.7659999999996</v>
      </c>
      <c r="J4030">
        <f>1382.11</f>
        <v>1382.11</v>
      </c>
      <c r="K4030">
        <f>4308.49</f>
        <v>4308.49</v>
      </c>
      <c r="L4030">
        <f>1152.22</f>
        <v>1152.22</v>
      </c>
      <c r="M4030">
        <f>4431.03</f>
        <v>4431.03</v>
      </c>
      <c r="N4030">
        <f>150.916</f>
        <v>150.916</v>
      </c>
      <c r="O4030">
        <f>1761.79</f>
        <v>1761.79</v>
      </c>
      <c r="P4030">
        <f>93.68</f>
        <v>93.68</v>
      </c>
      <c r="Q4030">
        <f>718.94</f>
        <v>718.94</v>
      </c>
      <c r="R4030">
        <f>2083.24</f>
        <v>2083.2399999999998</v>
      </c>
      <c r="S4030">
        <f>1588.31</f>
        <v>1588.31</v>
      </c>
      <c r="T4030" t="e">
        <f>NA()</f>
        <v>#N/A</v>
      </c>
      <c r="U4030">
        <f>26652.66</f>
        <v>26652.66</v>
      </c>
      <c r="V4030" t="e">
        <f>NA()</f>
        <v>#N/A</v>
      </c>
    </row>
    <row r="4031" spans="1:22" x14ac:dyDescent="0.2">
      <c r="A4031" s="1">
        <v>39464</v>
      </c>
      <c r="B4031">
        <f>3138.93</f>
        <v>3138.93</v>
      </c>
      <c r="C4031">
        <f>6759.75</f>
        <v>6759.75</v>
      </c>
      <c r="D4031">
        <f>3429.44</f>
        <v>3429.44</v>
      </c>
      <c r="E4031">
        <f>1891.769</f>
        <v>1891.769</v>
      </c>
      <c r="F4031">
        <f>2162.9</f>
        <v>2162.9</v>
      </c>
      <c r="G4031">
        <f>6889.2</f>
        <v>6889.2</v>
      </c>
      <c r="H4031">
        <f>1830.66</f>
        <v>1830.66</v>
      </c>
      <c r="I4031">
        <f>7826.452</f>
        <v>7826.4520000000002</v>
      </c>
      <c r="J4031">
        <f>1399.11</f>
        <v>1399.11</v>
      </c>
      <c r="K4031">
        <f>4333.92</f>
        <v>4333.92</v>
      </c>
      <c r="L4031">
        <f>1169.56</f>
        <v>1169.56</v>
      </c>
      <c r="M4031">
        <f>4464.85</f>
        <v>4464.8500000000004</v>
      </c>
      <c r="N4031">
        <f>151.581</f>
        <v>151.58099999999999</v>
      </c>
      <c r="O4031">
        <f>1780.63</f>
        <v>1780.63</v>
      </c>
      <c r="P4031">
        <f>92.58</f>
        <v>92.58</v>
      </c>
      <c r="Q4031">
        <f>723.29</f>
        <v>723.29</v>
      </c>
      <c r="R4031">
        <f>2095.86</f>
        <v>2095.86</v>
      </c>
      <c r="S4031">
        <f>1575.22</f>
        <v>1575.22</v>
      </c>
      <c r="T4031" t="e">
        <f>NA()</f>
        <v>#N/A</v>
      </c>
      <c r="U4031">
        <f>27039.97</f>
        <v>27039.97</v>
      </c>
      <c r="V4031" t="e">
        <f>NA()</f>
        <v>#N/A</v>
      </c>
    </row>
    <row r="4032" spans="1:22" x14ac:dyDescent="0.2">
      <c r="A4032" s="1">
        <v>39463</v>
      </c>
      <c r="B4032">
        <f>3119.91</f>
        <v>3119.91</v>
      </c>
      <c r="C4032">
        <f>6847.44</f>
        <v>6847.44</v>
      </c>
      <c r="D4032">
        <f>3452.96</f>
        <v>3452.96</v>
      </c>
      <c r="E4032">
        <f>1902.877</f>
        <v>1902.877</v>
      </c>
      <c r="F4032">
        <f>2140.38</f>
        <v>2140.38</v>
      </c>
      <c r="G4032">
        <f>6888.932</f>
        <v>6888.9319999999998</v>
      </c>
      <c r="H4032">
        <f>1805.85</f>
        <v>1805.85</v>
      </c>
      <c r="I4032">
        <f>7880.729</f>
        <v>7880.7290000000003</v>
      </c>
      <c r="J4032">
        <f>1443.05</f>
        <v>1443.05</v>
      </c>
      <c r="K4032">
        <f>4462.9</f>
        <v>4462.8999999999996</v>
      </c>
      <c r="L4032">
        <f>1185.68</f>
        <v>1185.68</v>
      </c>
      <c r="M4032">
        <f>4528.74</f>
        <v>4528.74</v>
      </c>
      <c r="N4032">
        <f>151.058</f>
        <v>151.05799999999999</v>
      </c>
      <c r="O4032">
        <f>1792.59</f>
        <v>1792.59</v>
      </c>
      <c r="P4032">
        <f>91.09</f>
        <v>91.09</v>
      </c>
      <c r="Q4032">
        <f>740.33</f>
        <v>740.33</v>
      </c>
      <c r="R4032">
        <f>2158.57</f>
        <v>2158.5700000000002</v>
      </c>
      <c r="S4032">
        <f>1541.98</f>
        <v>1541.98</v>
      </c>
      <c r="T4032" t="e">
        <f>NA()</f>
        <v>#N/A</v>
      </c>
      <c r="U4032">
        <f>26911.5</f>
        <v>26911.5</v>
      </c>
      <c r="V4032">
        <f>125.26</f>
        <v>125.26</v>
      </c>
    </row>
    <row r="4033" spans="1:22" x14ac:dyDescent="0.2">
      <c r="A4033" s="1">
        <v>39462</v>
      </c>
      <c r="B4033">
        <f>3126.94</f>
        <v>3126.94</v>
      </c>
      <c r="C4033">
        <f>7137.94</f>
        <v>7137.94</v>
      </c>
      <c r="D4033">
        <f>3500.09</f>
        <v>3500.09</v>
      </c>
      <c r="E4033">
        <f>1983.528</f>
        <v>1983.528</v>
      </c>
      <c r="F4033">
        <f>2169.48</f>
        <v>2169.48</v>
      </c>
      <c r="G4033">
        <f>7002.767</f>
        <v>7002.7669999999998</v>
      </c>
      <c r="H4033">
        <f>1851.09</f>
        <v>1851.09</v>
      </c>
      <c r="I4033">
        <f>8063.791</f>
        <v>8063.7910000000002</v>
      </c>
      <c r="J4033">
        <f>1439.32</f>
        <v>1439.32</v>
      </c>
      <c r="K4033">
        <f>4488.28</f>
        <v>4488.28</v>
      </c>
      <c r="L4033">
        <f>1200.77</f>
        <v>1200.77</v>
      </c>
      <c r="M4033">
        <f>4604.14</f>
        <v>4604.1400000000003</v>
      </c>
      <c r="N4033">
        <f>151.369</f>
        <v>151.369</v>
      </c>
      <c r="O4033">
        <f>1806.38</f>
        <v>1806.38</v>
      </c>
      <c r="P4033">
        <f>93.61</f>
        <v>93.61</v>
      </c>
      <c r="Q4033">
        <f>737.6</f>
        <v>737.6</v>
      </c>
      <c r="R4033">
        <f>2170.51</f>
        <v>2170.5100000000002</v>
      </c>
      <c r="S4033">
        <f>1598.61</f>
        <v>1598.61</v>
      </c>
      <c r="T4033" t="e">
        <f>NA()</f>
        <v>#N/A</v>
      </c>
      <c r="U4033">
        <f>27635.97</f>
        <v>27635.97</v>
      </c>
      <c r="V4033">
        <f>128.51</f>
        <v>128.51</v>
      </c>
    </row>
    <row r="4034" spans="1:22" x14ac:dyDescent="0.2">
      <c r="A4034" s="1">
        <v>39461</v>
      </c>
      <c r="B4034">
        <f>3221.37</f>
        <v>3221.37</v>
      </c>
      <c r="C4034">
        <f>7254.57</f>
        <v>7254.57</v>
      </c>
      <c r="D4034">
        <f>3610.52</f>
        <v>3610.52</v>
      </c>
      <c r="E4034">
        <f>2019.748</f>
        <v>2019.748</v>
      </c>
      <c r="F4034">
        <f>2227.53</f>
        <v>2227.5300000000002</v>
      </c>
      <c r="G4034">
        <f>7177.242</f>
        <v>7177.2420000000002</v>
      </c>
      <c r="H4034">
        <f>1856.77</f>
        <v>1856.77</v>
      </c>
      <c r="I4034">
        <f>8302.763</f>
        <v>8302.7630000000008</v>
      </c>
      <c r="J4034">
        <f>1473.04</f>
        <v>1473.04</v>
      </c>
      <c r="K4034">
        <f>4602.62</f>
        <v>4602.62</v>
      </c>
      <c r="L4034">
        <f>1231.71</f>
        <v>1231.71</v>
      </c>
      <c r="M4034">
        <f>4715.42</f>
        <v>4715.42</v>
      </c>
      <c r="N4034">
        <f>155.391</f>
        <v>155.39099999999999</v>
      </c>
      <c r="O4034">
        <f>1854.48</f>
        <v>1854.48</v>
      </c>
      <c r="P4034" t="e">
        <f>NA()</f>
        <v>#N/A</v>
      </c>
      <c r="Q4034">
        <f>752.25</f>
        <v>752.25</v>
      </c>
      <c r="R4034">
        <f>2225.98</f>
        <v>2225.98</v>
      </c>
      <c r="S4034" t="e">
        <f>NA()</f>
        <v>#N/A</v>
      </c>
      <c r="T4034" t="e">
        <f>NA()</f>
        <v>#N/A</v>
      </c>
      <c r="U4034">
        <f>27951.19</f>
        <v>27951.19</v>
      </c>
      <c r="V4034">
        <f>128.88</f>
        <v>128.88</v>
      </c>
    </row>
    <row r="4035" spans="1:22" x14ac:dyDescent="0.2">
      <c r="A4035" s="1">
        <v>39458</v>
      </c>
      <c r="B4035">
        <f>3175.06</f>
        <v>3175.06</v>
      </c>
      <c r="C4035">
        <f>7174.35</f>
        <v>7174.35</v>
      </c>
      <c r="D4035">
        <f>3602.59</f>
        <v>3602.59</v>
      </c>
      <c r="E4035">
        <f>2012.245</f>
        <v>2012.2449999999999</v>
      </c>
      <c r="F4035">
        <f>2223.07</f>
        <v>2223.0700000000002</v>
      </c>
      <c r="G4035">
        <f>7152.13</f>
        <v>7152.13</v>
      </c>
      <c r="H4035">
        <f>1839.57</f>
        <v>1839.57</v>
      </c>
      <c r="I4035">
        <f>8205.513</f>
        <v>8205.5130000000008</v>
      </c>
      <c r="J4035">
        <f>1465.83</f>
        <v>1465.83</v>
      </c>
      <c r="K4035">
        <f>4552.66</f>
        <v>4552.66</v>
      </c>
      <c r="L4035">
        <f>1225.82</f>
        <v>1225.82</v>
      </c>
      <c r="M4035">
        <f>4671.07</f>
        <v>4671.07</v>
      </c>
      <c r="N4035">
        <f>154.461</f>
        <v>154.46100000000001</v>
      </c>
      <c r="O4035">
        <f>1850.17</f>
        <v>1850.17</v>
      </c>
      <c r="P4035">
        <f>95.44</f>
        <v>95.44</v>
      </c>
      <c r="Q4035">
        <f>747.78</f>
        <v>747.78</v>
      </c>
      <c r="R4035">
        <f>2202.03</f>
        <v>2202.0300000000002</v>
      </c>
      <c r="S4035">
        <f>1631.03</f>
        <v>1631.03</v>
      </c>
      <c r="T4035" t="e">
        <f>NA()</f>
        <v>#N/A</v>
      </c>
      <c r="U4035">
        <f>27509.25</f>
        <v>27509.25</v>
      </c>
      <c r="V4035">
        <f>127.47</f>
        <v>127.47</v>
      </c>
    </row>
    <row r="4036" spans="1:22" x14ac:dyDescent="0.2">
      <c r="A4036" s="1">
        <v>39457</v>
      </c>
      <c r="B4036">
        <f>3170.39</f>
        <v>3170.39</v>
      </c>
      <c r="C4036">
        <f>7216.18</f>
        <v>7216.18</v>
      </c>
      <c r="D4036">
        <f>3614.58</f>
        <v>3614.58</v>
      </c>
      <c r="E4036">
        <f>2024.475</f>
        <v>2024.4749999999999</v>
      </c>
      <c r="F4036">
        <f>2216.75</f>
        <v>2216.75</v>
      </c>
      <c r="G4036">
        <f>7170.424</f>
        <v>7170.424</v>
      </c>
      <c r="H4036">
        <f>1856.03</f>
        <v>1856.03</v>
      </c>
      <c r="I4036">
        <f>8215.845</f>
        <v>8215.8449999999993</v>
      </c>
      <c r="J4036">
        <f>1481.66</f>
        <v>1481.66</v>
      </c>
      <c r="K4036">
        <f>4615.36</f>
        <v>4615.3599999999997</v>
      </c>
      <c r="L4036">
        <f>1231.96</f>
        <v>1231.96</v>
      </c>
      <c r="M4036">
        <f>4713.88</f>
        <v>4713.88</v>
      </c>
      <c r="N4036">
        <f>155.194</f>
        <v>155.19399999999999</v>
      </c>
      <c r="O4036">
        <f>1858.8</f>
        <v>1858.8</v>
      </c>
      <c r="P4036">
        <f>97.07</f>
        <v>97.07</v>
      </c>
      <c r="Q4036">
        <f>757.38</f>
        <v>757.38</v>
      </c>
      <c r="R4036">
        <f>2232.25</f>
        <v>2232.25</v>
      </c>
      <c r="S4036">
        <f>1659.18</f>
        <v>1659.18</v>
      </c>
      <c r="T4036" t="e">
        <f>NA()</f>
        <v>#N/A</v>
      </c>
      <c r="U4036">
        <f>27903.94</f>
        <v>27903.94</v>
      </c>
      <c r="V4036">
        <f>128.49</f>
        <v>128.49</v>
      </c>
    </row>
    <row r="4037" spans="1:22" x14ac:dyDescent="0.2">
      <c r="A4037" s="1">
        <v>39456</v>
      </c>
      <c r="B4037">
        <f>3220.64</f>
        <v>3220.64</v>
      </c>
      <c r="C4037">
        <f>7249.3</f>
        <v>7249.3</v>
      </c>
      <c r="D4037">
        <f>3643.63</f>
        <v>3643.63</v>
      </c>
      <c r="E4037">
        <f>2033.948</f>
        <v>2033.9480000000001</v>
      </c>
      <c r="F4037">
        <f>2235.03</f>
        <v>2235.0300000000002</v>
      </c>
      <c r="G4037">
        <f>7232.846</f>
        <v>7232.8459999999995</v>
      </c>
      <c r="H4037">
        <f>1890.18</f>
        <v>1890.18</v>
      </c>
      <c r="I4037">
        <f>8244.884</f>
        <v>8244.884</v>
      </c>
      <c r="J4037">
        <f>1468.63</f>
        <v>1468.63</v>
      </c>
      <c r="K4037">
        <f>4579.9</f>
        <v>4579.8999999999996</v>
      </c>
      <c r="L4037">
        <f>1230</f>
        <v>1230</v>
      </c>
      <c r="M4037">
        <f>4713.11</f>
        <v>4713.1099999999997</v>
      </c>
      <c r="N4037">
        <f>157.21</f>
        <v>157.21</v>
      </c>
      <c r="O4037">
        <f>1875.19</f>
        <v>1875.19</v>
      </c>
      <c r="P4037">
        <f>98.44</f>
        <v>98.44</v>
      </c>
      <c r="Q4037">
        <f>750.83</f>
        <v>750.83</v>
      </c>
      <c r="R4037">
        <f>2214.6</f>
        <v>2214.6</v>
      </c>
      <c r="S4037">
        <f>1686.34</f>
        <v>1686.34</v>
      </c>
      <c r="T4037" t="e">
        <f>NA()</f>
        <v>#N/A</v>
      </c>
      <c r="U4037">
        <f>28400.78</f>
        <v>28400.78</v>
      </c>
      <c r="V4037">
        <f>130.58</f>
        <v>130.58000000000001</v>
      </c>
    </row>
    <row r="4038" spans="1:22" x14ac:dyDescent="0.2">
      <c r="A4038" s="1">
        <v>39455</v>
      </c>
      <c r="B4038">
        <f>3282.75</f>
        <v>3282.75</v>
      </c>
      <c r="C4038">
        <f>7208.1</f>
        <v>7208.1</v>
      </c>
      <c r="D4038">
        <f>3692.13</f>
        <v>3692.13</v>
      </c>
      <c r="E4038">
        <f>2022.851</f>
        <v>2022.8510000000001</v>
      </c>
      <c r="F4038">
        <f>2287.8</f>
        <v>2287.8000000000002</v>
      </c>
      <c r="G4038">
        <f>7389.489</f>
        <v>7389.4889999999996</v>
      </c>
      <c r="H4038">
        <f>1843.9</f>
        <v>1843.9</v>
      </c>
      <c r="I4038">
        <f>8359.699</f>
        <v>8359.6990000000005</v>
      </c>
      <c r="J4038">
        <f>1451.66</f>
        <v>1451.66</v>
      </c>
      <c r="K4038">
        <f>4520.89</f>
        <v>4520.8900000000003</v>
      </c>
      <c r="L4038">
        <f>1233.98</f>
        <v>1233.98</v>
      </c>
      <c r="M4038">
        <f>4704.34</f>
        <v>4704.34</v>
      </c>
      <c r="N4038">
        <f>158.07</f>
        <v>158.07</v>
      </c>
      <c r="O4038">
        <f>1897.95</f>
        <v>1897.95</v>
      </c>
      <c r="P4038">
        <f>96.76</f>
        <v>96.76</v>
      </c>
      <c r="Q4038">
        <f>742.73</f>
        <v>742.73</v>
      </c>
      <c r="R4038">
        <f>2184.67</f>
        <v>2184.67</v>
      </c>
      <c r="S4038">
        <f>1661.2</f>
        <v>1661.2</v>
      </c>
      <c r="T4038" t="e">
        <f>NA()</f>
        <v>#N/A</v>
      </c>
      <c r="U4038">
        <f>28937.43</f>
        <v>28937.43</v>
      </c>
      <c r="V4038">
        <f>132.21</f>
        <v>132.21</v>
      </c>
    </row>
    <row r="4039" spans="1:22" x14ac:dyDescent="0.2">
      <c r="A4039" s="1">
        <v>39454</v>
      </c>
      <c r="B4039">
        <f>3259.64</f>
        <v>3259.64</v>
      </c>
      <c r="C4039">
        <f>7071.02</f>
        <v>7071.02</v>
      </c>
      <c r="D4039">
        <f>3680.04</f>
        <v>3680.04</v>
      </c>
      <c r="E4039">
        <f>2001.575</f>
        <v>2001.575</v>
      </c>
      <c r="F4039">
        <f>2278.4</f>
        <v>2278.4</v>
      </c>
      <c r="G4039">
        <f>7373.818</f>
        <v>7373.8180000000002</v>
      </c>
      <c r="H4039">
        <f>1847.15</f>
        <v>1847.15</v>
      </c>
      <c r="I4039">
        <f>8299.219</f>
        <v>8299.2189999999991</v>
      </c>
      <c r="J4039">
        <f>1474.13</f>
        <v>1474.13</v>
      </c>
      <c r="K4039">
        <f>4604.56</f>
        <v>4604.5600000000004</v>
      </c>
      <c r="L4039">
        <f>1239.79</f>
        <v>1239.79</v>
      </c>
      <c r="M4039">
        <f>4735.13</f>
        <v>4735.13</v>
      </c>
      <c r="N4039">
        <f>156.438</f>
        <v>156.43799999999999</v>
      </c>
      <c r="O4039">
        <f>1886.32</f>
        <v>1886.32</v>
      </c>
      <c r="P4039">
        <f>96.64</f>
        <v>96.64</v>
      </c>
      <c r="Q4039">
        <f>758.83</f>
        <v>758.83</v>
      </c>
      <c r="R4039">
        <f>2224.76</f>
        <v>2224.7600000000002</v>
      </c>
      <c r="S4039">
        <f>1648.94</f>
        <v>1648.94</v>
      </c>
      <c r="T4039" t="e">
        <f>NA()</f>
        <v>#N/A</v>
      </c>
      <c r="U4039">
        <f>28640.42</f>
        <v>28640.42</v>
      </c>
      <c r="V4039">
        <f>130.73</f>
        <v>130.72999999999999</v>
      </c>
    </row>
    <row r="4040" spans="1:22" x14ac:dyDescent="0.2">
      <c r="A4040" s="1">
        <v>39451</v>
      </c>
      <c r="B4040">
        <f>3281.91</f>
        <v>3281.91</v>
      </c>
      <c r="C4040">
        <f>7222.87</f>
        <v>7222.87</v>
      </c>
      <c r="D4040">
        <f>3687.5</f>
        <v>3687.5</v>
      </c>
      <c r="E4040">
        <f>2030.57</f>
        <v>2030.57</v>
      </c>
      <c r="F4040">
        <f>2285.96</f>
        <v>2285.96</v>
      </c>
      <c r="G4040">
        <f>7389.894</f>
        <v>7389.8940000000002</v>
      </c>
      <c r="H4040">
        <f>1879.2</f>
        <v>1879.2</v>
      </c>
      <c r="I4040">
        <f>8351.595</f>
        <v>8351.5949999999993</v>
      </c>
      <c r="J4040">
        <f>1457.22</f>
        <v>1457.22</v>
      </c>
      <c r="K4040">
        <f>4592.32</f>
        <v>4592.32</v>
      </c>
      <c r="L4040">
        <f>1236.18</f>
        <v>1236.18</v>
      </c>
      <c r="M4040">
        <f>4754.12</f>
        <v>4754.12</v>
      </c>
      <c r="N4040">
        <f>157.129</f>
        <v>157.12899999999999</v>
      </c>
      <c r="O4040">
        <f>1886.64</f>
        <v>1886.64</v>
      </c>
      <c r="P4040">
        <f>97.46</f>
        <v>97.46</v>
      </c>
      <c r="Q4040">
        <f>749.64</f>
        <v>749.64</v>
      </c>
      <c r="R4040">
        <f>2217.59</f>
        <v>2217.59</v>
      </c>
      <c r="S4040">
        <f>1671.68</f>
        <v>1671.68</v>
      </c>
      <c r="T4040" t="e">
        <f>NA()</f>
        <v>#N/A</v>
      </c>
      <c r="U4040">
        <f>28979.73</f>
        <v>28979.73</v>
      </c>
      <c r="V4040">
        <f>132.32</f>
        <v>132.32</v>
      </c>
    </row>
    <row r="4041" spans="1:22" x14ac:dyDescent="0.2">
      <c r="A4041" s="1">
        <v>39450</v>
      </c>
      <c r="B4041">
        <f>3359.92</f>
        <v>3359.92</v>
      </c>
      <c r="C4041">
        <f>7289.68</f>
        <v>7289.68</v>
      </c>
      <c r="D4041">
        <f>3763.54</f>
        <v>3763.54</v>
      </c>
      <c r="E4041">
        <f>2034.671</f>
        <v>2034.671</v>
      </c>
      <c r="F4041">
        <f>2333.98</f>
        <v>2333.98</v>
      </c>
      <c r="G4041">
        <f>7535.523</f>
        <v>7535.5230000000001</v>
      </c>
      <c r="H4041">
        <f>1936.8</f>
        <v>1936.8</v>
      </c>
      <c r="I4041">
        <f>8471.397</f>
        <v>8471.3970000000008</v>
      </c>
      <c r="J4041">
        <f>1479.48</f>
        <v>1479.48</v>
      </c>
      <c r="K4041">
        <f>4709.33</f>
        <v>4709.33</v>
      </c>
      <c r="L4041">
        <f>1252.71</f>
        <v>1252.71</v>
      </c>
      <c r="M4041">
        <f>4856.24</f>
        <v>4856.24</v>
      </c>
      <c r="N4041">
        <f>160.468</f>
        <v>160.46799999999999</v>
      </c>
      <c r="O4041">
        <f>1923.38</f>
        <v>1923.38</v>
      </c>
      <c r="P4041" t="e">
        <f>NA()</f>
        <v>#N/A</v>
      </c>
      <c r="Q4041">
        <f>766.15</f>
        <v>766.15</v>
      </c>
      <c r="R4041">
        <f>2273.41</f>
        <v>2273.41</v>
      </c>
      <c r="S4041" t="e">
        <f>NA()</f>
        <v>#N/A</v>
      </c>
      <c r="T4041" t="e">
        <f>NA()</f>
        <v>#N/A</v>
      </c>
      <c r="U4041">
        <f>29124.84</f>
        <v>29124.84</v>
      </c>
      <c r="V4041">
        <f>132.84</f>
        <v>132.84</v>
      </c>
    </row>
    <row r="4042" spans="1:22" x14ac:dyDescent="0.2">
      <c r="A4042" s="1">
        <v>39449</v>
      </c>
      <c r="B4042">
        <f>3384.85</f>
        <v>3384.85</v>
      </c>
      <c r="C4042">
        <f>7332.4</f>
        <v>7332.4</v>
      </c>
      <c r="D4042">
        <f>3727.1</f>
        <v>3727.1</v>
      </c>
      <c r="E4042">
        <f>2047.454</f>
        <v>2047.454</v>
      </c>
      <c r="F4042">
        <f>2337.27</f>
        <v>2337.27</v>
      </c>
      <c r="G4042">
        <f>7502.434</f>
        <v>7502.4340000000002</v>
      </c>
      <c r="H4042">
        <f>1932.57</f>
        <v>1932.57</v>
      </c>
      <c r="I4042">
        <f>8522.17</f>
        <v>8522.17</v>
      </c>
      <c r="J4042">
        <f>1478.5</f>
        <v>1478.5</v>
      </c>
      <c r="K4042">
        <f>4710.48</f>
        <v>4710.4799999999996</v>
      </c>
      <c r="L4042">
        <f>1253.81</f>
        <v>1253.81</v>
      </c>
      <c r="M4042">
        <f>4861.33</f>
        <v>4861.33</v>
      </c>
      <c r="N4042">
        <f>161.675</f>
        <v>161.67500000000001</v>
      </c>
      <c r="O4042">
        <f>1927.3</f>
        <v>1927.3</v>
      </c>
      <c r="P4042" t="e">
        <f>NA()</f>
        <v>#N/A</v>
      </c>
      <c r="Q4042">
        <f>768.69</f>
        <v>768.69</v>
      </c>
      <c r="R4042">
        <f>2273.41</f>
        <v>2273.41</v>
      </c>
      <c r="S4042" t="e">
        <f>NA()</f>
        <v>#N/A</v>
      </c>
      <c r="T4042" t="e">
        <f>NA()</f>
        <v>#N/A</v>
      </c>
      <c r="U4042">
        <f>29290.15</f>
        <v>29290.15</v>
      </c>
      <c r="V4042">
        <f>134.92</f>
        <v>134.91999999999999</v>
      </c>
    </row>
    <row r="4043" spans="1:22" x14ac:dyDescent="0.2">
      <c r="A4043" s="1">
        <v>39448</v>
      </c>
      <c r="B4043" t="e">
        <f>NA()</f>
        <v>#N/A</v>
      </c>
      <c r="C4043">
        <f>7404.44</f>
        <v>7404.44</v>
      </c>
      <c r="D4043" t="e">
        <f>NA()</f>
        <v>#N/A</v>
      </c>
      <c r="E4043">
        <f>2064.703</f>
        <v>2064.703</v>
      </c>
      <c r="F4043">
        <f>2366.57</f>
        <v>2366.5700000000002</v>
      </c>
      <c r="G4043">
        <f>7589.994</f>
        <v>7589.9939999999997</v>
      </c>
      <c r="H4043">
        <f>1898.66</f>
        <v>1898.66</v>
      </c>
      <c r="I4043">
        <f>8541.492</f>
        <v>8541.4920000000002</v>
      </c>
      <c r="J4043">
        <f>1499.58</f>
        <v>1499.58</v>
      </c>
      <c r="K4043">
        <f>4776.31</f>
        <v>4776.3100000000004</v>
      </c>
      <c r="L4043">
        <f>1263.54</f>
        <v>1263.54</v>
      </c>
      <c r="M4043">
        <f>4893.54</f>
        <v>4893.54</v>
      </c>
      <c r="N4043" t="e">
        <f>NA()</f>
        <v>#N/A</v>
      </c>
      <c r="O4043" t="e">
        <f>NA()</f>
        <v>#N/A</v>
      </c>
      <c r="P4043" t="e">
        <f>NA()</f>
        <v>#N/A</v>
      </c>
      <c r="Q4043" t="e">
        <f>NA()</f>
        <v>#N/A</v>
      </c>
      <c r="R4043" t="e">
        <f>NA()</f>
        <v>#N/A</v>
      </c>
      <c r="S4043" t="e">
        <f>NA()</f>
        <v>#N/A</v>
      </c>
      <c r="T4043" t="e">
        <f>NA()</f>
        <v>#N/A</v>
      </c>
      <c r="U4043" t="e">
        <f>NA()</f>
        <v>#N/A</v>
      </c>
      <c r="V4043" t="e">
        <f>NA()</f>
        <v>#N/A</v>
      </c>
    </row>
    <row r="4044" spans="1:22" x14ac:dyDescent="0.2">
      <c r="A4044" s="1">
        <v>39447</v>
      </c>
      <c r="B4044">
        <f>3369.98</f>
        <v>3369.98</v>
      </c>
      <c r="C4044">
        <f>7401.99</f>
        <v>7401.99</v>
      </c>
      <c r="D4044">
        <f>3750.38</f>
        <v>3750.38</v>
      </c>
      <c r="E4044">
        <f>2064.109</f>
        <v>2064.1089999999999</v>
      </c>
      <c r="F4044">
        <f>2366.57</f>
        <v>2366.5700000000002</v>
      </c>
      <c r="G4044">
        <f>7589.994</f>
        <v>7589.9939999999997</v>
      </c>
      <c r="H4044">
        <f>1898.66</f>
        <v>1898.66</v>
      </c>
      <c r="I4044">
        <f>8541.492</f>
        <v>8541.4920000000002</v>
      </c>
      <c r="J4044">
        <f>1499.58</f>
        <v>1499.58</v>
      </c>
      <c r="K4044">
        <f>4776.31</f>
        <v>4776.3100000000004</v>
      </c>
      <c r="L4044">
        <f>1263.54</f>
        <v>1263.54</v>
      </c>
      <c r="M4044">
        <f>4893.54</f>
        <v>4893.54</v>
      </c>
      <c r="N4044">
        <f>163.4</f>
        <v>163.4</v>
      </c>
      <c r="O4044">
        <f>1953.71</f>
        <v>1953.71</v>
      </c>
      <c r="P4044" t="e">
        <f>NA()</f>
        <v>#N/A</v>
      </c>
      <c r="Q4044">
        <f>783.61</f>
        <v>783.61</v>
      </c>
      <c r="R4044">
        <f>2306.23</f>
        <v>2306.23</v>
      </c>
      <c r="S4044" t="e">
        <f>NA()</f>
        <v>#N/A</v>
      </c>
      <c r="T4044" t="e">
        <f>NA()</f>
        <v>#N/A</v>
      </c>
      <c r="U4044">
        <f>28957.97</f>
        <v>28957.97</v>
      </c>
      <c r="V4044">
        <f>134.62</f>
        <v>134.62</v>
      </c>
    </row>
    <row r="4045" spans="1:22" x14ac:dyDescent="0.2">
      <c r="A4045" s="1">
        <v>39444</v>
      </c>
      <c r="B4045">
        <f>3380.67</f>
        <v>3380.67</v>
      </c>
      <c r="C4045">
        <f>7430.42</f>
        <v>7430.42</v>
      </c>
      <c r="D4045">
        <f>3761.98</f>
        <v>3761.98</v>
      </c>
      <c r="E4045">
        <f>2066.329</f>
        <v>2066.3290000000002</v>
      </c>
      <c r="F4045">
        <f>2374.82</f>
        <v>2374.8200000000002</v>
      </c>
      <c r="G4045">
        <f>7621.824</f>
        <v>7621.8239999999996</v>
      </c>
      <c r="H4045">
        <f>1875.16</f>
        <v>1875.16</v>
      </c>
      <c r="I4045">
        <f>8589.717</f>
        <v>8589.7170000000006</v>
      </c>
      <c r="J4045">
        <f>1509.37</f>
        <v>1509.37</v>
      </c>
      <c r="K4045">
        <f>4808.34</f>
        <v>4808.34</v>
      </c>
      <c r="L4045">
        <f>1270.11</f>
        <v>1270.1099999999999</v>
      </c>
      <c r="M4045">
        <f>4911.94</f>
        <v>4911.9399999999996</v>
      </c>
      <c r="N4045">
        <f>162.612</f>
        <v>162.61199999999999</v>
      </c>
      <c r="O4045">
        <f>1950.79</f>
        <v>1950.79</v>
      </c>
      <c r="P4045">
        <f>101.28</f>
        <v>101.28</v>
      </c>
      <c r="Q4045">
        <f>788.58</f>
        <v>788.58</v>
      </c>
      <c r="R4045">
        <f>2322.11</f>
        <v>2322.11</v>
      </c>
      <c r="S4045">
        <f>1747.17</f>
        <v>1747.17</v>
      </c>
      <c r="T4045" t="e">
        <f>NA()</f>
        <v>#N/A</v>
      </c>
      <c r="U4045">
        <f>29634.65</f>
        <v>29634.65</v>
      </c>
      <c r="V4045">
        <f>136.1</f>
        <v>136.1</v>
      </c>
    </row>
    <row r="4046" spans="1:22" x14ac:dyDescent="0.2">
      <c r="A4046" s="1">
        <v>39443</v>
      </c>
      <c r="B4046">
        <f>3382.95</f>
        <v>3382.95</v>
      </c>
      <c r="C4046">
        <f>7409.46</f>
        <v>7409.46</v>
      </c>
      <c r="D4046">
        <f>3774.15</f>
        <v>3774.15</v>
      </c>
      <c r="E4046">
        <f>2068.512</f>
        <v>2068.5120000000002</v>
      </c>
      <c r="F4046">
        <f>2382.1</f>
        <v>2382.1</v>
      </c>
      <c r="G4046">
        <f>7627.188</f>
        <v>7627.1880000000001</v>
      </c>
      <c r="H4046">
        <f>1882.74</f>
        <v>1882.74</v>
      </c>
      <c r="I4046">
        <f>8496.836</f>
        <v>8496.8359999999993</v>
      </c>
      <c r="J4046">
        <f>1508.52</f>
        <v>1508.52</v>
      </c>
      <c r="K4046">
        <f>4801.91</f>
        <v>4801.91</v>
      </c>
      <c r="L4046">
        <f>1265.27</f>
        <v>1265.27</v>
      </c>
      <c r="M4046">
        <f>4897.51</f>
        <v>4897.51</v>
      </c>
      <c r="N4046">
        <f>162.904</f>
        <v>162.904</v>
      </c>
      <c r="O4046">
        <f>1955.2</f>
        <v>1955.2</v>
      </c>
      <c r="P4046">
        <f>102.73</f>
        <v>102.73</v>
      </c>
      <c r="Q4046">
        <f>787.06</f>
        <v>787.06</v>
      </c>
      <c r="R4046">
        <f>2318.72</f>
        <v>2318.7199999999998</v>
      </c>
      <c r="S4046">
        <f>1775.9</f>
        <v>1775.9</v>
      </c>
      <c r="T4046" t="e">
        <f>NA()</f>
        <v>#N/A</v>
      </c>
      <c r="U4046">
        <f>29781.39</f>
        <v>29781.39</v>
      </c>
      <c r="V4046">
        <f>136.48</f>
        <v>136.47999999999999</v>
      </c>
    </row>
    <row r="4047" spans="1:22" x14ac:dyDescent="0.2">
      <c r="A4047" s="1">
        <v>39442</v>
      </c>
      <c r="B4047">
        <f>3370.96</f>
        <v>3370.96</v>
      </c>
      <c r="C4047">
        <f>7350.21</f>
        <v>7350.21</v>
      </c>
      <c r="D4047" t="e">
        <f>NA()</f>
        <v>#N/A</v>
      </c>
      <c r="E4047">
        <f>2060.4</f>
        <v>2060.4</v>
      </c>
      <c r="F4047">
        <f>2371.04</f>
        <v>2371.04</v>
      </c>
      <c r="G4047">
        <f>7586.43</f>
        <v>7586.43</v>
      </c>
      <c r="H4047">
        <f>1894.25</f>
        <v>1894.25</v>
      </c>
      <c r="I4047">
        <f>8438.273</f>
        <v>8438.2729999999992</v>
      </c>
      <c r="J4047">
        <f>1529.15</f>
        <v>1529.15</v>
      </c>
      <c r="K4047">
        <f>4869.5</f>
        <v>4869.5</v>
      </c>
      <c r="L4047">
        <f>1266.26</f>
        <v>1266.26</v>
      </c>
      <c r="M4047">
        <f>4921.59</f>
        <v>4921.59</v>
      </c>
      <c r="N4047" t="e">
        <f>NA()</f>
        <v>#N/A</v>
      </c>
      <c r="O4047" t="e">
        <f>NA()</f>
        <v>#N/A</v>
      </c>
      <c r="P4047">
        <f>103.17</f>
        <v>103.17</v>
      </c>
      <c r="Q4047">
        <f>796.93</f>
        <v>796.93</v>
      </c>
      <c r="R4047">
        <f>2351.6</f>
        <v>2351.6</v>
      </c>
      <c r="S4047">
        <f>1786.01</f>
        <v>1786.01</v>
      </c>
      <c r="T4047" t="e">
        <f>NA()</f>
        <v>#N/A</v>
      </c>
      <c r="U4047" t="e">
        <f>NA()</f>
        <v>#N/A</v>
      </c>
      <c r="V4047" t="e">
        <f>NA()</f>
        <v>#N/A</v>
      </c>
    </row>
    <row r="4048" spans="1:22" x14ac:dyDescent="0.2">
      <c r="A4048" s="1">
        <v>39441</v>
      </c>
      <c r="B4048">
        <f>3370.96</f>
        <v>3370.96</v>
      </c>
      <c r="C4048">
        <f>7310.43</f>
        <v>7310.43</v>
      </c>
      <c r="D4048" t="e">
        <f>NA()</f>
        <v>#N/A</v>
      </c>
      <c r="E4048">
        <f>2050.635</f>
        <v>2050.6350000000002</v>
      </c>
      <c r="F4048">
        <f>2363.21</f>
        <v>2363.21</v>
      </c>
      <c r="G4048">
        <f>7561.374</f>
        <v>7561.3739999999998</v>
      </c>
      <c r="H4048">
        <f>1873.35</f>
        <v>1873.35</v>
      </c>
      <c r="I4048">
        <f>8379.116</f>
        <v>8379.116</v>
      </c>
      <c r="J4048">
        <f>1531.1</f>
        <v>1531.1</v>
      </c>
      <c r="K4048">
        <f>4865.43</f>
        <v>4865.43</v>
      </c>
      <c r="L4048">
        <f>1262.02</f>
        <v>1262.02</v>
      </c>
      <c r="M4048">
        <f>4903.72</f>
        <v>4903.72</v>
      </c>
      <c r="N4048" t="e">
        <f>NA()</f>
        <v>#N/A</v>
      </c>
      <c r="O4048" t="e">
        <f>NA()</f>
        <v>#N/A</v>
      </c>
      <c r="P4048">
        <f>101.85</f>
        <v>101.85</v>
      </c>
      <c r="Q4048" t="e">
        <f>NA()</f>
        <v>#N/A</v>
      </c>
      <c r="R4048" t="e">
        <f>NA()</f>
        <v>#N/A</v>
      </c>
      <c r="S4048">
        <f>1771.27</f>
        <v>1771.27</v>
      </c>
      <c r="T4048" t="e">
        <f>NA()</f>
        <v>#N/A</v>
      </c>
      <c r="U4048" t="e">
        <f>NA()</f>
        <v>#N/A</v>
      </c>
      <c r="V4048" t="e">
        <f>NA()</f>
        <v>#N/A</v>
      </c>
    </row>
    <row r="4049" spans="1:22" x14ac:dyDescent="0.2">
      <c r="A4049" s="1">
        <v>39440</v>
      </c>
      <c r="B4049">
        <f>3370.96</f>
        <v>3370.96</v>
      </c>
      <c r="C4049">
        <f>7297.34</f>
        <v>7297.34</v>
      </c>
      <c r="D4049">
        <f>3763.39</f>
        <v>3763.39</v>
      </c>
      <c r="E4049">
        <f>2050.275</f>
        <v>2050.2750000000001</v>
      </c>
      <c r="F4049">
        <f>2363.21</f>
        <v>2363.21</v>
      </c>
      <c r="G4049">
        <f>7561.374</f>
        <v>7561.3739999999998</v>
      </c>
      <c r="H4049">
        <f>1844.6</f>
        <v>1844.6</v>
      </c>
      <c r="I4049">
        <f>8379.116</f>
        <v>8379.116</v>
      </c>
      <c r="J4049">
        <f>1531.1</f>
        <v>1531.1</v>
      </c>
      <c r="K4049">
        <f>4865.43</f>
        <v>4865.43</v>
      </c>
      <c r="L4049">
        <f>1261.87</f>
        <v>1261.8699999999999</v>
      </c>
      <c r="M4049">
        <f>4894.36</f>
        <v>4894.3599999999997</v>
      </c>
      <c r="N4049">
        <f>163.592</f>
        <v>163.59200000000001</v>
      </c>
      <c r="O4049">
        <f>1956.12</f>
        <v>1956.12</v>
      </c>
      <c r="P4049" t="e">
        <f>NA()</f>
        <v>#N/A</v>
      </c>
      <c r="Q4049">
        <f>798.5</f>
        <v>798.5</v>
      </c>
      <c r="R4049">
        <f>2349.66</f>
        <v>2349.66</v>
      </c>
      <c r="S4049" t="e">
        <f>NA()</f>
        <v>#N/A</v>
      </c>
      <c r="T4049" t="e">
        <f>NA()</f>
        <v>#N/A</v>
      </c>
      <c r="U4049">
        <f>29505.36</f>
        <v>29505.360000000001</v>
      </c>
      <c r="V4049">
        <f>134.4</f>
        <v>134.4</v>
      </c>
    </row>
    <row r="4050" spans="1:22" x14ac:dyDescent="0.2">
      <c r="A4050" s="1">
        <v>39437</v>
      </c>
      <c r="B4050">
        <f>3366.94</f>
        <v>3366.94</v>
      </c>
      <c r="C4050">
        <f>7206.99</f>
        <v>7206.99</v>
      </c>
      <c r="D4050">
        <f>3735.92</f>
        <v>3735.92</v>
      </c>
      <c r="E4050">
        <f>2014.342</f>
        <v>2014.3420000000001</v>
      </c>
      <c r="F4050">
        <f>2353.94</f>
        <v>2353.94</v>
      </c>
      <c r="G4050">
        <f>7533.5</f>
        <v>7533.5</v>
      </c>
      <c r="H4050">
        <f>1852.21</f>
        <v>1852.21</v>
      </c>
      <c r="I4050">
        <f>8354.921</f>
        <v>8354.9210000000003</v>
      </c>
      <c r="J4050">
        <f>1521.52</f>
        <v>1521.52</v>
      </c>
      <c r="K4050">
        <f>4826.8</f>
        <v>4826.8</v>
      </c>
      <c r="L4050">
        <f>1255.58</f>
        <v>1255.58</v>
      </c>
      <c r="M4050">
        <f>4866.67</f>
        <v>4866.67</v>
      </c>
      <c r="N4050">
        <f>163.299</f>
        <v>163.29900000000001</v>
      </c>
      <c r="O4050">
        <f>1952.76</f>
        <v>1952.76</v>
      </c>
      <c r="P4050">
        <f>101.14</f>
        <v>101.14</v>
      </c>
      <c r="Q4050">
        <f>792.45</f>
        <v>792.45</v>
      </c>
      <c r="R4050">
        <f>2330.81</f>
        <v>2330.81</v>
      </c>
      <c r="S4050">
        <f>1738.47</f>
        <v>1738.47</v>
      </c>
      <c r="T4050" t="e">
        <f>NA()</f>
        <v>#N/A</v>
      </c>
      <c r="U4050">
        <f>29331.99</f>
        <v>29331.99</v>
      </c>
      <c r="V4050">
        <f>134.04</f>
        <v>134.04</v>
      </c>
    </row>
    <row r="4051" spans="1:22" x14ac:dyDescent="0.2">
      <c r="A4051" s="1">
        <v>39436</v>
      </c>
      <c r="B4051">
        <f>3332.34</f>
        <v>3332.34</v>
      </c>
      <c r="C4051">
        <f>7063.21</f>
        <v>7063.21</v>
      </c>
      <c r="D4051">
        <f>3684.52</f>
        <v>3684.52</v>
      </c>
      <c r="E4051">
        <f>1981.166</f>
        <v>1981.1659999999999</v>
      </c>
      <c r="F4051">
        <f>2322.54</f>
        <v>2322.54</v>
      </c>
      <c r="G4051">
        <f>7418.837</f>
        <v>7418.8370000000004</v>
      </c>
      <c r="H4051">
        <f>1853.17</f>
        <v>1853.17</v>
      </c>
      <c r="I4051">
        <f>8224.072</f>
        <v>8224.0720000000001</v>
      </c>
      <c r="J4051">
        <f>1500.24</f>
        <v>1500.24</v>
      </c>
      <c r="K4051">
        <f>4748.49</f>
        <v>4748.49</v>
      </c>
      <c r="L4051">
        <f>1237.54</f>
        <v>1237.54</v>
      </c>
      <c r="M4051">
        <f>4793.37</f>
        <v>4793.37</v>
      </c>
      <c r="N4051">
        <f>161.798</f>
        <v>161.798</v>
      </c>
      <c r="O4051">
        <f>1926.66</f>
        <v>1926.66</v>
      </c>
      <c r="P4051">
        <f>100.06</f>
        <v>100.06</v>
      </c>
      <c r="Q4051">
        <f>779.19</f>
        <v>779.19</v>
      </c>
      <c r="R4051">
        <f>2292.23</f>
        <v>2292.23</v>
      </c>
      <c r="S4051">
        <f>1724.7</f>
        <v>1724.7</v>
      </c>
      <c r="T4051" t="e">
        <f>NA()</f>
        <v>#N/A</v>
      </c>
      <c r="U4051">
        <f>28460.9</f>
        <v>28460.9</v>
      </c>
      <c r="V4051">
        <f>133.05</f>
        <v>133.05000000000001</v>
      </c>
    </row>
    <row r="4052" spans="1:22" x14ac:dyDescent="0.2">
      <c r="A4052" s="1">
        <v>39435</v>
      </c>
      <c r="B4052">
        <f>3298.99</f>
        <v>3298.99</v>
      </c>
      <c r="C4052">
        <f>7075.71</f>
        <v>7075.71</v>
      </c>
      <c r="D4052">
        <f>3649.09</f>
        <v>3649.09</v>
      </c>
      <c r="E4052">
        <f>1982.855</f>
        <v>1982.855</v>
      </c>
      <c r="F4052">
        <f>2329.78</f>
        <v>2329.7800000000002</v>
      </c>
      <c r="G4052">
        <f>7425.195</f>
        <v>7425.1949999999997</v>
      </c>
      <c r="H4052">
        <f>1842.46</f>
        <v>1842.46</v>
      </c>
      <c r="I4052">
        <f>8228.893</f>
        <v>8228.893</v>
      </c>
      <c r="J4052">
        <f>1500.41</f>
        <v>1500.41</v>
      </c>
      <c r="K4052">
        <f>4721.26</f>
        <v>4721.26</v>
      </c>
      <c r="L4052">
        <f>1238.87</f>
        <v>1238.8699999999999</v>
      </c>
      <c r="M4052">
        <f>4778.84</f>
        <v>4778.84</v>
      </c>
      <c r="N4052">
        <f>161.26</f>
        <v>161.26</v>
      </c>
      <c r="O4052">
        <f>1920.83</f>
        <v>1920.83</v>
      </c>
      <c r="P4052">
        <f>100.78</f>
        <v>100.78</v>
      </c>
      <c r="Q4052">
        <f>779.12</f>
        <v>779.12</v>
      </c>
      <c r="R4052">
        <f>2280.47</f>
        <v>2280.4699999999998</v>
      </c>
      <c r="S4052">
        <f>1723.8</f>
        <v>1723.8</v>
      </c>
      <c r="T4052" t="e">
        <f>NA()</f>
        <v>#N/A</v>
      </c>
      <c r="U4052">
        <f>28112.89</f>
        <v>28112.89</v>
      </c>
      <c r="V4052" t="e">
        <f>NA()</f>
        <v>#N/A</v>
      </c>
    </row>
    <row r="4053" spans="1:22" x14ac:dyDescent="0.2">
      <c r="A4053" s="1">
        <v>39434</v>
      </c>
      <c r="B4053">
        <f>3301.24</f>
        <v>3301.24</v>
      </c>
      <c r="C4053">
        <f>7001.87</f>
        <v>7001.87</v>
      </c>
      <c r="D4053">
        <f>3645.71</f>
        <v>3645.71</v>
      </c>
      <c r="E4053">
        <f>1970.36</f>
        <v>1970.36</v>
      </c>
      <c r="F4053">
        <f>2351.85</f>
        <v>2351.85</v>
      </c>
      <c r="G4053">
        <f>7471.625</f>
        <v>7471.625</v>
      </c>
      <c r="H4053">
        <f>1859.84</f>
        <v>1859.84</v>
      </c>
      <c r="I4053">
        <f>8269.756</f>
        <v>8269.7559999999994</v>
      </c>
      <c r="J4053">
        <f>1507.56</f>
        <v>1507.56</v>
      </c>
      <c r="K4053">
        <f>4725.8</f>
        <v>4725.8</v>
      </c>
      <c r="L4053">
        <f>1245.62</f>
        <v>1245.6199999999999</v>
      </c>
      <c r="M4053">
        <f>4792.28</f>
        <v>4792.28</v>
      </c>
      <c r="N4053">
        <f>161.15</f>
        <v>161.15</v>
      </c>
      <c r="O4053">
        <f>1929.39</f>
        <v>1929.39</v>
      </c>
      <c r="P4053">
        <f>102.13</f>
        <v>102.13</v>
      </c>
      <c r="Q4053">
        <f>782</f>
        <v>782</v>
      </c>
      <c r="R4053">
        <f>2283.5</f>
        <v>2283.5</v>
      </c>
      <c r="S4053">
        <f>1739.15</f>
        <v>1739.15</v>
      </c>
      <c r="T4053" t="e">
        <f>NA()</f>
        <v>#N/A</v>
      </c>
      <c r="U4053">
        <f>28526.34</f>
        <v>28526.34</v>
      </c>
      <c r="V4053" t="e">
        <f>NA()</f>
        <v>#N/A</v>
      </c>
    </row>
    <row r="4054" spans="1:22" x14ac:dyDescent="0.2">
      <c r="A4054" s="1">
        <v>39433</v>
      </c>
      <c r="B4054">
        <f>3309.83</f>
        <v>3309.83</v>
      </c>
      <c r="C4054">
        <f>6984.43</f>
        <v>6984.43</v>
      </c>
      <c r="D4054">
        <f>3644.86</f>
        <v>3644.86</v>
      </c>
      <c r="E4054">
        <f>1960.956</f>
        <v>1960.9559999999999</v>
      </c>
      <c r="F4054">
        <f>2347.75</f>
        <v>2347.75</v>
      </c>
      <c r="G4054">
        <f>7456.726</f>
        <v>7456.7259999999997</v>
      </c>
      <c r="H4054">
        <f>1860.36</f>
        <v>1860.36</v>
      </c>
      <c r="I4054">
        <f>8271.711</f>
        <v>8271.7109999999993</v>
      </c>
      <c r="J4054">
        <f>1500.72</f>
        <v>1500.72</v>
      </c>
      <c r="K4054">
        <f>4697.58</f>
        <v>4697.58</v>
      </c>
      <c r="L4054">
        <f>1243.34</f>
        <v>1243.3399999999999</v>
      </c>
      <c r="M4054">
        <f>4779.74</f>
        <v>4779.74</v>
      </c>
      <c r="N4054">
        <f>162.289</f>
        <v>162.28899999999999</v>
      </c>
      <c r="O4054">
        <f>1933.78</f>
        <v>1933.78</v>
      </c>
      <c r="P4054">
        <f>102.32</f>
        <v>102.32</v>
      </c>
      <c r="Q4054">
        <f>775.33</f>
        <v>775.33</v>
      </c>
      <c r="R4054">
        <f>2269.24</f>
        <v>2269.2399999999998</v>
      </c>
      <c r="S4054">
        <f>1742.61</f>
        <v>1742.61</v>
      </c>
      <c r="T4054" t="e">
        <f>NA()</f>
        <v>#N/A</v>
      </c>
      <c r="U4054" t="e">
        <f>NA()</f>
        <v>#N/A</v>
      </c>
      <c r="V4054" t="e">
        <f>NA()</f>
        <v>#N/A</v>
      </c>
    </row>
    <row r="4055" spans="1:22" x14ac:dyDescent="0.2">
      <c r="A4055" s="1">
        <v>39430</v>
      </c>
      <c r="B4055">
        <f>3396.65</f>
        <v>3396.65</v>
      </c>
      <c r="C4055">
        <f>7221.1</f>
        <v>7221.1</v>
      </c>
      <c r="D4055">
        <f>3713.89</f>
        <v>3713.89</v>
      </c>
      <c r="E4055">
        <f>2028.355</f>
        <v>2028.355</v>
      </c>
      <c r="F4055">
        <f>2404.11</f>
        <v>2404.11</v>
      </c>
      <c r="G4055">
        <f>7615.192</f>
        <v>7615.192</v>
      </c>
      <c r="H4055">
        <f>1887.7</f>
        <v>1887.7</v>
      </c>
      <c r="I4055">
        <f>8452.199</f>
        <v>8452.1990000000005</v>
      </c>
      <c r="J4055">
        <f>1516.83</f>
        <v>1516.83</v>
      </c>
      <c r="K4055">
        <f>4769.8</f>
        <v>4769.8</v>
      </c>
      <c r="L4055">
        <f>1264.92</f>
        <v>1264.92</v>
      </c>
      <c r="M4055">
        <f>4869.94</f>
        <v>4869.9399999999996</v>
      </c>
      <c r="N4055">
        <f>164.999</f>
        <v>164.999</v>
      </c>
      <c r="O4055">
        <f>1965.7</f>
        <v>1965.7</v>
      </c>
      <c r="P4055">
        <f>104.13</f>
        <v>104.13</v>
      </c>
      <c r="Q4055">
        <f>782.47</f>
        <v>782.47</v>
      </c>
      <c r="R4055">
        <f>2303.79</f>
        <v>2303.79</v>
      </c>
      <c r="S4055">
        <f>1776.4</f>
        <v>1776.4</v>
      </c>
      <c r="T4055" t="e">
        <f>NA()</f>
        <v>#N/A</v>
      </c>
      <c r="U4055">
        <f>28708</f>
        <v>28708</v>
      </c>
      <c r="V4055" t="e">
        <f>NA()</f>
        <v>#N/A</v>
      </c>
    </row>
    <row r="4056" spans="1:22" x14ac:dyDescent="0.2">
      <c r="A4056" s="1">
        <v>39429</v>
      </c>
      <c r="B4056">
        <f>3359.42</f>
        <v>3359.42</v>
      </c>
      <c r="C4056">
        <f>7331.45</f>
        <v>7331.45</v>
      </c>
      <c r="D4056">
        <f>3694.86</f>
        <v>3694.86</v>
      </c>
      <c r="E4056">
        <f>2057.565</f>
        <v>2057.5650000000001</v>
      </c>
      <c r="F4056">
        <f>2402.26</f>
        <v>2402.2600000000002</v>
      </c>
      <c r="G4056">
        <f>7642.12</f>
        <v>7642.12</v>
      </c>
      <c r="H4056">
        <f>1926.96</f>
        <v>1926.96</v>
      </c>
      <c r="I4056">
        <f>8523.825</f>
        <v>8523.8250000000007</v>
      </c>
      <c r="J4056">
        <f>1540.56</f>
        <v>1540.56</v>
      </c>
      <c r="K4056">
        <f>4835.73</f>
        <v>4835.7299999999996</v>
      </c>
      <c r="L4056">
        <f>1277.75</f>
        <v>1277.75</v>
      </c>
      <c r="M4056">
        <f>4929.05</f>
        <v>4929.05</v>
      </c>
      <c r="N4056">
        <f>163.956</f>
        <v>163.95599999999999</v>
      </c>
      <c r="O4056">
        <f>1957.1</f>
        <v>1957.1</v>
      </c>
      <c r="P4056">
        <f>104.54</f>
        <v>104.54</v>
      </c>
      <c r="Q4056">
        <f>794.45</f>
        <v>794.45</v>
      </c>
      <c r="R4056">
        <f>2335.79</f>
        <v>2335.79</v>
      </c>
      <c r="S4056">
        <f>1793.96</f>
        <v>1793.96</v>
      </c>
      <c r="T4056" t="e">
        <f>NA()</f>
        <v>#N/A</v>
      </c>
      <c r="U4056">
        <f>29388.65</f>
        <v>29388.65</v>
      </c>
      <c r="V4056" t="e">
        <f>NA()</f>
        <v>#N/A</v>
      </c>
    </row>
    <row r="4057" spans="1:22" x14ac:dyDescent="0.2">
      <c r="A4057" s="1">
        <v>39428</v>
      </c>
      <c r="B4057">
        <f>3487.47</f>
        <v>3487.47</v>
      </c>
      <c r="C4057">
        <f>7525.32</f>
        <v>7525.32</v>
      </c>
      <c r="D4057">
        <f>3808.42</f>
        <v>3808.42</v>
      </c>
      <c r="E4057">
        <f>2106.934</f>
        <v>2106.9340000000002</v>
      </c>
      <c r="F4057">
        <f>2515.61</f>
        <v>2515.61</v>
      </c>
      <c r="G4057">
        <f>7908.03</f>
        <v>7908.03</v>
      </c>
      <c r="H4057">
        <f>1972.23</f>
        <v>1972.23</v>
      </c>
      <c r="I4057">
        <f>8762.106</f>
        <v>8762.1059999999998</v>
      </c>
      <c r="J4057">
        <f>1539.31</f>
        <v>1539.31</v>
      </c>
      <c r="K4057">
        <f>4829.99</f>
        <v>4829.99</v>
      </c>
      <c r="L4057">
        <f>1299.96</f>
        <v>1299.96</v>
      </c>
      <c r="M4057">
        <f>4995.17</f>
        <v>4995.17</v>
      </c>
      <c r="N4057">
        <f>169.38</f>
        <v>169.38</v>
      </c>
      <c r="O4057">
        <f>2004.66</f>
        <v>2004.66</v>
      </c>
      <c r="P4057">
        <f>106.69</f>
        <v>106.69</v>
      </c>
      <c r="Q4057">
        <f>794.58</f>
        <v>794.58</v>
      </c>
      <c r="R4057">
        <f>2332.85</f>
        <v>2332.85</v>
      </c>
      <c r="S4057">
        <f>1842.28</f>
        <v>1842.28</v>
      </c>
      <c r="T4057" t="e">
        <f>NA()</f>
        <v>#N/A</v>
      </c>
      <c r="U4057">
        <f>30307.1</f>
        <v>30307.1</v>
      </c>
      <c r="V4057" t="e">
        <f>NA()</f>
        <v>#N/A</v>
      </c>
    </row>
    <row r="4058" spans="1:22" x14ac:dyDescent="0.2">
      <c r="A4058" s="1">
        <v>39427</v>
      </c>
      <c r="B4058">
        <f>3487.76</f>
        <v>3487.76</v>
      </c>
      <c r="C4058">
        <f>7548.01</f>
        <v>7548.01</v>
      </c>
      <c r="D4058">
        <f>3795.02</f>
        <v>3795.02</v>
      </c>
      <c r="E4058">
        <f>2118.622</f>
        <v>2118.6219999999998</v>
      </c>
      <c r="F4058">
        <f>2497.96</f>
        <v>2497.96</v>
      </c>
      <c r="G4058">
        <f>7855.934</f>
        <v>7855.9340000000002</v>
      </c>
      <c r="H4058">
        <f>1992.24</f>
        <v>1992.24</v>
      </c>
      <c r="I4058">
        <f>8756.98</f>
        <v>8756.98</v>
      </c>
      <c r="J4058">
        <f>1536.86</f>
        <v>1536.86</v>
      </c>
      <c r="K4058">
        <f>4801.7</f>
        <v>4801.7</v>
      </c>
      <c r="L4058">
        <f>1297.81</f>
        <v>1297.81</v>
      </c>
      <c r="M4058">
        <f>4985.19</f>
        <v>4985.1899999999996</v>
      </c>
      <c r="N4058">
        <f>169.405</f>
        <v>169.405</v>
      </c>
      <c r="O4058">
        <f>1997.17</f>
        <v>1997.17</v>
      </c>
      <c r="P4058">
        <f>106.65</f>
        <v>106.65</v>
      </c>
      <c r="Q4058">
        <f>793.97</f>
        <v>793.97</v>
      </c>
      <c r="R4058">
        <f>2318.52</f>
        <v>2318.52</v>
      </c>
      <c r="S4058">
        <f>1854.22</f>
        <v>1854.22</v>
      </c>
      <c r="T4058" t="e">
        <f>NA()</f>
        <v>#N/A</v>
      </c>
      <c r="U4058">
        <f>30468.61</f>
        <v>30468.61</v>
      </c>
      <c r="V4058" t="e">
        <f>NA()</f>
        <v>#N/A</v>
      </c>
    </row>
    <row r="4059" spans="1:22" x14ac:dyDescent="0.2">
      <c r="A4059" s="1">
        <v>39426</v>
      </c>
      <c r="B4059">
        <f>3500.77</f>
        <v>3500.77</v>
      </c>
      <c r="C4059">
        <f>7531.29</f>
        <v>7531.29</v>
      </c>
      <c r="D4059">
        <f>3811.57</f>
        <v>3811.57</v>
      </c>
      <c r="E4059">
        <f>2114.818</f>
        <v>2114.8180000000002</v>
      </c>
      <c r="F4059">
        <f>2530.95</f>
        <v>2530.9499999999998</v>
      </c>
      <c r="G4059">
        <f>7914.161</f>
        <v>7914.1610000000001</v>
      </c>
      <c r="H4059">
        <f>1976.06</f>
        <v>1976.06</v>
      </c>
      <c r="I4059">
        <f>8793.732</f>
        <v>8793.732</v>
      </c>
      <c r="J4059">
        <f>1571.03</f>
        <v>1571.03</v>
      </c>
      <c r="K4059">
        <f>4925.31</f>
        <v>4925.3100000000004</v>
      </c>
      <c r="L4059">
        <f>1312.21</f>
        <v>1312.21</v>
      </c>
      <c r="M4059">
        <f>5050.91</f>
        <v>5050.91</v>
      </c>
      <c r="N4059">
        <f>170.216</f>
        <v>170.21600000000001</v>
      </c>
      <c r="O4059">
        <f>2006.23</f>
        <v>2006.23</v>
      </c>
      <c r="P4059">
        <f>105.79</f>
        <v>105.79</v>
      </c>
      <c r="Q4059">
        <f>819.05</f>
        <v>819.05</v>
      </c>
      <c r="R4059">
        <f>2378.6</f>
        <v>2378.6</v>
      </c>
      <c r="S4059">
        <f>1844.15</f>
        <v>1844.15</v>
      </c>
      <c r="T4059" t="e">
        <f>NA()</f>
        <v>#N/A</v>
      </c>
      <c r="U4059">
        <f>30464.38</f>
        <v>30464.38</v>
      </c>
      <c r="V4059" t="e">
        <f>NA()</f>
        <v>#N/A</v>
      </c>
    </row>
    <row r="4060" spans="1:22" x14ac:dyDescent="0.2">
      <c r="A4060" s="1">
        <v>39423</v>
      </c>
      <c r="B4060">
        <f>3499.3</f>
        <v>3499.3</v>
      </c>
      <c r="C4060">
        <f>7562.51</f>
        <v>7562.51</v>
      </c>
      <c r="D4060">
        <f>3805.51</f>
        <v>3805.51</v>
      </c>
      <c r="E4060">
        <f>2124.345</f>
        <v>2124.3449999999998</v>
      </c>
      <c r="F4060">
        <f>2498.93</f>
        <v>2498.9299999999998</v>
      </c>
      <c r="G4060">
        <f>7839.17</f>
        <v>7839.17</v>
      </c>
      <c r="H4060">
        <f>1977.78</f>
        <v>1977.78</v>
      </c>
      <c r="I4060">
        <f>8709.037</f>
        <v>8709.0370000000003</v>
      </c>
      <c r="J4060">
        <f>1557.03</f>
        <v>1557.03</v>
      </c>
      <c r="K4060">
        <f>4887.76</f>
        <v>4887.76</v>
      </c>
      <c r="L4060">
        <f>1301.29</f>
        <v>1301.29</v>
      </c>
      <c r="M4060">
        <f>5016.67</f>
        <v>5016.67</v>
      </c>
      <c r="N4060">
        <f>169.6</f>
        <v>169.6</v>
      </c>
      <c r="O4060">
        <f>1994.23</f>
        <v>1994.23</v>
      </c>
      <c r="P4060">
        <f>106.1</f>
        <v>106.1</v>
      </c>
      <c r="Q4060">
        <f>810.45</f>
        <v>810.45</v>
      </c>
      <c r="R4060">
        <f>2360.79</f>
        <v>2360.79</v>
      </c>
      <c r="S4060">
        <f>1848</f>
        <v>1848</v>
      </c>
      <c r="T4060" t="e">
        <f>NA()</f>
        <v>#N/A</v>
      </c>
      <c r="U4060">
        <f>30390.67</f>
        <v>30390.67</v>
      </c>
      <c r="V4060" t="e">
        <f>NA()</f>
        <v>#N/A</v>
      </c>
    </row>
    <row r="4061" spans="1:22" x14ac:dyDescent="0.2">
      <c r="A4061" s="1">
        <v>39422</v>
      </c>
      <c r="B4061">
        <f>3452.43</f>
        <v>3452.43</v>
      </c>
      <c r="C4061">
        <f>7514.4</f>
        <v>7514.4</v>
      </c>
      <c r="D4061">
        <f>3765.27</f>
        <v>3765.27</v>
      </c>
      <c r="E4061">
        <f>2120.65</f>
        <v>2120.65</v>
      </c>
      <c r="F4061">
        <f>2467.03</f>
        <v>2467.0300000000002</v>
      </c>
      <c r="G4061">
        <f>7738.899</f>
        <v>7738.8990000000003</v>
      </c>
      <c r="H4061">
        <f>1960.26</f>
        <v>1960.26</v>
      </c>
      <c r="I4061">
        <f>8632.411</f>
        <v>8632.4110000000001</v>
      </c>
      <c r="J4061">
        <f>1561.53</f>
        <v>1561.53</v>
      </c>
      <c r="K4061">
        <f>4893.44</f>
        <v>4893.4399999999996</v>
      </c>
      <c r="L4061">
        <f>1293.61</f>
        <v>1293.6099999999999</v>
      </c>
      <c r="M4061">
        <f>4997.65</f>
        <v>4997.6499999999996</v>
      </c>
      <c r="N4061">
        <f>168.545</f>
        <v>168.54499999999999</v>
      </c>
      <c r="O4061">
        <f>1980.32</f>
        <v>1980.32</v>
      </c>
      <c r="P4061">
        <f>105.39</f>
        <v>105.39</v>
      </c>
      <c r="Q4061">
        <f>811.5</f>
        <v>811.5</v>
      </c>
      <c r="R4061">
        <f>2364.97</f>
        <v>2364.9699999999998</v>
      </c>
      <c r="S4061">
        <f>1836.76</f>
        <v>1836.76</v>
      </c>
      <c r="T4061" t="e">
        <f>NA()</f>
        <v>#N/A</v>
      </c>
      <c r="U4061">
        <f>30133.74</f>
        <v>30133.74</v>
      </c>
      <c r="V4061" t="e">
        <f>NA()</f>
        <v>#N/A</v>
      </c>
    </row>
    <row r="4062" spans="1:22" x14ac:dyDescent="0.2">
      <c r="A4062" s="1">
        <v>39421</v>
      </c>
      <c r="B4062">
        <f>3461.43</f>
        <v>3461.43</v>
      </c>
      <c r="C4062">
        <f>7443.83</f>
        <v>7443.83</v>
      </c>
      <c r="D4062">
        <f>3770.02</f>
        <v>3770.02</v>
      </c>
      <c r="E4062">
        <f>2102.291</f>
        <v>2102.2910000000002</v>
      </c>
      <c r="F4062">
        <f>2457.8</f>
        <v>2457.8000000000002</v>
      </c>
      <c r="G4062">
        <f>7757.468</f>
        <v>7757.4679999999998</v>
      </c>
      <c r="H4062">
        <f>1946.17</f>
        <v>1946.17</v>
      </c>
      <c r="I4062">
        <f>8645.409</f>
        <v>8645.4089999999997</v>
      </c>
      <c r="J4062">
        <f>1544.32</f>
        <v>1544.32</v>
      </c>
      <c r="K4062">
        <f>4819.98</f>
        <v>4819.9799999999996</v>
      </c>
      <c r="L4062">
        <f>1287.33</f>
        <v>1287.33</v>
      </c>
      <c r="M4062">
        <f>4954.15</f>
        <v>4954.1499999999996</v>
      </c>
      <c r="N4062">
        <f>168.743</f>
        <v>168.74299999999999</v>
      </c>
      <c r="O4062">
        <f>1978.35</f>
        <v>1978.35</v>
      </c>
      <c r="P4062">
        <f>104.21</f>
        <v>104.21</v>
      </c>
      <c r="Q4062">
        <f>804.23</f>
        <v>804.23</v>
      </c>
      <c r="R4062">
        <f>2329.71</f>
        <v>2329.71</v>
      </c>
      <c r="S4062">
        <f>1806.43</f>
        <v>1806.43</v>
      </c>
      <c r="T4062" t="e">
        <f>NA()</f>
        <v>#N/A</v>
      </c>
      <c r="U4062">
        <f>30118.15</f>
        <v>30118.15</v>
      </c>
      <c r="V4062" t="e">
        <f>NA()</f>
        <v>#N/A</v>
      </c>
    </row>
    <row r="4063" spans="1:22" x14ac:dyDescent="0.2">
      <c r="A4063" s="1">
        <v>39420</v>
      </c>
      <c r="B4063">
        <f>3380.41</f>
        <v>3380.41</v>
      </c>
      <c r="C4063">
        <f>7298.96</f>
        <v>7298.96</v>
      </c>
      <c r="D4063">
        <f>3665.59</f>
        <v>3665.59</v>
      </c>
      <c r="E4063">
        <f>2064.735</f>
        <v>2064.7350000000001</v>
      </c>
      <c r="F4063">
        <f>2416.74</f>
        <v>2416.7399999999998</v>
      </c>
      <c r="G4063">
        <f>7657.503</f>
        <v>7657.5029999999997</v>
      </c>
      <c r="H4063">
        <f>1966.83</f>
        <v>1966.83</v>
      </c>
      <c r="I4063">
        <f>8561.726</f>
        <v>8561.7260000000006</v>
      </c>
      <c r="J4063">
        <f>1521.8</f>
        <v>1521.8</v>
      </c>
      <c r="K4063">
        <f>4746.45</f>
        <v>4746.45</v>
      </c>
      <c r="L4063">
        <f>1272.52</f>
        <v>1272.52</v>
      </c>
      <c r="M4063">
        <f>4901.26</f>
        <v>4901.26</v>
      </c>
      <c r="N4063">
        <f>166.466</f>
        <v>166.46600000000001</v>
      </c>
      <c r="O4063">
        <f>1944.68</f>
        <v>1944.68</v>
      </c>
      <c r="P4063">
        <f>103.35</f>
        <v>103.35</v>
      </c>
      <c r="Q4063">
        <f>794.98</f>
        <v>794.98</v>
      </c>
      <c r="R4063">
        <f>2293.66</f>
        <v>2293.66</v>
      </c>
      <c r="S4063">
        <f>1793.26</f>
        <v>1793.26</v>
      </c>
      <c r="T4063" t="e">
        <f>NA()</f>
        <v>#N/A</v>
      </c>
      <c r="U4063">
        <f>29947.49</f>
        <v>29947.49</v>
      </c>
      <c r="V4063" t="e">
        <f>NA()</f>
        <v>#N/A</v>
      </c>
    </row>
    <row r="4064" spans="1:22" x14ac:dyDescent="0.2">
      <c r="A4064" s="1">
        <v>39419</v>
      </c>
      <c r="B4064">
        <f>3461.03</f>
        <v>3461.03</v>
      </c>
      <c r="C4064">
        <f>7295.21</f>
        <v>7295.21</v>
      </c>
      <c r="D4064">
        <f>3707.01</f>
        <v>3707.01</v>
      </c>
      <c r="E4064">
        <f>2058.652</f>
        <v>2058.652</v>
      </c>
      <c r="F4064">
        <f>2482.29</f>
        <v>2482.29</v>
      </c>
      <c r="G4064">
        <f>7784.154</f>
        <v>7784.1540000000005</v>
      </c>
      <c r="H4064">
        <f>1976.68</f>
        <v>1976.68</v>
      </c>
      <c r="I4064">
        <f>8594.328</f>
        <v>8594.3279999999995</v>
      </c>
      <c r="J4064">
        <f>1531.83</f>
        <v>1531.83</v>
      </c>
      <c r="K4064">
        <f>4777.35</f>
        <v>4777.3500000000004</v>
      </c>
      <c r="L4064">
        <f>1282.55</f>
        <v>1282.55</v>
      </c>
      <c r="M4064">
        <f>4935.04</f>
        <v>4935.04</v>
      </c>
      <c r="N4064">
        <f>169.62</f>
        <v>169.62</v>
      </c>
      <c r="O4064">
        <f>1971.83</f>
        <v>1971.83</v>
      </c>
      <c r="P4064">
        <f>104.16</f>
        <v>104.16</v>
      </c>
      <c r="Q4064">
        <f>801.72</f>
        <v>801.72</v>
      </c>
      <c r="R4064">
        <f>2308.74</f>
        <v>2308.7399999999998</v>
      </c>
      <c r="S4064">
        <f>1812.97</f>
        <v>1812.97</v>
      </c>
      <c r="T4064" t="e">
        <f>NA()</f>
        <v>#N/A</v>
      </c>
      <c r="U4064">
        <f>30303.67</f>
        <v>30303.67</v>
      </c>
      <c r="V4064" t="e">
        <f>NA()</f>
        <v>#N/A</v>
      </c>
    </row>
    <row r="4065" spans="1:22" x14ac:dyDescent="0.2">
      <c r="A4065" s="1">
        <v>39416</v>
      </c>
      <c r="B4065">
        <f>3492.77</f>
        <v>3492.77</v>
      </c>
      <c r="C4065">
        <f>7301.47</f>
        <v>7301.47</v>
      </c>
      <c r="D4065">
        <f>3733.64</f>
        <v>3733.64</v>
      </c>
      <c r="E4065">
        <f>2056.724</f>
        <v>2056.7240000000002</v>
      </c>
      <c r="F4065">
        <f>2479.54</f>
        <v>2479.54</v>
      </c>
      <c r="G4065">
        <f>7800.15</f>
        <v>7800.15</v>
      </c>
      <c r="H4065">
        <f>1977.67</f>
        <v>1977.67</v>
      </c>
      <c r="I4065">
        <f>8654.478</f>
        <v>8654.4779999999992</v>
      </c>
      <c r="J4065">
        <f>1543.16</f>
        <v>1543.16</v>
      </c>
      <c r="K4065">
        <f>4803.74</f>
        <v>4803.74</v>
      </c>
      <c r="L4065">
        <f>1289.13</f>
        <v>1289.1300000000001</v>
      </c>
      <c r="M4065">
        <f>4956.05</f>
        <v>4956.05</v>
      </c>
      <c r="N4065">
        <f>170.689</f>
        <v>170.68899999999999</v>
      </c>
      <c r="O4065">
        <f>1980.06</f>
        <v>1980.06</v>
      </c>
      <c r="P4065">
        <f>103.69</f>
        <v>103.69</v>
      </c>
      <c r="Q4065">
        <f>808.07</f>
        <v>808.07</v>
      </c>
      <c r="R4065">
        <f>2322.34</f>
        <v>2322.34</v>
      </c>
      <c r="S4065">
        <f>1812.64</f>
        <v>1812.64</v>
      </c>
      <c r="T4065" t="e">
        <f>NA()</f>
        <v>#N/A</v>
      </c>
      <c r="U4065">
        <f>30307.8</f>
        <v>30307.8</v>
      </c>
      <c r="V4065" t="e">
        <f>NA()</f>
        <v>#N/A</v>
      </c>
    </row>
    <row r="4066" spans="1:22" x14ac:dyDescent="0.2">
      <c r="A4066" s="1">
        <v>39415</v>
      </c>
      <c r="B4066">
        <f>3477.41</f>
        <v>3477.41</v>
      </c>
      <c r="C4066">
        <f>7239.86</f>
        <v>7239.86</v>
      </c>
      <c r="D4066">
        <f>3685.27</f>
        <v>3685.27</v>
      </c>
      <c r="E4066">
        <f>2031.429</f>
        <v>2031.4290000000001</v>
      </c>
      <c r="F4066">
        <f>2450.13</f>
        <v>2450.13</v>
      </c>
      <c r="G4066">
        <f>7737.136</f>
        <v>7737.1360000000004</v>
      </c>
      <c r="H4066">
        <f>1972.2</f>
        <v>1972.2</v>
      </c>
      <c r="I4066">
        <f>8615.617</f>
        <v>8615.6170000000002</v>
      </c>
      <c r="J4066">
        <f>1523.84</f>
        <v>1523.84</v>
      </c>
      <c r="K4066">
        <f>4768.22</f>
        <v>4768.22</v>
      </c>
      <c r="L4066">
        <f>1276.34</f>
        <v>1276.3399999999999</v>
      </c>
      <c r="M4066">
        <f>4927.18</f>
        <v>4927.18</v>
      </c>
      <c r="N4066">
        <f>168.963</f>
        <v>168.96299999999999</v>
      </c>
      <c r="O4066">
        <f>1956.92</f>
        <v>1956.92</v>
      </c>
      <c r="P4066">
        <f>103.03</f>
        <v>103.03</v>
      </c>
      <c r="Q4066">
        <f>800.25</f>
        <v>800.25</v>
      </c>
      <c r="R4066">
        <f>2304.43</f>
        <v>2304.4299999999998</v>
      </c>
      <c r="S4066">
        <f>1792.04</f>
        <v>1792.04</v>
      </c>
      <c r="T4066" t="e">
        <f>NA()</f>
        <v>#N/A</v>
      </c>
      <c r="U4066">
        <f>29925.76</f>
        <v>29925.759999999998</v>
      </c>
      <c r="V4066" t="e">
        <f>NA()</f>
        <v>#N/A</v>
      </c>
    </row>
    <row r="4067" spans="1:22" x14ac:dyDescent="0.2">
      <c r="A4067" s="1">
        <v>39414</v>
      </c>
      <c r="B4067">
        <f>3445.36</f>
        <v>3445.36</v>
      </c>
      <c r="C4067">
        <f>7121.83</f>
        <v>7121.83</v>
      </c>
      <c r="D4067">
        <f>3660.38</f>
        <v>3660.38</v>
      </c>
      <c r="E4067">
        <f>1993.077</f>
        <v>1993.077</v>
      </c>
      <c r="F4067">
        <f>2473.54</f>
        <v>2473.54</v>
      </c>
      <c r="G4067">
        <f>7719.801</f>
        <v>7719.8010000000004</v>
      </c>
      <c r="H4067">
        <f>1915.82</f>
        <v>1915.82</v>
      </c>
      <c r="I4067">
        <f>8559.641</f>
        <v>8559.6409999999996</v>
      </c>
      <c r="J4067">
        <f>1523.95</f>
        <v>1523.95</v>
      </c>
      <c r="K4067">
        <f>4764.71</f>
        <v>4764.71</v>
      </c>
      <c r="L4067">
        <f>1272.96</f>
        <v>1272.96</v>
      </c>
      <c r="M4067">
        <f>4898.06</f>
        <v>4898.0600000000004</v>
      </c>
      <c r="N4067">
        <f>167.821</f>
        <v>167.821</v>
      </c>
      <c r="O4067">
        <f>1947.14</f>
        <v>1947.14</v>
      </c>
      <c r="P4067">
        <f>101.04</f>
        <v>101.04</v>
      </c>
      <c r="Q4067">
        <f>802.94</f>
        <v>802.94</v>
      </c>
      <c r="R4067">
        <f>2303.17</f>
        <v>2303.17</v>
      </c>
      <c r="S4067">
        <f>1746.1</f>
        <v>1746.1</v>
      </c>
      <c r="T4067" t="e">
        <f>NA()</f>
        <v>#N/A</v>
      </c>
      <c r="U4067">
        <f>29410.07</f>
        <v>29410.07</v>
      </c>
      <c r="V4067" t="e">
        <f>NA()</f>
        <v>#N/A</v>
      </c>
    </row>
    <row r="4068" spans="1:22" x14ac:dyDescent="0.2">
      <c r="A4068" s="1">
        <v>39413</v>
      </c>
      <c r="B4068">
        <f>3356.31</f>
        <v>3356.31</v>
      </c>
      <c r="C4068">
        <f>7007.74</f>
        <v>7007.74</v>
      </c>
      <c r="D4068">
        <f>3562.71</f>
        <v>3562.71</v>
      </c>
      <c r="E4068">
        <f>1967.057</f>
        <v>1967.057</v>
      </c>
      <c r="F4068">
        <f>2398.33</f>
        <v>2398.33</v>
      </c>
      <c r="G4068">
        <f>7509.467</f>
        <v>7509.4669999999996</v>
      </c>
      <c r="H4068">
        <f>1947.5</f>
        <v>1947.5</v>
      </c>
      <c r="I4068">
        <f>8421.42</f>
        <v>8421.42</v>
      </c>
      <c r="J4068">
        <f>1484.42</f>
        <v>1484.42</v>
      </c>
      <c r="K4068">
        <f>4632.72</f>
        <v>4632.72</v>
      </c>
      <c r="L4068">
        <f>1246.3</f>
        <v>1246.3</v>
      </c>
      <c r="M4068">
        <f>4803.87</f>
        <v>4803.87</v>
      </c>
      <c r="N4068">
        <f>164.002</f>
        <v>164.00200000000001</v>
      </c>
      <c r="O4068">
        <f>1896.92</f>
        <v>1896.92</v>
      </c>
      <c r="P4068">
        <f>100.81</f>
        <v>100.81</v>
      </c>
      <c r="Q4068">
        <f>780.7</f>
        <v>780.7</v>
      </c>
      <c r="R4068">
        <f>2238.52</f>
        <v>2238.52</v>
      </c>
      <c r="S4068">
        <f>1749.81</f>
        <v>1749.81</v>
      </c>
      <c r="T4068" t="e">
        <f>NA()</f>
        <v>#N/A</v>
      </c>
      <c r="U4068">
        <f>29286.3</f>
        <v>29286.3</v>
      </c>
      <c r="V4068" t="e">
        <f>NA()</f>
        <v>#N/A</v>
      </c>
    </row>
    <row r="4069" spans="1:22" x14ac:dyDescent="0.2">
      <c r="A4069" s="1">
        <v>39412</v>
      </c>
      <c r="B4069">
        <f>3383.42</f>
        <v>3383.42</v>
      </c>
      <c r="C4069">
        <f>7106.77</f>
        <v>7106.77</v>
      </c>
      <c r="D4069">
        <f>3585.81</f>
        <v>3585.81</v>
      </c>
      <c r="E4069">
        <f>1988.466</f>
        <v>1988.4659999999999</v>
      </c>
      <c r="F4069">
        <f>2386</f>
        <v>2386</v>
      </c>
      <c r="G4069">
        <f>7560.673</f>
        <v>7560.6729999999998</v>
      </c>
      <c r="H4069">
        <f>1939.85</f>
        <v>1939.85</v>
      </c>
      <c r="I4069">
        <f>8437.977</f>
        <v>8437.9770000000008</v>
      </c>
      <c r="J4069">
        <f>1459.05</f>
        <v>1459.05</v>
      </c>
      <c r="K4069">
        <f>4565.98</f>
        <v>4565.9799999999996</v>
      </c>
      <c r="L4069">
        <f>1240.05</f>
        <v>1240.05</v>
      </c>
      <c r="M4069">
        <f>4777.91</f>
        <v>4777.91</v>
      </c>
      <c r="N4069">
        <f>163.94</f>
        <v>163.94</v>
      </c>
      <c r="O4069">
        <f>1903.31</f>
        <v>1903.31</v>
      </c>
      <c r="P4069">
        <f>100.42</f>
        <v>100.42</v>
      </c>
      <c r="Q4069">
        <f>768.38</f>
        <v>768.38</v>
      </c>
      <c r="R4069">
        <f>2205.49</f>
        <v>2205.4899999999998</v>
      </c>
      <c r="S4069">
        <f>1735.85</f>
        <v>1735.85</v>
      </c>
      <c r="T4069" t="e">
        <f>NA()</f>
        <v>#N/A</v>
      </c>
      <c r="U4069">
        <f>29448.69</f>
        <v>29448.69</v>
      </c>
      <c r="V4069" t="e">
        <f>NA()</f>
        <v>#N/A</v>
      </c>
    </row>
    <row r="4070" spans="1:22" x14ac:dyDescent="0.2">
      <c r="A4070" s="1">
        <v>39409</v>
      </c>
      <c r="B4070">
        <f>3416.87</f>
        <v>3416.87</v>
      </c>
      <c r="C4070">
        <f>7090.37</f>
        <v>7090.37</v>
      </c>
      <c r="D4070">
        <f>3633.18</f>
        <v>3633.18</v>
      </c>
      <c r="E4070">
        <f>1963.896</f>
        <v>1963.896</v>
      </c>
      <c r="F4070">
        <f>2410.42</f>
        <v>2410.42</v>
      </c>
      <c r="G4070">
        <f>7611.416</f>
        <v>7611.4160000000002</v>
      </c>
      <c r="H4070">
        <f>1903.72</f>
        <v>1903.72</v>
      </c>
      <c r="I4070">
        <f>8447.454</f>
        <v>8447.4539999999997</v>
      </c>
      <c r="J4070">
        <f>1493.84</f>
        <v>1493.84</v>
      </c>
      <c r="K4070">
        <f>4671.39</f>
        <v>4671.3900000000003</v>
      </c>
      <c r="L4070">
        <f>1252.54</f>
        <v>1252.54</v>
      </c>
      <c r="M4070">
        <f>4818.86</f>
        <v>4818.8599999999997</v>
      </c>
      <c r="N4070">
        <f>164.673</f>
        <v>164.673</v>
      </c>
      <c r="O4070">
        <f>1914.99</f>
        <v>1914.99</v>
      </c>
      <c r="P4070" t="e">
        <f>NA()</f>
        <v>#N/A</v>
      </c>
      <c r="Q4070">
        <f>785.45</f>
        <v>785.45</v>
      </c>
      <c r="R4070">
        <f>2257.95</f>
        <v>2257.9499999999998</v>
      </c>
      <c r="S4070" t="e">
        <f>NA()</f>
        <v>#N/A</v>
      </c>
      <c r="T4070" t="e">
        <f>NA()</f>
        <v>#N/A</v>
      </c>
      <c r="U4070">
        <f>29602.59</f>
        <v>29602.59</v>
      </c>
      <c r="V4070" t="e">
        <f>NA()</f>
        <v>#N/A</v>
      </c>
    </row>
    <row r="4071" spans="1:22" x14ac:dyDescent="0.2">
      <c r="A4071" s="1">
        <v>39408</v>
      </c>
      <c r="B4071">
        <f>3346.13</f>
        <v>3346.13</v>
      </c>
      <c r="C4071">
        <f>7103.92</f>
        <v>7103.92</v>
      </c>
      <c r="D4071">
        <f>3571.21</f>
        <v>3571.21</v>
      </c>
      <c r="E4071">
        <f>1962.764</f>
        <v>1962.7639999999999</v>
      </c>
      <c r="F4071">
        <f>2369.2</f>
        <v>2369.1999999999998</v>
      </c>
      <c r="G4071">
        <f>7507.328</f>
        <v>7507.3280000000004</v>
      </c>
      <c r="H4071">
        <f>1895.16</f>
        <v>1895.16</v>
      </c>
      <c r="I4071">
        <f>8349.558</f>
        <v>8349.5580000000009</v>
      </c>
      <c r="J4071">
        <f>1470.15</f>
        <v>1470.15</v>
      </c>
      <c r="K4071">
        <f>4596.09</f>
        <v>4596.09</v>
      </c>
      <c r="L4071">
        <f>1237.95</f>
        <v>1237.95</v>
      </c>
      <c r="M4071">
        <f>4758.11</f>
        <v>4758.1099999999997</v>
      </c>
      <c r="N4071">
        <f>162.477</f>
        <v>162.477</v>
      </c>
      <c r="O4071">
        <f>1885.45</f>
        <v>1885.45</v>
      </c>
      <c r="P4071">
        <f>98.9</f>
        <v>98.9</v>
      </c>
      <c r="Q4071">
        <f>771.92</f>
        <v>771.92</v>
      </c>
      <c r="R4071" t="e">
        <f>NA()</f>
        <v>#N/A</v>
      </c>
      <c r="S4071">
        <f>1700.76</f>
        <v>1700.76</v>
      </c>
      <c r="T4071" t="e">
        <f>NA()</f>
        <v>#N/A</v>
      </c>
      <c r="U4071">
        <f>29127.42</f>
        <v>29127.42</v>
      </c>
      <c r="V4071" t="e">
        <f>NA()</f>
        <v>#N/A</v>
      </c>
    </row>
    <row r="4072" spans="1:22" x14ac:dyDescent="0.2">
      <c r="A4072" s="1">
        <v>39407</v>
      </c>
      <c r="B4072">
        <f>3292.78</f>
        <v>3292.78</v>
      </c>
      <c r="C4072">
        <f>7073.19</f>
        <v>7073.19</v>
      </c>
      <c r="D4072">
        <f>3522.22</f>
        <v>3522.22</v>
      </c>
      <c r="E4072">
        <f>1967.714</f>
        <v>1967.7139999999999</v>
      </c>
      <c r="F4072">
        <f>2321.06</f>
        <v>2321.06</v>
      </c>
      <c r="G4072">
        <f>7383.911</f>
        <v>7383.9110000000001</v>
      </c>
      <c r="H4072">
        <f>1892.97</f>
        <v>1892.97</v>
      </c>
      <c r="I4072">
        <f>8300.626</f>
        <v>8300.6260000000002</v>
      </c>
      <c r="J4072">
        <f>1470.15</f>
        <v>1470.15</v>
      </c>
      <c r="K4072">
        <f>4596.09</f>
        <v>4596.09</v>
      </c>
      <c r="L4072">
        <f>1232.26</f>
        <v>1232.26</v>
      </c>
      <c r="M4072">
        <f>4743.84</f>
        <v>4743.84</v>
      </c>
      <c r="N4072">
        <f>160.566</f>
        <v>160.566</v>
      </c>
      <c r="O4072">
        <f>1871.75</f>
        <v>1871.75</v>
      </c>
      <c r="P4072">
        <f>98.98</f>
        <v>98.98</v>
      </c>
      <c r="Q4072">
        <f>771.92</f>
        <v>771.92</v>
      </c>
      <c r="R4072">
        <f>2220.21</f>
        <v>2220.21</v>
      </c>
      <c r="S4072">
        <f>1702.35</f>
        <v>1702.35</v>
      </c>
      <c r="T4072" t="e">
        <f>NA()</f>
        <v>#N/A</v>
      </c>
      <c r="U4072">
        <f>29146.35</f>
        <v>29146.35</v>
      </c>
      <c r="V4072" t="e">
        <f>NA()</f>
        <v>#N/A</v>
      </c>
    </row>
    <row r="4073" spans="1:22" x14ac:dyDescent="0.2">
      <c r="A4073" s="1">
        <v>39406</v>
      </c>
      <c r="B4073">
        <f>3387.28</f>
        <v>3387.28</v>
      </c>
      <c r="C4073">
        <f>7290.37</f>
        <v>7290.37</v>
      </c>
      <c r="D4073">
        <f>3606.57</f>
        <v>3606.57</v>
      </c>
      <c r="E4073">
        <f>2033.855</f>
        <v>2033.855</v>
      </c>
      <c r="F4073">
        <f>2415.2</f>
        <v>2415.1999999999998</v>
      </c>
      <c r="G4073">
        <f>7592.54</f>
        <v>7592.54</v>
      </c>
      <c r="H4073">
        <f>1896.09</f>
        <v>1896.09</v>
      </c>
      <c r="I4073">
        <f>8467.68</f>
        <v>8467.68</v>
      </c>
      <c r="J4073">
        <f>1494.14</f>
        <v>1494.14</v>
      </c>
      <c r="K4073">
        <f>4668.07</f>
        <v>4668.07</v>
      </c>
      <c r="L4073">
        <f>1257.63</f>
        <v>1257.6300000000001</v>
      </c>
      <c r="M4073">
        <f>4829.36</f>
        <v>4829.3599999999997</v>
      </c>
      <c r="N4073">
        <f>165.129</f>
        <v>165.12899999999999</v>
      </c>
      <c r="O4073">
        <f>1917.93</f>
        <v>1917.93</v>
      </c>
      <c r="P4073">
        <f>100.09</f>
        <v>100.09</v>
      </c>
      <c r="Q4073">
        <f>780.52</f>
        <v>780.52</v>
      </c>
      <c r="R4073">
        <f>2256.02</f>
        <v>2256.02</v>
      </c>
      <c r="S4073">
        <f>1738.5</f>
        <v>1738.5</v>
      </c>
      <c r="T4073" t="e">
        <f>NA()</f>
        <v>#N/A</v>
      </c>
      <c r="U4073">
        <f>29542.1</f>
        <v>29542.1</v>
      </c>
      <c r="V4073" t="e">
        <f>NA()</f>
        <v>#N/A</v>
      </c>
    </row>
    <row r="4074" spans="1:22" x14ac:dyDescent="0.2">
      <c r="A4074" s="1">
        <v>39405</v>
      </c>
      <c r="B4074">
        <f>3351.77</f>
        <v>3351.77</v>
      </c>
      <c r="C4074">
        <f>7274.03</f>
        <v>7274.03</v>
      </c>
      <c r="D4074">
        <f>3545.35</f>
        <v>3545.35</v>
      </c>
      <c r="E4074">
        <f>2031.364</f>
        <v>2031.364</v>
      </c>
      <c r="F4074">
        <f>2361.06</f>
        <v>2361.06</v>
      </c>
      <c r="G4074">
        <f>7419.643</f>
        <v>7419.643</v>
      </c>
      <c r="H4074">
        <f>1881.23</f>
        <v>1881.23</v>
      </c>
      <c r="I4074">
        <f>8312.774</f>
        <v>8312.7739999999994</v>
      </c>
      <c r="J4074">
        <f>1490.61</f>
        <v>1490.61</v>
      </c>
      <c r="K4074">
        <f>4649.4</f>
        <v>4649.3999999999996</v>
      </c>
      <c r="L4074">
        <f>1244.63</f>
        <v>1244.6300000000001</v>
      </c>
      <c r="M4074">
        <f>4783.17</f>
        <v>4783.17</v>
      </c>
      <c r="N4074">
        <f>162.834</f>
        <v>162.834</v>
      </c>
      <c r="O4074">
        <f>1894.78</f>
        <v>1894.78</v>
      </c>
      <c r="P4074">
        <f>99.54</f>
        <v>99.54</v>
      </c>
      <c r="Q4074">
        <f>777.34</f>
        <v>777.34</v>
      </c>
      <c r="R4074">
        <f>2245.81</f>
        <v>2245.81</v>
      </c>
      <c r="S4074">
        <f>1723.52</f>
        <v>1723.52</v>
      </c>
      <c r="T4074" t="e">
        <f>NA()</f>
        <v>#N/A</v>
      </c>
      <c r="U4074">
        <f>29222.48</f>
        <v>29222.48</v>
      </c>
      <c r="V4074" t="e">
        <f>NA()</f>
        <v>#N/A</v>
      </c>
    </row>
    <row r="4075" spans="1:22" x14ac:dyDescent="0.2">
      <c r="A4075" s="1">
        <v>39402</v>
      </c>
      <c r="B4075">
        <f>3472.92</f>
        <v>3472.92</v>
      </c>
      <c r="C4075">
        <f>7409.51</f>
        <v>7409.51</v>
      </c>
      <c r="D4075">
        <f>3644.03</f>
        <v>3644.03</v>
      </c>
      <c r="E4075">
        <f>2062.296</f>
        <v>2062.2959999999998</v>
      </c>
      <c r="F4075">
        <f>2413.52</f>
        <v>2413.52</v>
      </c>
      <c r="G4075">
        <f>7607.316</f>
        <v>7607.3159999999998</v>
      </c>
      <c r="H4075">
        <f>1891.36</f>
        <v>1891.36</v>
      </c>
      <c r="I4075">
        <f>8462.6</f>
        <v>8462.6</v>
      </c>
      <c r="J4075">
        <f>1517.31</f>
        <v>1517.31</v>
      </c>
      <c r="K4075">
        <f>4730.71</f>
        <v>4730.71</v>
      </c>
      <c r="L4075">
        <f>1265.07</f>
        <v>1265.07</v>
      </c>
      <c r="M4075">
        <f>4860.65</f>
        <v>4860.6499999999996</v>
      </c>
      <c r="N4075">
        <f>167.001</f>
        <v>167.001</v>
      </c>
      <c r="O4075">
        <f>1935.62</f>
        <v>1935.62</v>
      </c>
      <c r="P4075">
        <f>100.88</f>
        <v>100.88</v>
      </c>
      <c r="Q4075">
        <f>789.93</f>
        <v>789.93</v>
      </c>
      <c r="R4075">
        <f>2285.67</f>
        <v>2285.67</v>
      </c>
      <c r="S4075">
        <f>1741.33</f>
        <v>1741.33</v>
      </c>
      <c r="T4075" t="e">
        <f>NA()</f>
        <v>#N/A</v>
      </c>
      <c r="U4075">
        <f>29868.06</f>
        <v>29868.06</v>
      </c>
      <c r="V4075" t="e">
        <f>NA()</f>
        <v>#N/A</v>
      </c>
    </row>
    <row r="4076" spans="1:22" x14ac:dyDescent="0.2">
      <c r="A4076" s="1">
        <v>39401</v>
      </c>
      <c r="B4076">
        <f>3525.76</f>
        <v>3525.76</v>
      </c>
      <c r="C4076">
        <f>7501.7</f>
        <v>7501.7</v>
      </c>
      <c r="D4076">
        <f>3683.65</f>
        <v>3683.65</v>
      </c>
      <c r="E4076">
        <f>2093.636</f>
        <v>2093.636</v>
      </c>
      <c r="F4076">
        <f>2458.63</f>
        <v>2458.63</v>
      </c>
      <c r="G4076">
        <f>7688.068</f>
        <v>7688.0680000000002</v>
      </c>
      <c r="H4076">
        <f>1922.53</f>
        <v>1922.53</v>
      </c>
      <c r="I4076">
        <f>8514.613</f>
        <v>8514.6129999999994</v>
      </c>
      <c r="J4076">
        <f>1511.97</f>
        <v>1511.97</v>
      </c>
      <c r="K4076">
        <f>4705.52</f>
        <v>4705.5200000000004</v>
      </c>
      <c r="L4076">
        <f>1270.92</f>
        <v>1270.92</v>
      </c>
      <c r="M4076">
        <f>4872.26</f>
        <v>4872.26</v>
      </c>
      <c r="N4076">
        <f>169.122</f>
        <v>169.12200000000001</v>
      </c>
      <c r="O4076">
        <f>1951.14</f>
        <v>1951.14</v>
      </c>
      <c r="P4076">
        <f>102.63</f>
        <v>102.63</v>
      </c>
      <c r="Q4076">
        <f>790.5</f>
        <v>790.5</v>
      </c>
      <c r="R4076">
        <f>2273.73</f>
        <v>2273.73</v>
      </c>
      <c r="S4076">
        <f>1773.51</f>
        <v>1773.51</v>
      </c>
      <c r="T4076" t="e">
        <f>NA()</f>
        <v>#N/A</v>
      </c>
      <c r="U4076">
        <f>30144.84</f>
        <v>30144.84</v>
      </c>
      <c r="V4076" t="e">
        <f>NA()</f>
        <v>#N/A</v>
      </c>
    </row>
    <row r="4077" spans="1:22" x14ac:dyDescent="0.2">
      <c r="A4077" s="1">
        <v>39400</v>
      </c>
      <c r="B4077">
        <f>3560.3</f>
        <v>3560.3</v>
      </c>
      <c r="C4077">
        <f>7582.41</f>
        <v>7582.41</v>
      </c>
      <c r="D4077">
        <f>3725.67</f>
        <v>3725.67</v>
      </c>
      <c r="E4077">
        <f>2118.594</f>
        <v>2118.5940000000001</v>
      </c>
      <c r="F4077">
        <f>2507.75</f>
        <v>2507.75</v>
      </c>
      <c r="G4077">
        <f>7855.665</f>
        <v>7855.665</v>
      </c>
      <c r="H4077">
        <f>1907.97</f>
        <v>1907.97</v>
      </c>
      <c r="I4077">
        <f>8640.67</f>
        <v>8640.67</v>
      </c>
      <c r="J4077">
        <f>1532.12</f>
        <v>1532.12</v>
      </c>
      <c r="K4077">
        <f>4766.4</f>
        <v>4766.3999999999996</v>
      </c>
      <c r="L4077">
        <f>1293.07</f>
        <v>1293.07</v>
      </c>
      <c r="M4077">
        <f>4941.95</f>
        <v>4941.95</v>
      </c>
      <c r="N4077">
        <f>170.945</f>
        <v>170.94499999999999</v>
      </c>
      <c r="O4077">
        <f>1973</f>
        <v>1973</v>
      </c>
      <c r="P4077">
        <f>102.65</f>
        <v>102.65</v>
      </c>
      <c r="Q4077">
        <f>801.26</f>
        <v>801.26</v>
      </c>
      <c r="R4077">
        <f>2304.06</f>
        <v>2304.06</v>
      </c>
      <c r="S4077">
        <f>1772.15</f>
        <v>1772.15</v>
      </c>
      <c r="T4077" t="e">
        <f>NA()</f>
        <v>#N/A</v>
      </c>
      <c r="U4077">
        <f>30681.66</f>
        <v>30681.66</v>
      </c>
      <c r="V4077" t="e">
        <f>NA()</f>
        <v>#N/A</v>
      </c>
    </row>
    <row r="4078" spans="1:22" x14ac:dyDescent="0.2">
      <c r="A4078" s="1">
        <v>39399</v>
      </c>
      <c r="B4078">
        <f>3535.72</f>
        <v>3535.72</v>
      </c>
      <c r="C4078">
        <f>7382.83</f>
        <v>7382.83</v>
      </c>
      <c r="D4078">
        <f>3684.69</f>
        <v>3684.69</v>
      </c>
      <c r="E4078">
        <f>2053.156</f>
        <v>2053.1559999999999</v>
      </c>
      <c r="F4078">
        <f>2516.16</f>
        <v>2516.16</v>
      </c>
      <c r="G4078">
        <f>7798.09</f>
        <v>7798.09</v>
      </c>
      <c r="H4078">
        <f>1875.95</f>
        <v>1875.95</v>
      </c>
      <c r="I4078">
        <f>8527.83</f>
        <v>8527.83</v>
      </c>
      <c r="J4078">
        <f>1540.91</f>
        <v>1540.91</v>
      </c>
      <c r="K4078">
        <f>4799.38</f>
        <v>4799.38</v>
      </c>
      <c r="L4078">
        <f>1287.14</f>
        <v>1287.1400000000001</v>
      </c>
      <c r="M4078">
        <f>4922.1</f>
        <v>4922.1000000000004</v>
      </c>
      <c r="N4078">
        <f>171.41</f>
        <v>171.41</v>
      </c>
      <c r="O4078">
        <f>1964.19</f>
        <v>1964.19</v>
      </c>
      <c r="P4078">
        <f>100.36</f>
        <v>100.36</v>
      </c>
      <c r="Q4078">
        <f>807.66</f>
        <v>807.66</v>
      </c>
      <c r="R4078">
        <f>2319.86</f>
        <v>2319.86</v>
      </c>
      <c r="S4078">
        <f>1721.29</f>
        <v>1721.29</v>
      </c>
      <c r="T4078" t="e">
        <f>NA()</f>
        <v>#N/A</v>
      </c>
      <c r="U4078">
        <f>30454.76</f>
        <v>30454.76</v>
      </c>
      <c r="V4078" t="e">
        <f>NA()</f>
        <v>#N/A</v>
      </c>
    </row>
    <row r="4079" spans="1:22" x14ac:dyDescent="0.2">
      <c r="A4079" s="1">
        <v>39398</v>
      </c>
      <c r="B4079">
        <f>3506.89</f>
        <v>3506.89</v>
      </c>
      <c r="C4079">
        <f>7307.92</f>
        <v>7307.92</v>
      </c>
      <c r="D4079">
        <f>3670.52</f>
        <v>3670.52</v>
      </c>
      <c r="E4079">
        <f>2039.343</f>
        <v>2039.3430000000001</v>
      </c>
      <c r="F4079">
        <f>2418.85</f>
        <v>2418.85</v>
      </c>
      <c r="G4079">
        <f>7715.991</f>
        <v>7715.991</v>
      </c>
      <c r="H4079">
        <f>1900.14</f>
        <v>1900.14</v>
      </c>
      <c r="I4079">
        <f>8486.313</f>
        <v>8486.3130000000001</v>
      </c>
      <c r="J4079">
        <f>1500.6</f>
        <v>1500.6</v>
      </c>
      <c r="K4079">
        <f>4661.92</f>
        <v>4661.92</v>
      </c>
      <c r="L4079">
        <f>1264.93</f>
        <v>1264.93</v>
      </c>
      <c r="M4079">
        <f>4842.79</f>
        <v>4842.79</v>
      </c>
      <c r="N4079">
        <f>170.352</f>
        <v>170.352</v>
      </c>
      <c r="O4079">
        <f>1958.74</f>
        <v>1958.74</v>
      </c>
      <c r="P4079">
        <f>101</f>
        <v>101</v>
      </c>
      <c r="Q4079">
        <f>786.52</f>
        <v>786.52</v>
      </c>
      <c r="R4079">
        <f>2253.53</f>
        <v>2253.5300000000002</v>
      </c>
      <c r="S4079">
        <f>1723.27</f>
        <v>1723.27</v>
      </c>
      <c r="T4079" t="e">
        <f>NA()</f>
        <v>#N/A</v>
      </c>
      <c r="U4079">
        <f>30774.17</f>
        <v>30774.17</v>
      </c>
      <c r="V4079" t="e">
        <f>NA()</f>
        <v>#N/A</v>
      </c>
    </row>
    <row r="4080" spans="1:22" x14ac:dyDescent="0.2">
      <c r="A4080" s="1">
        <v>39395</v>
      </c>
      <c r="B4080">
        <f>3479.47</f>
        <v>3479.47</v>
      </c>
      <c r="C4080">
        <f>7613.03</f>
        <v>7613.03</v>
      </c>
      <c r="D4080">
        <f>3651.4</f>
        <v>3651.4</v>
      </c>
      <c r="E4080">
        <f>2114.905</f>
        <v>2114.9050000000002</v>
      </c>
      <c r="F4080">
        <f>2383.01</f>
        <v>2383.0100000000002</v>
      </c>
      <c r="G4080">
        <f>7809.438</f>
        <v>7809.4380000000001</v>
      </c>
      <c r="H4080">
        <f>1924.54</f>
        <v>1924.54</v>
      </c>
      <c r="I4080">
        <f>8559.376</f>
        <v>8559.3760000000002</v>
      </c>
      <c r="J4080">
        <f>1500.69</f>
        <v>1500.69</v>
      </c>
      <c r="K4080">
        <f>4712.59</f>
        <v>4712.59</v>
      </c>
      <c r="L4080">
        <f>1275.68</f>
        <v>1275.68</v>
      </c>
      <c r="M4080">
        <f>4909.83</f>
        <v>4909.83</v>
      </c>
      <c r="N4080">
        <f>169.457</f>
        <v>169.45699999999999</v>
      </c>
      <c r="O4080">
        <f>1955.91</f>
        <v>1955.91</v>
      </c>
      <c r="P4080">
        <f>103.7</f>
        <v>103.7</v>
      </c>
      <c r="Q4080">
        <f>786.88</f>
        <v>786.88</v>
      </c>
      <c r="R4080">
        <f>2276.26</f>
        <v>2276.2600000000002</v>
      </c>
      <c r="S4080">
        <f>1768.16</f>
        <v>1768.16</v>
      </c>
      <c r="T4080" t="e">
        <f>NA()</f>
        <v>#N/A</v>
      </c>
      <c r="U4080">
        <f>30920.21</f>
        <v>30920.21</v>
      </c>
      <c r="V4080" t="e">
        <f>NA()</f>
        <v>#N/A</v>
      </c>
    </row>
    <row r="4081" spans="1:22" x14ac:dyDescent="0.2">
      <c r="A4081" s="1">
        <v>39394</v>
      </c>
      <c r="B4081">
        <f>3524.52</f>
        <v>3524.52</v>
      </c>
      <c r="C4081">
        <f>7603.91</f>
        <v>7603.91</v>
      </c>
      <c r="D4081">
        <f>3695.99</f>
        <v>3695.99</v>
      </c>
      <c r="E4081">
        <f>2121.919</f>
        <v>2121.9189999999999</v>
      </c>
      <c r="F4081">
        <f>2441.45</f>
        <v>2441.4499999999998</v>
      </c>
      <c r="G4081">
        <f>7955.564</f>
        <v>7955.5640000000003</v>
      </c>
      <c r="H4081">
        <f>1921.16</f>
        <v>1921.16</v>
      </c>
      <c r="I4081">
        <f>8697.793</f>
        <v>8697.7929999999997</v>
      </c>
      <c r="J4081">
        <f>1509.21</f>
        <v>1509.21</v>
      </c>
      <c r="K4081">
        <f>4781.07</f>
        <v>4781.07</v>
      </c>
      <c r="L4081">
        <f>1293.04</f>
        <v>1293.04</v>
      </c>
      <c r="M4081">
        <f>4980.22</f>
        <v>4980.22</v>
      </c>
      <c r="N4081">
        <f>172.152</f>
        <v>172.15199999999999</v>
      </c>
      <c r="O4081">
        <f>1988.44</f>
        <v>1988.44</v>
      </c>
      <c r="P4081">
        <f>105.15</f>
        <v>105.15</v>
      </c>
      <c r="Q4081">
        <f>792.54</f>
        <v>792.54</v>
      </c>
      <c r="R4081">
        <f>2309.18</f>
        <v>2309.1799999999998</v>
      </c>
      <c r="S4081">
        <f>1794.9</f>
        <v>1794.9</v>
      </c>
      <c r="T4081" t="e">
        <f>NA()</f>
        <v>#N/A</v>
      </c>
      <c r="U4081">
        <f>31055.12</f>
        <v>31055.119999999999</v>
      </c>
      <c r="V4081" t="e">
        <f>NA()</f>
        <v>#N/A</v>
      </c>
    </row>
    <row r="4082" spans="1:22" x14ac:dyDescent="0.2">
      <c r="A4082" s="1">
        <v>39393</v>
      </c>
      <c r="B4082">
        <f>3579.39</f>
        <v>3579.39</v>
      </c>
      <c r="C4082">
        <f>7618.05</f>
        <v>7618.05</v>
      </c>
      <c r="D4082">
        <f>3697.86</f>
        <v>3697.86</v>
      </c>
      <c r="E4082">
        <f>2156.811</f>
        <v>2156.8110000000001</v>
      </c>
      <c r="F4082">
        <f>2499.84</f>
        <v>2499.84</v>
      </c>
      <c r="G4082">
        <f>7946.58</f>
        <v>7946.58</v>
      </c>
      <c r="H4082">
        <f>1964.26</f>
        <v>1964.26</v>
      </c>
      <c r="I4082">
        <f>8748.726</f>
        <v>8748.7260000000006</v>
      </c>
      <c r="J4082">
        <f>1498.95</f>
        <v>1498.95</v>
      </c>
      <c r="K4082">
        <f>4785.43</f>
        <v>4785.43</v>
      </c>
      <c r="L4082">
        <f>1301.19</f>
        <v>1301.19</v>
      </c>
      <c r="M4082">
        <f>5008.2</f>
        <v>5008.2</v>
      </c>
      <c r="N4082">
        <f>173.38</f>
        <v>173.38</v>
      </c>
      <c r="O4082">
        <f>1998.81</f>
        <v>1998.81</v>
      </c>
      <c r="P4082">
        <f>107.57</f>
        <v>107.57</v>
      </c>
      <c r="Q4082">
        <f>783.46</f>
        <v>783.46</v>
      </c>
      <c r="R4082">
        <f>2310.41</f>
        <v>2310.41</v>
      </c>
      <c r="S4082">
        <f>1841.93</f>
        <v>1841.93</v>
      </c>
      <c r="T4082" t="e">
        <f>NA()</f>
        <v>#N/A</v>
      </c>
      <c r="U4082">
        <f>30767.76</f>
        <v>30767.759999999998</v>
      </c>
      <c r="V4082" t="e">
        <f>NA()</f>
        <v>#N/A</v>
      </c>
    </row>
    <row r="4083" spans="1:22" x14ac:dyDescent="0.2">
      <c r="A4083" s="1">
        <v>39392</v>
      </c>
      <c r="B4083">
        <f>3643</f>
        <v>3643</v>
      </c>
      <c r="C4083">
        <f>7635.56</f>
        <v>7635.56</v>
      </c>
      <c r="D4083">
        <f>3746.45</f>
        <v>3746.45</v>
      </c>
      <c r="E4083">
        <f>2159.173</f>
        <v>2159.1729999999998</v>
      </c>
      <c r="F4083">
        <f>2529.47</f>
        <v>2529.4699999999998</v>
      </c>
      <c r="G4083">
        <f>7988.565</f>
        <v>7988.5649999999996</v>
      </c>
      <c r="H4083">
        <f>1953.7</f>
        <v>1953.7</v>
      </c>
      <c r="I4083">
        <f>8718.756</f>
        <v>8718.7559999999994</v>
      </c>
      <c r="J4083">
        <f>1544.02</f>
        <v>1544.02</v>
      </c>
      <c r="K4083">
        <f>4924.3</f>
        <v>4924.3</v>
      </c>
      <c r="L4083">
        <f>1314.47</f>
        <v>1314.47</v>
      </c>
      <c r="M4083">
        <f>5071.66</f>
        <v>5071.66</v>
      </c>
      <c r="N4083">
        <f>175.454</f>
        <v>175.45400000000001</v>
      </c>
      <c r="O4083">
        <f>2012.56</f>
        <v>2012.56</v>
      </c>
      <c r="P4083">
        <f>108.99</f>
        <v>108.99</v>
      </c>
      <c r="Q4083">
        <f>804.14</f>
        <v>804.14</v>
      </c>
      <c r="R4083">
        <f>2379.05</f>
        <v>2379.0500000000002</v>
      </c>
      <c r="S4083">
        <f>1863.11</f>
        <v>1863.11</v>
      </c>
      <c r="T4083" t="e">
        <f>NA()</f>
        <v>#N/A</v>
      </c>
      <c r="U4083">
        <f>30764.63</f>
        <v>30764.63</v>
      </c>
      <c r="V4083" t="e">
        <f>NA()</f>
        <v>#N/A</v>
      </c>
    </row>
    <row r="4084" spans="1:22" x14ac:dyDescent="0.2">
      <c r="A4084" s="1">
        <v>39391</v>
      </c>
      <c r="B4084">
        <f>3648.27</f>
        <v>3648.27</v>
      </c>
      <c r="C4084">
        <f>7513.57</f>
        <v>7513.57</v>
      </c>
      <c r="D4084">
        <f>3738.64</f>
        <v>3738.64</v>
      </c>
      <c r="E4084">
        <f>2128.473</f>
        <v>2128.473</v>
      </c>
      <c r="F4084">
        <f>2538.01</f>
        <v>2538.0100000000002</v>
      </c>
      <c r="G4084">
        <f>7948.773</f>
        <v>7948.7730000000001</v>
      </c>
      <c r="H4084">
        <f>1952.7</f>
        <v>1952.7</v>
      </c>
      <c r="I4084">
        <f>8625.837</f>
        <v>8625.8369999999995</v>
      </c>
      <c r="J4084">
        <f>1531.55</f>
        <v>1531.55</v>
      </c>
      <c r="K4084">
        <f>4864.85</f>
        <v>4864.8500000000004</v>
      </c>
      <c r="L4084">
        <f>1304.4</f>
        <v>1304.4000000000001</v>
      </c>
      <c r="M4084">
        <f>5019.87</f>
        <v>5019.87</v>
      </c>
      <c r="N4084">
        <f>174.95</f>
        <v>174.95</v>
      </c>
      <c r="O4084">
        <f>2006.6</f>
        <v>2006.6</v>
      </c>
      <c r="P4084">
        <f>108.58</f>
        <v>108.58</v>
      </c>
      <c r="Q4084">
        <f>795.23</f>
        <v>795.23</v>
      </c>
      <c r="R4084">
        <f>2350.69</f>
        <v>2350.69</v>
      </c>
      <c r="S4084">
        <f>1863.75</f>
        <v>1863.75</v>
      </c>
      <c r="T4084" t="e">
        <f>NA()</f>
        <v>#N/A</v>
      </c>
      <c r="U4084">
        <f>30346.38</f>
        <v>30346.38</v>
      </c>
      <c r="V4084" t="e">
        <f>NA()</f>
        <v>#N/A</v>
      </c>
    </row>
    <row r="4085" spans="1:22" x14ac:dyDescent="0.2">
      <c r="A4085" s="1">
        <v>39388</v>
      </c>
      <c r="B4085">
        <f>3688.19</f>
        <v>3688.19</v>
      </c>
      <c r="C4085">
        <f>7665.63</f>
        <v>7665.63</v>
      </c>
      <c r="D4085">
        <f>3778.66</f>
        <v>3778.66</v>
      </c>
      <c r="E4085">
        <f>2168.09</f>
        <v>2168.09</v>
      </c>
      <c r="F4085">
        <f>2548.86</f>
        <v>2548.86</v>
      </c>
      <c r="G4085">
        <f>8031.722</f>
        <v>8031.7219999999998</v>
      </c>
      <c r="H4085">
        <f>1980.25</f>
        <v>1980.25</v>
      </c>
      <c r="I4085">
        <f>8675.418</f>
        <v>8675.4179999999997</v>
      </c>
      <c r="J4085">
        <f>1537.87</f>
        <v>1537.87</v>
      </c>
      <c r="K4085">
        <f>4890.45</f>
        <v>4890.45</v>
      </c>
      <c r="L4085">
        <f>1313.1</f>
        <v>1313.1</v>
      </c>
      <c r="M4085">
        <f>5057.54</f>
        <v>5057.54</v>
      </c>
      <c r="N4085">
        <f>175.819</f>
        <v>175.81899999999999</v>
      </c>
      <c r="O4085">
        <f>2020.41</f>
        <v>2020.41</v>
      </c>
      <c r="P4085">
        <f>110.62</f>
        <v>110.62</v>
      </c>
      <c r="Q4085">
        <f>798.89</f>
        <v>798.89</v>
      </c>
      <c r="R4085">
        <f>2362.21</f>
        <v>2362.21</v>
      </c>
      <c r="S4085">
        <f>1893.38</f>
        <v>1893.38</v>
      </c>
      <c r="T4085" t="e">
        <f>NA()</f>
        <v>#N/A</v>
      </c>
      <c r="U4085">
        <f>30553.44</f>
        <v>30553.439999999999</v>
      </c>
      <c r="V4085" t="e">
        <f>NA()</f>
        <v>#N/A</v>
      </c>
    </row>
    <row r="4086" spans="1:22" x14ac:dyDescent="0.2">
      <c r="A4086" s="1">
        <v>39387</v>
      </c>
      <c r="B4086">
        <f>3719.15</f>
        <v>3719.15</v>
      </c>
      <c r="C4086">
        <f>7774.66</f>
        <v>7774.66</v>
      </c>
      <c r="D4086">
        <f>3810.76</f>
        <v>3810.76</v>
      </c>
      <c r="E4086">
        <f>2197.438</f>
        <v>2197.4380000000001</v>
      </c>
      <c r="F4086">
        <f>2596.96</f>
        <v>2596.96</v>
      </c>
      <c r="G4086">
        <f>8100.305</f>
        <v>8100.3050000000003</v>
      </c>
      <c r="H4086">
        <f>2022.69</f>
        <v>2022.69</v>
      </c>
      <c r="I4086">
        <f>8689.402</f>
        <v>8689.402</v>
      </c>
      <c r="J4086">
        <f>1544.33</f>
        <v>1544.33</v>
      </c>
      <c r="K4086">
        <f>4887.03</f>
        <v>4887.03</v>
      </c>
      <c r="L4086">
        <f>1321.44</f>
        <v>1321.44</v>
      </c>
      <c r="M4086">
        <f>5076.24</f>
        <v>5076.24</v>
      </c>
      <c r="N4086">
        <f>177.616</f>
        <v>177.61600000000001</v>
      </c>
      <c r="O4086">
        <f>2034.2</f>
        <v>2034.2</v>
      </c>
      <c r="P4086">
        <f>111.92</f>
        <v>111.92</v>
      </c>
      <c r="Q4086">
        <f>799.51</f>
        <v>799.51</v>
      </c>
      <c r="R4086">
        <f>2360.21</f>
        <v>2360.21</v>
      </c>
      <c r="S4086">
        <f>1935.51</f>
        <v>1935.51</v>
      </c>
      <c r="T4086" t="e">
        <f>NA()</f>
        <v>#N/A</v>
      </c>
      <c r="U4086">
        <f>30816.19</f>
        <v>30816.19</v>
      </c>
      <c r="V4086" t="e">
        <f>NA()</f>
        <v>#N/A</v>
      </c>
    </row>
    <row r="4087" spans="1:22" x14ac:dyDescent="0.2">
      <c r="A4087" s="1">
        <v>39386</v>
      </c>
      <c r="B4087">
        <f>3791.74</f>
        <v>3791.74</v>
      </c>
      <c r="C4087">
        <f>7837.54</f>
        <v>7837.54</v>
      </c>
      <c r="D4087">
        <f>3889.16</f>
        <v>3889.16</v>
      </c>
      <c r="E4087">
        <f>2213.537</f>
        <v>2213.5369999999998</v>
      </c>
      <c r="F4087">
        <f>2669.48</f>
        <v>2669.48</v>
      </c>
      <c r="G4087">
        <f>8243.386</f>
        <v>8243.3860000000004</v>
      </c>
      <c r="H4087">
        <f>1990.17</f>
        <v>1990.17</v>
      </c>
      <c r="I4087">
        <f>8839.293</f>
        <v>8839.2929999999997</v>
      </c>
      <c r="J4087">
        <f>1590.33</f>
        <v>1590.33</v>
      </c>
      <c r="K4087">
        <f>5015.45</f>
        <v>5015.45</v>
      </c>
      <c r="L4087">
        <f>1350.98</f>
        <v>1350.98</v>
      </c>
      <c r="M4087">
        <f>5164.82</f>
        <v>5164.82</v>
      </c>
      <c r="N4087">
        <f>180.319</f>
        <v>180.31899999999999</v>
      </c>
      <c r="O4087">
        <f>2066.65</f>
        <v>2066.65</v>
      </c>
      <c r="P4087">
        <f>110.69</f>
        <v>110.69</v>
      </c>
      <c r="Q4087">
        <f>824.12</f>
        <v>824.12</v>
      </c>
      <c r="R4087">
        <f>2423.67</f>
        <v>2423.67</v>
      </c>
      <c r="S4087">
        <f>1916.93</f>
        <v>1916.93</v>
      </c>
      <c r="T4087" t="e">
        <f>NA()</f>
        <v>#N/A</v>
      </c>
      <c r="U4087">
        <f>31334.99</f>
        <v>31334.99</v>
      </c>
      <c r="V4087" t="e">
        <f>NA()</f>
        <v>#N/A</v>
      </c>
    </row>
    <row r="4088" spans="1:22" x14ac:dyDescent="0.2">
      <c r="A4088" s="1">
        <v>39385</v>
      </c>
      <c r="B4088">
        <f>3742.71</f>
        <v>3742.71</v>
      </c>
      <c r="C4088">
        <f>7800.71</f>
        <v>7800.71</v>
      </c>
      <c r="D4088">
        <f>3848.43</f>
        <v>3848.43</v>
      </c>
      <c r="E4088">
        <f>2203.157</f>
        <v>2203.1570000000002</v>
      </c>
      <c r="F4088">
        <f>2630.08</f>
        <v>2630.08</v>
      </c>
      <c r="G4088">
        <f>8115.011</f>
        <v>8115.0110000000004</v>
      </c>
      <c r="H4088">
        <f>1989.73</f>
        <v>1989.73</v>
      </c>
      <c r="I4088">
        <f>8747.377</f>
        <v>8747.3770000000004</v>
      </c>
      <c r="J4088">
        <f>1576.87</f>
        <v>1576.87</v>
      </c>
      <c r="K4088">
        <f>4956.15</f>
        <v>4956.1499999999996</v>
      </c>
      <c r="L4088">
        <f>1336.65</f>
        <v>1336.65</v>
      </c>
      <c r="M4088">
        <f>5107.21</f>
        <v>5107.21</v>
      </c>
      <c r="N4088">
        <f>178.255</f>
        <v>178.255</v>
      </c>
      <c r="O4088">
        <f>2047.44</f>
        <v>2047.44</v>
      </c>
      <c r="P4088">
        <f>109.74</f>
        <v>109.74</v>
      </c>
      <c r="Q4088">
        <f>817.92</f>
        <v>817.92</v>
      </c>
      <c r="R4088">
        <f>2394.81</f>
        <v>2394.81</v>
      </c>
      <c r="S4088">
        <f>1901.71</f>
        <v>1901.71</v>
      </c>
      <c r="T4088" t="e">
        <f>NA()</f>
        <v>#N/A</v>
      </c>
      <c r="U4088">
        <f>31244.67</f>
        <v>31244.67</v>
      </c>
      <c r="V4088" t="e">
        <f>NA()</f>
        <v>#N/A</v>
      </c>
    </row>
    <row r="4089" spans="1:22" x14ac:dyDescent="0.2">
      <c r="A4089" s="1">
        <v>39384</v>
      </c>
      <c r="B4089">
        <f>3757.93</f>
        <v>3757.93</v>
      </c>
      <c r="C4089">
        <f>7866.55</f>
        <v>7866.55</v>
      </c>
      <c r="D4089">
        <f>3875.62</f>
        <v>3875.62</v>
      </c>
      <c r="E4089">
        <f>2213.764</f>
        <v>2213.7640000000001</v>
      </c>
      <c r="F4089">
        <f>2641.94</f>
        <v>2641.94</v>
      </c>
      <c r="G4089">
        <f>8148.621</f>
        <v>8148.6210000000001</v>
      </c>
      <c r="H4089">
        <f>2005.16</f>
        <v>2005.16</v>
      </c>
      <c r="I4089">
        <f>8774.637</f>
        <v>8774.6370000000006</v>
      </c>
      <c r="J4089">
        <f>1587.5</f>
        <v>1587.5</v>
      </c>
      <c r="K4089">
        <f>4989.19</f>
        <v>4989.1899999999996</v>
      </c>
      <c r="L4089">
        <f>1341.15</f>
        <v>1341.15</v>
      </c>
      <c r="M4089">
        <f>5133.84</f>
        <v>5133.84</v>
      </c>
      <c r="N4089">
        <f>178.494</f>
        <v>178.494</v>
      </c>
      <c r="O4089">
        <f>2055.45</f>
        <v>2055.4499999999998</v>
      </c>
      <c r="P4089">
        <f>109.43</f>
        <v>109.43</v>
      </c>
      <c r="Q4089">
        <f>819</f>
        <v>819</v>
      </c>
      <c r="R4089">
        <f>2410.33</f>
        <v>2410.33</v>
      </c>
      <c r="S4089">
        <f>1900.86</f>
        <v>1900.86</v>
      </c>
      <c r="T4089" t="e">
        <f>NA()</f>
        <v>#N/A</v>
      </c>
      <c r="U4089">
        <f>31211.44</f>
        <v>31211.439999999999</v>
      </c>
      <c r="V4089" t="e">
        <f>NA()</f>
        <v>#N/A</v>
      </c>
    </row>
    <row r="4090" spans="1:22" x14ac:dyDescent="0.2">
      <c r="A4090" s="1">
        <v>39381</v>
      </c>
      <c r="B4090">
        <f>3735.91</f>
        <v>3735.91</v>
      </c>
      <c r="C4090">
        <f>7710.58</f>
        <v>7710.58</v>
      </c>
      <c r="D4090">
        <f>3849.79</f>
        <v>3849.79</v>
      </c>
      <c r="E4090">
        <f>2169.165</f>
        <v>2169.165</v>
      </c>
      <c r="F4090">
        <f>2620.46</f>
        <v>2620.46</v>
      </c>
      <c r="G4090">
        <f>8062.098</f>
        <v>8062.098</v>
      </c>
      <c r="H4090">
        <f>1968.54</f>
        <v>1968.54</v>
      </c>
      <c r="I4090">
        <f>8713.44</f>
        <v>8713.44</v>
      </c>
      <c r="J4090">
        <f>1583.98</f>
        <v>1583.98</v>
      </c>
      <c r="K4090">
        <f>4968.95</f>
        <v>4968.95</v>
      </c>
      <c r="L4090">
        <f>1330.86</f>
        <v>1330.86</v>
      </c>
      <c r="M4090">
        <f>5091.6</f>
        <v>5091.6000000000004</v>
      </c>
      <c r="N4090">
        <f>177.163</f>
        <v>177.16300000000001</v>
      </c>
      <c r="O4090">
        <f>2041.35</f>
        <v>2041.35</v>
      </c>
      <c r="P4090">
        <f>108.21</f>
        <v>108.21</v>
      </c>
      <c r="Q4090">
        <f>817.57</f>
        <v>817.57</v>
      </c>
      <c r="R4090">
        <f>2401.07</f>
        <v>2401.0700000000002</v>
      </c>
      <c r="S4090">
        <f>1862.37</f>
        <v>1862.37</v>
      </c>
      <c r="T4090" t="e">
        <f>NA()</f>
        <v>#N/A</v>
      </c>
      <c r="U4090">
        <f>30804.86</f>
        <v>30804.86</v>
      </c>
      <c r="V4090" t="e">
        <f>NA()</f>
        <v>#N/A</v>
      </c>
    </row>
    <row r="4091" spans="1:22" x14ac:dyDescent="0.2">
      <c r="A4091" s="1">
        <v>39380</v>
      </c>
      <c r="B4091">
        <f>3716.88</f>
        <v>3716.88</v>
      </c>
      <c r="C4091">
        <f>7536.76</f>
        <v>7536.76</v>
      </c>
      <c r="D4091">
        <f>3800.64</f>
        <v>3800.64</v>
      </c>
      <c r="E4091">
        <f>2123.628</f>
        <v>2123.6280000000002</v>
      </c>
      <c r="F4091">
        <f>2588.83</f>
        <v>2588.83</v>
      </c>
      <c r="G4091">
        <f>7957.86</f>
        <v>7957.86</v>
      </c>
      <c r="H4091">
        <f>1925.59</f>
        <v>1925.59</v>
      </c>
      <c r="I4091">
        <f>8620.065</f>
        <v>8620.0650000000005</v>
      </c>
      <c r="J4091">
        <f>1564.65</f>
        <v>1564.65</v>
      </c>
      <c r="K4091">
        <f>4901.7</f>
        <v>4901.7</v>
      </c>
      <c r="L4091">
        <f>1312.79</f>
        <v>1312.79</v>
      </c>
      <c r="M4091">
        <f>5019.55</f>
        <v>5019.55</v>
      </c>
      <c r="N4091">
        <f>176.664</f>
        <v>176.66399999999999</v>
      </c>
      <c r="O4091">
        <f>2029.7</f>
        <v>2029.7</v>
      </c>
      <c r="P4091">
        <f>107.1</f>
        <v>107.1</v>
      </c>
      <c r="Q4091">
        <f>810.33</f>
        <v>810.33</v>
      </c>
      <c r="R4091">
        <f>2368.43</f>
        <v>2368.4299999999998</v>
      </c>
      <c r="S4091">
        <f>1831.71</f>
        <v>1831.71</v>
      </c>
      <c r="T4091" t="e">
        <f>NA()</f>
        <v>#N/A</v>
      </c>
      <c r="U4091">
        <f>30417.46</f>
        <v>30417.46</v>
      </c>
      <c r="V4091" t="e">
        <f>NA()</f>
        <v>#N/A</v>
      </c>
    </row>
    <row r="4092" spans="1:22" x14ac:dyDescent="0.2">
      <c r="A4092" s="1">
        <v>39379</v>
      </c>
      <c r="B4092">
        <f>3665.37</f>
        <v>3665.37</v>
      </c>
      <c r="C4092">
        <f>7432.41</f>
        <v>7432.41</v>
      </c>
      <c r="D4092">
        <f>3746.13</f>
        <v>3746.13</v>
      </c>
      <c r="E4092">
        <f>2092.728</f>
        <v>2092.7280000000001</v>
      </c>
      <c r="F4092">
        <f>2523.47</f>
        <v>2523.4699999999998</v>
      </c>
      <c r="G4092">
        <f>7835.749</f>
        <v>7835.7489999999998</v>
      </c>
      <c r="H4092">
        <f>1957.07</f>
        <v>1957.07</v>
      </c>
      <c r="I4092">
        <f>8472.914</f>
        <v>8472.9140000000007</v>
      </c>
      <c r="J4092">
        <f>1563.71</f>
        <v>1563.71</v>
      </c>
      <c r="K4092">
        <f>4907.15</f>
        <v>4907.1499999999996</v>
      </c>
      <c r="L4092">
        <f>1300.66</f>
        <v>1300.6600000000001</v>
      </c>
      <c r="M4092">
        <f>4996.11</f>
        <v>4996.1099999999997</v>
      </c>
      <c r="N4092">
        <f>175.462</f>
        <v>175.46199999999999</v>
      </c>
      <c r="O4092">
        <f>2007.62</f>
        <v>2007.62</v>
      </c>
      <c r="P4092">
        <f>107.85</f>
        <v>107.85</v>
      </c>
      <c r="Q4092">
        <f>810.07</f>
        <v>810.07</v>
      </c>
      <c r="R4092">
        <f>2370.71</f>
        <v>2370.71</v>
      </c>
      <c r="S4092">
        <f>1850.38</f>
        <v>1850.38</v>
      </c>
      <c r="T4092" t="e">
        <f>NA()</f>
        <v>#N/A</v>
      </c>
      <c r="U4092">
        <f>30041.21</f>
        <v>30041.21</v>
      </c>
      <c r="V4092" t="e">
        <f>NA()</f>
        <v>#N/A</v>
      </c>
    </row>
    <row r="4093" spans="1:22" x14ac:dyDescent="0.2">
      <c r="A4093" s="1">
        <v>39378</v>
      </c>
      <c r="B4093">
        <f>3682.17</f>
        <v>3682.17</v>
      </c>
      <c r="C4093">
        <f>7426.72</f>
        <v>7426.72</v>
      </c>
      <c r="D4093">
        <f>3764.13</f>
        <v>3764.13</v>
      </c>
      <c r="E4093">
        <f>2098.298</f>
        <v>2098.2979999999998</v>
      </c>
      <c r="F4093">
        <f>2535.19</f>
        <v>2535.19</v>
      </c>
      <c r="G4093">
        <f>7881.049</f>
        <v>7881.049</v>
      </c>
      <c r="H4093">
        <f>1956.6</f>
        <v>1956.6</v>
      </c>
      <c r="I4093">
        <f>8531.015</f>
        <v>8531.0149999999994</v>
      </c>
      <c r="J4093">
        <f>1567.83</f>
        <v>1567.83</v>
      </c>
      <c r="K4093">
        <f>4918.94</f>
        <v>4918.9399999999996</v>
      </c>
      <c r="L4093">
        <f>1306.79</f>
        <v>1306.79</v>
      </c>
      <c r="M4093">
        <f>5013.13</f>
        <v>5013.13</v>
      </c>
      <c r="N4093">
        <f>176.914</f>
        <v>176.91399999999999</v>
      </c>
      <c r="O4093">
        <f>2018.78</f>
        <v>2018.78</v>
      </c>
      <c r="P4093">
        <f>108.33</f>
        <v>108.33</v>
      </c>
      <c r="Q4093">
        <f>814.79</f>
        <v>814.79</v>
      </c>
      <c r="R4093">
        <f>2376.48</f>
        <v>2376.48</v>
      </c>
      <c r="S4093">
        <f>1858.31</f>
        <v>1858.31</v>
      </c>
      <c r="T4093" t="e">
        <f>NA()</f>
        <v>#N/A</v>
      </c>
      <c r="U4093">
        <f>30449.42</f>
        <v>30449.42</v>
      </c>
      <c r="V4093" t="e">
        <f>NA()</f>
        <v>#N/A</v>
      </c>
    </row>
    <row r="4094" spans="1:22" x14ac:dyDescent="0.2">
      <c r="A4094" s="1">
        <v>39377</v>
      </c>
      <c r="B4094">
        <f>3634.2</f>
        <v>3634.2</v>
      </c>
      <c r="C4094">
        <f>7236.02</f>
        <v>7236.02</v>
      </c>
      <c r="D4094">
        <f>3732.53</f>
        <v>3732.53</v>
      </c>
      <c r="E4094">
        <f>2041.388</f>
        <v>2041.3879999999999</v>
      </c>
      <c r="F4094">
        <f>2492.5</f>
        <v>2492.5</v>
      </c>
      <c r="G4094">
        <f>7735.198</f>
        <v>7735.1980000000003</v>
      </c>
      <c r="H4094">
        <f>1960.13</f>
        <v>1960.13</v>
      </c>
      <c r="I4094">
        <f>8398.645</f>
        <v>8398.6450000000004</v>
      </c>
      <c r="J4094">
        <f>1558.65</f>
        <v>1558.65</v>
      </c>
      <c r="K4094">
        <f>4876.43</f>
        <v>4876.43</v>
      </c>
      <c r="L4094">
        <f>1289.99</f>
        <v>1289.99</v>
      </c>
      <c r="M4094">
        <f>4955.47</f>
        <v>4955.47</v>
      </c>
      <c r="N4094">
        <f>174.256</f>
        <v>174.256</v>
      </c>
      <c r="O4094">
        <f>2000.59</f>
        <v>2000.59</v>
      </c>
      <c r="P4094">
        <f>107.92</f>
        <v>107.92</v>
      </c>
      <c r="Q4094">
        <f>811.51</f>
        <v>811.51</v>
      </c>
      <c r="R4094">
        <f>2355.74</f>
        <v>2355.7399999999998</v>
      </c>
      <c r="S4094">
        <f>1849.44</f>
        <v>1849.44</v>
      </c>
      <c r="T4094" t="e">
        <f>NA()</f>
        <v>#N/A</v>
      </c>
      <c r="U4094">
        <f>30146.62</f>
        <v>30146.62</v>
      </c>
      <c r="V4094" t="e">
        <f>NA()</f>
        <v>#N/A</v>
      </c>
    </row>
    <row r="4095" spans="1:22" x14ac:dyDescent="0.2">
      <c r="A4095" s="1">
        <v>39374</v>
      </c>
      <c r="B4095">
        <f>3659.93</f>
        <v>3659.93</v>
      </c>
      <c r="C4095">
        <f>7376.31</f>
        <v>7376.31</v>
      </c>
      <c r="D4095">
        <f>3772.18</f>
        <v>3772.18</v>
      </c>
      <c r="E4095">
        <f>2089.206</f>
        <v>2089.2060000000001</v>
      </c>
      <c r="F4095">
        <f>2518.78</f>
        <v>2518.7800000000002</v>
      </c>
      <c r="G4095">
        <f>7884.748</f>
        <v>7884.7479999999996</v>
      </c>
      <c r="H4095">
        <f>1972.92</f>
        <v>1972.92</v>
      </c>
      <c r="I4095">
        <f>8574.888</f>
        <v>8574.8880000000008</v>
      </c>
      <c r="J4095">
        <f>1551.01</f>
        <v>1551.01</v>
      </c>
      <c r="K4095">
        <f>4853.91</f>
        <v>4853.91</v>
      </c>
      <c r="L4095">
        <f>1304.33</f>
        <v>1304.33</v>
      </c>
      <c r="M4095">
        <f>4994.08</f>
        <v>4994.08</v>
      </c>
      <c r="N4095">
        <f>176.531</f>
        <v>176.53100000000001</v>
      </c>
      <c r="O4095">
        <f>2025.39</f>
        <v>2025.39</v>
      </c>
      <c r="P4095">
        <f>109.3</f>
        <v>109.3</v>
      </c>
      <c r="Q4095">
        <f>804.62</f>
        <v>804.62</v>
      </c>
      <c r="R4095">
        <f>2346.78</f>
        <v>2346.7800000000002</v>
      </c>
      <c r="S4095">
        <f>1882.82</f>
        <v>1882.82</v>
      </c>
      <c r="T4095" t="e">
        <f>NA()</f>
        <v>#N/A</v>
      </c>
      <c r="U4095">
        <f>30766.21</f>
        <v>30766.21</v>
      </c>
      <c r="V4095" t="e">
        <f>NA()</f>
        <v>#N/A</v>
      </c>
    </row>
    <row r="4096" spans="1:22" x14ac:dyDescent="0.2">
      <c r="A4096" s="1">
        <v>39373</v>
      </c>
      <c r="B4096">
        <f>3697.54</f>
        <v>3697.54</v>
      </c>
      <c r="C4096">
        <f>7478.53</f>
        <v>7478.53</v>
      </c>
      <c r="D4096">
        <f>3819.27</f>
        <v>3819.27</v>
      </c>
      <c r="E4096">
        <f>2115.192</f>
        <v>2115.192</v>
      </c>
      <c r="F4096">
        <f>2549.84</f>
        <v>2549.84</v>
      </c>
      <c r="G4096">
        <f>7981.473</f>
        <v>7981.473</v>
      </c>
      <c r="H4096">
        <f>1994.05</f>
        <v>1994.05</v>
      </c>
      <c r="I4096">
        <f>8632.345</f>
        <v>8632.3449999999993</v>
      </c>
      <c r="J4096">
        <f>1582.55</f>
        <v>1582.55</v>
      </c>
      <c r="K4096">
        <f>4981.56</f>
        <v>4981.5600000000004</v>
      </c>
      <c r="L4096">
        <f>1320.9</f>
        <v>1320.9</v>
      </c>
      <c r="M4096">
        <f>5080.71</f>
        <v>5080.71</v>
      </c>
      <c r="N4096">
        <f>178.181</f>
        <v>178.18100000000001</v>
      </c>
      <c r="O4096">
        <f>2037.75</f>
        <v>2037.75</v>
      </c>
      <c r="P4096">
        <f>111.12</f>
        <v>111.12</v>
      </c>
      <c r="Q4096">
        <f>820.65</f>
        <v>820.65</v>
      </c>
      <c r="R4096">
        <f>2408.46</f>
        <v>2408.46</v>
      </c>
      <c r="S4096">
        <f>1914.15</f>
        <v>1914.15</v>
      </c>
      <c r="T4096" t="e">
        <f>NA()</f>
        <v>#N/A</v>
      </c>
      <c r="U4096">
        <f>31016.83</f>
        <v>31016.83</v>
      </c>
      <c r="V4096" t="e">
        <f>NA()</f>
        <v>#N/A</v>
      </c>
    </row>
    <row r="4097" spans="1:22" x14ac:dyDescent="0.2">
      <c r="A4097" s="1">
        <v>39372</v>
      </c>
      <c r="B4097">
        <f>3743.45</f>
        <v>3743.45</v>
      </c>
      <c r="C4097">
        <f>7485.39</f>
        <v>7485.39</v>
      </c>
      <c r="D4097">
        <f>3858.71</f>
        <v>3858.71</v>
      </c>
      <c r="E4097">
        <f>2116.461</f>
        <v>2116.4609999999998</v>
      </c>
      <c r="F4097">
        <f>2569.51</f>
        <v>2569.5100000000002</v>
      </c>
      <c r="G4097">
        <f>8031.891</f>
        <v>8031.8909999999996</v>
      </c>
      <c r="H4097">
        <f>1954.09</f>
        <v>1954.09</v>
      </c>
      <c r="I4097">
        <f>8634.729</f>
        <v>8634.7289999999994</v>
      </c>
      <c r="J4097">
        <f>1589.86</f>
        <v>1589.86</v>
      </c>
      <c r="K4097">
        <f>4985.52</f>
        <v>4985.5200000000004</v>
      </c>
      <c r="L4097">
        <f>1325.49</f>
        <v>1325.49</v>
      </c>
      <c r="M4097">
        <f>5072.79</f>
        <v>5072.79</v>
      </c>
      <c r="N4097">
        <f>180.225</f>
        <v>180.22499999999999</v>
      </c>
      <c r="O4097">
        <f>2054.23</f>
        <v>2054.23</v>
      </c>
      <c r="P4097">
        <f>109.64</f>
        <v>109.64</v>
      </c>
      <c r="Q4097">
        <f>823.29</f>
        <v>823.29</v>
      </c>
      <c r="R4097">
        <f>2410.22</f>
        <v>2410.2199999999998</v>
      </c>
      <c r="S4097">
        <f>1893.49</f>
        <v>1893.49</v>
      </c>
      <c r="T4097" t="e">
        <f>NA()</f>
        <v>#N/A</v>
      </c>
      <c r="U4097">
        <f>31068.26</f>
        <v>31068.26</v>
      </c>
      <c r="V4097" t="e">
        <f>NA()</f>
        <v>#N/A</v>
      </c>
    </row>
    <row r="4098" spans="1:22" x14ac:dyDescent="0.2">
      <c r="A4098" s="1">
        <v>39371</v>
      </c>
      <c r="B4098">
        <f>3667.42</f>
        <v>3667.42</v>
      </c>
      <c r="C4098">
        <f>7418.06</f>
        <v>7418.06</v>
      </c>
      <c r="D4098">
        <f>3821.5</f>
        <v>3821.5</v>
      </c>
      <c r="E4098">
        <f>2107.765</f>
        <v>2107.7649999999999</v>
      </c>
      <c r="F4098">
        <f>2524</f>
        <v>2524</v>
      </c>
      <c r="G4098">
        <f>7933.505</f>
        <v>7933.5050000000001</v>
      </c>
      <c r="H4098">
        <f>1988.63</f>
        <v>1988.63</v>
      </c>
      <c r="I4098">
        <f>8568.103</f>
        <v>8568.1029999999992</v>
      </c>
      <c r="J4098">
        <f>1588.29</f>
        <v>1588.29</v>
      </c>
      <c r="K4098">
        <f>4976.21</f>
        <v>4976.21</v>
      </c>
      <c r="L4098">
        <f>1318.38</f>
        <v>1318.38</v>
      </c>
      <c r="M4098">
        <f>5056.35</f>
        <v>5056.3500000000004</v>
      </c>
      <c r="N4098">
        <f>179.199</f>
        <v>179.19900000000001</v>
      </c>
      <c r="O4098">
        <f>2041.92</f>
        <v>2041.92</v>
      </c>
      <c r="P4098">
        <f>110.79</f>
        <v>110.79</v>
      </c>
      <c r="Q4098">
        <f>824.41</f>
        <v>824.41</v>
      </c>
      <c r="R4098">
        <f>2405.76</f>
        <v>2405.7600000000002</v>
      </c>
      <c r="S4098">
        <f>1923.02</f>
        <v>1923.02</v>
      </c>
      <c r="T4098" t="e">
        <f>NA()</f>
        <v>#N/A</v>
      </c>
      <c r="U4098">
        <f>31033.42</f>
        <v>31033.42</v>
      </c>
      <c r="V4098" t="e">
        <f>NA()</f>
        <v>#N/A</v>
      </c>
    </row>
    <row r="4099" spans="1:22" x14ac:dyDescent="0.2">
      <c r="A4099" s="1">
        <v>39370</v>
      </c>
      <c r="B4099">
        <f>3698.12</f>
        <v>3698.12</v>
      </c>
      <c r="C4099">
        <f>7537.15</f>
        <v>7537.15</v>
      </c>
      <c r="D4099">
        <f>3838.94</f>
        <v>3838.94</v>
      </c>
      <c r="E4099">
        <f>2133.96</f>
        <v>2133.96</v>
      </c>
      <c r="F4099">
        <f>2571.7</f>
        <v>2571.6999999999998</v>
      </c>
      <c r="G4099">
        <f>8009.508</f>
        <v>8009.5079999999998</v>
      </c>
      <c r="H4099">
        <f>2008.83</f>
        <v>2008.83</v>
      </c>
      <c r="I4099">
        <f>8682.191</f>
        <v>8682.1910000000007</v>
      </c>
      <c r="J4099">
        <f>1603.44</f>
        <v>1603.44</v>
      </c>
      <c r="K4099">
        <f>5010.54</f>
        <v>5010.54</v>
      </c>
      <c r="L4099">
        <f>1332.65</f>
        <v>1332.65</v>
      </c>
      <c r="M4099">
        <f>5108.32</f>
        <v>5108.32</v>
      </c>
      <c r="N4099">
        <f>179.906</f>
        <v>179.90600000000001</v>
      </c>
      <c r="O4099">
        <f>2056.18</f>
        <v>2056.1799999999998</v>
      </c>
      <c r="P4099">
        <f>112.23</f>
        <v>112.23</v>
      </c>
      <c r="Q4099">
        <f>828.23</f>
        <v>828.23</v>
      </c>
      <c r="R4099">
        <f>2421.67</f>
        <v>2421.67</v>
      </c>
      <c r="S4099">
        <f>1961.11</f>
        <v>1961.11</v>
      </c>
      <c r="T4099" t="e">
        <f>NA()</f>
        <v>#N/A</v>
      </c>
      <c r="U4099">
        <f>31164.38</f>
        <v>31164.38</v>
      </c>
      <c r="V4099" t="e">
        <f>NA()</f>
        <v>#N/A</v>
      </c>
    </row>
    <row r="4100" spans="1:22" x14ac:dyDescent="0.2">
      <c r="A4100" s="1">
        <v>39367</v>
      </c>
      <c r="B4100">
        <f>3768.25</f>
        <v>3768.25</v>
      </c>
      <c r="C4100">
        <f>7445.61</f>
        <v>7445.61</v>
      </c>
      <c r="D4100">
        <f>3888.76</f>
        <v>3888.76</v>
      </c>
      <c r="E4100">
        <f>2110.707</f>
        <v>2110.7069999999999</v>
      </c>
      <c r="F4100">
        <f>2622.28</f>
        <v>2622.28</v>
      </c>
      <c r="G4100">
        <f>8079.764</f>
        <v>8079.7640000000001</v>
      </c>
      <c r="H4100">
        <f>2026.2</f>
        <v>2026.2</v>
      </c>
      <c r="I4100">
        <f>8714.855</f>
        <v>8714.8549999999996</v>
      </c>
      <c r="J4100">
        <f>1617.44</f>
        <v>1617.44</v>
      </c>
      <c r="K4100">
        <f>5053.73</f>
        <v>5053.7299999999996</v>
      </c>
      <c r="L4100">
        <f>1341.14</f>
        <v>1341.14</v>
      </c>
      <c r="M4100">
        <f>5140.43</f>
        <v>5140.43</v>
      </c>
      <c r="N4100">
        <f>183.652</f>
        <v>183.65199999999999</v>
      </c>
      <c r="O4100">
        <f>2075.34</f>
        <v>2075.34</v>
      </c>
      <c r="P4100">
        <f>112.46</f>
        <v>112.46</v>
      </c>
      <c r="Q4100">
        <f>837.46</f>
        <v>837.46</v>
      </c>
      <c r="R4100">
        <f>2442.12</f>
        <v>2442.12</v>
      </c>
      <c r="S4100">
        <f>1963.52</f>
        <v>1963.52</v>
      </c>
      <c r="T4100" t="e">
        <f>NA()</f>
        <v>#N/A</v>
      </c>
      <c r="U4100">
        <f>31225.85</f>
        <v>31225.85</v>
      </c>
      <c r="V4100" t="e">
        <f>NA()</f>
        <v>#N/A</v>
      </c>
    </row>
    <row r="4101" spans="1:22" x14ac:dyDescent="0.2">
      <c r="A4101" s="1">
        <v>39366</v>
      </c>
      <c r="B4101">
        <f>3781.44</f>
        <v>3781.44</v>
      </c>
      <c r="C4101">
        <f>7495.34</f>
        <v>7495.34</v>
      </c>
      <c r="D4101">
        <f>3885.2</f>
        <v>3885.2</v>
      </c>
      <c r="E4101">
        <f>2132.142</f>
        <v>2132.1419999999998</v>
      </c>
      <c r="F4101">
        <f>2636.08</f>
        <v>2636.08</v>
      </c>
      <c r="G4101">
        <f>8088.609</f>
        <v>8088.6090000000004</v>
      </c>
      <c r="H4101">
        <f>2037.55</f>
        <v>2037.55</v>
      </c>
      <c r="I4101">
        <f>8760.94</f>
        <v>8760.94</v>
      </c>
      <c r="J4101">
        <f>1618.05</f>
        <v>1618.05</v>
      </c>
      <c r="K4101">
        <f>5028.51</f>
        <v>5028.51</v>
      </c>
      <c r="L4101">
        <f>1343.55</f>
        <v>1343.55</v>
      </c>
      <c r="M4101">
        <f>5140.07</f>
        <v>5140.07</v>
      </c>
      <c r="N4101">
        <f>183.736</f>
        <v>183.73599999999999</v>
      </c>
      <c r="O4101">
        <f>2072.58</f>
        <v>2072.58</v>
      </c>
      <c r="P4101">
        <f>113.5</f>
        <v>113.5</v>
      </c>
      <c r="Q4101">
        <f>837.77</f>
        <v>837.77</v>
      </c>
      <c r="R4101">
        <f>2430.55</f>
        <v>2430.5500000000002</v>
      </c>
      <c r="S4101">
        <f>1984.86</f>
        <v>1984.86</v>
      </c>
      <c r="T4101" t="e">
        <f>NA()</f>
        <v>#N/A</v>
      </c>
      <c r="U4101">
        <f>31531.05</f>
        <v>31531.05</v>
      </c>
      <c r="V4101" t="e">
        <f>NA()</f>
        <v>#N/A</v>
      </c>
    </row>
    <row r="4102" spans="1:22" x14ac:dyDescent="0.2">
      <c r="A4102" s="1">
        <v>39365</v>
      </c>
      <c r="B4102">
        <f>3768.61</f>
        <v>3768.61</v>
      </c>
      <c r="C4102">
        <f>7400.97</f>
        <v>7400.97</v>
      </c>
      <c r="D4102">
        <f>3832.32</f>
        <v>3832.32</v>
      </c>
      <c r="E4102">
        <f>2102.323</f>
        <v>2102.3229999999999</v>
      </c>
      <c r="F4102">
        <f>2613.31</f>
        <v>2613.31</v>
      </c>
      <c r="G4102">
        <f>8002.764</f>
        <v>8002.7640000000001</v>
      </c>
      <c r="H4102">
        <f>2022.77</f>
        <v>2022.77</v>
      </c>
      <c r="I4102">
        <f>8659.539</f>
        <v>8659.5390000000007</v>
      </c>
      <c r="J4102">
        <f>1620.88</f>
        <v>1620.88</v>
      </c>
      <c r="K4102">
        <f>5054.57</f>
        <v>5054.57</v>
      </c>
      <c r="L4102">
        <f>1334.86</f>
        <v>1334.86</v>
      </c>
      <c r="M4102">
        <f>5124.85</f>
        <v>5124.8500000000004</v>
      </c>
      <c r="N4102">
        <f>184.824</f>
        <v>184.82400000000001</v>
      </c>
      <c r="O4102">
        <f>2062.21</f>
        <v>2062.21</v>
      </c>
      <c r="P4102">
        <f>112.21</f>
        <v>112.21</v>
      </c>
      <c r="Q4102">
        <f>842.41</f>
        <v>842.41</v>
      </c>
      <c r="R4102">
        <f>2443.02</f>
        <v>2443.02</v>
      </c>
      <c r="S4102">
        <f>1961.98</f>
        <v>1961.98</v>
      </c>
      <c r="T4102" t="e">
        <f>NA()</f>
        <v>#N/A</v>
      </c>
      <c r="U4102">
        <f>31198.73</f>
        <v>31198.73</v>
      </c>
      <c r="V4102" t="e">
        <f>NA()</f>
        <v>#N/A</v>
      </c>
    </row>
    <row r="4103" spans="1:22" x14ac:dyDescent="0.2">
      <c r="A4103" s="1">
        <v>39364</v>
      </c>
      <c r="B4103">
        <f>3758.83</f>
        <v>3758.83</v>
      </c>
      <c r="C4103">
        <f>7346.41</f>
        <v>7346.41</v>
      </c>
      <c r="D4103">
        <f>3821.08</f>
        <v>3821.08</v>
      </c>
      <c r="E4103">
        <f>2084.195</f>
        <v>2084.1950000000002</v>
      </c>
      <c r="F4103">
        <f>2616.73</f>
        <v>2616.73</v>
      </c>
      <c r="G4103">
        <f>7941.922</f>
        <v>7941.9219999999996</v>
      </c>
      <c r="H4103">
        <f>2030.82</f>
        <v>2030.82</v>
      </c>
      <c r="I4103">
        <f>8609.123</f>
        <v>8609.1229999999996</v>
      </c>
      <c r="J4103">
        <f>1630.48</f>
        <v>1630.48</v>
      </c>
      <c r="K4103">
        <f>5060.21</f>
        <v>5060.21</v>
      </c>
      <c r="L4103">
        <f>1334.94</f>
        <v>1334.94</v>
      </c>
      <c r="M4103">
        <f>5115.27</f>
        <v>5115.2700000000004</v>
      </c>
      <c r="N4103">
        <f>182.358</f>
        <v>182.358</v>
      </c>
      <c r="O4103">
        <f>2059.37</f>
        <v>2059.37</v>
      </c>
      <c r="P4103">
        <f>112.23</f>
        <v>112.23</v>
      </c>
      <c r="Q4103">
        <f>845.51</f>
        <v>845.51</v>
      </c>
      <c r="R4103">
        <f>2447.03</f>
        <v>2447.0300000000002</v>
      </c>
      <c r="S4103">
        <f>1964.21</f>
        <v>1964.21</v>
      </c>
      <c r="T4103" t="e">
        <f>NA()</f>
        <v>#N/A</v>
      </c>
      <c r="U4103">
        <f>30934.31</f>
        <v>30934.31</v>
      </c>
      <c r="V4103" t="e">
        <f>NA()</f>
        <v>#N/A</v>
      </c>
    </row>
    <row r="4104" spans="1:22" x14ac:dyDescent="0.2">
      <c r="A4104" s="1">
        <v>39363</v>
      </c>
      <c r="B4104">
        <f>3730.55</f>
        <v>3730.55</v>
      </c>
      <c r="C4104">
        <f>7299.67</f>
        <v>7299.67</v>
      </c>
      <c r="D4104">
        <f>3778.06</f>
        <v>3778.06</v>
      </c>
      <c r="E4104">
        <f>2067.106</f>
        <v>2067.1060000000002</v>
      </c>
      <c r="F4104">
        <f>2600.31</f>
        <v>2600.31</v>
      </c>
      <c r="G4104">
        <f>7871.373</f>
        <v>7871.3729999999996</v>
      </c>
      <c r="H4104">
        <f>2026.11</f>
        <v>2026.11</v>
      </c>
      <c r="I4104">
        <f>8557.855</f>
        <v>8557.8549999999996</v>
      </c>
      <c r="J4104">
        <f>1621.69</f>
        <v>1621.69</v>
      </c>
      <c r="K4104">
        <f>5019.95</f>
        <v>5019.95</v>
      </c>
      <c r="L4104">
        <f>1326.02</f>
        <v>1326.02</v>
      </c>
      <c r="M4104">
        <f>5077.9</f>
        <v>5077.8999999999996</v>
      </c>
      <c r="N4104">
        <f>180.225</f>
        <v>180.22499999999999</v>
      </c>
      <c r="O4104">
        <f>2048.92</f>
        <v>2048.92</v>
      </c>
      <c r="P4104" t="e">
        <f>NA()</f>
        <v>#N/A</v>
      </c>
      <c r="Q4104">
        <f>842.36</f>
        <v>842.36</v>
      </c>
      <c r="R4104">
        <f>2427.33</f>
        <v>2427.33</v>
      </c>
      <c r="S4104" t="e">
        <f>NA()</f>
        <v>#N/A</v>
      </c>
      <c r="T4104" t="e">
        <f>NA()</f>
        <v>#N/A</v>
      </c>
      <c r="U4104">
        <f>30788.95</f>
        <v>30788.95</v>
      </c>
      <c r="V4104" t="e">
        <f>NA()</f>
        <v>#N/A</v>
      </c>
    </row>
    <row r="4105" spans="1:22" x14ac:dyDescent="0.2">
      <c r="A4105" s="1">
        <v>39360</v>
      </c>
      <c r="B4105">
        <f>3743.38</f>
        <v>3743.38</v>
      </c>
      <c r="C4105">
        <f>7285.58</f>
        <v>7285.58</v>
      </c>
      <c r="D4105">
        <f>3809.77</f>
        <v>3809.77</v>
      </c>
      <c r="E4105">
        <f>2059.498</f>
        <v>2059.498</v>
      </c>
      <c r="F4105">
        <f>2622.62</f>
        <v>2622.62</v>
      </c>
      <c r="G4105">
        <f>7952.292</f>
        <v>7952.2920000000004</v>
      </c>
      <c r="H4105">
        <f>2041.39</f>
        <v>2041.39</v>
      </c>
      <c r="I4105">
        <f>8622.258</f>
        <v>8622.2579999999998</v>
      </c>
      <c r="J4105">
        <f>1630.31</f>
        <v>1630.31</v>
      </c>
      <c r="K4105">
        <f>5036.34</f>
        <v>5036.34</v>
      </c>
      <c r="L4105">
        <f>1335.17</f>
        <v>1335.17</v>
      </c>
      <c r="M4105">
        <f>5104.18</f>
        <v>5104.18</v>
      </c>
      <c r="N4105">
        <f>180.355</f>
        <v>180.35499999999999</v>
      </c>
      <c r="O4105">
        <f>2055.98</f>
        <v>2055.98</v>
      </c>
      <c r="P4105">
        <f>112.2</f>
        <v>112.2</v>
      </c>
      <c r="Q4105">
        <f>846.76</f>
        <v>846.76</v>
      </c>
      <c r="R4105">
        <f>2435.16</f>
        <v>2435.16</v>
      </c>
      <c r="S4105">
        <f>1960.48</f>
        <v>1960.48</v>
      </c>
      <c r="T4105" t="e">
        <f>NA()</f>
        <v>#N/A</v>
      </c>
      <c r="U4105">
        <f>30927.64</f>
        <v>30927.64</v>
      </c>
      <c r="V4105" t="e">
        <f>NA()</f>
        <v>#N/A</v>
      </c>
    </row>
    <row r="4106" spans="1:22" x14ac:dyDescent="0.2">
      <c r="A4106" s="1">
        <v>39359</v>
      </c>
      <c r="B4106">
        <f>3742.85</f>
        <v>3742.85</v>
      </c>
      <c r="C4106">
        <f>7128.08</f>
        <v>7128.08</v>
      </c>
      <c r="D4106">
        <f>3782.1</f>
        <v>3782.1</v>
      </c>
      <c r="E4106">
        <f>2026.478</f>
        <v>2026.4780000000001</v>
      </c>
      <c r="F4106">
        <f>2612.96</f>
        <v>2612.96</v>
      </c>
      <c r="G4106">
        <f>7897.245</f>
        <v>7897.2449999999999</v>
      </c>
      <c r="H4106">
        <f>2044.01</f>
        <v>2044.01</v>
      </c>
      <c r="I4106">
        <f>8550.549</f>
        <v>8550.5490000000009</v>
      </c>
      <c r="J4106">
        <f>1619.44</f>
        <v>1619.44</v>
      </c>
      <c r="K4106">
        <f>4986.15</f>
        <v>4986.1499999999996</v>
      </c>
      <c r="L4106">
        <f>1323.94</f>
        <v>1323.94</v>
      </c>
      <c r="M4106">
        <f>5057.14</f>
        <v>5057.1400000000003</v>
      </c>
      <c r="N4106">
        <f>179.992</f>
        <v>179.99199999999999</v>
      </c>
      <c r="O4106">
        <f>2040.43</f>
        <v>2040.43</v>
      </c>
      <c r="P4106">
        <f>111.84</f>
        <v>111.84</v>
      </c>
      <c r="Q4106">
        <f>838.6</f>
        <v>838.6</v>
      </c>
      <c r="R4106">
        <f>2411.41</f>
        <v>2411.41</v>
      </c>
      <c r="S4106">
        <f>1958.93</f>
        <v>1958.93</v>
      </c>
      <c r="T4106" t="e">
        <f>NA()</f>
        <v>#N/A</v>
      </c>
      <c r="U4106">
        <f>30890.37</f>
        <v>30890.37</v>
      </c>
      <c r="V4106" t="e">
        <f>NA()</f>
        <v>#N/A</v>
      </c>
    </row>
    <row r="4107" spans="1:22" x14ac:dyDescent="0.2">
      <c r="A4107" s="1">
        <v>39358</v>
      </c>
      <c r="B4107">
        <f>3750.92</f>
        <v>3750.92</v>
      </c>
      <c r="C4107">
        <f>7167.43</f>
        <v>7167.43</v>
      </c>
      <c r="D4107">
        <f>3774.77</f>
        <v>3774.77</v>
      </c>
      <c r="E4107">
        <f>2044.157</f>
        <v>2044.1569999999999</v>
      </c>
      <c r="F4107">
        <f>2605.9</f>
        <v>2605.9</v>
      </c>
      <c r="G4107">
        <f>7865.088</f>
        <v>7865.0879999999997</v>
      </c>
      <c r="H4107">
        <f>2053.83</f>
        <v>2053.83</v>
      </c>
      <c r="I4107">
        <f>8560.988</f>
        <v>8560.9879999999994</v>
      </c>
      <c r="J4107">
        <f>1614.27</f>
        <v>1614.27</v>
      </c>
      <c r="K4107">
        <f>4975.01</f>
        <v>4975.01</v>
      </c>
      <c r="L4107">
        <f>1320.98</f>
        <v>1320.98</v>
      </c>
      <c r="M4107">
        <f>5054.58</f>
        <v>5054.58</v>
      </c>
      <c r="N4107">
        <f>179.385</f>
        <v>179.38499999999999</v>
      </c>
      <c r="O4107">
        <f>2038.76</f>
        <v>2038.76</v>
      </c>
      <c r="P4107">
        <f>112.51</f>
        <v>112.51</v>
      </c>
      <c r="Q4107">
        <f>837.55</f>
        <v>837.55</v>
      </c>
      <c r="R4107">
        <f>2406.3</f>
        <v>2406.3000000000002</v>
      </c>
      <c r="S4107">
        <f>1968.89</f>
        <v>1968.89</v>
      </c>
      <c r="T4107" t="e">
        <f>NA()</f>
        <v>#N/A</v>
      </c>
      <c r="U4107">
        <f>30730.1</f>
        <v>30730.1</v>
      </c>
      <c r="V4107" t="e">
        <f>NA()</f>
        <v>#N/A</v>
      </c>
    </row>
    <row r="4108" spans="1:22" x14ac:dyDescent="0.2">
      <c r="A4108" s="1">
        <v>39357</v>
      </c>
      <c r="B4108">
        <f>3708.5</f>
        <v>3708.5</v>
      </c>
      <c r="C4108">
        <f>7209.84</f>
        <v>7209.84</v>
      </c>
      <c r="D4108">
        <f>3753.81</f>
        <v>3753.81</v>
      </c>
      <c r="E4108">
        <f>2056.411</f>
        <v>2056.4110000000001</v>
      </c>
      <c r="F4108">
        <f>2594.11</f>
        <v>2594.11</v>
      </c>
      <c r="G4108">
        <f>7836.598</f>
        <v>7836.598</v>
      </c>
      <c r="H4108">
        <f>2041.47</f>
        <v>2041.47</v>
      </c>
      <c r="I4108">
        <f>8558.357</f>
        <v>8558.357</v>
      </c>
      <c r="J4108">
        <f>1617.23</f>
        <v>1617.23</v>
      </c>
      <c r="K4108">
        <f>4997.42</f>
        <v>4997.42</v>
      </c>
      <c r="L4108">
        <f>1320.77</f>
        <v>1320.77</v>
      </c>
      <c r="M4108">
        <f>5061.59</f>
        <v>5061.59</v>
      </c>
      <c r="N4108">
        <f>178.118</f>
        <v>178.11799999999999</v>
      </c>
      <c r="O4108">
        <f>2034.39</f>
        <v>2034.39</v>
      </c>
      <c r="P4108">
        <f>111.31</f>
        <v>111.31</v>
      </c>
      <c r="Q4108">
        <f>838.9</f>
        <v>838.9</v>
      </c>
      <c r="R4108">
        <f>2416.83</f>
        <v>2416.83</v>
      </c>
      <c r="S4108">
        <f>1940.23</f>
        <v>1940.23</v>
      </c>
      <c r="T4108" t="e">
        <f>NA()</f>
        <v>#N/A</v>
      </c>
      <c r="U4108">
        <f>30430.71</f>
        <v>30430.71</v>
      </c>
      <c r="V4108" t="e">
        <f>NA()</f>
        <v>#N/A</v>
      </c>
    </row>
    <row r="4109" spans="1:22" x14ac:dyDescent="0.2">
      <c r="A4109" s="1">
        <v>39356</v>
      </c>
      <c r="B4109">
        <f>3670.12</f>
        <v>3670.12</v>
      </c>
      <c r="C4109">
        <f>7112.76</f>
        <v>7112.76</v>
      </c>
      <c r="D4109">
        <f>3757.19</f>
        <v>3757.19</v>
      </c>
      <c r="E4109">
        <f>2013.083</f>
        <v>2013.0830000000001</v>
      </c>
      <c r="F4109">
        <f>2575.5</f>
        <v>2575.5</v>
      </c>
      <c r="G4109">
        <f>7846.831</f>
        <v>7846.8310000000001</v>
      </c>
      <c r="H4109">
        <f>2020.84</f>
        <v>2020.84</v>
      </c>
      <c r="I4109">
        <f>8578.345</f>
        <v>8578.3449999999993</v>
      </c>
      <c r="J4109">
        <f>1615.44</f>
        <v>1615.44</v>
      </c>
      <c r="K4109">
        <f>4997.72</f>
        <v>4997.72</v>
      </c>
      <c r="L4109">
        <f>1319.44</f>
        <v>1319.44</v>
      </c>
      <c r="M4109">
        <f>5057.79</f>
        <v>5057.79</v>
      </c>
      <c r="N4109">
        <f>176.332</f>
        <v>176.33199999999999</v>
      </c>
      <c r="O4109">
        <f>2026.57</f>
        <v>2026.57</v>
      </c>
      <c r="P4109">
        <f>110.23</f>
        <v>110.23</v>
      </c>
      <c r="Q4109">
        <f>838.87</f>
        <v>838.87</v>
      </c>
      <c r="R4109">
        <f>2417.44</f>
        <v>2417.44</v>
      </c>
      <c r="S4109">
        <f>1911.95</f>
        <v>1911.95</v>
      </c>
      <c r="T4109" t="e">
        <f>NA()</f>
        <v>#N/A</v>
      </c>
      <c r="U4109">
        <f>30167.52</f>
        <v>30167.52</v>
      </c>
      <c r="V4109" t="e">
        <f>NA()</f>
        <v>#N/A</v>
      </c>
    </row>
    <row r="4110" spans="1:22" x14ac:dyDescent="0.2">
      <c r="A4110" s="1">
        <v>39353</v>
      </c>
      <c r="B4110">
        <f>3658.33</f>
        <v>3658.33</v>
      </c>
      <c r="C4110">
        <f>6995.83</f>
        <v>6995.83</v>
      </c>
      <c r="D4110">
        <f>3734.4</f>
        <v>3734.4</v>
      </c>
      <c r="E4110">
        <f>1991.31</f>
        <v>1991.31</v>
      </c>
      <c r="F4110">
        <f>2552.93</f>
        <v>2552.9299999999998</v>
      </c>
      <c r="G4110">
        <f>7775.066</f>
        <v>7775.0659999999998</v>
      </c>
      <c r="H4110">
        <f>2020.75</f>
        <v>2020.75</v>
      </c>
      <c r="I4110">
        <f>8497.109</f>
        <v>8497.1090000000004</v>
      </c>
      <c r="J4110">
        <f>1593.39</f>
        <v>1593.39</v>
      </c>
      <c r="K4110">
        <f>4932.33</f>
        <v>4932.33</v>
      </c>
      <c r="L4110">
        <f>1305.57</f>
        <v>1305.57</v>
      </c>
      <c r="M4110">
        <f>5010.07</f>
        <v>5010.07</v>
      </c>
      <c r="N4110">
        <f>176.851</f>
        <v>176.851</v>
      </c>
      <c r="O4110">
        <f>2010.91</f>
        <v>2010.91</v>
      </c>
      <c r="P4110">
        <f>110.2</f>
        <v>110.2</v>
      </c>
      <c r="Q4110">
        <f>830.23</f>
        <v>830.23</v>
      </c>
      <c r="R4110">
        <f>2385.72</f>
        <v>2385.7199999999998</v>
      </c>
      <c r="S4110">
        <f>1912.45</f>
        <v>1912.45</v>
      </c>
      <c r="T4110" t="e">
        <f>NA()</f>
        <v>#N/A</v>
      </c>
      <c r="U4110">
        <f>29959.19</f>
        <v>29959.19</v>
      </c>
      <c r="V4110" t="e">
        <f>NA()</f>
        <v>#N/A</v>
      </c>
    </row>
    <row r="4111" spans="1:22" x14ac:dyDescent="0.2">
      <c r="A4111" s="1">
        <v>39352</v>
      </c>
      <c r="B4111">
        <f>3669.52</f>
        <v>3669.52</v>
      </c>
      <c r="C4111">
        <f>6990.13</f>
        <v>6990.13</v>
      </c>
      <c r="D4111">
        <f>3745.74</f>
        <v>3745.74</v>
      </c>
      <c r="E4111">
        <f>1987.93</f>
        <v>1987.93</v>
      </c>
      <c r="F4111">
        <f>2551.02</f>
        <v>2551.02</v>
      </c>
      <c r="G4111">
        <f>7748.114</f>
        <v>7748.1139999999996</v>
      </c>
      <c r="H4111">
        <f>2000.34</f>
        <v>2000.34</v>
      </c>
      <c r="I4111">
        <f>8455.693</f>
        <v>8455.6929999999993</v>
      </c>
      <c r="J4111">
        <f>1601.61</f>
        <v>1601.61</v>
      </c>
      <c r="K4111">
        <f>4946.59</f>
        <v>4946.59</v>
      </c>
      <c r="L4111">
        <f>1305.73</f>
        <v>1305.73</v>
      </c>
      <c r="M4111">
        <f>5002.98</f>
        <v>5002.9799999999996</v>
      </c>
      <c r="N4111">
        <f>177.994</f>
        <v>177.994</v>
      </c>
      <c r="O4111">
        <f>2011.39</f>
        <v>2011.39</v>
      </c>
      <c r="P4111">
        <f>110.12</f>
        <v>110.12</v>
      </c>
      <c r="Q4111">
        <f>834.33</f>
        <v>834.33</v>
      </c>
      <c r="R4111">
        <f>2392.92</f>
        <v>2392.92</v>
      </c>
      <c r="S4111">
        <f>1910.72</f>
        <v>1910.72</v>
      </c>
      <c r="T4111" t="e">
        <f>NA()</f>
        <v>#N/A</v>
      </c>
      <c r="U4111">
        <f>29944.31</f>
        <v>29944.31</v>
      </c>
      <c r="V4111" t="e">
        <f>NA()</f>
        <v>#N/A</v>
      </c>
    </row>
    <row r="4112" spans="1:22" x14ac:dyDescent="0.2">
      <c r="A4112" s="1">
        <v>39351</v>
      </c>
      <c r="B4112">
        <f>3617.8</f>
        <v>3617.8</v>
      </c>
      <c r="C4112">
        <f>6876.02</f>
        <v>6876.02</v>
      </c>
      <c r="D4112">
        <f>3714.9</f>
        <v>3714.9</v>
      </c>
      <c r="E4112">
        <f>1952.405</f>
        <v>1952.405</v>
      </c>
      <c r="F4112">
        <f>2499.8</f>
        <v>2499.8000000000002</v>
      </c>
      <c r="G4112">
        <f>7647.02</f>
        <v>7647.02</v>
      </c>
      <c r="H4112">
        <f>1970.22</f>
        <v>1970.22</v>
      </c>
      <c r="I4112">
        <f>8387.58</f>
        <v>8387.58</v>
      </c>
      <c r="J4112">
        <f>1597.15</f>
        <v>1597.15</v>
      </c>
      <c r="K4112">
        <f>4924.19</f>
        <v>4924.1899999999996</v>
      </c>
      <c r="L4112">
        <f>1295.23</f>
        <v>1295.23</v>
      </c>
      <c r="M4112">
        <f>4957.69</f>
        <v>4957.6899999999996</v>
      </c>
      <c r="N4112">
        <f>175.799</f>
        <v>175.79900000000001</v>
      </c>
      <c r="O4112">
        <f>1995.91</f>
        <v>1995.91</v>
      </c>
      <c r="P4112">
        <f>108.18</f>
        <v>108.18</v>
      </c>
      <c r="Q4112">
        <f>829.04</f>
        <v>829.04</v>
      </c>
      <c r="R4112">
        <f>2383.53</f>
        <v>2383.5300000000002</v>
      </c>
      <c r="S4112">
        <f>1864.43</f>
        <v>1864.43</v>
      </c>
      <c r="T4112" t="e">
        <f>NA()</f>
        <v>#N/A</v>
      </c>
      <c r="U4112">
        <f>29812.38</f>
        <v>29812.38</v>
      </c>
      <c r="V4112" t="e">
        <f>NA()</f>
        <v>#N/A</v>
      </c>
    </row>
    <row r="4113" spans="1:22" x14ac:dyDescent="0.2">
      <c r="A4113" s="1">
        <v>39350</v>
      </c>
      <c r="B4113">
        <f>3609.78</f>
        <v>3609.78</v>
      </c>
      <c r="C4113">
        <f>6790.54</f>
        <v>6790.54</v>
      </c>
      <c r="D4113">
        <f>3693.59</f>
        <v>3693.59</v>
      </c>
      <c r="E4113">
        <f>1933.482</f>
        <v>1933.482</v>
      </c>
      <c r="F4113">
        <f>2468.52</f>
        <v>2468.52</v>
      </c>
      <c r="G4113">
        <f>7606.826</f>
        <v>7606.826</v>
      </c>
      <c r="H4113">
        <f>2001.16</f>
        <v>2001.16</v>
      </c>
      <c r="I4113">
        <f>8327.346</f>
        <v>8327.3459999999995</v>
      </c>
      <c r="J4113">
        <f>1589.53</f>
        <v>1589.53</v>
      </c>
      <c r="K4113">
        <f>4897.59</f>
        <v>4897.59</v>
      </c>
      <c r="L4113">
        <f>1287.26</f>
        <v>1287.26</v>
      </c>
      <c r="M4113">
        <f>4936.11</f>
        <v>4936.1099999999997</v>
      </c>
      <c r="N4113">
        <f>173.278</f>
        <v>173.27799999999999</v>
      </c>
      <c r="O4113">
        <f>1982.66</f>
        <v>1982.66</v>
      </c>
      <c r="P4113">
        <f>107.52</f>
        <v>107.52</v>
      </c>
      <c r="Q4113">
        <f>823.01</f>
        <v>823.01</v>
      </c>
      <c r="R4113">
        <f>2370.27</f>
        <v>2370.27</v>
      </c>
      <c r="S4113">
        <f>1853.55</f>
        <v>1853.55</v>
      </c>
      <c r="T4113" t="e">
        <f>NA()</f>
        <v>#N/A</v>
      </c>
      <c r="U4113">
        <f>29776.03</f>
        <v>29776.03</v>
      </c>
      <c r="V4113" t="e">
        <f>NA()</f>
        <v>#N/A</v>
      </c>
    </row>
    <row r="4114" spans="1:22" x14ac:dyDescent="0.2">
      <c r="A4114" s="1">
        <v>39349</v>
      </c>
      <c r="B4114">
        <f>3664.82</f>
        <v>3664.82</v>
      </c>
      <c r="C4114">
        <f>6844.13</f>
        <v>6844.13</v>
      </c>
      <c r="D4114">
        <f>3733.44</f>
        <v>3733.44</v>
      </c>
      <c r="E4114">
        <f>1940.805</f>
        <v>1940.8050000000001</v>
      </c>
      <c r="F4114">
        <f>2489.81</f>
        <v>2489.81</v>
      </c>
      <c r="G4114">
        <f>7713.348</f>
        <v>7713.348</v>
      </c>
      <c r="H4114">
        <f>1958.07</f>
        <v>1958.07</v>
      </c>
      <c r="I4114">
        <f>8382.026</f>
        <v>8382.0259999999998</v>
      </c>
      <c r="J4114">
        <f>1591.86</f>
        <v>1591.86</v>
      </c>
      <c r="K4114">
        <f>4898.37</f>
        <v>4898.37</v>
      </c>
      <c r="L4114">
        <f>1293.98</f>
        <v>1293.98</v>
      </c>
      <c r="M4114">
        <f>4939.87</f>
        <v>4939.87</v>
      </c>
      <c r="N4114">
        <f>175.41</f>
        <v>175.41</v>
      </c>
      <c r="O4114">
        <f>2004.24</f>
        <v>2004.24</v>
      </c>
      <c r="P4114" t="e">
        <f>NA()</f>
        <v>#N/A</v>
      </c>
      <c r="Q4114">
        <f>826.62</f>
        <v>826.62</v>
      </c>
      <c r="R4114">
        <f>2371.03</f>
        <v>2371.0300000000002</v>
      </c>
      <c r="S4114" t="e">
        <f>NA()</f>
        <v>#N/A</v>
      </c>
      <c r="T4114" t="e">
        <f>NA()</f>
        <v>#N/A</v>
      </c>
      <c r="U4114" t="e">
        <f>NA()</f>
        <v>#N/A</v>
      </c>
      <c r="V4114" t="e">
        <f>NA()</f>
        <v>#N/A</v>
      </c>
    </row>
    <row r="4115" spans="1:22" x14ac:dyDescent="0.2">
      <c r="A4115" s="1">
        <v>39346</v>
      </c>
      <c r="B4115">
        <f>3681.31</f>
        <v>3681.31</v>
      </c>
      <c r="C4115">
        <f>6757.59</f>
        <v>6757.59</v>
      </c>
      <c r="D4115">
        <f>3728.12</f>
        <v>3728.12</v>
      </c>
      <c r="E4115">
        <f>1918.375</f>
        <v>1918.375</v>
      </c>
      <c r="F4115">
        <f>2503.66</f>
        <v>2503.66</v>
      </c>
      <c r="G4115">
        <f>7704.105</f>
        <v>7704.1049999999996</v>
      </c>
      <c r="H4115">
        <f>1950.6</f>
        <v>1950.6</v>
      </c>
      <c r="I4115">
        <f>8397.839</f>
        <v>8397.8389999999999</v>
      </c>
      <c r="J4115">
        <f>1603.15</f>
        <v>1603.15</v>
      </c>
      <c r="K4115">
        <f>4922.52</f>
        <v>4922.5200000000004</v>
      </c>
      <c r="L4115">
        <f>1299.31</f>
        <v>1299.31</v>
      </c>
      <c r="M4115">
        <f>4946.64</f>
        <v>4946.6400000000003</v>
      </c>
      <c r="N4115">
        <f>176.868</f>
        <v>176.86799999999999</v>
      </c>
      <c r="O4115">
        <f>2006.33</f>
        <v>2006.33</v>
      </c>
      <c r="P4115">
        <f>106.38</f>
        <v>106.38</v>
      </c>
      <c r="Q4115">
        <f>833.48</f>
        <v>833.48</v>
      </c>
      <c r="R4115">
        <f>2383.55</f>
        <v>2383.5500000000002</v>
      </c>
      <c r="S4115">
        <f>1826.58</f>
        <v>1826.58</v>
      </c>
      <c r="T4115" t="e">
        <f>NA()</f>
        <v>#N/A</v>
      </c>
      <c r="U4115">
        <f>29709.35</f>
        <v>29709.35</v>
      </c>
      <c r="V4115" t="e">
        <f>NA()</f>
        <v>#N/A</v>
      </c>
    </row>
    <row r="4116" spans="1:22" x14ac:dyDescent="0.2">
      <c r="A4116" s="1">
        <v>39345</v>
      </c>
      <c r="B4116">
        <f>3677.2</f>
        <v>3677.2</v>
      </c>
      <c r="C4116">
        <f>6690.81</f>
        <v>6690.81</v>
      </c>
      <c r="D4116">
        <f>3712.13</f>
        <v>3712.13</v>
      </c>
      <c r="E4116">
        <f>1905.974</f>
        <v>1905.9739999999999</v>
      </c>
      <c r="F4116">
        <f>2483.95</f>
        <v>2483.9499999999998</v>
      </c>
      <c r="G4116">
        <f>7644.229</f>
        <v>7644.2290000000003</v>
      </c>
      <c r="H4116">
        <f>1974.92</f>
        <v>1974.92</v>
      </c>
      <c r="I4116">
        <f>8364.852</f>
        <v>8364.8520000000008</v>
      </c>
      <c r="J4116">
        <f>1597.45</f>
        <v>1597.45</v>
      </c>
      <c r="K4116">
        <f>4899.79</f>
        <v>4899.79</v>
      </c>
      <c r="L4116">
        <f>1295.48</f>
        <v>1295.48</v>
      </c>
      <c r="M4116">
        <f>4933.94</f>
        <v>4933.9399999999996</v>
      </c>
      <c r="N4116">
        <f>176.182</f>
        <v>176.18199999999999</v>
      </c>
      <c r="O4116">
        <f>1996.85</f>
        <v>1996.85</v>
      </c>
      <c r="P4116">
        <f>106.9</f>
        <v>106.9</v>
      </c>
      <c r="Q4116">
        <f>833.81</f>
        <v>833.81</v>
      </c>
      <c r="R4116">
        <f>2372.61</f>
        <v>2372.61</v>
      </c>
      <c r="S4116">
        <f>1843.95</f>
        <v>1843.95</v>
      </c>
      <c r="T4116" t="e">
        <f>NA()</f>
        <v>#N/A</v>
      </c>
      <c r="U4116">
        <f>29832.3</f>
        <v>29832.3</v>
      </c>
      <c r="V4116" t="e">
        <f>NA()</f>
        <v>#N/A</v>
      </c>
    </row>
    <row r="4117" spans="1:22" x14ac:dyDescent="0.2">
      <c r="A4117" s="1">
        <v>39344</v>
      </c>
      <c r="B4117">
        <f>3738.64</f>
        <v>3738.64</v>
      </c>
      <c r="C4117">
        <f>6654.29</f>
        <v>6654.29</v>
      </c>
      <c r="D4117">
        <f>3730.05</f>
        <v>3730.05</v>
      </c>
      <c r="E4117">
        <f>1892.712</f>
        <v>1892.712</v>
      </c>
      <c r="F4117">
        <f>2494.3</f>
        <v>2494.3000000000002</v>
      </c>
      <c r="G4117">
        <f>7623.201</f>
        <v>7623.201</v>
      </c>
      <c r="H4117">
        <f>1936.66</f>
        <v>1936.66</v>
      </c>
      <c r="I4117">
        <f>8339.565</f>
        <v>8339.5650000000005</v>
      </c>
      <c r="J4117">
        <f>1610.19</f>
        <v>1610.19</v>
      </c>
      <c r="K4117">
        <f>4931.34</f>
        <v>4931.34</v>
      </c>
      <c r="L4117">
        <f>1296.76</f>
        <v>1296.76</v>
      </c>
      <c r="M4117">
        <f>4933.06</f>
        <v>4933.0600000000004</v>
      </c>
      <c r="N4117">
        <f>178.568</f>
        <v>178.56800000000001</v>
      </c>
      <c r="O4117">
        <f>2010.52</f>
        <v>2010.52</v>
      </c>
      <c r="P4117">
        <f>107.14</f>
        <v>107.14</v>
      </c>
      <c r="Q4117">
        <f>843.58</f>
        <v>843.58</v>
      </c>
      <c r="R4117">
        <f>2388.15</f>
        <v>2388.15</v>
      </c>
      <c r="S4117">
        <f>1844.82</f>
        <v>1844.82</v>
      </c>
      <c r="T4117" t="e">
        <f>NA()</f>
        <v>#N/A</v>
      </c>
      <c r="U4117">
        <f>29808.65</f>
        <v>29808.65</v>
      </c>
      <c r="V4117" t="e">
        <f>NA()</f>
        <v>#N/A</v>
      </c>
    </row>
    <row r="4118" spans="1:22" x14ac:dyDescent="0.2">
      <c r="A4118" s="1">
        <v>39343</v>
      </c>
      <c r="B4118">
        <f>3641.89</f>
        <v>3641.89</v>
      </c>
      <c r="C4118">
        <f>6446.82</f>
        <v>6446.82</v>
      </c>
      <c r="D4118">
        <f>3626.48</f>
        <v>3626.48</v>
      </c>
      <c r="E4118">
        <f>1830.52</f>
        <v>1830.52</v>
      </c>
      <c r="F4118">
        <f>2428.74</f>
        <v>2428.7399999999998</v>
      </c>
      <c r="G4118">
        <f>7406.345</f>
        <v>7406.3450000000003</v>
      </c>
      <c r="H4118">
        <f>1881.89</f>
        <v>1881.89</v>
      </c>
      <c r="I4118">
        <f>8060.635</f>
        <v>8060.6350000000002</v>
      </c>
      <c r="J4118">
        <f>1599.4</f>
        <v>1599.4</v>
      </c>
      <c r="K4118">
        <f>4902.34</f>
        <v>4902.34</v>
      </c>
      <c r="L4118">
        <f>1268.44</f>
        <v>1268.44</v>
      </c>
      <c r="M4118">
        <f>4839.92</f>
        <v>4839.92</v>
      </c>
      <c r="N4118">
        <f>174.786</f>
        <v>174.786</v>
      </c>
      <c r="O4118">
        <f>1958.94</f>
        <v>1958.94</v>
      </c>
      <c r="P4118">
        <f>104.15</f>
        <v>104.15</v>
      </c>
      <c r="Q4118">
        <f>838.02</f>
        <v>838.02</v>
      </c>
      <c r="R4118">
        <f>2373.63</f>
        <v>2373.63</v>
      </c>
      <c r="S4118">
        <f>1778.18</f>
        <v>1778.18</v>
      </c>
      <c r="T4118" t="e">
        <f>NA()</f>
        <v>#N/A</v>
      </c>
      <c r="U4118">
        <f>28766.34</f>
        <v>28766.34</v>
      </c>
      <c r="V4118" t="e">
        <f>NA()</f>
        <v>#N/A</v>
      </c>
    </row>
    <row r="4119" spans="1:22" x14ac:dyDescent="0.2">
      <c r="A4119" s="1">
        <v>39342</v>
      </c>
      <c r="B4119">
        <f>3589.46</f>
        <v>3589.46</v>
      </c>
      <c r="C4119">
        <f>6371</f>
        <v>6371</v>
      </c>
      <c r="D4119">
        <f>3568.47</f>
        <v>3568.47</v>
      </c>
      <c r="E4119">
        <f>1815.009</f>
        <v>1815.009</v>
      </c>
      <c r="F4119">
        <f>2391.96</f>
        <v>2391.96</v>
      </c>
      <c r="G4119">
        <f>7311.022</f>
        <v>7311.0219999999999</v>
      </c>
      <c r="H4119">
        <f>1927.05</f>
        <v>1927.05</v>
      </c>
      <c r="I4119">
        <f>7936.98</f>
        <v>7936.98</v>
      </c>
      <c r="J4119">
        <f>1554.59</f>
        <v>1554.59</v>
      </c>
      <c r="K4119">
        <f>4764.5</f>
        <v>4764.5</v>
      </c>
      <c r="L4119">
        <f>1245.55</f>
        <v>1245.55</v>
      </c>
      <c r="M4119">
        <f>4761.95</f>
        <v>4761.95</v>
      </c>
      <c r="N4119">
        <f>171.23</f>
        <v>171.23</v>
      </c>
      <c r="O4119">
        <f>1927.52</f>
        <v>1927.52</v>
      </c>
      <c r="P4119" t="e">
        <f>NA()</f>
        <v>#N/A</v>
      </c>
      <c r="Q4119">
        <f>813.07</f>
        <v>813.07</v>
      </c>
      <c r="R4119">
        <f>2306.25</f>
        <v>2306.25</v>
      </c>
      <c r="S4119" t="e">
        <f>NA()</f>
        <v>#N/A</v>
      </c>
      <c r="T4119" t="e">
        <f>NA()</f>
        <v>#N/A</v>
      </c>
      <c r="U4119">
        <f>28536.42</f>
        <v>28536.42</v>
      </c>
      <c r="V4119" t="e">
        <f>NA()</f>
        <v>#N/A</v>
      </c>
    </row>
    <row r="4120" spans="1:22" x14ac:dyDescent="0.2">
      <c r="A4120" s="1">
        <v>39339</v>
      </c>
      <c r="B4120">
        <f>3691.39</f>
        <v>3691.39</v>
      </c>
      <c r="C4120">
        <f>6417.09</f>
        <v>6417.09</v>
      </c>
      <c r="D4120">
        <f>3629.97</f>
        <v>3629.97</v>
      </c>
      <c r="E4120">
        <f>1829.57</f>
        <v>1829.57</v>
      </c>
      <c r="F4120">
        <f>2465.25</f>
        <v>2465.25</v>
      </c>
      <c r="G4120">
        <f>7472.661</f>
        <v>7472.6610000000001</v>
      </c>
      <c r="H4120">
        <f>1926.22</f>
        <v>1926.22</v>
      </c>
      <c r="I4120">
        <f>8024.226</f>
        <v>8024.2259999999997</v>
      </c>
      <c r="J4120">
        <f>1562.04</f>
        <v>1562.04</v>
      </c>
      <c r="K4120">
        <f>4790.07</f>
        <v>4790.07</v>
      </c>
      <c r="L4120">
        <f>1258.6</f>
        <v>1258.5999999999999</v>
      </c>
      <c r="M4120">
        <f>4799.7</f>
        <v>4799.7</v>
      </c>
      <c r="N4120">
        <f>176.298</f>
        <v>176.298</v>
      </c>
      <c r="O4120">
        <f>1956.78</f>
        <v>1956.78</v>
      </c>
      <c r="P4120">
        <f>105.86</f>
        <v>105.86</v>
      </c>
      <c r="Q4120">
        <f>818.78</f>
        <v>818.78</v>
      </c>
      <c r="R4120">
        <f>2318.11</f>
        <v>2318.11</v>
      </c>
      <c r="S4120">
        <f>1817.92</f>
        <v>1817.92</v>
      </c>
      <c r="T4120" t="e">
        <f>NA()</f>
        <v>#N/A</v>
      </c>
      <c r="U4120">
        <f>28928.05</f>
        <v>28928.05</v>
      </c>
      <c r="V4120" t="e">
        <f>NA()</f>
        <v>#N/A</v>
      </c>
    </row>
    <row r="4121" spans="1:22" x14ac:dyDescent="0.2">
      <c r="A4121" s="1">
        <v>39338</v>
      </c>
      <c r="B4121">
        <f>3755.88</f>
        <v>3755.88</v>
      </c>
      <c r="C4121">
        <f>6397.26</f>
        <v>6397.26</v>
      </c>
      <c r="D4121">
        <f>3673</f>
        <v>3673</v>
      </c>
      <c r="E4121">
        <f>1819.016</f>
        <v>1819.0160000000001</v>
      </c>
      <c r="F4121">
        <f>2521.29</f>
        <v>2521.29</v>
      </c>
      <c r="G4121">
        <f>7617.672</f>
        <v>7617.6719999999996</v>
      </c>
      <c r="H4121">
        <f>1901.58</f>
        <v>1901.58</v>
      </c>
      <c r="I4121">
        <f>8097.473</f>
        <v>8097.473</v>
      </c>
      <c r="J4121">
        <f>1561.31</f>
        <v>1561.31</v>
      </c>
      <c r="K4121">
        <f>4788.69</f>
        <v>4788.6899999999996</v>
      </c>
      <c r="L4121">
        <f>1265.9</f>
        <v>1265.9000000000001</v>
      </c>
      <c r="M4121">
        <f>4806.91</f>
        <v>4806.91</v>
      </c>
      <c r="N4121">
        <f>180.566</f>
        <v>180.566</v>
      </c>
      <c r="O4121">
        <f>1981.04</f>
        <v>1981.04</v>
      </c>
      <c r="P4121">
        <f>105.15</f>
        <v>105.15</v>
      </c>
      <c r="Q4121">
        <f>817.32</f>
        <v>817.32</v>
      </c>
      <c r="R4121">
        <f>2317.63</f>
        <v>2317.63</v>
      </c>
      <c r="S4121">
        <f>1792.2</f>
        <v>1792.2</v>
      </c>
      <c r="T4121" t="e">
        <f>NA()</f>
        <v>#N/A</v>
      </c>
      <c r="U4121">
        <f>29086.37</f>
        <v>29086.37</v>
      </c>
      <c r="V4121" t="e">
        <f>NA()</f>
        <v>#N/A</v>
      </c>
    </row>
    <row r="4122" spans="1:22" x14ac:dyDescent="0.2">
      <c r="A4122" s="1">
        <v>39337</v>
      </c>
      <c r="B4122">
        <f>3759.38</f>
        <v>3759.38</v>
      </c>
      <c r="C4122">
        <f>6353.13</f>
        <v>6353.13</v>
      </c>
      <c r="D4122">
        <f>3639.7</f>
        <v>3639.7</v>
      </c>
      <c r="E4122">
        <f>1799.803</f>
        <v>1799.8030000000001</v>
      </c>
      <c r="F4122">
        <f>2503.53</f>
        <v>2503.5300000000002</v>
      </c>
      <c r="G4122">
        <f>7565.018</f>
        <v>7565.018</v>
      </c>
      <c r="H4122">
        <f>1919.72</f>
        <v>1919.72</v>
      </c>
      <c r="I4122">
        <f>8026.753</f>
        <v>8026.7529999999997</v>
      </c>
      <c r="J4122">
        <f>1547.46</f>
        <v>1547.46</v>
      </c>
      <c r="K4122">
        <f>4748.82</f>
        <v>4748.82</v>
      </c>
      <c r="L4122">
        <f>1255.38</f>
        <v>1255.3800000000001</v>
      </c>
      <c r="M4122">
        <f>4777.95</f>
        <v>4777.95</v>
      </c>
      <c r="N4122">
        <f>179.67</f>
        <v>179.67</v>
      </c>
      <c r="O4122">
        <f>1962.67</f>
        <v>1962.67</v>
      </c>
      <c r="P4122">
        <f>105.09</f>
        <v>105.09</v>
      </c>
      <c r="Q4122">
        <f>811.41</f>
        <v>811.41</v>
      </c>
      <c r="R4122">
        <f>2298.14</f>
        <v>2298.14</v>
      </c>
      <c r="S4122">
        <f>1798.55</f>
        <v>1798.55</v>
      </c>
      <c r="T4122" t="e">
        <f>NA()</f>
        <v>#N/A</v>
      </c>
      <c r="U4122">
        <f>28730.17</f>
        <v>28730.17</v>
      </c>
      <c r="V4122" t="e">
        <f>NA()</f>
        <v>#N/A</v>
      </c>
    </row>
    <row r="4123" spans="1:22" x14ac:dyDescent="0.2">
      <c r="A4123" s="1">
        <v>39336</v>
      </c>
      <c r="B4123">
        <f>3765.5</f>
        <v>3765.5</v>
      </c>
      <c r="C4123">
        <f>6323.4</f>
        <v>6323.4</v>
      </c>
      <c r="D4123">
        <f>3622.35</f>
        <v>3622.35</v>
      </c>
      <c r="E4123">
        <f>1796.641</f>
        <v>1796.6410000000001</v>
      </c>
      <c r="F4123">
        <f>2490.66</f>
        <v>2490.66</v>
      </c>
      <c r="G4123">
        <f>7526.217</f>
        <v>7526.2169999999996</v>
      </c>
      <c r="H4123">
        <f>1917.48</f>
        <v>1917.48</v>
      </c>
      <c r="I4123">
        <f>7973.117</f>
        <v>7973.1170000000002</v>
      </c>
      <c r="J4123">
        <f>1543.94</f>
        <v>1543.94</v>
      </c>
      <c r="K4123">
        <f>4747.88</f>
        <v>4747.88</v>
      </c>
      <c r="L4123">
        <f>1248.58</f>
        <v>1248.58</v>
      </c>
      <c r="M4123">
        <f>4764.33</f>
        <v>4764.33</v>
      </c>
      <c r="N4123">
        <f>180.161</f>
        <v>180.161</v>
      </c>
      <c r="O4123">
        <f>1958.83</f>
        <v>1958.83</v>
      </c>
      <c r="P4123">
        <f>105.36</f>
        <v>105.36</v>
      </c>
      <c r="Q4123">
        <f>810.65</f>
        <v>810.65</v>
      </c>
      <c r="R4123">
        <f>2297.41</f>
        <v>2297.41</v>
      </c>
      <c r="S4123">
        <f>1803.4</f>
        <v>1803.4</v>
      </c>
      <c r="T4123" t="e">
        <f>NA()</f>
        <v>#N/A</v>
      </c>
      <c r="U4123">
        <f>28858.14</f>
        <v>28858.14</v>
      </c>
      <c r="V4123" t="e">
        <f>NA()</f>
        <v>#N/A</v>
      </c>
    </row>
    <row r="4124" spans="1:22" x14ac:dyDescent="0.2">
      <c r="A4124" s="1">
        <v>39335</v>
      </c>
      <c r="B4124">
        <f>3706.71</f>
        <v>3706.71</v>
      </c>
      <c r="C4124">
        <f>6223.83</f>
        <v>6223.83</v>
      </c>
      <c r="D4124">
        <f>3537.83</f>
        <v>3537.83</v>
      </c>
      <c r="E4124">
        <f>1775.949</f>
        <v>1775.9490000000001</v>
      </c>
      <c r="F4124">
        <f>2420.06</f>
        <v>2420.06</v>
      </c>
      <c r="G4124">
        <f>7349.612</f>
        <v>7349.6120000000001</v>
      </c>
      <c r="H4124">
        <f>1926.12</f>
        <v>1926.12</v>
      </c>
      <c r="I4124">
        <f>7831.898</f>
        <v>7831.8980000000001</v>
      </c>
      <c r="J4124">
        <f>1524.75</f>
        <v>1524.75</v>
      </c>
      <c r="K4124">
        <f>4684.32</f>
        <v>4684.32</v>
      </c>
      <c r="L4124">
        <f>1228.45</f>
        <v>1228.45</v>
      </c>
      <c r="M4124">
        <f>4697.89</f>
        <v>4697.8900000000003</v>
      </c>
      <c r="N4124">
        <f>178.095</f>
        <v>178.095</v>
      </c>
      <c r="O4124">
        <f>1926.1</f>
        <v>1926.1</v>
      </c>
      <c r="P4124">
        <f>105.13</f>
        <v>105.13</v>
      </c>
      <c r="Q4124">
        <f>801.74</f>
        <v>801.74</v>
      </c>
      <c r="R4124">
        <f>2266.51</f>
        <v>2266.5100000000002</v>
      </c>
      <c r="S4124">
        <f>1794.96</f>
        <v>1794.96</v>
      </c>
      <c r="T4124" t="e">
        <f>NA()</f>
        <v>#N/A</v>
      </c>
      <c r="U4124">
        <f>28240.7</f>
        <v>28240.7</v>
      </c>
      <c r="V4124" t="e">
        <f>NA()</f>
        <v>#N/A</v>
      </c>
    </row>
    <row r="4125" spans="1:22" x14ac:dyDescent="0.2">
      <c r="A4125" s="1">
        <v>39332</v>
      </c>
      <c r="B4125">
        <f>3736.99</f>
        <v>3736.99</v>
      </c>
      <c r="C4125">
        <f>6302.14</f>
        <v>6302.14</v>
      </c>
      <c r="D4125">
        <f>3570.76</f>
        <v>3570.76</v>
      </c>
      <c r="E4125">
        <f>1797.018</f>
        <v>1797.018</v>
      </c>
      <c r="F4125">
        <f>2431.72</f>
        <v>2431.7199999999998</v>
      </c>
      <c r="G4125">
        <f>7406.012</f>
        <v>7406.0119999999997</v>
      </c>
      <c r="H4125">
        <f>1955.36</f>
        <v>1955.36</v>
      </c>
      <c r="I4125">
        <f>7881.961</f>
        <v>7881.9610000000002</v>
      </c>
      <c r="J4125">
        <f>1525.5</f>
        <v>1525.5</v>
      </c>
      <c r="K4125">
        <f>4691.4</f>
        <v>4691.3999999999996</v>
      </c>
      <c r="L4125">
        <f>1233.85</f>
        <v>1233.8499999999999</v>
      </c>
      <c r="M4125">
        <f>4724.84</f>
        <v>4724.84</v>
      </c>
      <c r="N4125">
        <f>179.697</f>
        <v>179.697</v>
      </c>
      <c r="O4125">
        <f>1942.81</f>
        <v>1942.81</v>
      </c>
      <c r="P4125">
        <f>106.16</f>
        <v>106.16</v>
      </c>
      <c r="Q4125">
        <f>804.22</f>
        <v>804.22</v>
      </c>
      <c r="R4125">
        <f>2269.32</f>
        <v>2269.3200000000002</v>
      </c>
      <c r="S4125">
        <f>1832.39</f>
        <v>1832.39</v>
      </c>
      <c r="T4125" t="e">
        <f>NA()</f>
        <v>#N/A</v>
      </c>
      <c r="U4125">
        <f>28311.77</f>
        <v>28311.77</v>
      </c>
      <c r="V4125" t="e">
        <f>NA()</f>
        <v>#N/A</v>
      </c>
    </row>
    <row r="4126" spans="1:22" x14ac:dyDescent="0.2">
      <c r="A4126" s="1">
        <v>39331</v>
      </c>
      <c r="B4126">
        <f>3821.89</f>
        <v>3821.89</v>
      </c>
      <c r="C4126">
        <f>6338.28</f>
        <v>6338.28</v>
      </c>
      <c r="D4126">
        <f>3641.17</f>
        <v>3641.17</v>
      </c>
      <c r="E4126">
        <f>1806.413</f>
        <v>1806.413</v>
      </c>
      <c r="F4126">
        <f>2482.58</f>
        <v>2482.58</v>
      </c>
      <c r="G4126">
        <f>7538.426</f>
        <v>7538.4260000000004</v>
      </c>
      <c r="H4126">
        <f>1931.45</f>
        <v>1931.45</v>
      </c>
      <c r="I4126">
        <f>8011.513</f>
        <v>8011.5129999999999</v>
      </c>
      <c r="J4126">
        <f>1548.4</f>
        <v>1548.4</v>
      </c>
      <c r="K4126">
        <f>4771.68</f>
        <v>4771.68</v>
      </c>
      <c r="L4126">
        <f>1252.3</f>
        <v>1252.3</v>
      </c>
      <c r="M4126">
        <f>4787.97</f>
        <v>4787.97</v>
      </c>
      <c r="N4126">
        <f>183.506</f>
        <v>183.506</v>
      </c>
      <c r="O4126">
        <f>1986.61</f>
        <v>1986.61</v>
      </c>
      <c r="P4126">
        <f>106.18</f>
        <v>106.18</v>
      </c>
      <c r="Q4126">
        <f>818.33</f>
        <v>818.33</v>
      </c>
      <c r="R4126">
        <f>2308.34</f>
        <v>2308.34</v>
      </c>
      <c r="S4126">
        <f>1845.92</f>
        <v>1845.92</v>
      </c>
      <c r="T4126" t="e">
        <f>NA()</f>
        <v>#N/A</v>
      </c>
      <c r="U4126">
        <f>28850.19</f>
        <v>28850.19</v>
      </c>
      <c r="V4126" t="e">
        <f>NA()</f>
        <v>#N/A</v>
      </c>
    </row>
    <row r="4127" spans="1:22" x14ac:dyDescent="0.2">
      <c r="A4127" s="1">
        <v>39330</v>
      </c>
      <c r="B4127">
        <f>3821.45</f>
        <v>3821.45</v>
      </c>
      <c r="C4127">
        <f>6300.88</f>
        <v>6300.88</v>
      </c>
      <c r="D4127">
        <f>3616.57</f>
        <v>3616.57</v>
      </c>
      <c r="E4127">
        <f>1791.659</f>
        <v>1791.6590000000001</v>
      </c>
      <c r="F4127">
        <f>2487.92</f>
        <v>2487.92</v>
      </c>
      <c r="G4127">
        <f>7479.116</f>
        <v>7479.116</v>
      </c>
      <c r="H4127">
        <f>1928.81</f>
        <v>1928.81</v>
      </c>
      <c r="I4127">
        <f>7965.047</f>
        <v>7965.0469999999996</v>
      </c>
      <c r="J4127">
        <f>1541.29</f>
        <v>1541.29</v>
      </c>
      <c r="K4127">
        <f>4751.8</f>
        <v>4751.8</v>
      </c>
      <c r="L4127">
        <f>1246.8</f>
        <v>1246.8</v>
      </c>
      <c r="M4127">
        <f>4765.28</f>
        <v>4765.28</v>
      </c>
      <c r="N4127">
        <f>184.078</f>
        <v>184.078</v>
      </c>
      <c r="O4127">
        <f>1979.38</f>
        <v>1979.38</v>
      </c>
      <c r="P4127">
        <f>106.11</f>
        <v>106.11</v>
      </c>
      <c r="Q4127">
        <f>813.51</f>
        <v>813.51</v>
      </c>
      <c r="R4127">
        <f>2298.16</f>
        <v>2298.16</v>
      </c>
      <c r="S4127">
        <f>1847.04</f>
        <v>1847.04</v>
      </c>
      <c r="T4127" t="e">
        <f>NA()</f>
        <v>#N/A</v>
      </c>
      <c r="U4127">
        <f>28696.67</f>
        <v>28696.67</v>
      </c>
      <c r="V4127" t="e">
        <f>NA()</f>
        <v>#N/A</v>
      </c>
    </row>
    <row r="4128" spans="1:22" x14ac:dyDescent="0.2">
      <c r="A4128" s="1">
        <v>39329</v>
      </c>
      <c r="B4128">
        <f>3897.32</f>
        <v>3897.32</v>
      </c>
      <c r="C4128">
        <f>6354.1</f>
        <v>6354.1</v>
      </c>
      <c r="D4128">
        <f>3677.23</f>
        <v>3677.23</v>
      </c>
      <c r="E4128">
        <f>1800.794</f>
        <v>1800.7940000000001</v>
      </c>
      <c r="F4128">
        <f>2532.19</f>
        <v>2532.19</v>
      </c>
      <c r="G4128">
        <f>7568.191</f>
        <v>7568.1909999999998</v>
      </c>
      <c r="H4128">
        <f>1944.84</f>
        <v>1944.84</v>
      </c>
      <c r="I4128">
        <f>8075.526</f>
        <v>8075.5259999999998</v>
      </c>
      <c r="J4128">
        <f>1559.71</f>
        <v>1559.71</v>
      </c>
      <c r="K4128">
        <f>4802.96</f>
        <v>4802.96</v>
      </c>
      <c r="L4128">
        <f>1262.13</f>
        <v>1262.1300000000001</v>
      </c>
      <c r="M4128">
        <f>4815.92</f>
        <v>4815.92</v>
      </c>
      <c r="N4128">
        <f>187.57</f>
        <v>187.57</v>
      </c>
      <c r="O4128">
        <f>2014.43</f>
        <v>2014.43</v>
      </c>
      <c r="P4128">
        <f>107.83</f>
        <v>107.83</v>
      </c>
      <c r="Q4128">
        <f>824.53</f>
        <v>824.53</v>
      </c>
      <c r="R4128">
        <f>2323.82</f>
        <v>2323.8200000000002</v>
      </c>
      <c r="S4128">
        <f>1879.13</f>
        <v>1879.13</v>
      </c>
      <c r="T4128" t="e">
        <f>NA()</f>
        <v>#N/A</v>
      </c>
      <c r="U4128">
        <f>29051.96</f>
        <v>29051.96</v>
      </c>
      <c r="V4128" t="e">
        <f>NA()</f>
        <v>#N/A</v>
      </c>
    </row>
    <row r="4129" spans="1:22" x14ac:dyDescent="0.2">
      <c r="A4129" s="1">
        <v>39328</v>
      </c>
      <c r="B4129">
        <f>3867.71</f>
        <v>3867.71</v>
      </c>
      <c r="C4129">
        <f>6359.71</f>
        <v>6359.71</v>
      </c>
      <c r="D4129">
        <f>3641.7</f>
        <v>3641.7</v>
      </c>
      <c r="E4129">
        <f>1801.854</f>
        <v>1801.854</v>
      </c>
      <c r="F4129">
        <f>2528.18</f>
        <v>2528.1799999999998</v>
      </c>
      <c r="G4129">
        <f>7520.298</f>
        <v>7520.2979999999998</v>
      </c>
      <c r="H4129">
        <f>1962.5</f>
        <v>1962.5</v>
      </c>
      <c r="I4129">
        <f>8038.009</f>
        <v>8038.009</v>
      </c>
      <c r="J4129">
        <f>1549.24</f>
        <v>1549.24</v>
      </c>
      <c r="K4129">
        <f>4751.96</f>
        <v>4751.96</v>
      </c>
      <c r="L4129">
        <f>1254.69</f>
        <v>1254.69</v>
      </c>
      <c r="M4129">
        <f>4784.42</f>
        <v>4784.42</v>
      </c>
      <c r="N4129">
        <f>186.992</f>
        <v>186.99199999999999</v>
      </c>
      <c r="O4129">
        <f>2001.33</f>
        <v>2001.33</v>
      </c>
      <c r="P4129">
        <f>108</f>
        <v>108</v>
      </c>
      <c r="Q4129">
        <f>820.37</f>
        <v>820.37</v>
      </c>
      <c r="R4129" t="e">
        <f>NA()</f>
        <v>#N/A</v>
      </c>
      <c r="S4129">
        <f>1889.37</f>
        <v>1889.37</v>
      </c>
      <c r="T4129" t="e">
        <f>NA()</f>
        <v>#N/A</v>
      </c>
      <c r="U4129">
        <f>28887.48</f>
        <v>28887.48</v>
      </c>
      <c r="V4129" t="e">
        <f>NA()</f>
        <v>#N/A</v>
      </c>
    </row>
    <row r="4130" spans="1:22" x14ac:dyDescent="0.2">
      <c r="A4130" s="1">
        <v>39325</v>
      </c>
      <c r="B4130">
        <f>3854.43</f>
        <v>3854.43</v>
      </c>
      <c r="C4130">
        <f>6335.84</f>
        <v>6335.84</v>
      </c>
      <c r="D4130">
        <f>3634.82</f>
        <v>3634.82</v>
      </c>
      <c r="E4130">
        <f>1793.133</f>
        <v>1793.133</v>
      </c>
      <c r="F4130">
        <f>2503.47</f>
        <v>2503.4699999999998</v>
      </c>
      <c r="G4130">
        <f>7504.028</f>
        <v>7504.0280000000002</v>
      </c>
      <c r="H4130">
        <f>1965.01</f>
        <v>1965.01</v>
      </c>
      <c r="I4130">
        <f>8033.328</f>
        <v>8033.3280000000004</v>
      </c>
      <c r="J4130">
        <f>1549.24</f>
        <v>1549.24</v>
      </c>
      <c r="K4130">
        <f>4751.96</f>
        <v>4751.96</v>
      </c>
      <c r="L4130">
        <f>1253.01</f>
        <v>1253.01</v>
      </c>
      <c r="M4130">
        <f>4781.07</f>
        <v>4781.07</v>
      </c>
      <c r="N4130">
        <f>185.439</f>
        <v>185.43899999999999</v>
      </c>
      <c r="O4130">
        <f>1995.31</f>
        <v>1995.31</v>
      </c>
      <c r="P4130">
        <f>108.45</f>
        <v>108.45</v>
      </c>
      <c r="Q4130">
        <f>820.37</f>
        <v>820.37</v>
      </c>
      <c r="R4130">
        <f>2299.71</f>
        <v>2299.71</v>
      </c>
      <c r="S4130">
        <f>1892.68</f>
        <v>1892.68</v>
      </c>
      <c r="T4130" t="e">
        <f>NA()</f>
        <v>#N/A</v>
      </c>
      <c r="U4130">
        <f>28660.35</f>
        <v>28660.35</v>
      </c>
      <c r="V4130" t="e">
        <f>NA()</f>
        <v>#N/A</v>
      </c>
    </row>
    <row r="4131" spans="1:22" x14ac:dyDescent="0.2">
      <c r="A4131" s="1">
        <v>39324</v>
      </c>
      <c r="B4131">
        <f>3784.2</f>
        <v>3784.2</v>
      </c>
      <c r="C4131">
        <f>6164.2</f>
        <v>6164.2</v>
      </c>
      <c r="D4131">
        <f>3582.17</f>
        <v>3582.17</v>
      </c>
      <c r="E4131">
        <f>1751.36</f>
        <v>1751.36</v>
      </c>
      <c r="F4131">
        <f>2465.51</f>
        <v>2465.5100000000002</v>
      </c>
      <c r="G4131">
        <f>7387.322</f>
        <v>7387.3220000000001</v>
      </c>
      <c r="H4131">
        <f>1914.34</f>
        <v>1914.34</v>
      </c>
      <c r="I4131">
        <f>7940.88</f>
        <v>7940.88</v>
      </c>
      <c r="J4131">
        <f>1534.39</f>
        <v>1534.39</v>
      </c>
      <c r="K4131">
        <f>4697.24</f>
        <v>4697.24</v>
      </c>
      <c r="L4131">
        <f>1238.32</f>
        <v>1238.32</v>
      </c>
      <c r="M4131">
        <f>4716.05</f>
        <v>4716.05</v>
      </c>
      <c r="N4131">
        <f>183.416</f>
        <v>183.416</v>
      </c>
      <c r="O4131">
        <f>1970.54</f>
        <v>1970.54</v>
      </c>
      <c r="P4131">
        <f>105.45</f>
        <v>105.45</v>
      </c>
      <c r="Q4131">
        <f>812.42</f>
        <v>812.42</v>
      </c>
      <c r="R4131">
        <f>2274.16</f>
        <v>2274.16</v>
      </c>
      <c r="S4131">
        <f>1845.58</f>
        <v>1845.58</v>
      </c>
      <c r="T4131" t="e">
        <f>NA()</f>
        <v>#N/A</v>
      </c>
      <c r="U4131">
        <f>27909.94</f>
        <v>27909.94</v>
      </c>
      <c r="V4131" t="e">
        <f>NA()</f>
        <v>#N/A</v>
      </c>
    </row>
    <row r="4132" spans="1:22" x14ac:dyDescent="0.2">
      <c r="A4132" s="1">
        <v>39323</v>
      </c>
      <c r="B4132">
        <f>3734.66</f>
        <v>3734.66</v>
      </c>
      <c r="C4132">
        <f>6074.83</f>
        <v>6074.83</v>
      </c>
      <c r="D4132">
        <f>3536.17</f>
        <v>3536.17</v>
      </c>
      <c r="E4132">
        <f>1728.7</f>
        <v>1728.7</v>
      </c>
      <c r="F4132">
        <f>2449.06</f>
        <v>2449.06</v>
      </c>
      <c r="G4132">
        <f>7288.683</f>
        <v>7288.683</v>
      </c>
      <c r="H4132">
        <f>1912.68</f>
        <v>1912.68</v>
      </c>
      <c r="I4132">
        <f>7866.374</f>
        <v>7866.3739999999998</v>
      </c>
      <c r="J4132">
        <f>1544.09</f>
        <v>1544.09</v>
      </c>
      <c r="K4132">
        <f>4714.84</f>
        <v>4714.84</v>
      </c>
      <c r="L4132">
        <f>1234.72</f>
        <v>1234.72</v>
      </c>
      <c r="M4132">
        <f>4705.23</f>
        <v>4705.2299999999996</v>
      </c>
      <c r="N4132">
        <f>181.198</f>
        <v>181.19800000000001</v>
      </c>
      <c r="O4132">
        <f>1948.31</f>
        <v>1948.31</v>
      </c>
      <c r="P4132">
        <f>104.4</f>
        <v>104.4</v>
      </c>
      <c r="Q4132">
        <f>817.22</f>
        <v>817.22</v>
      </c>
      <c r="R4132">
        <f>2283.58</f>
        <v>2283.58</v>
      </c>
      <c r="S4132">
        <f>1833.02</f>
        <v>1833.02</v>
      </c>
      <c r="T4132" t="e">
        <f>NA()</f>
        <v>#N/A</v>
      </c>
      <c r="U4132">
        <f>27600.96</f>
        <v>27600.959999999999</v>
      </c>
      <c r="V4132" t="e">
        <f>NA()</f>
        <v>#N/A</v>
      </c>
    </row>
    <row r="4133" spans="1:22" x14ac:dyDescent="0.2">
      <c r="A4133" s="1">
        <v>39322</v>
      </c>
      <c r="B4133">
        <f>3695.08</f>
        <v>3695.08</v>
      </c>
      <c r="C4133">
        <f>6074.25</f>
        <v>6074.25</v>
      </c>
      <c r="D4133">
        <f>3518.7</f>
        <v>3518.7</v>
      </c>
      <c r="E4133">
        <f>1732.628</f>
        <v>1732.6279999999999</v>
      </c>
      <c r="F4133">
        <f>2424.95</f>
        <v>2424.9499999999998</v>
      </c>
      <c r="G4133">
        <f>7232.179</f>
        <v>7232.1790000000001</v>
      </c>
      <c r="H4133">
        <f>1945.53</f>
        <v>1945.53</v>
      </c>
      <c r="I4133">
        <f>7820.749</f>
        <v>7820.7489999999998</v>
      </c>
      <c r="J4133">
        <f>1516.51</f>
        <v>1516.51</v>
      </c>
      <c r="K4133">
        <f>4613.36</f>
        <v>4613.3599999999997</v>
      </c>
      <c r="L4133">
        <f>1223.06</f>
        <v>1223.06</v>
      </c>
      <c r="M4133">
        <f>4655.24</f>
        <v>4655.24</v>
      </c>
      <c r="N4133">
        <f>179.973</f>
        <v>179.97300000000001</v>
      </c>
      <c r="O4133">
        <f>1937.02</f>
        <v>1937.02</v>
      </c>
      <c r="P4133">
        <f>106.53</f>
        <v>106.53</v>
      </c>
      <c r="Q4133">
        <f>801.91</f>
        <v>801.91</v>
      </c>
      <c r="R4133">
        <f>2234.03</f>
        <v>2234.0300000000002</v>
      </c>
      <c r="S4133">
        <f>1864.84</f>
        <v>1864.84</v>
      </c>
      <c r="T4133" t="e">
        <f>NA()</f>
        <v>#N/A</v>
      </c>
      <c r="U4133">
        <f>27479.54</f>
        <v>27479.54</v>
      </c>
      <c r="V4133" t="e">
        <f>NA()</f>
        <v>#N/A</v>
      </c>
    </row>
    <row r="4134" spans="1:22" x14ac:dyDescent="0.2">
      <c r="A4134" s="1">
        <v>39321</v>
      </c>
      <c r="B4134">
        <f>3766.72</f>
        <v>3766.72</v>
      </c>
      <c r="C4134">
        <f>6149.47</f>
        <v>6149.47</v>
      </c>
      <c r="D4134" t="e">
        <f>NA()</f>
        <v>#N/A</v>
      </c>
      <c r="E4134">
        <f>1747.436</f>
        <v>1747.4359999999999</v>
      </c>
      <c r="F4134">
        <f>2481.86</f>
        <v>2481.86</v>
      </c>
      <c r="G4134">
        <f>7389.334</f>
        <v>7389.3339999999998</v>
      </c>
      <c r="H4134">
        <f>1928.42</f>
        <v>1928.42</v>
      </c>
      <c r="I4134">
        <f>7946.965</f>
        <v>7946.9650000000001</v>
      </c>
      <c r="J4134">
        <f>1549.61</f>
        <v>1549.61</v>
      </c>
      <c r="K4134">
        <f>4723.37</f>
        <v>4723.37</v>
      </c>
      <c r="L4134">
        <f>1248.35</f>
        <v>1248.3499999999999</v>
      </c>
      <c r="M4134">
        <f>4739.49</f>
        <v>4739.49</v>
      </c>
      <c r="N4134">
        <f>183.365</f>
        <v>183.36500000000001</v>
      </c>
      <c r="O4134">
        <f>1971.66</f>
        <v>1971.66</v>
      </c>
      <c r="P4134">
        <f>106.56</f>
        <v>106.56</v>
      </c>
      <c r="Q4134">
        <f>820.86</f>
        <v>820.86</v>
      </c>
      <c r="R4134">
        <f>2287.62</f>
        <v>2287.62</v>
      </c>
      <c r="S4134">
        <f>1868.32</f>
        <v>1868.32</v>
      </c>
      <c r="T4134" t="e">
        <f>NA()</f>
        <v>#N/A</v>
      </c>
      <c r="U4134">
        <f>27820.58</f>
        <v>27820.58</v>
      </c>
      <c r="V4134" t="e">
        <f>NA()</f>
        <v>#N/A</v>
      </c>
    </row>
    <row r="4135" spans="1:22" x14ac:dyDescent="0.2">
      <c r="A4135" s="1">
        <v>39318</v>
      </c>
      <c r="B4135">
        <f>3766.72</f>
        <v>3766.72</v>
      </c>
      <c r="C4135">
        <f>6073.15</f>
        <v>6073.15</v>
      </c>
      <c r="D4135">
        <f>3586.66</f>
        <v>3586.66</v>
      </c>
      <c r="E4135">
        <f>1714.815</f>
        <v>1714.8150000000001</v>
      </c>
      <c r="F4135">
        <f>2475.94</f>
        <v>2475.94</v>
      </c>
      <c r="G4135">
        <f>7371.726</f>
        <v>7371.7259999999997</v>
      </c>
      <c r="H4135">
        <f>1929.38</f>
        <v>1929.38</v>
      </c>
      <c r="I4135">
        <f>7934.632</f>
        <v>7934.6319999999996</v>
      </c>
      <c r="J4135">
        <f>1564.94</f>
        <v>1564.94</v>
      </c>
      <c r="K4135">
        <f>4763.85</f>
        <v>4763.8500000000004</v>
      </c>
      <c r="L4135">
        <f>1250.79</f>
        <v>1250.79</v>
      </c>
      <c r="M4135">
        <f>4752.04</f>
        <v>4752.04</v>
      </c>
      <c r="N4135">
        <f>183.445</f>
        <v>183.44499999999999</v>
      </c>
      <c r="O4135">
        <f>1968.41</f>
        <v>1968.41</v>
      </c>
      <c r="P4135">
        <f>106.45</f>
        <v>106.45</v>
      </c>
      <c r="Q4135">
        <f>828.99</f>
        <v>828.99</v>
      </c>
      <c r="R4135">
        <f>2307.22</f>
        <v>2307.2199999999998</v>
      </c>
      <c r="S4135">
        <f>1866.08</f>
        <v>1866.08</v>
      </c>
      <c r="T4135" t="e">
        <f>NA()</f>
        <v>#N/A</v>
      </c>
      <c r="U4135">
        <f>27417.93</f>
        <v>27417.93</v>
      </c>
      <c r="V4135" t="e">
        <f>NA()</f>
        <v>#N/A</v>
      </c>
    </row>
    <row r="4136" spans="1:22" x14ac:dyDescent="0.2">
      <c r="A4136" s="1">
        <v>39317</v>
      </c>
      <c r="B4136">
        <f>3764.77</f>
        <v>3764.77</v>
      </c>
      <c r="C4136">
        <f>6048.43</f>
        <v>6048.43</v>
      </c>
      <c r="D4136">
        <f>3573.26</f>
        <v>3573.26</v>
      </c>
      <c r="E4136">
        <f>1707.299</f>
        <v>1707.299</v>
      </c>
      <c r="F4136">
        <f>2476.82</f>
        <v>2476.8200000000002</v>
      </c>
      <c r="G4136">
        <f>7323.424</f>
        <v>7323.424</v>
      </c>
      <c r="H4136">
        <f>1934.98</f>
        <v>1934.98</v>
      </c>
      <c r="I4136">
        <f>7859.734</f>
        <v>7859.7340000000004</v>
      </c>
      <c r="J4136">
        <f>1553.07</f>
        <v>1553.07</v>
      </c>
      <c r="K4136">
        <f>4709.6</f>
        <v>4709.6000000000004</v>
      </c>
      <c r="L4136">
        <f>1243.47</f>
        <v>1243.47</v>
      </c>
      <c r="M4136">
        <f>4713.38</f>
        <v>4713.38</v>
      </c>
      <c r="N4136">
        <f>183.309</f>
        <v>183.309</v>
      </c>
      <c r="O4136">
        <f>1962.72</f>
        <v>1962.72</v>
      </c>
      <c r="P4136">
        <f>106.83</f>
        <v>106.83</v>
      </c>
      <c r="Q4136">
        <f>820.77</f>
        <v>820.77</v>
      </c>
      <c r="R4136">
        <f>2280.68</f>
        <v>2280.6799999999998</v>
      </c>
      <c r="S4136">
        <f>1873.09</f>
        <v>1873.09</v>
      </c>
      <c r="T4136" t="e">
        <f>NA()</f>
        <v>#N/A</v>
      </c>
      <c r="U4136">
        <f>27468.07</f>
        <v>27468.07</v>
      </c>
      <c r="V4136" t="e">
        <f>NA()</f>
        <v>#N/A</v>
      </c>
    </row>
    <row r="4137" spans="1:22" x14ac:dyDescent="0.2">
      <c r="A4137" s="1">
        <v>39316</v>
      </c>
      <c r="B4137">
        <f>3773.78</f>
        <v>3773.78</v>
      </c>
      <c r="C4137">
        <f>5956.44</f>
        <v>5956.44</v>
      </c>
      <c r="D4137">
        <f>3572.74</f>
        <v>3572.74</v>
      </c>
      <c r="E4137">
        <f>1677.733</f>
        <v>1677.7329999999999</v>
      </c>
      <c r="F4137">
        <f>2462.95</f>
        <v>2462.9499999999998</v>
      </c>
      <c r="G4137">
        <f>7270.742</f>
        <v>7270.7420000000002</v>
      </c>
      <c r="H4137">
        <f>1904.23</f>
        <v>1904.23</v>
      </c>
      <c r="I4137">
        <f>7817.331</f>
        <v>7817.3310000000001</v>
      </c>
      <c r="J4137">
        <f>1553.82</f>
        <v>1553.82</v>
      </c>
      <c r="K4137">
        <f>4714.56</f>
        <v>4714.5600000000004</v>
      </c>
      <c r="L4137">
        <f>1235.76</f>
        <v>1235.76</v>
      </c>
      <c r="M4137">
        <f>4687.82</f>
        <v>4687.82</v>
      </c>
      <c r="N4137">
        <f>182.927</f>
        <v>182.92699999999999</v>
      </c>
      <c r="O4137">
        <f>1957.74</f>
        <v>1957.74</v>
      </c>
      <c r="P4137">
        <f>104.63</f>
        <v>104.63</v>
      </c>
      <c r="Q4137">
        <f>824.54</f>
        <v>824.54</v>
      </c>
      <c r="R4137">
        <f>2283.09</f>
        <v>2283.09</v>
      </c>
      <c r="S4137">
        <f>1817.88</f>
        <v>1817.88</v>
      </c>
      <c r="T4137" t="e">
        <f>NA()</f>
        <v>#N/A</v>
      </c>
      <c r="U4137">
        <f>27241.12</f>
        <v>27241.119999999999</v>
      </c>
      <c r="V4137" t="e">
        <f>NA()</f>
        <v>#N/A</v>
      </c>
    </row>
    <row r="4138" spans="1:22" x14ac:dyDescent="0.2">
      <c r="A4138" s="1">
        <v>39315</v>
      </c>
      <c r="B4138">
        <f>3699.84</f>
        <v>3699.84</v>
      </c>
      <c r="C4138">
        <f>5803.75</f>
        <v>5803.75</v>
      </c>
      <c r="D4138">
        <f>3505.21</f>
        <v>3505.21</v>
      </c>
      <c r="E4138">
        <f>1635.569</f>
        <v>1635.569</v>
      </c>
      <c r="F4138">
        <f>2428.1</f>
        <v>2428.1</v>
      </c>
      <c r="G4138">
        <f>7105.001</f>
        <v>7105.0010000000002</v>
      </c>
      <c r="H4138">
        <f>1927.09</f>
        <v>1927.09</v>
      </c>
      <c r="I4138">
        <f>7684.886</f>
        <v>7684.8860000000004</v>
      </c>
      <c r="J4138">
        <f>1537.94</f>
        <v>1537.94</v>
      </c>
      <c r="K4138">
        <f>4659.22</f>
        <v>4659.22</v>
      </c>
      <c r="L4138">
        <f>1219.48</f>
        <v>1219.48</v>
      </c>
      <c r="M4138">
        <f>4630.87</f>
        <v>4630.87</v>
      </c>
      <c r="N4138">
        <f>179.577</f>
        <v>179.577</v>
      </c>
      <c r="O4138">
        <f>1927.08</f>
        <v>1927.08</v>
      </c>
      <c r="P4138">
        <f>104.85</f>
        <v>104.85</v>
      </c>
      <c r="Q4138">
        <f>813.27</f>
        <v>813.27</v>
      </c>
      <c r="R4138">
        <f>2256.53</f>
        <v>2256.5300000000002</v>
      </c>
      <c r="S4138">
        <f>1823.75</f>
        <v>1823.75</v>
      </c>
      <c r="T4138" t="e">
        <f>NA()</f>
        <v>#N/A</v>
      </c>
      <c r="U4138">
        <f>26538.95</f>
        <v>26538.95</v>
      </c>
      <c r="V4138" t="e">
        <f>NA()</f>
        <v>#N/A</v>
      </c>
    </row>
    <row r="4139" spans="1:22" x14ac:dyDescent="0.2">
      <c r="A4139" s="1">
        <v>39314</v>
      </c>
      <c r="B4139">
        <f>3713.69</f>
        <v>3713.69</v>
      </c>
      <c r="C4139">
        <f>5815.26</f>
        <v>5815.26</v>
      </c>
      <c r="D4139">
        <f>3500.93</f>
        <v>3500.93</v>
      </c>
      <c r="E4139">
        <f>1638.469</f>
        <v>1638.4690000000001</v>
      </c>
      <c r="F4139">
        <f>2428.82</f>
        <v>2428.8200000000002</v>
      </c>
      <c r="G4139">
        <f>7108.307</f>
        <v>7108.3069999999998</v>
      </c>
      <c r="H4139">
        <f>1882.3</f>
        <v>1882.3</v>
      </c>
      <c r="I4139">
        <f>7672.26</f>
        <v>7672.26</v>
      </c>
      <c r="J4139">
        <f>1536.56</f>
        <v>1536.56</v>
      </c>
      <c r="K4139">
        <f>4652.02</f>
        <v>4652.0200000000004</v>
      </c>
      <c r="L4139">
        <f>1218.38</f>
        <v>1218.3800000000001</v>
      </c>
      <c r="M4139">
        <f>4612.96</f>
        <v>4612.96</v>
      </c>
      <c r="N4139">
        <f>180.158</f>
        <v>180.15799999999999</v>
      </c>
      <c r="O4139">
        <f>1926.67</f>
        <v>1926.67</v>
      </c>
      <c r="P4139">
        <f>103.13</f>
        <v>103.13</v>
      </c>
      <c r="Q4139">
        <f>811</f>
        <v>811</v>
      </c>
      <c r="R4139">
        <f>2254.07</f>
        <v>2254.0700000000002</v>
      </c>
      <c r="S4139">
        <f>1792.8</f>
        <v>1792.8</v>
      </c>
      <c r="T4139" t="e">
        <f>NA()</f>
        <v>#N/A</v>
      </c>
      <c r="U4139">
        <f>26640.18</f>
        <v>26640.18</v>
      </c>
      <c r="V4139" t="e">
        <f>NA()</f>
        <v>#N/A</v>
      </c>
    </row>
    <row r="4140" spans="1:22" x14ac:dyDescent="0.2">
      <c r="A4140" s="1">
        <v>39311</v>
      </c>
      <c r="B4140">
        <f>3705.9</f>
        <v>3705.9</v>
      </c>
      <c r="C4140">
        <f>5607.43</f>
        <v>5607.43</v>
      </c>
      <c r="D4140">
        <f>3492.61</f>
        <v>3492.61</v>
      </c>
      <c r="E4140">
        <f>1578.77</f>
        <v>1578.77</v>
      </c>
      <c r="F4140">
        <f>2426.75</f>
        <v>2426.75</v>
      </c>
      <c r="G4140">
        <f>7092.954</f>
        <v>7092.9539999999997</v>
      </c>
      <c r="H4140">
        <f>1844.6</f>
        <v>1844.6</v>
      </c>
      <c r="I4140">
        <f>7638.288</f>
        <v>7638.2879999999996</v>
      </c>
      <c r="J4140">
        <f>1540.41</f>
        <v>1540.41</v>
      </c>
      <c r="K4140">
        <f>4651.75</f>
        <v>4651.75</v>
      </c>
      <c r="L4140">
        <f>1214.09</f>
        <v>1214.0899999999999</v>
      </c>
      <c r="M4140">
        <f>4584.01</f>
        <v>4584.01</v>
      </c>
      <c r="N4140">
        <f>179.008</f>
        <v>179.00800000000001</v>
      </c>
      <c r="O4140">
        <f>1915.71</f>
        <v>1915.71</v>
      </c>
      <c r="P4140">
        <f>101.75</f>
        <v>101.75</v>
      </c>
      <c r="Q4140">
        <f>812.57</f>
        <v>812.57</v>
      </c>
      <c r="R4140">
        <f>2254.68</f>
        <v>2254.6799999999998</v>
      </c>
      <c r="S4140">
        <f>1741.99</f>
        <v>1741.99</v>
      </c>
      <c r="T4140" t="e">
        <f>NA()</f>
        <v>#N/A</v>
      </c>
      <c r="U4140">
        <f>25984.85</f>
        <v>25984.85</v>
      </c>
      <c r="V4140" t="e">
        <f>NA()</f>
        <v>#N/A</v>
      </c>
    </row>
    <row r="4141" spans="1:22" x14ac:dyDescent="0.2">
      <c r="A4141" s="1">
        <v>39310</v>
      </c>
      <c r="B4141">
        <f>3590.13</f>
        <v>3590.13</v>
      </c>
      <c r="C4141">
        <f>5585.41</f>
        <v>5585.41</v>
      </c>
      <c r="D4141">
        <f>3374.37</f>
        <v>3374.37</v>
      </c>
      <c r="E4141">
        <f>1576.868</f>
        <v>1576.8679999999999</v>
      </c>
      <c r="F4141">
        <f>2324.84</f>
        <v>2324.84</v>
      </c>
      <c r="G4141">
        <f>6845.182</f>
        <v>6845.1819999999998</v>
      </c>
      <c r="H4141">
        <f>1942.85</f>
        <v>1942.85</v>
      </c>
      <c r="I4141">
        <f>7436.152</f>
        <v>7436.152</v>
      </c>
      <c r="J4141">
        <f>1502.06</f>
        <v>1502.06</v>
      </c>
      <c r="K4141">
        <f>4540.31</f>
        <v>4540.3100000000004</v>
      </c>
      <c r="L4141">
        <f>1179.54</f>
        <v>1179.54</v>
      </c>
      <c r="M4141">
        <f>4507.87</f>
        <v>4507.87</v>
      </c>
      <c r="N4141">
        <f>175.708</f>
        <v>175.708</v>
      </c>
      <c r="O4141">
        <f>1874.55</f>
        <v>1874.55</v>
      </c>
      <c r="P4141">
        <f>105.82</f>
        <v>105.82</v>
      </c>
      <c r="Q4141">
        <f>794.14</f>
        <v>794.14</v>
      </c>
      <c r="R4141">
        <f>2200.61</f>
        <v>2200.61</v>
      </c>
      <c r="S4141">
        <f>1844.44</f>
        <v>1844.44</v>
      </c>
      <c r="T4141" t="e">
        <f>NA()</f>
        <v>#N/A</v>
      </c>
      <c r="U4141">
        <f>25991.8</f>
        <v>25991.8</v>
      </c>
      <c r="V4141" t="e">
        <f>NA()</f>
        <v>#N/A</v>
      </c>
    </row>
    <row r="4142" spans="1:22" x14ac:dyDescent="0.2">
      <c r="A4142" s="1">
        <v>39309</v>
      </c>
      <c r="B4142">
        <f>3712.68</f>
        <v>3712.68</v>
      </c>
      <c r="C4142">
        <f>5915.54</f>
        <v>5915.54</v>
      </c>
      <c r="D4142">
        <f>3518.58</f>
        <v>3518.58</v>
      </c>
      <c r="E4142">
        <f>1670.858</f>
        <v>1670.8579999999999</v>
      </c>
      <c r="F4142">
        <f>2432.72</f>
        <v>2432.7199999999998</v>
      </c>
      <c r="G4142">
        <f>7168.764</f>
        <v>7168.7640000000001</v>
      </c>
      <c r="H4142">
        <f>1919.28</f>
        <v>1919.28</v>
      </c>
      <c r="I4142">
        <f>7721.721</f>
        <v>7721.7209999999995</v>
      </c>
      <c r="J4142">
        <f>1483.63</f>
        <v>1483.63</v>
      </c>
      <c r="K4142">
        <f>4530.52</f>
        <v>4530.5200000000004</v>
      </c>
      <c r="L4142">
        <f>1201.46</f>
        <v>1201.46</v>
      </c>
      <c r="M4142">
        <f>4572.43</f>
        <v>4572.43</v>
      </c>
      <c r="N4142">
        <f>181.449</f>
        <v>181.44900000000001</v>
      </c>
      <c r="O4142">
        <f>1939.75</f>
        <v>1939.75</v>
      </c>
      <c r="P4142">
        <f>107.28</f>
        <v>107.28</v>
      </c>
      <c r="Q4142">
        <f>786.63</f>
        <v>786.63</v>
      </c>
      <c r="R4142">
        <f>2193.4</f>
        <v>2193.4</v>
      </c>
      <c r="S4142">
        <f>1875.84</f>
        <v>1875.84</v>
      </c>
      <c r="T4142" t="e">
        <f>NA()</f>
        <v>#N/A</v>
      </c>
      <c r="U4142">
        <f>27091.13</f>
        <v>27091.13</v>
      </c>
      <c r="V4142" t="e">
        <f>NA()</f>
        <v>#N/A</v>
      </c>
    </row>
    <row r="4143" spans="1:22" x14ac:dyDescent="0.2">
      <c r="A4143" s="1">
        <v>39308</v>
      </c>
      <c r="B4143">
        <f>3735.86</f>
        <v>3735.86</v>
      </c>
      <c r="C4143">
        <f>6070.73</f>
        <v>6070.73</v>
      </c>
      <c r="D4143">
        <f>3530.64</f>
        <v>3530.64</v>
      </c>
      <c r="E4143">
        <f>1711.812</f>
        <v>1711.8119999999999</v>
      </c>
      <c r="F4143">
        <f>2447.45</f>
        <v>2447.4499999999998</v>
      </c>
      <c r="G4143">
        <f>7224.746</f>
        <v>7224.7460000000001</v>
      </c>
      <c r="H4143">
        <f>1954.94</f>
        <v>1954.94</v>
      </c>
      <c r="I4143">
        <f>7797.688</f>
        <v>7797.6880000000001</v>
      </c>
      <c r="J4143">
        <f>1495.87</f>
        <v>1495.87</v>
      </c>
      <c r="K4143">
        <f>4595.75</f>
        <v>4595.75</v>
      </c>
      <c r="L4143">
        <f>1214.65</f>
        <v>1214.6500000000001</v>
      </c>
      <c r="M4143">
        <f>4640.66</f>
        <v>4640.66</v>
      </c>
      <c r="N4143">
        <f>181.781</f>
        <v>181.78100000000001</v>
      </c>
      <c r="O4143">
        <f>1941.82</f>
        <v>1941.82</v>
      </c>
      <c r="P4143">
        <f>109.57</f>
        <v>109.57</v>
      </c>
      <c r="Q4143">
        <f>795.63</f>
        <v>795.63</v>
      </c>
      <c r="R4143">
        <f>2223.71</f>
        <v>2223.71</v>
      </c>
      <c r="S4143">
        <f>1926.78</f>
        <v>1926.78</v>
      </c>
      <c r="T4143" t="e">
        <f>NA()</f>
        <v>#N/A</v>
      </c>
      <c r="U4143">
        <f>27369.72</f>
        <v>27369.72</v>
      </c>
      <c r="V4143" t="e">
        <f>NA()</f>
        <v>#N/A</v>
      </c>
    </row>
    <row r="4144" spans="1:22" x14ac:dyDescent="0.2">
      <c r="A4144" s="1">
        <v>39307</v>
      </c>
      <c r="B4144">
        <f>3803.05</f>
        <v>3803.05</v>
      </c>
      <c r="C4144">
        <f>6168.53</f>
        <v>6168.53</v>
      </c>
      <c r="D4144">
        <f>3574.03</f>
        <v>3574.03</v>
      </c>
      <c r="E4144">
        <f>1736.426</f>
        <v>1736.4259999999999</v>
      </c>
      <c r="F4144">
        <f>2488.81</f>
        <v>2488.81</v>
      </c>
      <c r="G4144">
        <f>7356.818</f>
        <v>7356.8180000000002</v>
      </c>
      <c r="H4144">
        <f>1938.55</f>
        <v>1938.55</v>
      </c>
      <c r="I4144">
        <f>7908.307</f>
        <v>7908.3069999999998</v>
      </c>
      <c r="J4144">
        <f>1519.45</f>
        <v>1519.45</v>
      </c>
      <c r="K4144">
        <f>4679.53</f>
        <v>4679.53</v>
      </c>
      <c r="L4144">
        <f>1233.26</f>
        <v>1233.26</v>
      </c>
      <c r="M4144">
        <f>4708.07</f>
        <v>4708.07</v>
      </c>
      <c r="N4144">
        <f>183.722</f>
        <v>183.72200000000001</v>
      </c>
      <c r="O4144">
        <f>1966.58</f>
        <v>1966.58</v>
      </c>
      <c r="P4144">
        <f>109.78</f>
        <v>109.78</v>
      </c>
      <c r="Q4144">
        <f>812.61</f>
        <v>812.61</v>
      </c>
      <c r="R4144">
        <f>2264.57</f>
        <v>2264.5700000000002</v>
      </c>
      <c r="S4144">
        <f>1921.11</f>
        <v>1921.11</v>
      </c>
      <c r="T4144" t="e">
        <f>NA()</f>
        <v>#N/A</v>
      </c>
      <c r="U4144">
        <f>27752.71</f>
        <v>27752.71</v>
      </c>
      <c r="V4144" t="e">
        <f>NA()</f>
        <v>#N/A</v>
      </c>
    </row>
    <row r="4145" spans="1:22" x14ac:dyDescent="0.2">
      <c r="A4145" s="1">
        <v>39304</v>
      </c>
      <c r="B4145">
        <f>3691.91</f>
        <v>3691.91</v>
      </c>
      <c r="C4145">
        <f>6090.3</f>
        <v>6090.3</v>
      </c>
      <c r="D4145">
        <f>3470.2</f>
        <v>3470.2</v>
      </c>
      <c r="E4145">
        <f>1718.996</f>
        <v>1718.9960000000001</v>
      </c>
      <c r="F4145">
        <f>2419.07</f>
        <v>2419.0700000000002</v>
      </c>
      <c r="G4145">
        <f>7173.935</f>
        <v>7173.9350000000004</v>
      </c>
      <c r="H4145">
        <f>1939.81</f>
        <v>1939.81</v>
      </c>
      <c r="I4145">
        <f>7798.623</f>
        <v>7798.6229999999996</v>
      </c>
      <c r="J4145">
        <f>1524.3</f>
        <v>1524.3</v>
      </c>
      <c r="K4145">
        <f>4681.77</f>
        <v>4681.7700000000004</v>
      </c>
      <c r="L4145">
        <f>1221.16</f>
        <v>1221.1600000000001</v>
      </c>
      <c r="M4145">
        <f>4683.01</f>
        <v>4683.01</v>
      </c>
      <c r="N4145">
        <f>180.965</f>
        <v>180.965</v>
      </c>
      <c r="O4145">
        <f>1922.47</f>
        <v>1922.47</v>
      </c>
      <c r="P4145">
        <f>109.02</f>
        <v>109.02</v>
      </c>
      <c r="Q4145">
        <f>816.01</f>
        <v>816.01</v>
      </c>
      <c r="R4145">
        <f>2265.36</f>
        <v>2265.36</v>
      </c>
      <c r="S4145">
        <f>1922.63</f>
        <v>1922.63</v>
      </c>
      <c r="T4145" t="e">
        <f>NA()</f>
        <v>#N/A</v>
      </c>
      <c r="U4145">
        <f>27076.3</f>
        <v>27076.3</v>
      </c>
      <c r="V4145" t="e">
        <f>NA()</f>
        <v>#N/A</v>
      </c>
    </row>
    <row r="4146" spans="1:22" x14ac:dyDescent="0.2">
      <c r="A4146" s="1">
        <v>39303</v>
      </c>
      <c r="B4146">
        <f>3822.07</f>
        <v>3822.07</v>
      </c>
      <c r="C4146">
        <f>6304.77</f>
        <v>6304.77</v>
      </c>
      <c r="D4146">
        <f>3604.02</f>
        <v>3604.02</v>
      </c>
      <c r="E4146">
        <f>1777.694</f>
        <v>1777.694</v>
      </c>
      <c r="F4146">
        <f>2545.54</f>
        <v>2545.54</v>
      </c>
      <c r="G4146">
        <f>7480.644</f>
        <v>7480.6440000000002</v>
      </c>
      <c r="H4146">
        <f>1983.27</f>
        <v>1983.27</v>
      </c>
      <c r="I4146">
        <f>8024.472</f>
        <v>8024.4719999999998</v>
      </c>
      <c r="J4146">
        <f>1527.43</f>
        <v>1527.43</v>
      </c>
      <c r="K4146">
        <f>4682.75</f>
        <v>4682.75</v>
      </c>
      <c r="L4146">
        <f>1248.03</f>
        <v>1248.03</v>
      </c>
      <c r="M4146">
        <f>4754.5</f>
        <v>4754.5</v>
      </c>
      <c r="N4146">
        <f>186.351</f>
        <v>186.351</v>
      </c>
      <c r="O4146">
        <f>1982.78</f>
        <v>1982.78</v>
      </c>
      <c r="P4146">
        <f>111.81</f>
        <v>111.81</v>
      </c>
      <c r="Q4146">
        <f>815.51</f>
        <v>815.51</v>
      </c>
      <c r="R4146">
        <f>2264.5</f>
        <v>2264.5</v>
      </c>
      <c r="S4146">
        <f>1981.32</f>
        <v>1981.32</v>
      </c>
      <c r="T4146" t="e">
        <f>NA()</f>
        <v>#N/A</v>
      </c>
      <c r="U4146" t="e">
        <f>NA()</f>
        <v>#N/A</v>
      </c>
      <c r="V4146" t="e">
        <f>NA()</f>
        <v>#N/A</v>
      </c>
    </row>
    <row r="4147" spans="1:22" x14ac:dyDescent="0.2">
      <c r="A4147" s="1">
        <v>39302</v>
      </c>
      <c r="B4147">
        <f>3893.31</f>
        <v>3893.31</v>
      </c>
      <c r="C4147">
        <f>6413.89</f>
        <v>6413.89</v>
      </c>
      <c r="D4147">
        <f>3674.52</f>
        <v>3674.52</v>
      </c>
      <c r="E4147">
        <f>1800.73</f>
        <v>1800.73</v>
      </c>
      <c r="F4147">
        <f>2614.56</f>
        <v>2614.56</v>
      </c>
      <c r="G4147">
        <f>7662.643</f>
        <v>7662.643</v>
      </c>
      <c r="H4147">
        <f>1950.53</f>
        <v>1950.53</v>
      </c>
      <c r="I4147">
        <f>8240.492</f>
        <v>8240.4920000000002</v>
      </c>
      <c r="J4147">
        <f>1574.35</f>
        <v>1574.35</v>
      </c>
      <c r="K4147">
        <f>4820.81</f>
        <v>4820.8100000000004</v>
      </c>
      <c r="L4147">
        <f>1282.19</f>
        <v>1282.19</v>
      </c>
      <c r="M4147">
        <f>4859.62</f>
        <v>4859.62</v>
      </c>
      <c r="N4147">
        <f>189.541</f>
        <v>189.541</v>
      </c>
      <c r="O4147">
        <f>2018.51</f>
        <v>2018.51</v>
      </c>
      <c r="P4147">
        <f>110.91</f>
        <v>110.91</v>
      </c>
      <c r="Q4147">
        <f>838.78</f>
        <v>838.78</v>
      </c>
      <c r="R4147">
        <f>2333.24</f>
        <v>2333.2399999999998</v>
      </c>
      <c r="S4147">
        <f>1963.94</f>
        <v>1963.94</v>
      </c>
      <c r="T4147" t="e">
        <f>NA()</f>
        <v>#N/A</v>
      </c>
      <c r="U4147">
        <f>28208.95</f>
        <v>28208.95</v>
      </c>
      <c r="V4147" t="e">
        <f>NA()</f>
        <v>#N/A</v>
      </c>
    </row>
    <row r="4148" spans="1:22" x14ac:dyDescent="0.2">
      <c r="A4148" s="1">
        <v>39301</v>
      </c>
      <c r="B4148">
        <f>3860.06</f>
        <v>3860.06</v>
      </c>
      <c r="C4148">
        <f>6221.18</f>
        <v>6221.18</v>
      </c>
      <c r="D4148">
        <f>3617.79</f>
        <v>3617.79</v>
      </c>
      <c r="E4148">
        <f>1751.164</f>
        <v>1751.164</v>
      </c>
      <c r="F4148">
        <f>2556.35</f>
        <v>2556.35</v>
      </c>
      <c r="G4148">
        <f>7481.058</f>
        <v>7481.058</v>
      </c>
      <c r="H4148">
        <f>1978.05</f>
        <v>1978.05</v>
      </c>
      <c r="I4148">
        <f>8048.329</f>
        <v>8048.3289999999997</v>
      </c>
      <c r="J4148">
        <f>1553.36</f>
        <v>1553.36</v>
      </c>
      <c r="K4148">
        <f>4750.33</f>
        <v>4750.33</v>
      </c>
      <c r="L4148">
        <f>1257.2</f>
        <v>1257.2</v>
      </c>
      <c r="M4148">
        <f>4778.85</f>
        <v>4778.8500000000004</v>
      </c>
      <c r="N4148">
        <f>184.985</f>
        <v>184.98500000000001</v>
      </c>
      <c r="O4148">
        <f>1979.27</f>
        <v>1979.27</v>
      </c>
      <c r="P4148">
        <f>111.45</f>
        <v>111.45</v>
      </c>
      <c r="Q4148">
        <f>828.81</f>
        <v>828.81</v>
      </c>
      <c r="R4148">
        <f>2300.09</f>
        <v>2300.09</v>
      </c>
      <c r="S4148">
        <f>1953.49</f>
        <v>1953.49</v>
      </c>
      <c r="T4148" t="e">
        <f>NA()</f>
        <v>#N/A</v>
      </c>
      <c r="U4148">
        <f>27312.07</f>
        <v>27312.07</v>
      </c>
      <c r="V4148" t="e">
        <f>NA()</f>
        <v>#N/A</v>
      </c>
    </row>
    <row r="4149" spans="1:22" x14ac:dyDescent="0.2">
      <c r="A4149" s="1">
        <v>39300</v>
      </c>
      <c r="B4149">
        <f>3771.17</f>
        <v>3771.17</v>
      </c>
      <c r="C4149">
        <f>6182.53</f>
        <v>6182.53</v>
      </c>
      <c r="D4149">
        <f>3549.13</f>
        <v>3549.13</v>
      </c>
      <c r="E4149">
        <f>1743.381</f>
        <v>1743.3810000000001</v>
      </c>
      <c r="F4149">
        <f>2505.26</f>
        <v>2505.2600000000002</v>
      </c>
      <c r="G4149">
        <f>7377.916</f>
        <v>7377.9160000000002</v>
      </c>
      <c r="H4149">
        <f>1998.88</f>
        <v>1998.88</v>
      </c>
      <c r="I4149">
        <f>7972.862</f>
        <v>7972.8620000000001</v>
      </c>
      <c r="J4149">
        <f>1543.1</f>
        <v>1543.1</v>
      </c>
      <c r="K4149">
        <f>4719.35</f>
        <v>4719.3500000000004</v>
      </c>
      <c r="L4149">
        <f>1243.72</f>
        <v>1243.72</v>
      </c>
      <c r="M4149">
        <f>4750.01</f>
        <v>4750.01</v>
      </c>
      <c r="N4149">
        <f>182.385</f>
        <v>182.38499999999999</v>
      </c>
      <c r="O4149">
        <f>1951.55</f>
        <v>1951.55</v>
      </c>
      <c r="P4149">
        <f>111.92</f>
        <v>111.92</v>
      </c>
      <c r="Q4149">
        <f>823.97</f>
        <v>823.97</v>
      </c>
      <c r="R4149">
        <f>2285.93</f>
        <v>2285.9299999999998</v>
      </c>
      <c r="S4149">
        <f>1962.76</f>
        <v>1962.76</v>
      </c>
      <c r="T4149" t="e">
        <f>NA()</f>
        <v>#N/A</v>
      </c>
      <c r="U4149">
        <f>26904.48</f>
        <v>26904.48</v>
      </c>
      <c r="V4149" t="e">
        <f>NA()</f>
        <v>#N/A</v>
      </c>
    </row>
    <row r="4150" spans="1:22" x14ac:dyDescent="0.2">
      <c r="A4150" s="1">
        <v>39297</v>
      </c>
      <c r="B4150">
        <f>3819.17</f>
        <v>3819.17</v>
      </c>
      <c r="C4150">
        <f>6295.04</f>
        <v>6295.04</v>
      </c>
      <c r="D4150">
        <f>3569.29</f>
        <v>3569.29</v>
      </c>
      <c r="E4150">
        <f>1778.797</f>
        <v>1778.797</v>
      </c>
      <c r="F4150">
        <f>2528.45</f>
        <v>2528.4499999999998</v>
      </c>
      <c r="G4150">
        <f>7449.321</f>
        <v>7449.3209999999999</v>
      </c>
      <c r="H4150">
        <f>1985.45</f>
        <v>1985.45</v>
      </c>
      <c r="I4150">
        <f>8016.641</f>
        <v>8016.6409999999996</v>
      </c>
      <c r="J4150">
        <f>1495.61</f>
        <v>1495.61</v>
      </c>
      <c r="K4150">
        <f>4612.12</f>
        <v>4612.12</v>
      </c>
      <c r="L4150">
        <f>1235.4</f>
        <v>1235.4000000000001</v>
      </c>
      <c r="M4150">
        <f>4712.45</f>
        <v>4712.45</v>
      </c>
      <c r="N4150">
        <f>183.803</f>
        <v>183.803</v>
      </c>
      <c r="O4150">
        <f>1968.74</f>
        <v>1968.74</v>
      </c>
      <c r="P4150">
        <f>111.82</f>
        <v>111.82</v>
      </c>
      <c r="Q4150">
        <f>799.22</f>
        <v>799.22</v>
      </c>
      <c r="R4150">
        <f>2231.98</f>
        <v>2231.98</v>
      </c>
      <c r="S4150">
        <f>1968.06</f>
        <v>1968.06</v>
      </c>
      <c r="T4150" t="e">
        <f>NA()</f>
        <v>#N/A</v>
      </c>
      <c r="U4150">
        <f>27582.01</f>
        <v>27582.01</v>
      </c>
      <c r="V4150" t="e">
        <f>NA()</f>
        <v>#N/A</v>
      </c>
    </row>
    <row r="4151" spans="1:22" x14ac:dyDescent="0.2">
      <c r="A4151" s="1">
        <v>39296</v>
      </c>
      <c r="B4151">
        <f>3842.97</f>
        <v>3842.97</v>
      </c>
      <c r="C4151">
        <f>6325.85</f>
        <v>6325.85</v>
      </c>
      <c r="D4151">
        <f>3612.88</f>
        <v>3612.88</v>
      </c>
      <c r="E4151">
        <f>1779.648</f>
        <v>1779.6479999999999</v>
      </c>
      <c r="F4151">
        <f>2548</f>
        <v>2548</v>
      </c>
      <c r="G4151">
        <f>7511.228</f>
        <v>7511.2280000000001</v>
      </c>
      <c r="H4151">
        <f>1969.45</f>
        <v>1969.45</v>
      </c>
      <c r="I4151">
        <f>8057.935</f>
        <v>8057.9350000000004</v>
      </c>
      <c r="J4151">
        <f>1533.29</f>
        <v>1533.29</v>
      </c>
      <c r="K4151">
        <f>4735.9</f>
        <v>4735.8999999999996</v>
      </c>
      <c r="L4151">
        <f>1252.65</f>
        <v>1252.6500000000001</v>
      </c>
      <c r="M4151">
        <f>4781.58</f>
        <v>4781.58</v>
      </c>
      <c r="N4151">
        <f>185.774</f>
        <v>185.774</v>
      </c>
      <c r="O4151">
        <f>1994.49</f>
        <v>1994.49</v>
      </c>
      <c r="P4151">
        <f>112.49</f>
        <v>112.49</v>
      </c>
      <c r="Q4151">
        <f>820.07</f>
        <v>820.07</v>
      </c>
      <c r="R4151">
        <f>2292.79</f>
        <v>2292.79</v>
      </c>
      <c r="S4151">
        <f>1964.28</f>
        <v>1964.28</v>
      </c>
      <c r="T4151" t="e">
        <f>NA()</f>
        <v>#N/A</v>
      </c>
      <c r="U4151">
        <f>27859.23</f>
        <v>27859.23</v>
      </c>
      <c r="V4151" t="e">
        <f>NA()</f>
        <v>#N/A</v>
      </c>
    </row>
    <row r="4152" spans="1:22" x14ac:dyDescent="0.2">
      <c r="A4152" s="1">
        <v>39295</v>
      </c>
      <c r="B4152">
        <f>3812.82</f>
        <v>3812.82</v>
      </c>
      <c r="C4152">
        <f>6279.96</f>
        <v>6279.96</v>
      </c>
      <c r="D4152">
        <f>3584.38</f>
        <v>3584.38</v>
      </c>
      <c r="E4152">
        <f>1768.837</f>
        <v>1768.837</v>
      </c>
      <c r="F4152">
        <f>2484.78</f>
        <v>2484.7800000000002</v>
      </c>
      <c r="G4152">
        <f>7441.777</f>
        <v>7441.777</v>
      </c>
      <c r="H4152">
        <f>1969.99</f>
        <v>1969.99</v>
      </c>
      <c r="I4152">
        <f>8010.579</f>
        <v>8010.5789999999997</v>
      </c>
      <c r="J4152">
        <f>1527.48</f>
        <v>1527.48</v>
      </c>
      <c r="K4152">
        <f>4712.3</f>
        <v>4712.3</v>
      </c>
      <c r="L4152">
        <f>1242.35</f>
        <v>1242.3499999999999</v>
      </c>
      <c r="M4152">
        <f>4754.93</f>
        <v>4754.93</v>
      </c>
      <c r="N4152">
        <f>184.184</f>
        <v>184.184</v>
      </c>
      <c r="O4152">
        <f>1981.17</f>
        <v>1981.17</v>
      </c>
      <c r="P4152">
        <f>111.85</f>
        <v>111.85</v>
      </c>
      <c r="Q4152">
        <f>816.94</f>
        <v>816.94</v>
      </c>
      <c r="R4152">
        <f>2282.3</f>
        <v>2282.3000000000002</v>
      </c>
      <c r="S4152">
        <f>1963.71</f>
        <v>1963.71</v>
      </c>
      <c r="T4152" t="e">
        <f>NA()</f>
        <v>#N/A</v>
      </c>
      <c r="U4152">
        <f>27820.11</f>
        <v>27820.11</v>
      </c>
      <c r="V4152" t="e">
        <f>NA()</f>
        <v>#N/A</v>
      </c>
    </row>
    <row r="4153" spans="1:22" x14ac:dyDescent="0.2">
      <c r="A4153" s="1">
        <v>39294</v>
      </c>
      <c r="B4153">
        <f>3877.33</f>
        <v>3877.33</v>
      </c>
      <c r="C4153">
        <f>6485.33</f>
        <v>6485.33</v>
      </c>
      <c r="D4153">
        <f>3642.23</f>
        <v>3642.23</v>
      </c>
      <c r="E4153">
        <f>1831.455</f>
        <v>1831.4549999999999</v>
      </c>
      <c r="F4153">
        <f>2525.93</f>
        <v>2525.9299999999998</v>
      </c>
      <c r="G4153">
        <f>7567.209</f>
        <v>7567.2089999999998</v>
      </c>
      <c r="H4153">
        <f>1989.13</f>
        <v>1989.13</v>
      </c>
      <c r="I4153">
        <f>8132</f>
        <v>8132</v>
      </c>
      <c r="J4153">
        <f>1511.68</f>
        <v>1511.68</v>
      </c>
      <c r="K4153">
        <f>4680.88</f>
        <v>4680.88</v>
      </c>
      <c r="L4153">
        <f>1252.38</f>
        <v>1252.3800000000001</v>
      </c>
      <c r="M4153">
        <f>4782.62</f>
        <v>4782.62</v>
      </c>
      <c r="N4153">
        <f>186.715</f>
        <v>186.715</v>
      </c>
      <c r="O4153">
        <f>2009.88</f>
        <v>2009.88</v>
      </c>
      <c r="P4153">
        <f>113.23</f>
        <v>113.23</v>
      </c>
      <c r="Q4153">
        <f>809.19</f>
        <v>809.19</v>
      </c>
      <c r="R4153">
        <f>2265.75</f>
        <v>2265.75</v>
      </c>
      <c r="S4153">
        <f>2007.64</f>
        <v>2007.64</v>
      </c>
      <c r="T4153" t="e">
        <f>NA()</f>
        <v>#N/A</v>
      </c>
      <c r="U4153">
        <f>28561.81</f>
        <v>28561.81</v>
      </c>
      <c r="V4153" t="e">
        <f>NA()</f>
        <v>#N/A</v>
      </c>
    </row>
    <row r="4154" spans="1:22" x14ac:dyDescent="0.2">
      <c r="A4154" s="1">
        <v>39293</v>
      </c>
      <c r="B4154">
        <f>3797.76</f>
        <v>3797.76</v>
      </c>
      <c r="C4154">
        <f>6410.18</f>
        <v>6410.18</v>
      </c>
      <c r="D4154">
        <f>3554.04</f>
        <v>3554.04</v>
      </c>
      <c r="E4154">
        <f>1801.349</f>
        <v>1801.3489999999999</v>
      </c>
      <c r="F4154">
        <f>2454</f>
        <v>2454</v>
      </c>
      <c r="G4154">
        <f>7359.074</f>
        <v>7359.0739999999996</v>
      </c>
      <c r="H4154">
        <f>1998.09</f>
        <v>1998.09</v>
      </c>
      <c r="I4154">
        <f>7985.799</f>
        <v>7985.799</v>
      </c>
      <c r="J4154">
        <f>1526.65</f>
        <v>1526.65</v>
      </c>
      <c r="K4154">
        <f>4740.25</f>
        <v>4740.25</v>
      </c>
      <c r="L4154">
        <f>1240.67</f>
        <v>1240.67</v>
      </c>
      <c r="M4154">
        <f>4777.48</f>
        <v>4777.4799999999996</v>
      </c>
      <c r="N4154">
        <f>182.966</f>
        <v>182.96600000000001</v>
      </c>
      <c r="O4154">
        <f>1967.74</f>
        <v>1967.74</v>
      </c>
      <c r="P4154">
        <f>112.79</f>
        <v>112.79</v>
      </c>
      <c r="Q4154">
        <f>817.85</f>
        <v>817.85</v>
      </c>
      <c r="R4154">
        <f>2294.75</f>
        <v>2294.75</v>
      </c>
      <c r="S4154">
        <f>2007.09</f>
        <v>2007.09</v>
      </c>
      <c r="T4154" t="e">
        <f>NA()</f>
        <v>#N/A</v>
      </c>
      <c r="U4154">
        <f>28156.23</f>
        <v>28156.23</v>
      </c>
      <c r="V4154" t="e">
        <f>NA()</f>
        <v>#N/A</v>
      </c>
    </row>
    <row r="4155" spans="1:22" x14ac:dyDescent="0.2">
      <c r="A4155" s="1">
        <v>39290</v>
      </c>
      <c r="B4155">
        <f>3784.92</f>
        <v>3784.92</v>
      </c>
      <c r="C4155">
        <f>6346.13</f>
        <v>6346.13</v>
      </c>
      <c r="D4155">
        <f>3559.24</f>
        <v>3559.24</v>
      </c>
      <c r="E4155">
        <f>1785.873</f>
        <v>1785.873</v>
      </c>
      <c r="F4155">
        <f>2479.58</f>
        <v>2479.58</v>
      </c>
      <c r="G4155">
        <f>7391.536</f>
        <v>7391.5360000000001</v>
      </c>
      <c r="H4155">
        <f>1986.74</f>
        <v>1986.74</v>
      </c>
      <c r="I4155">
        <f>7967.048</f>
        <v>7967.0479999999998</v>
      </c>
      <c r="J4155">
        <f>1512.32</f>
        <v>1512.32</v>
      </c>
      <c r="K4155">
        <f>4692.62</f>
        <v>4692.62</v>
      </c>
      <c r="L4155">
        <f>1239</f>
        <v>1239</v>
      </c>
      <c r="M4155">
        <f>4750.98</f>
        <v>4750.9799999999996</v>
      </c>
      <c r="N4155">
        <f>183.108</f>
        <v>183.108</v>
      </c>
      <c r="O4155">
        <f>1971.85</f>
        <v>1971.85</v>
      </c>
      <c r="P4155">
        <f>112.06</f>
        <v>112.06</v>
      </c>
      <c r="Q4155">
        <f>809.69</f>
        <v>809.69</v>
      </c>
      <c r="R4155">
        <f>2271.41</f>
        <v>2271.41</v>
      </c>
      <c r="S4155">
        <f>2000.03</f>
        <v>2000.03</v>
      </c>
      <c r="T4155" t="e">
        <f>NA()</f>
        <v>#N/A</v>
      </c>
      <c r="U4155">
        <f>27714.45</f>
        <v>27714.45</v>
      </c>
      <c r="V4155" t="e">
        <f>NA()</f>
        <v>#N/A</v>
      </c>
    </row>
    <row r="4156" spans="1:22" x14ac:dyDescent="0.2">
      <c r="A4156" s="1">
        <v>39289</v>
      </c>
      <c r="B4156">
        <f>3793.57</f>
        <v>3793.57</v>
      </c>
      <c r="C4156">
        <f>6586.53</f>
        <v>6586.53</v>
      </c>
      <c r="D4156">
        <f>3579.86</f>
        <v>3579.86</v>
      </c>
      <c r="E4156">
        <f>1845.007</f>
        <v>1845.0070000000001</v>
      </c>
      <c r="F4156">
        <f>2500.13</f>
        <v>2500.13</v>
      </c>
      <c r="G4156">
        <f>7485.801</f>
        <v>7485.8010000000004</v>
      </c>
      <c r="H4156">
        <f>2014.62</f>
        <v>2014.62</v>
      </c>
      <c r="I4156">
        <f>8029.007</f>
        <v>8029.0069999999996</v>
      </c>
      <c r="J4156">
        <f>1533.24</f>
        <v>1533.24</v>
      </c>
      <c r="K4156">
        <f>4765.85</f>
        <v>4765.8500000000004</v>
      </c>
      <c r="L4156">
        <f>1256.6</f>
        <v>1256.5999999999999</v>
      </c>
      <c r="M4156">
        <f>4822.68</f>
        <v>4822.68</v>
      </c>
      <c r="N4156">
        <f>183.706</f>
        <v>183.70599999999999</v>
      </c>
      <c r="O4156">
        <f>1981.57</f>
        <v>1981.57</v>
      </c>
      <c r="P4156">
        <f>114.4</f>
        <v>114.4</v>
      </c>
      <c r="Q4156">
        <f>821</f>
        <v>821</v>
      </c>
      <c r="R4156">
        <f>2307.98</f>
        <v>2307.98</v>
      </c>
      <c r="S4156">
        <f>2044.12</f>
        <v>2044.12</v>
      </c>
      <c r="T4156" t="e">
        <f>NA()</f>
        <v>#N/A</v>
      </c>
      <c r="U4156">
        <f>28585.84</f>
        <v>28585.84</v>
      </c>
      <c r="V4156" t="e">
        <f>NA()</f>
        <v>#N/A</v>
      </c>
    </row>
    <row r="4157" spans="1:22" x14ac:dyDescent="0.2">
      <c r="A4157" s="1">
        <v>39288</v>
      </c>
      <c r="B4157">
        <f>3917.83</f>
        <v>3917.83</v>
      </c>
      <c r="C4157">
        <f>6739.77</f>
        <v>6739.77</v>
      </c>
      <c r="D4157">
        <f>3696.17</f>
        <v>3696.17</v>
      </c>
      <c r="E4157">
        <f>1887.218</f>
        <v>1887.2180000000001</v>
      </c>
      <c r="F4157">
        <f>2596.03</f>
        <v>2596.0300000000002</v>
      </c>
      <c r="G4157">
        <f>7740.874</f>
        <v>7740.8739999999998</v>
      </c>
      <c r="H4157">
        <f>2024.92</f>
        <v>2024.92</v>
      </c>
      <c r="I4157">
        <f>8231.24</f>
        <v>8231.24</v>
      </c>
      <c r="J4157">
        <f>1567.38</f>
        <v>1567.38</v>
      </c>
      <c r="K4157">
        <f>4878.93</f>
        <v>4878.93</v>
      </c>
      <c r="L4157">
        <f>1288.14</f>
        <v>1288.1400000000001</v>
      </c>
      <c r="M4157">
        <f>4931.51</f>
        <v>4931.51</v>
      </c>
      <c r="N4157">
        <f>189.016</f>
        <v>189.01599999999999</v>
      </c>
      <c r="O4157">
        <f>2038.72</f>
        <v>2038.72</v>
      </c>
      <c r="P4157">
        <f>115.11</f>
        <v>115.11</v>
      </c>
      <c r="Q4157">
        <f>838.99</f>
        <v>838.99</v>
      </c>
      <c r="R4157">
        <f>2363.12</f>
        <v>2363.12</v>
      </c>
      <c r="S4157">
        <f>2063.9</f>
        <v>2063.9</v>
      </c>
      <c r="T4157" t="e">
        <f>NA()</f>
        <v>#N/A</v>
      </c>
      <c r="U4157">
        <f>29105.27</f>
        <v>29105.27</v>
      </c>
      <c r="V4157" t="e">
        <f>NA()</f>
        <v>#N/A</v>
      </c>
    </row>
    <row r="4158" spans="1:22" x14ac:dyDescent="0.2">
      <c r="A4158" s="1">
        <v>39287</v>
      </c>
      <c r="B4158">
        <f>3960.47</f>
        <v>3960.47</v>
      </c>
      <c r="C4158">
        <f>6810.24</f>
        <v>6810.24</v>
      </c>
      <c r="D4158">
        <f>3721.49</f>
        <v>3721.49</v>
      </c>
      <c r="E4158">
        <f>1901.921</f>
        <v>1901.921</v>
      </c>
      <c r="F4158">
        <f>2630.75</f>
        <v>2630.75</v>
      </c>
      <c r="G4158">
        <f>7842.684</f>
        <v>7842.6840000000002</v>
      </c>
      <c r="H4158">
        <f>2035.19</f>
        <v>2035.19</v>
      </c>
      <c r="I4158">
        <f>8393.336</f>
        <v>8393.3359999999993</v>
      </c>
      <c r="J4158">
        <f>1558.18</f>
        <v>1558.18</v>
      </c>
      <c r="K4158">
        <f>4859.38</f>
        <v>4859.38</v>
      </c>
      <c r="L4158">
        <f>1296.69</f>
        <v>1296.69</v>
      </c>
      <c r="M4158">
        <f>4955.54</f>
        <v>4955.54</v>
      </c>
      <c r="N4158">
        <f>190.176</f>
        <v>190.17599999999999</v>
      </c>
      <c r="O4158">
        <f>2056.6</f>
        <v>2056.6</v>
      </c>
      <c r="P4158">
        <f>115.94</f>
        <v>115.94</v>
      </c>
      <c r="Q4158">
        <f>836.14</f>
        <v>836.14</v>
      </c>
      <c r="R4158">
        <f>2352.12</f>
        <v>2352.12</v>
      </c>
      <c r="S4158">
        <f>2077.97</f>
        <v>2077.9699999999998</v>
      </c>
      <c r="T4158" t="e">
        <f>NA()</f>
        <v>#N/A</v>
      </c>
      <c r="U4158">
        <f>29590.81</f>
        <v>29590.81</v>
      </c>
      <c r="V4158" t="e">
        <f>NA()</f>
        <v>#N/A</v>
      </c>
    </row>
    <row r="4159" spans="1:22" x14ac:dyDescent="0.2">
      <c r="A4159" s="1">
        <v>39286</v>
      </c>
      <c r="B4159">
        <f>4027.46</f>
        <v>4027.46</v>
      </c>
      <c r="C4159">
        <f>6857.08</f>
        <v>6857.08</v>
      </c>
      <c r="D4159">
        <f>3793.46</f>
        <v>3793.46</v>
      </c>
      <c r="E4159">
        <f>1912.228</f>
        <v>1912.2280000000001</v>
      </c>
      <c r="F4159">
        <f>2674.4</f>
        <v>2674.4</v>
      </c>
      <c r="G4159">
        <f>7981.215</f>
        <v>7981.2150000000001</v>
      </c>
      <c r="H4159">
        <f>2016.56</f>
        <v>2016.56</v>
      </c>
      <c r="I4159">
        <f>8508.426</f>
        <v>8508.4259999999995</v>
      </c>
      <c r="J4159">
        <f>1591.72</f>
        <v>1591.72</v>
      </c>
      <c r="K4159">
        <f>4957.35</f>
        <v>4957.3500000000004</v>
      </c>
      <c r="L4159">
        <f>1317.69</f>
        <v>1317.69</v>
      </c>
      <c r="M4159">
        <f>5026.1</f>
        <v>5026.1000000000004</v>
      </c>
      <c r="N4159">
        <f>192.683</f>
        <v>192.68299999999999</v>
      </c>
      <c r="O4159">
        <f>2088.51</f>
        <v>2088.5100000000002</v>
      </c>
      <c r="P4159">
        <f>115.34</f>
        <v>115.34</v>
      </c>
      <c r="Q4159">
        <f>852.63</f>
        <v>852.63</v>
      </c>
      <c r="R4159">
        <f>2399.64</f>
        <v>2399.64</v>
      </c>
      <c r="S4159">
        <f>2067.73</f>
        <v>2067.73</v>
      </c>
      <c r="T4159" t="e">
        <f>NA()</f>
        <v>#N/A</v>
      </c>
      <c r="U4159">
        <f>29885.27</f>
        <v>29885.27</v>
      </c>
      <c r="V4159" t="e">
        <f>NA()</f>
        <v>#N/A</v>
      </c>
    </row>
    <row r="4160" spans="1:22" x14ac:dyDescent="0.2">
      <c r="A4160" s="1">
        <v>39283</v>
      </c>
      <c r="B4160">
        <f>4030.26</f>
        <v>4030.26</v>
      </c>
      <c r="C4160">
        <f>6757.22</f>
        <v>6757.22</v>
      </c>
      <c r="D4160">
        <f>3771.04</f>
        <v>3771.04</v>
      </c>
      <c r="E4160">
        <f>1891.911</f>
        <v>1891.9110000000001</v>
      </c>
      <c r="F4160">
        <f>2654.43</f>
        <v>2654.43</v>
      </c>
      <c r="G4160">
        <f>7929.822</f>
        <v>7929.8220000000001</v>
      </c>
      <c r="H4160">
        <f>2042.66</f>
        <v>2042.66</v>
      </c>
      <c r="I4160">
        <f>8474.089</f>
        <v>8474.0889999999999</v>
      </c>
      <c r="J4160">
        <f>1580.36</f>
        <v>1580.36</v>
      </c>
      <c r="K4160">
        <f>4934.82</f>
        <v>4934.82</v>
      </c>
      <c r="L4160">
        <f>1310.57</f>
        <v>1310.57</v>
      </c>
      <c r="M4160">
        <f>5014.98</f>
        <v>5014.9799999999996</v>
      </c>
      <c r="N4160">
        <f>191.961</f>
        <v>191.96100000000001</v>
      </c>
      <c r="O4160">
        <f>2075.58</f>
        <v>2075.58</v>
      </c>
      <c r="P4160">
        <f>116.46</f>
        <v>116.46</v>
      </c>
      <c r="Q4160">
        <f>850.35</f>
        <v>850.35</v>
      </c>
      <c r="R4160">
        <f>2387.96</f>
        <v>2387.96</v>
      </c>
      <c r="S4160">
        <f>2089.94</f>
        <v>2089.94</v>
      </c>
      <c r="T4160" t="e">
        <f>NA()</f>
        <v>#N/A</v>
      </c>
      <c r="U4160">
        <f>29692.04</f>
        <v>29692.04</v>
      </c>
      <c r="V4160" t="e">
        <f>NA()</f>
        <v>#N/A</v>
      </c>
    </row>
    <row r="4161" spans="1:22" x14ac:dyDescent="0.2">
      <c r="A4161" s="1">
        <v>39282</v>
      </c>
      <c r="B4161">
        <f>4054.51</f>
        <v>4054.51</v>
      </c>
      <c r="C4161">
        <f>6747.53</f>
        <v>6747.53</v>
      </c>
      <c r="D4161">
        <f>3802.53</f>
        <v>3802.53</v>
      </c>
      <c r="E4161">
        <f>1880.436</f>
        <v>1880.4359999999999</v>
      </c>
      <c r="F4161">
        <f>2671.97</f>
        <v>2671.97</v>
      </c>
      <c r="G4161">
        <f>7971.08</f>
        <v>7971.08</v>
      </c>
      <c r="H4161">
        <f>2020.33</f>
        <v>2020.33</v>
      </c>
      <c r="I4161">
        <f>8582.551</f>
        <v>8582.5509999999995</v>
      </c>
      <c r="J4161">
        <f>1602.13</f>
        <v>1602.13</v>
      </c>
      <c r="K4161">
        <f>4994.43</f>
        <v>4994.43</v>
      </c>
      <c r="L4161">
        <f>1324.77</f>
        <v>1324.77</v>
      </c>
      <c r="M4161">
        <f>5053.6</f>
        <v>5053.6000000000004</v>
      </c>
      <c r="N4161">
        <f>193.149</f>
        <v>193.149</v>
      </c>
      <c r="O4161">
        <f>2099.64</f>
        <v>2099.64</v>
      </c>
      <c r="P4161">
        <f>116.39</f>
        <v>116.39</v>
      </c>
      <c r="Q4161">
        <f>861.87</f>
        <v>861.87</v>
      </c>
      <c r="R4161">
        <f>2417.5</f>
        <v>2417.5</v>
      </c>
      <c r="S4161">
        <f>2080.33</f>
        <v>2080.33</v>
      </c>
      <c r="T4161" t="e">
        <f>NA()</f>
        <v>#N/A</v>
      </c>
      <c r="U4161">
        <f>29621.28</f>
        <v>29621.279999999999</v>
      </c>
      <c r="V4161" t="e">
        <f>NA()</f>
        <v>#N/A</v>
      </c>
    </row>
    <row r="4162" spans="1:22" x14ac:dyDescent="0.2">
      <c r="A4162" s="1">
        <v>39281</v>
      </c>
      <c r="B4162">
        <f>4019.95</f>
        <v>4019.95</v>
      </c>
      <c r="C4162">
        <f>6677.47</f>
        <v>6677.47</v>
      </c>
      <c r="D4162">
        <f>3760.63</f>
        <v>3760.63</v>
      </c>
      <c r="E4162">
        <f>1860.626</f>
        <v>1860.626</v>
      </c>
      <c r="F4162">
        <f>2652.1</f>
        <v>2652.1</v>
      </c>
      <c r="G4162">
        <f>7892.315</f>
        <v>7892.3149999999996</v>
      </c>
      <c r="H4162">
        <f>2016.67</f>
        <v>2016.67</v>
      </c>
      <c r="I4162">
        <f>8489.58</f>
        <v>8489.58</v>
      </c>
      <c r="J4162">
        <f>1598.85</f>
        <v>1598.85</v>
      </c>
      <c r="K4162">
        <f>4971.94</f>
        <v>4971.9399999999996</v>
      </c>
      <c r="L4162">
        <f>1316.55</f>
        <v>1316.55</v>
      </c>
      <c r="M4162">
        <f>5019.99</f>
        <v>5019.99</v>
      </c>
      <c r="N4162">
        <f>191.777</f>
        <v>191.77699999999999</v>
      </c>
      <c r="O4162">
        <f>2079.85</f>
        <v>2079.85</v>
      </c>
      <c r="P4162">
        <f>115.43</f>
        <v>115.43</v>
      </c>
      <c r="Q4162">
        <f>858.85</f>
        <v>858.85</v>
      </c>
      <c r="R4162">
        <f>2406.69</f>
        <v>2406.69</v>
      </c>
      <c r="S4162">
        <f>2069.33</f>
        <v>2069.33</v>
      </c>
      <c r="T4162" t="e">
        <f>NA()</f>
        <v>#N/A</v>
      </c>
      <c r="U4162">
        <f>29422.66</f>
        <v>29422.66</v>
      </c>
      <c r="V4162" t="e">
        <f>NA()</f>
        <v>#N/A</v>
      </c>
    </row>
    <row r="4163" spans="1:22" x14ac:dyDescent="0.2">
      <c r="A4163" s="1">
        <v>39280</v>
      </c>
      <c r="B4163">
        <f>4050.37</f>
        <v>4050.37</v>
      </c>
      <c r="C4163">
        <f>6713.24</f>
        <v>6713.24</v>
      </c>
      <c r="D4163">
        <f>3813.27</f>
        <v>3813.27</v>
      </c>
      <c r="E4163">
        <f>1873.37</f>
        <v>1873.37</v>
      </c>
      <c r="F4163">
        <f>2673.52</f>
        <v>2673.52</v>
      </c>
      <c r="G4163">
        <f>7968.141</f>
        <v>7968.1409999999996</v>
      </c>
      <c r="H4163">
        <f>2037.07</f>
        <v>2037.07</v>
      </c>
      <c r="I4163">
        <f>8575.873</f>
        <v>8575.8729999999996</v>
      </c>
      <c r="J4163">
        <f>1607.7</f>
        <v>1607.7</v>
      </c>
      <c r="K4163">
        <f>4982.38</f>
        <v>4982.38</v>
      </c>
      <c r="L4163">
        <f>1326.43</f>
        <v>1326.43</v>
      </c>
      <c r="M4163">
        <f>5043.9</f>
        <v>5043.8999999999996</v>
      </c>
      <c r="N4163">
        <f>192.728</f>
        <v>192.72800000000001</v>
      </c>
      <c r="O4163">
        <f>2105.2</f>
        <v>2105.1999999999998</v>
      </c>
      <c r="P4163">
        <f>116.7</f>
        <v>116.7</v>
      </c>
      <c r="Q4163">
        <f>863.94</f>
        <v>863.94</v>
      </c>
      <c r="R4163">
        <f>2411.41</f>
        <v>2411.41</v>
      </c>
      <c r="S4163">
        <f>2092.23</f>
        <v>2092.23</v>
      </c>
      <c r="T4163" t="e">
        <f>NA()</f>
        <v>#N/A</v>
      </c>
      <c r="U4163">
        <f>29606.22</f>
        <v>29606.22</v>
      </c>
      <c r="V4163" t="e">
        <f>NA()</f>
        <v>#N/A</v>
      </c>
    </row>
    <row r="4164" spans="1:22" x14ac:dyDescent="0.2">
      <c r="A4164" s="1">
        <v>39279</v>
      </c>
      <c r="B4164">
        <f>4071.92</f>
        <v>4071.92</v>
      </c>
      <c r="C4164">
        <f>6702.02</f>
        <v>6702.02</v>
      </c>
      <c r="D4164">
        <f>3835.36</f>
        <v>3835.36</v>
      </c>
      <c r="E4164">
        <f>1873.45</f>
        <v>1873.45</v>
      </c>
      <c r="F4164">
        <f>2671.62</f>
        <v>2671.62</v>
      </c>
      <c r="G4164">
        <f>7983.607</f>
        <v>7983.607</v>
      </c>
      <c r="H4164">
        <f>2041.49</f>
        <v>2041.49</v>
      </c>
      <c r="I4164">
        <f>8617.518</f>
        <v>8617.518</v>
      </c>
      <c r="J4164">
        <f>1608.59</f>
        <v>1608.59</v>
      </c>
      <c r="K4164">
        <f>4980.84</f>
        <v>4980.84</v>
      </c>
      <c r="L4164">
        <f>1326.85</f>
        <v>1326.85</v>
      </c>
      <c r="M4164">
        <f>5050.58</f>
        <v>5050.58</v>
      </c>
      <c r="N4164">
        <f>193.806</f>
        <v>193.80600000000001</v>
      </c>
      <c r="O4164">
        <f>2114.07</f>
        <v>2114.0700000000002</v>
      </c>
      <c r="P4164" t="e">
        <f>NA()</f>
        <v>#N/A</v>
      </c>
      <c r="Q4164">
        <f>863.11</f>
        <v>863.11</v>
      </c>
      <c r="R4164">
        <f>2411.65</f>
        <v>2411.65</v>
      </c>
      <c r="S4164" t="e">
        <f>NA()</f>
        <v>#N/A</v>
      </c>
      <c r="T4164" t="e">
        <f>NA()</f>
        <v>#N/A</v>
      </c>
      <c r="U4164">
        <f>29868.22</f>
        <v>29868.22</v>
      </c>
      <c r="V4164" t="e">
        <f>NA()</f>
        <v>#N/A</v>
      </c>
    </row>
    <row r="4165" spans="1:22" x14ac:dyDescent="0.2">
      <c r="A4165" s="1">
        <v>39276</v>
      </c>
      <c r="B4165">
        <f>4073.77</f>
        <v>4073.77</v>
      </c>
      <c r="C4165">
        <f>6714.45</f>
        <v>6714.45</v>
      </c>
      <c r="D4165">
        <f>3846.23</f>
        <v>3846.23</v>
      </c>
      <c r="E4165">
        <f>1882.767</f>
        <v>1882.7670000000001</v>
      </c>
      <c r="F4165">
        <f>2665.6</f>
        <v>2665.6</v>
      </c>
      <c r="G4165">
        <f>7989.217</f>
        <v>7989.2169999999996</v>
      </c>
      <c r="H4165">
        <f>2038.65</f>
        <v>2038.65</v>
      </c>
      <c r="I4165">
        <f>8595.641</f>
        <v>8595.6409999999996</v>
      </c>
      <c r="J4165">
        <f>1609.03</f>
        <v>1609.03</v>
      </c>
      <c r="K4165">
        <f>4989.37</f>
        <v>4989.37</v>
      </c>
      <c r="L4165">
        <f>1325.02</f>
        <v>1325.02</v>
      </c>
      <c r="M4165">
        <f>5052.85</f>
        <v>5052.8500000000004</v>
      </c>
      <c r="N4165">
        <f>193.276</f>
        <v>193.27600000000001</v>
      </c>
      <c r="O4165">
        <f>2111.21</f>
        <v>2111.21</v>
      </c>
      <c r="P4165">
        <f>116.88</f>
        <v>116.88</v>
      </c>
      <c r="Q4165">
        <f>865</f>
        <v>865</v>
      </c>
      <c r="R4165">
        <f>2416.28</f>
        <v>2416.2800000000002</v>
      </c>
      <c r="S4165">
        <f>2098.22</f>
        <v>2098.2199999999998</v>
      </c>
      <c r="T4165" t="e">
        <f>NA()</f>
        <v>#N/A</v>
      </c>
      <c r="U4165">
        <f>29961.73</f>
        <v>29961.73</v>
      </c>
      <c r="V4165" t="e">
        <f>NA()</f>
        <v>#N/A</v>
      </c>
    </row>
    <row r="4166" spans="1:22" x14ac:dyDescent="0.2">
      <c r="A4166" s="1">
        <v>39275</v>
      </c>
      <c r="B4166">
        <f>4060.02</f>
        <v>4060.02</v>
      </c>
      <c r="C4166">
        <f>6640.76</f>
        <v>6640.76</v>
      </c>
      <c r="D4166">
        <f>3835.34</f>
        <v>3835.34</v>
      </c>
      <c r="E4166">
        <f>1856.547</f>
        <v>1856.547</v>
      </c>
      <c r="F4166">
        <f>2644.25</f>
        <v>2644.25</v>
      </c>
      <c r="G4166">
        <f>7952.74</f>
        <v>7952.74</v>
      </c>
      <c r="H4166">
        <f>2013.2</f>
        <v>2013.2</v>
      </c>
      <c r="I4166">
        <f>8561.239</f>
        <v>8561.2389999999996</v>
      </c>
      <c r="J4166">
        <f>1603.96</f>
        <v>1603.96</v>
      </c>
      <c r="K4166">
        <f>4973.21</f>
        <v>4973.21</v>
      </c>
      <c r="L4166">
        <f>1318.43</f>
        <v>1318.43</v>
      </c>
      <c r="M4166">
        <f>5026.57</f>
        <v>5026.57</v>
      </c>
      <c r="N4166">
        <f>192.402</f>
        <v>192.40199999999999</v>
      </c>
      <c r="O4166">
        <f>2102.48</f>
        <v>2102.48</v>
      </c>
      <c r="P4166">
        <f>115.71</f>
        <v>115.71</v>
      </c>
      <c r="Q4166">
        <f>862</f>
        <v>862</v>
      </c>
      <c r="R4166">
        <f>2408.79</f>
        <v>2408.79</v>
      </c>
      <c r="S4166">
        <f>2074.52</f>
        <v>2074.52</v>
      </c>
      <c r="T4166" t="e">
        <f>NA()</f>
        <v>#N/A</v>
      </c>
      <c r="U4166">
        <f>29791.27</f>
        <v>29791.27</v>
      </c>
      <c r="V4166" t="e">
        <f>NA()</f>
        <v>#N/A</v>
      </c>
    </row>
    <row r="4167" spans="1:22" x14ac:dyDescent="0.2">
      <c r="A4167" s="1">
        <v>39274</v>
      </c>
      <c r="B4167">
        <f>4005.39</f>
        <v>4005.39</v>
      </c>
      <c r="C4167">
        <f>6553.78</f>
        <v>6553.78</v>
      </c>
      <c r="D4167">
        <f>3788.06</f>
        <v>3788.06</v>
      </c>
      <c r="E4167">
        <f>1829.451</f>
        <v>1829.451</v>
      </c>
      <c r="F4167">
        <f>2616.38</f>
        <v>2616.38</v>
      </c>
      <c r="G4167">
        <f>7880.227</f>
        <v>7880.2269999999999</v>
      </c>
      <c r="H4167">
        <f>2024.48</f>
        <v>2024.48</v>
      </c>
      <c r="I4167">
        <f>8458.21</f>
        <v>8458.2099999999991</v>
      </c>
      <c r="J4167">
        <f>1573.58</f>
        <v>1573.58</v>
      </c>
      <c r="K4167">
        <f>4882.9</f>
        <v>4882.8999999999996</v>
      </c>
      <c r="L4167">
        <f>1299.85</f>
        <v>1299.8499999999999</v>
      </c>
      <c r="M4167">
        <f>4962.06</f>
        <v>4962.0600000000004</v>
      </c>
      <c r="N4167">
        <f>190.771</f>
        <v>190.77099999999999</v>
      </c>
      <c r="O4167">
        <f>2077.86</f>
        <v>2077.86</v>
      </c>
      <c r="P4167">
        <f>115.88</f>
        <v>115.88</v>
      </c>
      <c r="Q4167">
        <f>846.38</f>
        <v>846.38</v>
      </c>
      <c r="R4167">
        <f>2363.72</f>
        <v>2363.7199999999998</v>
      </c>
      <c r="S4167">
        <f>2080</f>
        <v>2080</v>
      </c>
      <c r="T4167" t="e">
        <f>NA()</f>
        <v>#N/A</v>
      </c>
      <c r="U4167">
        <f>29643.36</f>
        <v>29643.360000000001</v>
      </c>
      <c r="V4167" t="e">
        <f>NA()</f>
        <v>#N/A</v>
      </c>
    </row>
    <row r="4168" spans="1:22" x14ac:dyDescent="0.2">
      <c r="A4168" s="1">
        <v>39273</v>
      </c>
      <c r="B4168">
        <f>4026.95</f>
        <v>4026.95</v>
      </c>
      <c r="C4168">
        <f>6558.63</f>
        <v>6558.63</v>
      </c>
      <c r="D4168">
        <f>3796.25</f>
        <v>3796.25</v>
      </c>
      <c r="E4168">
        <f>1833.068</f>
        <v>1833.068</v>
      </c>
      <c r="F4168">
        <f>2627.23</f>
        <v>2627.23</v>
      </c>
      <c r="G4168">
        <f>7860.056</f>
        <v>7860.0559999999996</v>
      </c>
      <c r="H4168">
        <f>2046.23</f>
        <v>2046.23</v>
      </c>
      <c r="I4168">
        <f>8459.641</f>
        <v>8459.6409999999996</v>
      </c>
      <c r="J4168">
        <f>1563.68</f>
        <v>1563.68</v>
      </c>
      <c r="K4168">
        <f>4855.95</f>
        <v>4855.95</v>
      </c>
      <c r="L4168">
        <f>1297.81</f>
        <v>1297.81</v>
      </c>
      <c r="M4168">
        <f>4954.94</f>
        <v>4954.9399999999996</v>
      </c>
      <c r="N4168">
        <f>191.69</f>
        <v>191.69</v>
      </c>
      <c r="O4168">
        <f>2085.65</f>
        <v>2085.65</v>
      </c>
      <c r="P4168">
        <f>116.87</f>
        <v>116.87</v>
      </c>
      <c r="Q4168">
        <f>842.36</f>
        <v>842.36</v>
      </c>
      <c r="R4168">
        <f>2349.98</f>
        <v>2349.98</v>
      </c>
      <c r="S4168">
        <f>2105.27</f>
        <v>2105.27</v>
      </c>
      <c r="T4168" t="e">
        <f>NA()</f>
        <v>#N/A</v>
      </c>
      <c r="U4168">
        <f>29450.59</f>
        <v>29450.59</v>
      </c>
      <c r="V4168" t="e">
        <f>NA()</f>
        <v>#N/A</v>
      </c>
    </row>
    <row r="4169" spans="1:22" x14ac:dyDescent="0.2">
      <c r="A4169" s="1">
        <v>39272</v>
      </c>
      <c r="B4169">
        <f>4075.61</f>
        <v>4075.61</v>
      </c>
      <c r="C4169">
        <f>6562.99</f>
        <v>6562.99</v>
      </c>
      <c r="D4169">
        <f>3843.05</f>
        <v>3843.05</v>
      </c>
      <c r="E4169">
        <f>1837.765</f>
        <v>1837.7650000000001</v>
      </c>
      <c r="F4169">
        <f>2663.94</f>
        <v>2663.94</v>
      </c>
      <c r="G4169">
        <f>7921.471</f>
        <v>7921.4709999999995</v>
      </c>
      <c r="H4169">
        <f>2029.8</f>
        <v>2029.8</v>
      </c>
      <c r="I4169">
        <f>8484.459</f>
        <v>8484.4590000000007</v>
      </c>
      <c r="J4169">
        <f>1588.17</f>
        <v>1588.17</v>
      </c>
      <c r="K4169">
        <f>4925.92</f>
        <v>4925.92</v>
      </c>
      <c r="L4169">
        <f>1309.21</f>
        <v>1309.21</v>
      </c>
      <c r="M4169">
        <f>4994.08</f>
        <v>4994.08</v>
      </c>
      <c r="N4169">
        <f>193.524</f>
        <v>193.524</v>
      </c>
      <c r="O4169">
        <f>2110.03</f>
        <v>2110.0300000000002</v>
      </c>
      <c r="P4169">
        <f>116.98</f>
        <v>116.98</v>
      </c>
      <c r="Q4169">
        <f>856.6</f>
        <v>856.6</v>
      </c>
      <c r="R4169">
        <f>2383.8</f>
        <v>2383.8000000000002</v>
      </c>
      <c r="S4169">
        <f>2108.84</f>
        <v>2108.84</v>
      </c>
      <c r="T4169" t="e">
        <f>NA()</f>
        <v>#N/A</v>
      </c>
      <c r="U4169">
        <f>29714.16</f>
        <v>29714.16</v>
      </c>
      <c r="V4169" t="e">
        <f>NA()</f>
        <v>#N/A</v>
      </c>
    </row>
    <row r="4170" spans="1:22" x14ac:dyDescent="0.2">
      <c r="A4170" s="1">
        <v>39269</v>
      </c>
      <c r="B4170">
        <f>4075.13</f>
        <v>4075.13</v>
      </c>
      <c r="C4170">
        <f>6485.15</f>
        <v>6485.15</v>
      </c>
      <c r="D4170">
        <f>3830.14</f>
        <v>3830.14</v>
      </c>
      <c r="E4170">
        <f>1815.84</f>
        <v>1815.84</v>
      </c>
      <c r="F4170">
        <f>2642.34</f>
        <v>2642.34</v>
      </c>
      <c r="G4170">
        <f>7890.186</f>
        <v>7890.1859999999997</v>
      </c>
      <c r="H4170">
        <f>2015.22</f>
        <v>2015.22</v>
      </c>
      <c r="I4170">
        <f>8461.135</f>
        <v>8461.1350000000002</v>
      </c>
      <c r="J4170">
        <f>1588.11</f>
        <v>1588.11</v>
      </c>
      <c r="K4170">
        <f>4923.23</f>
        <v>4923.2299999999996</v>
      </c>
      <c r="L4170">
        <f>1307.18</f>
        <v>1307.18</v>
      </c>
      <c r="M4170">
        <f>4980.58</f>
        <v>4980.58</v>
      </c>
      <c r="N4170">
        <f>193.306</f>
        <v>193.30600000000001</v>
      </c>
      <c r="O4170">
        <f>2102.15</f>
        <v>2102.15</v>
      </c>
      <c r="P4170">
        <f>116.03</f>
        <v>116.03</v>
      </c>
      <c r="Q4170">
        <f>857.8</f>
        <v>857.8</v>
      </c>
      <c r="R4170">
        <f>2381.59</f>
        <v>2381.59</v>
      </c>
      <c r="S4170">
        <f>2094.06</f>
        <v>2094.06</v>
      </c>
      <c r="T4170" t="e">
        <f>NA()</f>
        <v>#N/A</v>
      </c>
      <c r="U4170">
        <f>29218.33</f>
        <v>29218.33</v>
      </c>
      <c r="V4170" t="e">
        <f>NA()</f>
        <v>#N/A</v>
      </c>
    </row>
    <row r="4171" spans="1:22" x14ac:dyDescent="0.2">
      <c r="A4171" s="1">
        <v>39268</v>
      </c>
      <c r="B4171">
        <f>4061</f>
        <v>4061</v>
      </c>
      <c r="C4171">
        <f>6433.65</f>
        <v>6433.65</v>
      </c>
      <c r="D4171">
        <f>3798.71</f>
        <v>3798.71</v>
      </c>
      <c r="E4171">
        <f>1801.567</f>
        <v>1801.567</v>
      </c>
      <c r="F4171">
        <f>2621.31</f>
        <v>2621.31</v>
      </c>
      <c r="G4171">
        <f>7817.788</f>
        <v>7817.7879999999996</v>
      </c>
      <c r="H4171">
        <f>2032.32</f>
        <v>2032.32</v>
      </c>
      <c r="I4171">
        <f>8393.856</f>
        <v>8393.8559999999998</v>
      </c>
      <c r="J4171">
        <f>1587.83</f>
        <v>1587.83</v>
      </c>
      <c r="K4171">
        <f>4904.1</f>
        <v>4904.1000000000004</v>
      </c>
      <c r="L4171">
        <f>1299.72</f>
        <v>1299.72</v>
      </c>
      <c r="M4171">
        <f>4957.96</f>
        <v>4957.96</v>
      </c>
      <c r="N4171">
        <f>192.647</f>
        <v>192.64699999999999</v>
      </c>
      <c r="O4171">
        <f>2090.14</f>
        <v>2090.14</v>
      </c>
      <c r="P4171">
        <f>116.9</f>
        <v>116.9</v>
      </c>
      <c r="Q4171">
        <f>854.4</f>
        <v>854.4</v>
      </c>
      <c r="R4171">
        <f>2373.07</f>
        <v>2373.0700000000002</v>
      </c>
      <c r="S4171">
        <f>2104.05</f>
        <v>2104.0500000000002</v>
      </c>
      <c r="T4171" t="e">
        <f>NA()</f>
        <v>#N/A</v>
      </c>
      <c r="U4171">
        <f>28896.36</f>
        <v>28896.36</v>
      </c>
      <c r="V4171" t="e">
        <f>NA()</f>
        <v>#N/A</v>
      </c>
    </row>
    <row r="4172" spans="1:22" x14ac:dyDescent="0.2">
      <c r="A4172" s="1">
        <v>39267</v>
      </c>
      <c r="B4172">
        <f>4081.33</f>
        <v>4081.33</v>
      </c>
      <c r="C4172">
        <f>6446.87</f>
        <v>6446.87</v>
      </c>
      <c r="D4172">
        <f>3820.38</f>
        <v>3820.38</v>
      </c>
      <c r="E4172">
        <f>1798.472</f>
        <v>1798.472</v>
      </c>
      <c r="F4172">
        <f>2652.18</f>
        <v>2652.18</v>
      </c>
      <c r="G4172">
        <f>7881.151</f>
        <v>7881.1509999999998</v>
      </c>
      <c r="H4172">
        <f>2028.26</f>
        <v>2028.26</v>
      </c>
      <c r="I4172">
        <f>8461.006</f>
        <v>8461.0059999999994</v>
      </c>
      <c r="J4172">
        <f>1591.02</f>
        <v>1591.02</v>
      </c>
      <c r="K4172">
        <f>4900.89</f>
        <v>4900.8900000000003</v>
      </c>
      <c r="L4172">
        <f>1307.4</f>
        <v>1307.4000000000001</v>
      </c>
      <c r="M4172">
        <f>4967.46</f>
        <v>4967.46</v>
      </c>
      <c r="N4172">
        <f>193.957</f>
        <v>193.95699999999999</v>
      </c>
      <c r="O4172">
        <f>2103.28</f>
        <v>2103.2800000000002</v>
      </c>
      <c r="P4172">
        <f>116.5</f>
        <v>116.5</v>
      </c>
      <c r="Q4172">
        <f>855.24</f>
        <v>855.24</v>
      </c>
      <c r="R4172" t="e">
        <f>NA()</f>
        <v>#N/A</v>
      </c>
      <c r="S4172">
        <f>2097.32</f>
        <v>2097.3200000000002</v>
      </c>
      <c r="T4172" t="e">
        <f>NA()</f>
        <v>#N/A</v>
      </c>
      <c r="U4172">
        <f>28844.31</f>
        <v>28844.31</v>
      </c>
      <c r="V4172" t="e">
        <f>NA()</f>
        <v>#N/A</v>
      </c>
    </row>
    <row r="4173" spans="1:22" x14ac:dyDescent="0.2">
      <c r="A4173" s="1">
        <v>39266</v>
      </c>
      <c r="B4173">
        <f>4057.02</f>
        <v>4057.02</v>
      </c>
      <c r="C4173">
        <f>6416.94</f>
        <v>6416.94</v>
      </c>
      <c r="D4173">
        <f>3800.94</f>
        <v>3800.94</v>
      </c>
      <c r="E4173">
        <f>1787.619</f>
        <v>1787.6189999999999</v>
      </c>
      <c r="F4173">
        <f>2635.09</f>
        <v>2635.09</v>
      </c>
      <c r="G4173">
        <f>7844.597</f>
        <v>7844.5969999999998</v>
      </c>
      <c r="H4173">
        <f>2033.5</f>
        <v>2033.5</v>
      </c>
      <c r="I4173">
        <f>8413.466</f>
        <v>8413.4660000000003</v>
      </c>
      <c r="J4173">
        <f>1591.02</f>
        <v>1591.02</v>
      </c>
      <c r="K4173">
        <f>4900.89</f>
        <v>4900.8900000000003</v>
      </c>
      <c r="L4173">
        <f>1303.88</f>
        <v>1303.8800000000001</v>
      </c>
      <c r="M4173">
        <f>4958.06</f>
        <v>4958.0600000000004</v>
      </c>
      <c r="N4173">
        <f>192.422</f>
        <v>192.422</v>
      </c>
      <c r="O4173">
        <f>2094.31</f>
        <v>2094.31</v>
      </c>
      <c r="P4173">
        <f>116.65</f>
        <v>116.65</v>
      </c>
      <c r="Q4173">
        <f>855.24</f>
        <v>855.24</v>
      </c>
      <c r="R4173">
        <f>2372.22</f>
        <v>2372.2199999999998</v>
      </c>
      <c r="S4173">
        <f>2096.64</f>
        <v>2096.64</v>
      </c>
      <c r="T4173" t="e">
        <f>NA()</f>
        <v>#N/A</v>
      </c>
      <c r="U4173">
        <f>28755.03</f>
        <v>28755.03</v>
      </c>
      <c r="V4173" t="e">
        <f>NA()</f>
        <v>#N/A</v>
      </c>
    </row>
    <row r="4174" spans="1:22" x14ac:dyDescent="0.2">
      <c r="A4174" s="1">
        <v>39265</v>
      </c>
      <c r="B4174">
        <f>3992.13</f>
        <v>3992.13</v>
      </c>
      <c r="C4174">
        <f>6334.74</f>
        <v>6334.74</v>
      </c>
      <c r="D4174">
        <f>3772.75</f>
        <v>3772.75</v>
      </c>
      <c r="E4174">
        <f>1760.871</f>
        <v>1760.8710000000001</v>
      </c>
      <c r="F4174">
        <f>2608.05</f>
        <v>2608.0500000000002</v>
      </c>
      <c r="G4174">
        <f>7771.696</f>
        <v>7771.6959999999999</v>
      </c>
      <c r="H4174">
        <f>2028.85</f>
        <v>2028.85</v>
      </c>
      <c r="I4174">
        <f>8355.468</f>
        <v>8355.4680000000008</v>
      </c>
      <c r="J4174">
        <f>1586.42</f>
        <v>1586.42</v>
      </c>
      <c r="K4174">
        <f>4883.09</f>
        <v>4883.09</v>
      </c>
      <c r="L4174">
        <f>1297.41</f>
        <v>1297.4100000000001</v>
      </c>
      <c r="M4174">
        <f>4934.6</f>
        <v>4934.6000000000004</v>
      </c>
      <c r="N4174">
        <f>190.528</f>
        <v>190.52799999999999</v>
      </c>
      <c r="O4174">
        <f>2076.59</f>
        <v>2076.59</v>
      </c>
      <c r="P4174">
        <f>116.38</f>
        <v>116.38</v>
      </c>
      <c r="Q4174">
        <f>853.74</f>
        <v>853.74</v>
      </c>
      <c r="R4174">
        <f>2363.28</f>
        <v>2363.2800000000002</v>
      </c>
      <c r="S4174">
        <f>2094.87</f>
        <v>2094.87</v>
      </c>
      <c r="T4174" t="e">
        <f>NA()</f>
        <v>#N/A</v>
      </c>
      <c r="U4174">
        <f>28703.13</f>
        <v>28703.13</v>
      </c>
      <c r="V4174" t="e">
        <f>NA()</f>
        <v>#N/A</v>
      </c>
    </row>
    <row r="4175" spans="1:22" x14ac:dyDescent="0.2">
      <c r="A4175" s="1">
        <v>39262</v>
      </c>
      <c r="B4175">
        <f>4015.67</f>
        <v>4015.67</v>
      </c>
      <c r="C4175">
        <f>6246.64</f>
        <v>6246.64</v>
      </c>
      <c r="D4175">
        <f>3782.68</f>
        <v>3782.68</v>
      </c>
      <c r="E4175">
        <f>1738.809</f>
        <v>1738.809</v>
      </c>
      <c r="F4175">
        <f>2621.62</f>
        <v>2621.62</v>
      </c>
      <c r="G4175">
        <f>7761.584</f>
        <v>7761.5839999999998</v>
      </c>
      <c r="H4175">
        <f>2001.09</f>
        <v>2001.09</v>
      </c>
      <c r="I4175">
        <f>8291.357</f>
        <v>8291.357</v>
      </c>
      <c r="J4175">
        <f>1571.73</f>
        <v>1571.73</v>
      </c>
      <c r="K4175">
        <f>4830.39</f>
        <v>4830.3900000000003</v>
      </c>
      <c r="L4175">
        <f>1288.91</f>
        <v>1288.9100000000001</v>
      </c>
      <c r="M4175">
        <f>4889.92</f>
        <v>4889.92</v>
      </c>
      <c r="N4175">
        <f>191.626</f>
        <v>191.626</v>
      </c>
      <c r="O4175">
        <f>2082.93</f>
        <v>2082.9299999999998</v>
      </c>
      <c r="P4175">
        <f>115.71</f>
        <v>115.71</v>
      </c>
      <c r="Q4175">
        <f>846.26</f>
        <v>846.26</v>
      </c>
      <c r="R4175">
        <f>2338.25</f>
        <v>2338.25</v>
      </c>
      <c r="S4175">
        <f>2088.42</f>
        <v>2088.42</v>
      </c>
      <c r="T4175" t="e">
        <f>NA()</f>
        <v>#N/A</v>
      </c>
      <c r="U4175">
        <f>28337.22</f>
        <v>28337.22</v>
      </c>
      <c r="V4175" t="e">
        <f>NA()</f>
        <v>#N/A</v>
      </c>
    </row>
    <row r="4176" spans="1:22" x14ac:dyDescent="0.2">
      <c r="A4176" s="1">
        <v>39261</v>
      </c>
      <c r="B4176">
        <f>4018.14</f>
        <v>4018.14</v>
      </c>
      <c r="C4176">
        <f>6220.25</f>
        <v>6220.25</v>
      </c>
      <c r="D4176">
        <f>3761.72</f>
        <v>3761.72</v>
      </c>
      <c r="E4176">
        <f>1733.359</f>
        <v>1733.3589999999999</v>
      </c>
      <c r="F4176">
        <f>2599.14</f>
        <v>2599.14</v>
      </c>
      <c r="G4176">
        <f>7707.301</f>
        <v>7707.3010000000004</v>
      </c>
      <c r="H4176">
        <f>1972.67</f>
        <v>1972.67</v>
      </c>
      <c r="I4176">
        <f>8216.405</f>
        <v>8216.4050000000007</v>
      </c>
      <c r="J4176">
        <f>1573.39</f>
        <v>1573.39</v>
      </c>
      <c r="K4176">
        <f>4838.2</f>
        <v>4838.2</v>
      </c>
      <c r="L4176">
        <f>1282.91</f>
        <v>1282.9100000000001</v>
      </c>
      <c r="M4176">
        <f>4871.53</f>
        <v>4871.53</v>
      </c>
      <c r="N4176">
        <f>190.907</f>
        <v>190.90700000000001</v>
      </c>
      <c r="O4176">
        <f>2071.7</f>
        <v>2071.6999999999998</v>
      </c>
      <c r="P4176">
        <f>114.09</f>
        <v>114.09</v>
      </c>
      <c r="Q4176">
        <f>846.73</f>
        <v>846.73</v>
      </c>
      <c r="R4176">
        <f>2341.9</f>
        <v>2341.9</v>
      </c>
      <c r="S4176">
        <f>2060.47</f>
        <v>2060.4699999999998</v>
      </c>
      <c r="T4176" t="e">
        <f>NA()</f>
        <v>#N/A</v>
      </c>
      <c r="U4176">
        <f>28402.79</f>
        <v>28402.79</v>
      </c>
      <c r="V4176" t="e">
        <f>NA()</f>
        <v>#N/A</v>
      </c>
    </row>
    <row r="4177" spans="1:22" x14ac:dyDescent="0.2">
      <c r="A4177" s="1">
        <v>39260</v>
      </c>
      <c r="B4177">
        <f>3985.01</f>
        <v>3985.01</v>
      </c>
      <c r="C4177">
        <f>6153.9</f>
        <v>6153.9</v>
      </c>
      <c r="D4177">
        <f>3736.69</f>
        <v>3736.69</v>
      </c>
      <c r="E4177">
        <f>1714.569</f>
        <v>1714.569</v>
      </c>
      <c r="F4177">
        <f>2582.53</f>
        <v>2582.5300000000002</v>
      </c>
      <c r="G4177">
        <f>7632.398</f>
        <v>7632.3980000000001</v>
      </c>
      <c r="H4177">
        <f>1974.18</f>
        <v>1974.18</v>
      </c>
      <c r="I4177">
        <f>8102.677</f>
        <v>8102.6769999999997</v>
      </c>
      <c r="J4177">
        <f>1572.55</f>
        <v>1572.55</v>
      </c>
      <c r="K4177">
        <f>4840.27</f>
        <v>4840.2700000000004</v>
      </c>
      <c r="L4177">
        <f>1273.24</f>
        <v>1273.24</v>
      </c>
      <c r="M4177">
        <f>4846.49</f>
        <v>4846.49</v>
      </c>
      <c r="N4177">
        <f>189.439</f>
        <v>189.43899999999999</v>
      </c>
      <c r="O4177">
        <f>2051.17</f>
        <v>2051.17</v>
      </c>
      <c r="P4177">
        <f>113.16</f>
        <v>113.16</v>
      </c>
      <c r="Q4177">
        <f>847.6</f>
        <v>847.6</v>
      </c>
      <c r="R4177">
        <f>2342.84</f>
        <v>2342.84</v>
      </c>
      <c r="S4177">
        <f>2048.65</f>
        <v>2048.65</v>
      </c>
      <c r="T4177" t="e">
        <f>NA()</f>
        <v>#N/A</v>
      </c>
      <c r="U4177">
        <f>28285.1</f>
        <v>28285.1</v>
      </c>
      <c r="V4177" t="e">
        <f>NA()</f>
        <v>#N/A</v>
      </c>
    </row>
    <row r="4178" spans="1:22" x14ac:dyDescent="0.2">
      <c r="A4178" s="1">
        <v>39259</v>
      </c>
      <c r="B4178">
        <f>4045.35</f>
        <v>4045.35</v>
      </c>
      <c r="C4178">
        <f>6180.28</f>
        <v>6180.28</v>
      </c>
      <c r="D4178">
        <f>3752.96</f>
        <v>3752.96</v>
      </c>
      <c r="E4178">
        <f>1724.295</f>
        <v>1724.2950000000001</v>
      </c>
      <c r="F4178">
        <f>2593.35</f>
        <v>2593.35</v>
      </c>
      <c r="G4178">
        <f>7672.083</f>
        <v>7672.0829999999996</v>
      </c>
      <c r="H4178">
        <f>1996.62</f>
        <v>1996.62</v>
      </c>
      <c r="I4178">
        <f>8160.302</f>
        <v>8160.3019999999997</v>
      </c>
      <c r="J4178">
        <f>1560.8</f>
        <v>1560.8</v>
      </c>
      <c r="K4178">
        <f>4795.39</f>
        <v>4795.3900000000003</v>
      </c>
      <c r="L4178">
        <f>1275.23</f>
        <v>1275.23</v>
      </c>
      <c r="M4178">
        <f>4844.48</f>
        <v>4844.4799999999996</v>
      </c>
      <c r="N4178">
        <f>191.165</f>
        <v>191.16499999999999</v>
      </c>
      <c r="O4178">
        <f>2060.36</f>
        <v>2060.36</v>
      </c>
      <c r="P4178">
        <f>114.69</f>
        <v>114.69</v>
      </c>
      <c r="Q4178">
        <f>843.46</f>
        <v>843.46</v>
      </c>
      <c r="R4178">
        <f>2321.46</f>
        <v>2321.46</v>
      </c>
      <c r="S4178">
        <f>2077.82</f>
        <v>2077.8200000000002</v>
      </c>
      <c r="T4178" t="e">
        <f>NA()</f>
        <v>#N/A</v>
      </c>
      <c r="U4178">
        <f>28746.43</f>
        <v>28746.43</v>
      </c>
      <c r="V4178" t="e">
        <f>NA()</f>
        <v>#N/A</v>
      </c>
    </row>
    <row r="4179" spans="1:22" x14ac:dyDescent="0.2">
      <c r="A4179" s="1">
        <v>39258</v>
      </c>
      <c r="B4179">
        <f>4065.37</f>
        <v>4065.37</v>
      </c>
      <c r="C4179">
        <f>6226.92</f>
        <v>6226.92</v>
      </c>
      <c r="D4179">
        <f>3769.63</f>
        <v>3769.63</v>
      </c>
      <c r="E4179">
        <f>1734.416</f>
        <v>1734.4159999999999</v>
      </c>
      <c r="F4179">
        <f>2588.34</f>
        <v>2588.34</v>
      </c>
      <c r="G4179">
        <f>7694.843</f>
        <v>7694.8429999999998</v>
      </c>
      <c r="H4179">
        <f>1984.74</f>
        <v>1984.74</v>
      </c>
      <c r="I4179">
        <f>8217.735</f>
        <v>8217.7350000000006</v>
      </c>
      <c r="J4179">
        <f>1560.44</f>
        <v>1560.44</v>
      </c>
      <c r="K4179">
        <f>4811.04</f>
        <v>4811.04</v>
      </c>
      <c r="L4179">
        <f>1279.18</f>
        <v>1279.18</v>
      </c>
      <c r="M4179">
        <f>4861.59</f>
        <v>4861.59</v>
      </c>
      <c r="N4179">
        <f>192.203</f>
        <v>192.203</v>
      </c>
      <c r="O4179">
        <f>2073.59</f>
        <v>2073.59</v>
      </c>
      <c r="P4179">
        <f>114.44</f>
        <v>114.44</v>
      </c>
      <c r="Q4179">
        <f>844.82</f>
        <v>844.82</v>
      </c>
      <c r="R4179">
        <f>2328.91</f>
        <v>2328.91</v>
      </c>
      <c r="S4179">
        <f>2075.78</f>
        <v>2075.7800000000002</v>
      </c>
      <c r="T4179" t="e">
        <f>NA()</f>
        <v>#N/A</v>
      </c>
      <c r="U4179">
        <f>28914.44</f>
        <v>28914.44</v>
      </c>
      <c r="V4179" t="e">
        <f>NA()</f>
        <v>#N/A</v>
      </c>
    </row>
    <row r="4180" spans="1:22" x14ac:dyDescent="0.2">
      <c r="A4180" s="1">
        <v>39255</v>
      </c>
      <c r="B4180">
        <f>4056.86</f>
        <v>4056.86</v>
      </c>
      <c r="C4180">
        <f>6263.52</f>
        <v>6263.52</v>
      </c>
      <c r="D4180">
        <f>3757.58</f>
        <v>3757.58</v>
      </c>
      <c r="E4180">
        <f>1745.629</f>
        <v>1745.6289999999999</v>
      </c>
      <c r="F4180">
        <f>2577.73</f>
        <v>2577.73</v>
      </c>
      <c r="G4180">
        <f>7668.214</f>
        <v>7668.2139999999999</v>
      </c>
      <c r="H4180">
        <f>1992.82</f>
        <v>1992.82</v>
      </c>
      <c r="I4180">
        <f>8223.631</f>
        <v>8223.6309999999994</v>
      </c>
      <c r="J4180">
        <f>1561.23</f>
        <v>1561.23</v>
      </c>
      <c r="K4180">
        <f>4828.97</f>
        <v>4828.97</v>
      </c>
      <c r="L4180">
        <f>1278.95</f>
        <v>1278.95</v>
      </c>
      <c r="M4180">
        <f>4875.39</f>
        <v>4875.3900000000003</v>
      </c>
      <c r="N4180">
        <f>192.425</f>
        <v>192.42500000000001</v>
      </c>
      <c r="O4180">
        <f>2074.9</f>
        <v>2074.9</v>
      </c>
      <c r="P4180">
        <f>115.41</f>
        <v>115.41</v>
      </c>
      <c r="Q4180">
        <f>845.69</f>
        <v>845.69</v>
      </c>
      <c r="R4180">
        <f>2336.41</f>
        <v>2336.41</v>
      </c>
      <c r="S4180">
        <f>2091.21</f>
        <v>2091.21</v>
      </c>
      <c r="T4180" t="e">
        <f>NA()</f>
        <v>#N/A</v>
      </c>
      <c r="U4180">
        <f>29094.32</f>
        <v>29094.32</v>
      </c>
      <c r="V4180" t="e">
        <f>NA()</f>
        <v>#N/A</v>
      </c>
    </row>
    <row r="4181" spans="1:22" x14ac:dyDescent="0.2">
      <c r="A4181" s="1">
        <v>39254</v>
      </c>
      <c r="B4181">
        <f>4065.56</f>
        <v>4065.56</v>
      </c>
      <c r="C4181">
        <f>6293.09</f>
        <v>6293.09</v>
      </c>
      <c r="D4181">
        <f>3773.96</f>
        <v>3773.96</v>
      </c>
      <c r="E4181">
        <f>1749.843</f>
        <v>1749.8430000000001</v>
      </c>
      <c r="F4181">
        <f>2590.77</f>
        <v>2590.77</v>
      </c>
      <c r="G4181">
        <f>7686.017</f>
        <v>7686.0169999999998</v>
      </c>
      <c r="H4181">
        <f>2010.99</f>
        <v>2010.99</v>
      </c>
      <c r="I4181">
        <f>8227.578</f>
        <v>8227.5779999999995</v>
      </c>
      <c r="J4181">
        <f>1585.94</f>
        <v>1585.94</v>
      </c>
      <c r="K4181">
        <f>4890.04</f>
        <v>4890.04</v>
      </c>
      <c r="L4181">
        <f>1287.73</f>
        <v>1287.73</v>
      </c>
      <c r="M4181">
        <f>4912.67</f>
        <v>4912.67</v>
      </c>
      <c r="N4181">
        <f>193.415</f>
        <v>193.41499999999999</v>
      </c>
      <c r="O4181">
        <f>2082.06</f>
        <v>2082.06</v>
      </c>
      <c r="P4181">
        <f>115.97</f>
        <v>115.97</v>
      </c>
      <c r="Q4181">
        <f>856.29</f>
        <v>856.29</v>
      </c>
      <c r="R4181">
        <f>2366.92</f>
        <v>2366.92</v>
      </c>
      <c r="S4181">
        <f>2104.61</f>
        <v>2104.61</v>
      </c>
      <c r="T4181" t="e">
        <f>NA()</f>
        <v>#N/A</v>
      </c>
      <c r="U4181">
        <f>29309.7</f>
        <v>29309.7</v>
      </c>
      <c r="V4181" t="e">
        <f>NA()</f>
        <v>#N/A</v>
      </c>
    </row>
    <row r="4182" spans="1:22" x14ac:dyDescent="0.2">
      <c r="A4182" s="1">
        <v>39253</v>
      </c>
      <c r="B4182">
        <f>4125.1</f>
        <v>4125.1000000000004</v>
      </c>
      <c r="C4182">
        <f>6286.53</f>
        <v>6286.53</v>
      </c>
      <c r="D4182">
        <f>3804.44</f>
        <v>3804.44</v>
      </c>
      <c r="E4182">
        <f>1744.957</f>
        <v>1744.9570000000001</v>
      </c>
      <c r="F4182">
        <f>2625.12</f>
        <v>2625.12</v>
      </c>
      <c r="G4182">
        <f>7754.228</f>
        <v>7754.2280000000001</v>
      </c>
      <c r="H4182">
        <f>2002.62</f>
        <v>2002.62</v>
      </c>
      <c r="I4182">
        <f>8336.024</f>
        <v>8336.0239999999994</v>
      </c>
      <c r="J4182">
        <f>1579.86</f>
        <v>1579.86</v>
      </c>
      <c r="K4182">
        <f>4859.36</f>
        <v>4859.3599999999997</v>
      </c>
      <c r="L4182">
        <f>1293.68</f>
        <v>1293.68</v>
      </c>
      <c r="M4182">
        <f>4914.73</f>
        <v>4914.7299999999996</v>
      </c>
      <c r="N4182">
        <f>195.571</f>
        <v>195.571</v>
      </c>
      <c r="O4182">
        <f>2102.89</f>
        <v>2102.89</v>
      </c>
      <c r="P4182">
        <f>115.7</f>
        <v>115.7</v>
      </c>
      <c r="Q4182">
        <f>853.64</f>
        <v>853.64</v>
      </c>
      <c r="R4182">
        <f>2351.87</f>
        <v>2351.87</v>
      </c>
      <c r="S4182">
        <f>2097.95</f>
        <v>2097.9499999999998</v>
      </c>
      <c r="T4182" t="e">
        <f>NA()</f>
        <v>#N/A</v>
      </c>
      <c r="U4182">
        <f>29510.35</f>
        <v>29510.35</v>
      </c>
      <c r="V4182" t="e">
        <f>NA()</f>
        <v>#N/A</v>
      </c>
    </row>
    <row r="4183" spans="1:22" x14ac:dyDescent="0.2">
      <c r="A4183" s="1">
        <v>39252</v>
      </c>
      <c r="B4183">
        <f>4130.51</f>
        <v>4130.51</v>
      </c>
      <c r="C4183">
        <f>6244.85</f>
        <v>6244.85</v>
      </c>
      <c r="D4183">
        <f>3804.51</f>
        <v>3804.51</v>
      </c>
      <c r="E4183">
        <f>1740.685</f>
        <v>1740.6849999999999</v>
      </c>
      <c r="F4183">
        <f>2619.85</f>
        <v>2619.85</v>
      </c>
      <c r="G4183">
        <f>7734.482</f>
        <v>7734.482</v>
      </c>
      <c r="H4183">
        <f>1999.71</f>
        <v>1999.71</v>
      </c>
      <c r="I4183">
        <f>8291.13</f>
        <v>8291.1299999999992</v>
      </c>
      <c r="J4183">
        <f>1600.72</f>
        <v>1600.72</v>
      </c>
      <c r="K4183">
        <f>4925.64</f>
        <v>4925.6400000000003</v>
      </c>
      <c r="L4183">
        <f>1297.87</f>
        <v>1297.8699999999999</v>
      </c>
      <c r="M4183">
        <f>4940.83</f>
        <v>4940.83</v>
      </c>
      <c r="N4183">
        <f>195.474</f>
        <v>195.47399999999999</v>
      </c>
      <c r="O4183">
        <f>2095.25</f>
        <v>2095.25</v>
      </c>
      <c r="P4183">
        <f>115.07</f>
        <v>115.07</v>
      </c>
      <c r="Q4183">
        <f>862.88</f>
        <v>862.88</v>
      </c>
      <c r="R4183">
        <f>2384.26</f>
        <v>2384.2600000000002</v>
      </c>
      <c r="S4183">
        <f>2094.15</f>
        <v>2094.15</v>
      </c>
      <c r="T4183" t="e">
        <f>NA()</f>
        <v>#N/A</v>
      </c>
      <c r="U4183">
        <f>29243.19</f>
        <v>29243.19</v>
      </c>
      <c r="V4183" t="e">
        <f>NA()</f>
        <v>#N/A</v>
      </c>
    </row>
    <row r="4184" spans="1:22" x14ac:dyDescent="0.2">
      <c r="A4184" s="1">
        <v>39251</v>
      </c>
      <c r="B4184">
        <f>4165.72</f>
        <v>4165.72</v>
      </c>
      <c r="C4184">
        <f>6235.09</f>
        <v>6235.09</v>
      </c>
      <c r="D4184">
        <f>3834.98</f>
        <v>3834.98</v>
      </c>
      <c r="E4184">
        <f>1740.597</f>
        <v>1740.597</v>
      </c>
      <c r="F4184">
        <f>2631.15</f>
        <v>2631.15</v>
      </c>
      <c r="G4184">
        <f>7772.527</f>
        <v>7772.527</v>
      </c>
      <c r="H4184">
        <f>2007.22</f>
        <v>2007.22</v>
      </c>
      <c r="I4184">
        <f>8302.74</f>
        <v>8302.74</v>
      </c>
      <c r="J4184">
        <f>1593.47</f>
        <v>1593.47</v>
      </c>
      <c r="K4184">
        <f>4916.95</f>
        <v>4916.95</v>
      </c>
      <c r="L4184">
        <f>1296.35</f>
        <v>1296.3499999999999</v>
      </c>
      <c r="M4184">
        <f>4939.44</f>
        <v>4939.4399999999996</v>
      </c>
      <c r="N4184">
        <f>196.094</f>
        <v>196.09399999999999</v>
      </c>
      <c r="O4184">
        <f>2103.11</f>
        <v>2103.11</v>
      </c>
      <c r="P4184">
        <f>115.83</f>
        <v>115.83</v>
      </c>
      <c r="Q4184">
        <f>862.68</f>
        <v>862.68</v>
      </c>
      <c r="R4184">
        <f>2380.09</f>
        <v>2380.09</v>
      </c>
      <c r="S4184">
        <f>2103.44</f>
        <v>2103.44</v>
      </c>
      <c r="T4184" t="e">
        <f>NA()</f>
        <v>#N/A</v>
      </c>
      <c r="U4184">
        <f>29318.59</f>
        <v>29318.59</v>
      </c>
      <c r="V4184" t="e">
        <f>NA()</f>
        <v>#N/A</v>
      </c>
    </row>
    <row r="4185" spans="1:22" x14ac:dyDescent="0.2">
      <c r="A4185" s="1">
        <v>39248</v>
      </c>
      <c r="B4185">
        <f>4195.31</f>
        <v>4195.3100000000004</v>
      </c>
      <c r="C4185">
        <f>6177.11</f>
        <v>6177.11</v>
      </c>
      <c r="D4185">
        <f>3851.31</f>
        <v>3851.31</v>
      </c>
      <c r="E4185">
        <f>1720.14</f>
        <v>1720.14</v>
      </c>
      <c r="F4185">
        <f>2639.26</f>
        <v>2639.26</v>
      </c>
      <c r="G4185">
        <f>7790.889</f>
        <v>7790.8890000000001</v>
      </c>
      <c r="H4185">
        <f>1998.06</f>
        <v>1998.06</v>
      </c>
      <c r="I4185">
        <f>8303.327</f>
        <v>8303.3269999999993</v>
      </c>
      <c r="J4185">
        <f>1597.96</f>
        <v>1597.96</v>
      </c>
      <c r="K4185">
        <f>4922.9</f>
        <v>4922.8999999999996</v>
      </c>
      <c r="L4185">
        <f>1297.78</f>
        <v>1297.78</v>
      </c>
      <c r="M4185">
        <f>4938.15</f>
        <v>4938.1499999999996</v>
      </c>
      <c r="N4185">
        <f>197.088</f>
        <v>197.08799999999999</v>
      </c>
      <c r="O4185">
        <f>2109.78</f>
        <v>2109.7800000000002</v>
      </c>
      <c r="P4185">
        <f>114.84</f>
        <v>114.84</v>
      </c>
      <c r="Q4185">
        <f>863.76</f>
        <v>863.76</v>
      </c>
      <c r="R4185">
        <f>2382.97</f>
        <v>2382.9699999999998</v>
      </c>
      <c r="S4185">
        <f>2085.28</f>
        <v>2085.2800000000002</v>
      </c>
      <c r="T4185" t="e">
        <f>NA()</f>
        <v>#N/A</v>
      </c>
      <c r="U4185">
        <f>29313.78</f>
        <v>29313.78</v>
      </c>
      <c r="V4185" t="e">
        <f>NA()</f>
        <v>#N/A</v>
      </c>
    </row>
    <row r="4186" spans="1:22" x14ac:dyDescent="0.2">
      <c r="A4186" s="1">
        <v>39247</v>
      </c>
      <c r="B4186">
        <f>4129.59</f>
        <v>4129.59</v>
      </c>
      <c r="C4186">
        <f>6090.21</f>
        <v>6090.21</v>
      </c>
      <c r="D4186">
        <f>3804.14</f>
        <v>3804.14</v>
      </c>
      <c r="E4186">
        <f>1698.866</f>
        <v>1698.866</v>
      </c>
      <c r="F4186">
        <f>2610.48</f>
        <v>2610.48</v>
      </c>
      <c r="G4186">
        <f>7668.921</f>
        <v>7668.9210000000003</v>
      </c>
      <c r="H4186">
        <f>1981.8</f>
        <v>1981.8</v>
      </c>
      <c r="I4186">
        <f>8166.089</f>
        <v>8166.0889999999999</v>
      </c>
      <c r="J4186">
        <f>1589.86</f>
        <v>1589.86</v>
      </c>
      <c r="K4186">
        <f>4890.59</f>
        <v>4890.59</v>
      </c>
      <c r="L4186">
        <f>1283.49</f>
        <v>1283.49</v>
      </c>
      <c r="M4186">
        <f>4888.95</f>
        <v>4888.95</v>
      </c>
      <c r="N4186">
        <f>195.134</f>
        <v>195.13399999999999</v>
      </c>
      <c r="O4186">
        <f>2083.65</f>
        <v>2083.65</v>
      </c>
      <c r="P4186">
        <f>113.97</f>
        <v>113.97</v>
      </c>
      <c r="Q4186">
        <f>860.86</f>
        <v>860.86</v>
      </c>
      <c r="R4186">
        <f>2367.52</f>
        <v>2367.52</v>
      </c>
      <c r="S4186">
        <f>2066.09</f>
        <v>2066.09</v>
      </c>
      <c r="T4186" t="e">
        <f>NA()</f>
        <v>#N/A</v>
      </c>
      <c r="U4186">
        <f>28988</f>
        <v>28988</v>
      </c>
      <c r="V4186" t="e">
        <f>NA()</f>
        <v>#N/A</v>
      </c>
    </row>
    <row r="4187" spans="1:22" x14ac:dyDescent="0.2">
      <c r="A4187" s="1">
        <v>39246</v>
      </c>
      <c r="B4187">
        <f>4055.81</f>
        <v>4055.81</v>
      </c>
      <c r="C4187">
        <f>5989.83</f>
        <v>5989.83</v>
      </c>
      <c r="D4187">
        <f>3752.45</f>
        <v>3752.45</v>
      </c>
      <c r="E4187">
        <f>1663.997</f>
        <v>1663.9970000000001</v>
      </c>
      <c r="F4187">
        <f>2578.57</f>
        <v>2578.5700000000002</v>
      </c>
      <c r="G4187">
        <f>7576.245</f>
        <v>7576.2449999999999</v>
      </c>
      <c r="H4187">
        <f>1980.76</f>
        <v>1980.76</v>
      </c>
      <c r="I4187">
        <f>8021.073</f>
        <v>8021.0730000000003</v>
      </c>
      <c r="J4187">
        <f>1586.13</f>
        <v>1586.13</v>
      </c>
      <c r="K4187">
        <f>4866.21</f>
        <v>4866.21</v>
      </c>
      <c r="L4187">
        <f>1270.86</f>
        <v>1270.8599999999999</v>
      </c>
      <c r="M4187">
        <f>4847.26</f>
        <v>4847.26</v>
      </c>
      <c r="N4187">
        <f>193.315</f>
        <v>193.315</v>
      </c>
      <c r="O4187">
        <f>2051.77</f>
        <v>2051.77</v>
      </c>
      <c r="P4187">
        <f>113.04</f>
        <v>113.04</v>
      </c>
      <c r="Q4187">
        <f>858.33</f>
        <v>858.33</v>
      </c>
      <c r="R4187">
        <f>2356.02</f>
        <v>2356.02</v>
      </c>
      <c r="S4187">
        <f>2053.48</f>
        <v>2053.48</v>
      </c>
      <c r="T4187" t="e">
        <f>NA()</f>
        <v>#N/A</v>
      </c>
      <c r="U4187">
        <f>28602.95</f>
        <v>28602.95</v>
      </c>
      <c r="V4187" t="e">
        <f>NA()</f>
        <v>#N/A</v>
      </c>
    </row>
    <row r="4188" spans="1:22" x14ac:dyDescent="0.2">
      <c r="A4188" s="1">
        <v>39245</v>
      </c>
      <c r="B4188">
        <f>4046.88</f>
        <v>4046.88</v>
      </c>
      <c r="C4188">
        <f>5973.42</f>
        <v>5973.42</v>
      </c>
      <c r="D4188">
        <f>3729.7</f>
        <v>3729.7</v>
      </c>
      <c r="E4188">
        <f>1662.076</f>
        <v>1662.076</v>
      </c>
      <c r="F4188">
        <f>2575.49</f>
        <v>2575.4899999999998</v>
      </c>
      <c r="G4188">
        <f>7533.896</f>
        <v>7533.8959999999997</v>
      </c>
      <c r="H4188">
        <f>2000.84</f>
        <v>2000.84</v>
      </c>
      <c r="I4188">
        <f>8009.405</f>
        <v>8009.4049999999997</v>
      </c>
      <c r="J4188">
        <f>1564.13</f>
        <v>1564.13</v>
      </c>
      <c r="K4188">
        <f>4793.18</f>
        <v>4793.18</v>
      </c>
      <c r="L4188">
        <f>1263.1</f>
        <v>1263.0999999999999</v>
      </c>
      <c r="M4188">
        <f>4811.74</f>
        <v>4811.74</v>
      </c>
      <c r="N4188">
        <f>192.531</f>
        <v>192.53100000000001</v>
      </c>
      <c r="O4188">
        <f>2042.95</f>
        <v>2042.95</v>
      </c>
      <c r="P4188">
        <f>113.53</f>
        <v>113.53</v>
      </c>
      <c r="Q4188">
        <f>845.15</f>
        <v>845.15</v>
      </c>
      <c r="R4188">
        <f>2320.22</f>
        <v>2320.2199999999998</v>
      </c>
      <c r="S4188">
        <f>2060.19</f>
        <v>2060.19</v>
      </c>
      <c r="T4188" t="e">
        <f>NA()</f>
        <v>#N/A</v>
      </c>
      <c r="U4188">
        <f>28299.33</f>
        <v>28299.33</v>
      </c>
      <c r="V4188" t="e">
        <f>NA()</f>
        <v>#N/A</v>
      </c>
    </row>
    <row r="4189" spans="1:22" x14ac:dyDescent="0.2">
      <c r="A4189" s="1">
        <v>39244</v>
      </c>
      <c r="B4189">
        <f>4080.27</f>
        <v>4080.27</v>
      </c>
      <c r="C4189">
        <f>5978.01</f>
        <v>5978.01</v>
      </c>
      <c r="D4189">
        <f>3756.63</f>
        <v>3756.63</v>
      </c>
      <c r="E4189">
        <f>1662.181</f>
        <v>1662.181</v>
      </c>
      <c r="F4189">
        <f>2598.98</f>
        <v>2598.98</v>
      </c>
      <c r="G4189">
        <f>7560.806</f>
        <v>7560.8059999999996</v>
      </c>
      <c r="H4189">
        <f>2011.4</f>
        <v>2011.4</v>
      </c>
      <c r="I4189">
        <f>8084.601</f>
        <v>8084.6009999999997</v>
      </c>
      <c r="J4189">
        <f>1583.42</f>
        <v>1583.42</v>
      </c>
      <c r="K4189">
        <f>4844.02</f>
        <v>4844.0200000000004</v>
      </c>
      <c r="L4189">
        <f>1274.89</f>
        <v>1274.8900000000001</v>
      </c>
      <c r="M4189">
        <f>4852.13</f>
        <v>4852.13</v>
      </c>
      <c r="N4189">
        <f>193.796</f>
        <v>193.79599999999999</v>
      </c>
      <c r="O4189">
        <f>2053.57</f>
        <v>2053.5700000000002</v>
      </c>
      <c r="P4189">
        <f>114.11</f>
        <v>114.11</v>
      </c>
      <c r="Q4189">
        <f>854.87</f>
        <v>854.87</v>
      </c>
      <c r="R4189">
        <f>2345.27</f>
        <v>2345.27</v>
      </c>
      <c r="S4189">
        <f>2071.4</f>
        <v>2071.4</v>
      </c>
      <c r="T4189" t="e">
        <f>NA()</f>
        <v>#N/A</v>
      </c>
      <c r="U4189">
        <f>28545.57</f>
        <v>28545.57</v>
      </c>
      <c r="V4189" t="e">
        <f>NA()</f>
        <v>#N/A</v>
      </c>
    </row>
    <row r="4190" spans="1:22" x14ac:dyDescent="0.2">
      <c r="A4190" s="1">
        <v>39241</v>
      </c>
      <c r="B4190">
        <f>4044.84</f>
        <v>4044.84</v>
      </c>
      <c r="C4190">
        <f>5911.83</f>
        <v>5911.83</v>
      </c>
      <c r="D4190">
        <f>3720.93</f>
        <v>3720.93</v>
      </c>
      <c r="E4190">
        <f>1649.99</f>
        <v>1649.99</v>
      </c>
      <c r="F4190">
        <f>2592.28</f>
        <v>2592.2800000000002</v>
      </c>
      <c r="G4190">
        <f>7495.046</f>
        <v>7495.0460000000003</v>
      </c>
      <c r="H4190">
        <f>2008.06</f>
        <v>2008.06</v>
      </c>
      <c r="I4190">
        <f>8021.528</f>
        <v>8021.5280000000002</v>
      </c>
      <c r="J4190">
        <f>1579.15</f>
        <v>1579.15</v>
      </c>
      <c r="K4190">
        <f>4839.32</f>
        <v>4839.32</v>
      </c>
      <c r="L4190">
        <f>1269.45</f>
        <v>1269.45</v>
      </c>
      <c r="M4190">
        <f>4835.55</f>
        <v>4835.55</v>
      </c>
      <c r="N4190">
        <f>191.876</f>
        <v>191.876</v>
      </c>
      <c r="O4190">
        <f>2034.37</f>
        <v>2034.37</v>
      </c>
      <c r="P4190">
        <f>114.02</f>
        <v>114.02</v>
      </c>
      <c r="Q4190">
        <f>855.25</f>
        <v>855.25</v>
      </c>
      <c r="R4190">
        <f>2342.98</f>
        <v>2342.98</v>
      </c>
      <c r="S4190">
        <f>2065.53</f>
        <v>2065.5300000000002</v>
      </c>
      <c r="T4190" t="e">
        <f>NA()</f>
        <v>#N/A</v>
      </c>
      <c r="U4190">
        <f>28169.23</f>
        <v>28169.23</v>
      </c>
      <c r="V4190" t="e">
        <f>NA()</f>
        <v>#N/A</v>
      </c>
    </row>
    <row r="4191" spans="1:22" x14ac:dyDescent="0.2">
      <c r="A4191" s="1">
        <v>39240</v>
      </c>
      <c r="B4191">
        <f>4052.78</f>
        <v>4052.78</v>
      </c>
      <c r="C4191">
        <f>5981.22</f>
        <v>5981.22</v>
      </c>
      <c r="D4191">
        <f>3720.93</f>
        <v>3720.93</v>
      </c>
      <c r="E4191">
        <f>1669.733</f>
        <v>1669.7329999999999</v>
      </c>
      <c r="F4191">
        <f>2602.97</f>
        <v>2602.9699999999998</v>
      </c>
      <c r="G4191">
        <f>7546.675</f>
        <v>7546.6750000000002</v>
      </c>
      <c r="H4191">
        <f>2050.51</f>
        <v>2050.5100000000002</v>
      </c>
      <c r="I4191">
        <f>8092.741</f>
        <v>8092.741</v>
      </c>
      <c r="J4191">
        <f>1563.81</f>
        <v>1563.81</v>
      </c>
      <c r="K4191">
        <f>4784.68</f>
        <v>4784.68</v>
      </c>
      <c r="L4191">
        <f>1270.82</f>
        <v>1270.82</v>
      </c>
      <c r="M4191">
        <f>4831.96</f>
        <v>4831.96</v>
      </c>
      <c r="N4191">
        <f>191.592</f>
        <v>191.59200000000001</v>
      </c>
      <c r="O4191">
        <f>2035.72</f>
        <v>2035.72</v>
      </c>
      <c r="P4191">
        <f>115.63</f>
        <v>115.63</v>
      </c>
      <c r="Q4191">
        <f>845.77</f>
        <v>845.77</v>
      </c>
      <c r="R4191">
        <f>2316.63</f>
        <v>2316.63</v>
      </c>
      <c r="S4191">
        <f>2093.24</f>
        <v>2093.2399999999998</v>
      </c>
      <c r="T4191" t="e">
        <f>NA()</f>
        <v>#N/A</v>
      </c>
      <c r="U4191">
        <f>28554.32</f>
        <v>28554.32</v>
      </c>
      <c r="V4191" t="e">
        <f>NA()</f>
        <v>#N/A</v>
      </c>
    </row>
    <row r="4192" spans="1:22" x14ac:dyDescent="0.2">
      <c r="A4192" s="1">
        <v>39239</v>
      </c>
      <c r="B4192">
        <f>4112.49</f>
        <v>4112.49</v>
      </c>
      <c r="C4192">
        <f>6001.52</f>
        <v>6001.52</v>
      </c>
      <c r="D4192">
        <f>3730.98</f>
        <v>3730.98</v>
      </c>
      <c r="E4192">
        <f>1676.479</f>
        <v>1676.479</v>
      </c>
      <c r="F4192">
        <f>2617.52</f>
        <v>2617.52</v>
      </c>
      <c r="G4192">
        <f>7611.554</f>
        <v>7611.5540000000001</v>
      </c>
      <c r="H4192">
        <f>2061.39</f>
        <v>2061.39</v>
      </c>
      <c r="I4192">
        <f>8221.802</f>
        <v>8221.8019999999997</v>
      </c>
      <c r="J4192">
        <f>1589.92</f>
        <v>1589.92</v>
      </c>
      <c r="K4192">
        <f>4871.29</f>
        <v>4871.29</v>
      </c>
      <c r="L4192">
        <f>1286.76</f>
        <v>1286.76</v>
      </c>
      <c r="M4192">
        <f>4901.01</f>
        <v>4901.01</v>
      </c>
      <c r="N4192">
        <f>195.034</f>
        <v>195.03399999999999</v>
      </c>
      <c r="O4192">
        <f>2057.64</f>
        <v>2057.64</v>
      </c>
      <c r="P4192">
        <f>116.02</f>
        <v>116.02</v>
      </c>
      <c r="Q4192">
        <f>860.26</f>
        <v>860.26</v>
      </c>
      <c r="R4192">
        <f>2357.95</f>
        <v>2357.9499999999998</v>
      </c>
      <c r="S4192">
        <f>2091.81</f>
        <v>2091.81</v>
      </c>
      <c r="T4192" t="e">
        <f>NA()</f>
        <v>#N/A</v>
      </c>
      <c r="U4192">
        <f>28538.84</f>
        <v>28538.84</v>
      </c>
      <c r="V4192" t="e">
        <f>NA()</f>
        <v>#N/A</v>
      </c>
    </row>
    <row r="4193" spans="1:22" x14ac:dyDescent="0.2">
      <c r="A4193" s="1">
        <v>39238</v>
      </c>
      <c r="B4193">
        <f>4210.05</f>
        <v>4210.05</v>
      </c>
      <c r="C4193">
        <f>6084.22</f>
        <v>6084.22</v>
      </c>
      <c r="D4193">
        <f>3786.95</f>
        <v>3786.95</v>
      </c>
      <c r="E4193">
        <f>1695.269</f>
        <v>1695.269</v>
      </c>
      <c r="F4193">
        <f>2650.52</f>
        <v>2650.52</v>
      </c>
      <c r="G4193">
        <f>7730.907</f>
        <v>7730.9070000000002</v>
      </c>
      <c r="H4193">
        <f>2044.29</f>
        <v>2044.29</v>
      </c>
      <c r="I4193">
        <f>8376.2</f>
        <v>8376.2000000000007</v>
      </c>
      <c r="J4193">
        <f>1602.76</f>
        <v>1602.76</v>
      </c>
      <c r="K4193">
        <f>4914.82</f>
        <v>4914.82</v>
      </c>
      <c r="L4193">
        <f>1302.06</f>
        <v>1302.06</v>
      </c>
      <c r="M4193">
        <f>4950.48</f>
        <v>4950.4799999999996</v>
      </c>
      <c r="N4193">
        <f>198.395</f>
        <v>198.39500000000001</v>
      </c>
      <c r="O4193">
        <f>2089.78</f>
        <v>2089.7800000000002</v>
      </c>
      <c r="P4193">
        <f>115.9</f>
        <v>115.9</v>
      </c>
      <c r="Q4193">
        <f>866.41</f>
        <v>866.41</v>
      </c>
      <c r="R4193">
        <f>2378.44</f>
        <v>2378.44</v>
      </c>
      <c r="S4193">
        <f>2089.52</f>
        <v>2089.52</v>
      </c>
      <c r="T4193" t="e">
        <f>NA()</f>
        <v>#N/A</v>
      </c>
      <c r="U4193">
        <f>28865.9</f>
        <v>28865.9</v>
      </c>
      <c r="V4193" t="e">
        <f>NA()</f>
        <v>#N/A</v>
      </c>
    </row>
    <row r="4194" spans="1:22" x14ac:dyDescent="0.2">
      <c r="A4194" s="1">
        <v>39237</v>
      </c>
      <c r="B4194">
        <f>4222.23</f>
        <v>4222.2299999999996</v>
      </c>
      <c r="C4194">
        <f>6083.66</f>
        <v>6083.66</v>
      </c>
      <c r="D4194">
        <f>3804.83</f>
        <v>3804.83</v>
      </c>
      <c r="E4194">
        <f>1693.431</f>
        <v>1693.431</v>
      </c>
      <c r="F4194">
        <f>2647.53</f>
        <v>2647.53</v>
      </c>
      <c r="G4194">
        <f>7760.377</f>
        <v>7760.3770000000004</v>
      </c>
      <c r="H4194">
        <f>2035.22</f>
        <v>2035.22</v>
      </c>
      <c r="I4194">
        <f>8398.633</f>
        <v>8398.6329999999998</v>
      </c>
      <c r="J4194">
        <f>1614.3</f>
        <v>1614.3</v>
      </c>
      <c r="K4194">
        <f>4941.1</f>
        <v>4941.1000000000004</v>
      </c>
      <c r="L4194">
        <f>1307.89</f>
        <v>1307.8900000000001</v>
      </c>
      <c r="M4194">
        <f>4966.99</f>
        <v>4966.99</v>
      </c>
      <c r="N4194">
        <f>199.435</f>
        <v>199.435</v>
      </c>
      <c r="O4194">
        <f>2102.37</f>
        <v>2102.37</v>
      </c>
      <c r="P4194">
        <f>115.56</f>
        <v>115.56</v>
      </c>
      <c r="Q4194">
        <f>871.01</f>
        <v>871.01</v>
      </c>
      <c r="R4194">
        <f>2391.13</f>
        <v>2391.13</v>
      </c>
      <c r="S4194">
        <f>2085.15</f>
        <v>2085.15</v>
      </c>
      <c r="T4194" t="e">
        <f>NA()</f>
        <v>#N/A</v>
      </c>
      <c r="U4194">
        <f>28837.52</f>
        <v>28837.52</v>
      </c>
      <c r="V4194" t="e">
        <f>NA()</f>
        <v>#N/A</v>
      </c>
    </row>
    <row r="4195" spans="1:22" x14ac:dyDescent="0.2">
      <c r="A4195" s="1">
        <v>39234</v>
      </c>
      <c r="B4195">
        <f>4240.2</f>
        <v>4240.2</v>
      </c>
      <c r="C4195">
        <f>6076.27</f>
        <v>6076.27</v>
      </c>
      <c r="D4195">
        <f>3811.99</f>
        <v>3811.99</v>
      </c>
      <c r="E4195">
        <f>1688.476</f>
        <v>1688.4760000000001</v>
      </c>
      <c r="F4195">
        <f>2635.71</f>
        <v>2635.71</v>
      </c>
      <c r="G4195">
        <f>7729.706</f>
        <v>7729.7060000000001</v>
      </c>
      <c r="H4195">
        <f>2021.28</f>
        <v>2021.28</v>
      </c>
      <c r="I4195">
        <f>8387.712</f>
        <v>8387.7119999999995</v>
      </c>
      <c r="J4195">
        <f>1614.54</f>
        <v>1614.54</v>
      </c>
      <c r="K4195">
        <f>4930.93</f>
        <v>4930.93</v>
      </c>
      <c r="L4195">
        <f>1306.01</f>
        <v>1306.01</v>
      </c>
      <c r="M4195">
        <f>4952.05</f>
        <v>4952.05</v>
      </c>
      <c r="N4195">
        <f>199.905</f>
        <v>199.905</v>
      </c>
      <c r="O4195">
        <f>2107.04</f>
        <v>2107.04</v>
      </c>
      <c r="P4195">
        <f>114.97</f>
        <v>114.97</v>
      </c>
      <c r="Q4195">
        <f>870.75</f>
        <v>870.75</v>
      </c>
      <c r="R4195">
        <f>2386.63</f>
        <v>2386.63</v>
      </c>
      <c r="S4195">
        <f>2079.32</f>
        <v>2079.3200000000002</v>
      </c>
      <c r="T4195" t="e">
        <f>NA()</f>
        <v>#N/A</v>
      </c>
      <c r="U4195">
        <f>28942.78</f>
        <v>28942.78</v>
      </c>
      <c r="V4195" t="e">
        <f>NA()</f>
        <v>#N/A</v>
      </c>
    </row>
    <row r="4196" spans="1:22" x14ac:dyDescent="0.2">
      <c r="A4196" s="1">
        <v>39233</v>
      </c>
      <c r="B4196">
        <f>4221.84</f>
        <v>4221.84</v>
      </c>
      <c r="C4196">
        <f>5968.59</f>
        <v>5968.59</v>
      </c>
      <c r="D4196">
        <f>3780.47</f>
        <v>3780.47</v>
      </c>
      <c r="E4196">
        <f>1660.277</f>
        <v>1660.277</v>
      </c>
      <c r="F4196">
        <f>2601.89</f>
        <v>2601.89</v>
      </c>
      <c r="G4196">
        <f>7662.132</f>
        <v>7662.1319999999996</v>
      </c>
      <c r="H4196">
        <f>2004.98</f>
        <v>2004.98</v>
      </c>
      <c r="I4196">
        <f>8342.362</f>
        <v>8342.3619999999992</v>
      </c>
      <c r="J4196">
        <f>1612.35</f>
        <v>1612.35</v>
      </c>
      <c r="K4196">
        <f>4912.53</f>
        <v>4912.53</v>
      </c>
      <c r="L4196">
        <f>1300.38</f>
        <v>1300.3800000000001</v>
      </c>
      <c r="M4196">
        <f>4926.19</f>
        <v>4926.1899999999996</v>
      </c>
      <c r="N4196">
        <f>198.674</f>
        <v>198.67400000000001</v>
      </c>
      <c r="O4196">
        <f>2088.27</f>
        <v>2088.27</v>
      </c>
      <c r="P4196">
        <f>114.58</f>
        <v>114.58</v>
      </c>
      <c r="Q4196">
        <f>866.73</f>
        <v>866.73</v>
      </c>
      <c r="R4196">
        <f>2377.75</f>
        <v>2377.75</v>
      </c>
      <c r="S4196">
        <f>2064.97</f>
        <v>2064.9699999999998</v>
      </c>
      <c r="T4196" t="e">
        <f>NA()</f>
        <v>#N/A</v>
      </c>
      <c r="U4196">
        <f>28627.79</f>
        <v>28627.79</v>
      </c>
      <c r="V4196" t="e">
        <f>NA()</f>
        <v>#N/A</v>
      </c>
    </row>
    <row r="4197" spans="1:22" x14ac:dyDescent="0.2">
      <c r="A4197" s="1">
        <v>39232</v>
      </c>
      <c r="B4197">
        <f>4211.19</f>
        <v>4211.1899999999996</v>
      </c>
      <c r="C4197">
        <f>5919.97</f>
        <v>5919.97</v>
      </c>
      <c r="D4197">
        <f>3769.41</f>
        <v>3769.41</v>
      </c>
      <c r="E4197">
        <f>1634.589</f>
        <v>1634.5889999999999</v>
      </c>
      <c r="F4197">
        <f>2603.42</f>
        <v>2603.42</v>
      </c>
      <c r="G4197">
        <f>7628.334</f>
        <v>7628.3339999999998</v>
      </c>
      <c r="H4197">
        <f>1988.2</f>
        <v>1988.2</v>
      </c>
      <c r="I4197">
        <f>8241.478</f>
        <v>8241.4779999999992</v>
      </c>
      <c r="J4197">
        <f>1614.12</f>
        <v>1614.12</v>
      </c>
      <c r="K4197">
        <f>4910.53</f>
        <v>4910.53</v>
      </c>
      <c r="L4197">
        <f>1295.16</f>
        <v>1295.1600000000001</v>
      </c>
      <c r="M4197">
        <f>4900.87</f>
        <v>4900.87</v>
      </c>
      <c r="N4197">
        <f>197.451</f>
        <v>197.45099999999999</v>
      </c>
      <c r="O4197">
        <f>2072.86</f>
        <v>2072.86</v>
      </c>
      <c r="P4197">
        <f>113.21</f>
        <v>113.21</v>
      </c>
      <c r="Q4197">
        <f>866.6</f>
        <v>866.6</v>
      </c>
      <c r="R4197">
        <f>2377.09</f>
        <v>2377.09</v>
      </c>
      <c r="S4197">
        <f>2039.17</f>
        <v>2039.17</v>
      </c>
      <c r="T4197" t="e">
        <f>NA()</f>
        <v>#N/A</v>
      </c>
      <c r="U4197">
        <f>28439.4</f>
        <v>28439.4</v>
      </c>
      <c r="V4197" t="e">
        <f>NA()</f>
        <v>#N/A</v>
      </c>
    </row>
    <row r="4198" spans="1:22" x14ac:dyDescent="0.2">
      <c r="A4198" s="1">
        <v>39231</v>
      </c>
      <c r="B4198">
        <f>4228.71</f>
        <v>4228.71</v>
      </c>
      <c r="C4198">
        <f>5961.95</f>
        <v>5961.95</v>
      </c>
      <c r="D4198">
        <f>3771.12</f>
        <v>3771.12</v>
      </c>
      <c r="E4198">
        <f>1645.687</f>
        <v>1645.6869999999999</v>
      </c>
      <c r="F4198">
        <f>2611.68</f>
        <v>2611.6799999999998</v>
      </c>
      <c r="G4198">
        <f>7660.879</f>
        <v>7660.8789999999999</v>
      </c>
      <c r="H4198">
        <f>1983.85</f>
        <v>1983.85</v>
      </c>
      <c r="I4198">
        <f>8293.147</f>
        <v>8293.1470000000008</v>
      </c>
      <c r="J4198">
        <f>1605.06</f>
        <v>1605.06</v>
      </c>
      <c r="K4198">
        <f>4868.83</f>
        <v>4868.83</v>
      </c>
      <c r="L4198">
        <f>1296.56</f>
        <v>1296.56</v>
      </c>
      <c r="M4198">
        <f>4890.99</f>
        <v>4890.99</v>
      </c>
      <c r="N4198">
        <f>198.103</f>
        <v>198.10300000000001</v>
      </c>
      <c r="O4198">
        <f>2075.16</f>
        <v>2075.16</v>
      </c>
      <c r="P4198">
        <f>113.7</f>
        <v>113.7</v>
      </c>
      <c r="Q4198">
        <f>861.33</f>
        <v>861.33</v>
      </c>
      <c r="R4198">
        <f>2357.39</f>
        <v>2357.39</v>
      </c>
      <c r="S4198">
        <f>2044.06</f>
        <v>2044.06</v>
      </c>
      <c r="T4198" t="e">
        <f>NA()</f>
        <v>#N/A</v>
      </c>
      <c r="U4198">
        <f>28665.96</f>
        <v>28665.96</v>
      </c>
      <c r="V4198" t="e">
        <f>NA()</f>
        <v>#N/A</v>
      </c>
    </row>
    <row r="4199" spans="1:22" x14ac:dyDescent="0.2">
      <c r="A4199" s="1">
        <v>39230</v>
      </c>
      <c r="B4199">
        <f>4212</f>
        <v>4212</v>
      </c>
      <c r="C4199">
        <f>5970.44</f>
        <v>5970.44</v>
      </c>
      <c r="D4199" t="e">
        <f>NA()</f>
        <v>#N/A</v>
      </c>
      <c r="E4199">
        <f>1648.634</f>
        <v>1648.634</v>
      </c>
      <c r="F4199">
        <f>2579.17</f>
        <v>2579.17</v>
      </c>
      <c r="G4199">
        <f>7633.822</f>
        <v>7633.8220000000001</v>
      </c>
      <c r="H4199">
        <f>1970.1</f>
        <v>1970.1</v>
      </c>
      <c r="I4199">
        <f>8274.202</f>
        <v>8274.2019999999993</v>
      </c>
      <c r="J4199">
        <f>1603.06</f>
        <v>1603.06</v>
      </c>
      <c r="K4199">
        <f>4858.19</f>
        <v>4858.1899999999996</v>
      </c>
      <c r="L4199">
        <f>1294.07</f>
        <v>1294.07</v>
      </c>
      <c r="M4199">
        <f>4876.65</f>
        <v>4876.6499999999996</v>
      </c>
      <c r="N4199">
        <f>197.844</f>
        <v>197.84399999999999</v>
      </c>
      <c r="O4199">
        <f>2072.34</f>
        <v>2072.34</v>
      </c>
      <c r="P4199">
        <f>113.09</f>
        <v>113.09</v>
      </c>
      <c r="Q4199" t="e">
        <f>NA()</f>
        <v>#N/A</v>
      </c>
      <c r="R4199" t="e">
        <f>NA()</f>
        <v>#N/A</v>
      </c>
      <c r="S4199">
        <f>2028.15</f>
        <v>2028.15</v>
      </c>
      <c r="T4199" t="e">
        <f>NA()</f>
        <v>#N/A</v>
      </c>
      <c r="U4199">
        <f>28637.22</f>
        <v>28637.22</v>
      </c>
      <c r="V4199" t="e">
        <f>NA()</f>
        <v>#N/A</v>
      </c>
    </row>
    <row r="4200" spans="1:22" x14ac:dyDescent="0.2">
      <c r="A4200" s="1">
        <v>39227</v>
      </c>
      <c r="B4200">
        <f>4212</f>
        <v>4212</v>
      </c>
      <c r="C4200">
        <f>5924.36</f>
        <v>5924.36</v>
      </c>
      <c r="D4200">
        <f>3750.61</f>
        <v>3750.61</v>
      </c>
      <c r="E4200">
        <f>1643.167</f>
        <v>1643.1669999999999</v>
      </c>
      <c r="F4200">
        <f>2579.17</f>
        <v>2579.17</v>
      </c>
      <c r="G4200">
        <f>7633.822</f>
        <v>7633.8220000000001</v>
      </c>
      <c r="H4200">
        <f>1959.89</f>
        <v>1959.89</v>
      </c>
      <c r="I4200">
        <f>8256.263</f>
        <v>8256.2630000000008</v>
      </c>
      <c r="J4200">
        <f>1603.06</f>
        <v>1603.06</v>
      </c>
      <c r="K4200">
        <f>4858.19</f>
        <v>4858.1899999999996</v>
      </c>
      <c r="L4200">
        <f>1292.94</f>
        <v>1292.94</v>
      </c>
      <c r="M4200">
        <f>4871.12</f>
        <v>4871.12</v>
      </c>
      <c r="N4200">
        <f>197.798</f>
        <v>197.798</v>
      </c>
      <c r="O4200">
        <f>2070.18</f>
        <v>2070.1799999999998</v>
      </c>
      <c r="P4200">
        <f>112.34</f>
        <v>112.34</v>
      </c>
      <c r="Q4200">
        <f>860.04</f>
        <v>860.04</v>
      </c>
      <c r="R4200">
        <f>2353.42</f>
        <v>2353.42</v>
      </c>
      <c r="S4200">
        <f>2017.7</f>
        <v>2017.7</v>
      </c>
      <c r="T4200" t="e">
        <f>NA()</f>
        <v>#N/A</v>
      </c>
      <c r="U4200">
        <f>28533.03</f>
        <v>28533.03</v>
      </c>
      <c r="V4200" t="e">
        <f>NA()</f>
        <v>#N/A</v>
      </c>
    </row>
    <row r="4201" spans="1:22" x14ac:dyDescent="0.2">
      <c r="A4201" s="1">
        <v>39226</v>
      </c>
      <c r="B4201">
        <f>4217.3</f>
        <v>4217.3</v>
      </c>
      <c r="C4201">
        <f>5912.12</f>
        <v>5912.12</v>
      </c>
      <c r="D4201">
        <f>3747.7</f>
        <v>3747.7</v>
      </c>
      <c r="E4201">
        <f>1640.742</f>
        <v>1640.742</v>
      </c>
      <c r="F4201">
        <f>2581.06</f>
        <v>2581.06</v>
      </c>
      <c r="G4201">
        <f>7634.574</f>
        <v>7634.5739999999996</v>
      </c>
      <c r="H4201">
        <f>1992.25</f>
        <v>1992.25</v>
      </c>
      <c r="I4201">
        <f>8234.207</f>
        <v>8234.2070000000003</v>
      </c>
      <c r="J4201">
        <f>1597.93</f>
        <v>1597.93</v>
      </c>
      <c r="K4201">
        <f>4831.5</f>
        <v>4831.5</v>
      </c>
      <c r="L4201">
        <f>1291.55</f>
        <v>1291.55</v>
      </c>
      <c r="M4201">
        <f>4862.8</f>
        <v>4862.8</v>
      </c>
      <c r="N4201">
        <f>197.983</f>
        <v>197.983</v>
      </c>
      <c r="O4201">
        <f>2069.3</f>
        <v>2069.3000000000002</v>
      </c>
      <c r="P4201">
        <f>113.96</f>
        <v>113.96</v>
      </c>
      <c r="Q4201">
        <f>856.04</f>
        <v>856.04</v>
      </c>
      <c r="R4201">
        <f>2340.64</f>
        <v>2340.64</v>
      </c>
      <c r="S4201">
        <f>2044.24</f>
        <v>2044.24</v>
      </c>
      <c r="T4201" t="e">
        <f>NA()</f>
        <v>#N/A</v>
      </c>
      <c r="U4201">
        <f>28812.94</f>
        <v>28812.94</v>
      </c>
      <c r="V4201" t="e">
        <f>NA()</f>
        <v>#N/A</v>
      </c>
    </row>
    <row r="4202" spans="1:22" x14ac:dyDescent="0.2">
      <c r="A4202" s="1">
        <v>39225</v>
      </c>
      <c r="B4202">
        <f>4249.82</f>
        <v>4249.82</v>
      </c>
      <c r="C4202">
        <f>5994.56</f>
        <v>5994.56</v>
      </c>
      <c r="D4202">
        <f>3776.79</f>
        <v>3776.79</v>
      </c>
      <c r="E4202">
        <f>1661.268</f>
        <v>1661.268</v>
      </c>
      <c r="F4202">
        <f>2590.73</f>
        <v>2590.73</v>
      </c>
      <c r="G4202">
        <f>7705.495</f>
        <v>7705.4949999999999</v>
      </c>
      <c r="H4202">
        <f>1991.19</f>
        <v>1991.19</v>
      </c>
      <c r="I4202">
        <f>8327.439</f>
        <v>8327.4390000000003</v>
      </c>
      <c r="J4202">
        <f>1609.88</f>
        <v>1609.88</v>
      </c>
      <c r="K4202">
        <f>4879.94</f>
        <v>4879.9399999999996</v>
      </c>
      <c r="L4202">
        <f>1304.5</f>
        <v>1304.5</v>
      </c>
      <c r="M4202">
        <f>4909.33</f>
        <v>4909.33</v>
      </c>
      <c r="N4202">
        <f>199.535</f>
        <v>199.535</v>
      </c>
      <c r="O4202">
        <f>2083.35</f>
        <v>2083.35</v>
      </c>
      <c r="P4202">
        <f>114.14</f>
        <v>114.14</v>
      </c>
      <c r="Q4202">
        <f>862.63</f>
        <v>862.63</v>
      </c>
      <c r="R4202">
        <f>2363.29</f>
        <v>2363.29</v>
      </c>
      <c r="S4202">
        <f>2046.56</f>
        <v>2046.56</v>
      </c>
      <c r="T4202" t="e">
        <f>NA()</f>
        <v>#N/A</v>
      </c>
      <c r="U4202">
        <f>29087.49</f>
        <v>29087.49</v>
      </c>
      <c r="V4202" t="e">
        <f>NA()</f>
        <v>#N/A</v>
      </c>
    </row>
    <row r="4203" spans="1:22" x14ac:dyDescent="0.2">
      <c r="A4203" s="1">
        <v>39224</v>
      </c>
      <c r="B4203">
        <f>4234.95</f>
        <v>4234.95</v>
      </c>
      <c r="C4203">
        <f>5976.59</f>
        <v>5976.59</v>
      </c>
      <c r="D4203">
        <f>3769.26</f>
        <v>3769.26</v>
      </c>
      <c r="E4203">
        <f>1663.292</f>
        <v>1663.2919999999999</v>
      </c>
      <c r="F4203">
        <f>2542.9</f>
        <v>2542.9</v>
      </c>
      <c r="G4203">
        <f>7633.68</f>
        <v>7633.68</v>
      </c>
      <c r="H4203">
        <f>1994.64</f>
        <v>1994.64</v>
      </c>
      <c r="I4203">
        <f>8245.765</f>
        <v>8245.7649999999994</v>
      </c>
      <c r="J4203">
        <f>1612.32</f>
        <v>1612.32</v>
      </c>
      <c r="K4203">
        <f>4886.88</f>
        <v>4886.88</v>
      </c>
      <c r="L4203">
        <f>1298.04</f>
        <v>1298.04</v>
      </c>
      <c r="M4203">
        <f>4892.23</f>
        <v>4892.2299999999996</v>
      </c>
      <c r="N4203">
        <f>198.147</f>
        <v>198.14699999999999</v>
      </c>
      <c r="O4203">
        <f>2068.23</f>
        <v>2068.23</v>
      </c>
      <c r="P4203">
        <f>113.38</f>
        <v>113.38</v>
      </c>
      <c r="Q4203">
        <f>863.1</f>
        <v>863.1</v>
      </c>
      <c r="R4203">
        <f>2366.1</f>
        <v>2366.1</v>
      </c>
      <c r="S4203">
        <f>2036.52</f>
        <v>2036.52</v>
      </c>
      <c r="T4203" t="e">
        <f>NA()</f>
        <v>#N/A</v>
      </c>
      <c r="U4203">
        <f>28629.38</f>
        <v>28629.38</v>
      </c>
      <c r="V4203" t="e">
        <f>NA()</f>
        <v>#N/A</v>
      </c>
    </row>
    <row r="4204" spans="1:22" x14ac:dyDescent="0.2">
      <c r="A4204" s="1">
        <v>39223</v>
      </c>
      <c r="B4204">
        <f>4242.71</f>
        <v>4242.71</v>
      </c>
      <c r="C4204">
        <f>5960.56</f>
        <v>5960.56</v>
      </c>
      <c r="D4204">
        <f>3786.48</f>
        <v>3786.48</v>
      </c>
      <c r="E4204">
        <f>1657.641</f>
        <v>1657.6410000000001</v>
      </c>
      <c r="F4204">
        <f>2541.75</f>
        <v>2541.75</v>
      </c>
      <c r="G4204">
        <f>7652.04</f>
        <v>7652.04</v>
      </c>
      <c r="H4204">
        <f>1976.38</f>
        <v>1976.38</v>
      </c>
      <c r="I4204">
        <f>8233.317</f>
        <v>8233.3169999999991</v>
      </c>
      <c r="J4204">
        <f>1612.12</f>
        <v>1612.12</v>
      </c>
      <c r="K4204">
        <f>4888.03</f>
        <v>4888.03</v>
      </c>
      <c r="L4204">
        <f>1298.57</f>
        <v>1298.57</v>
      </c>
      <c r="M4204">
        <f>4887</f>
        <v>4887</v>
      </c>
      <c r="N4204">
        <f>198.555</f>
        <v>198.55500000000001</v>
      </c>
      <c r="O4204">
        <f>2068.49</f>
        <v>2068.4899999999998</v>
      </c>
      <c r="P4204">
        <f>112.79</f>
        <v>112.79</v>
      </c>
      <c r="Q4204">
        <f>862.32</f>
        <v>862.32</v>
      </c>
      <c r="R4204">
        <f>2367.63</f>
        <v>2367.63</v>
      </c>
      <c r="S4204">
        <f>2011.97</f>
        <v>2011.97</v>
      </c>
      <c r="T4204" t="e">
        <f>NA()</f>
        <v>#N/A</v>
      </c>
      <c r="U4204">
        <f>28642.4</f>
        <v>28642.400000000001</v>
      </c>
      <c r="V4204" t="e">
        <f>NA()</f>
        <v>#N/A</v>
      </c>
    </row>
    <row r="4205" spans="1:22" x14ac:dyDescent="0.2">
      <c r="A4205" s="1">
        <v>39220</v>
      </c>
      <c r="B4205">
        <f>4242.9</f>
        <v>4242.8999999999996</v>
      </c>
      <c r="C4205">
        <f>5893.37</f>
        <v>5893.37</v>
      </c>
      <c r="D4205">
        <f>3788.83</f>
        <v>3788.83</v>
      </c>
      <c r="E4205">
        <f>1643.901</f>
        <v>1643.9010000000001</v>
      </c>
      <c r="F4205">
        <f>2552.9</f>
        <v>2552.9</v>
      </c>
      <c r="G4205">
        <f>7676.036</f>
        <v>7676.0360000000001</v>
      </c>
      <c r="H4205">
        <f>1964.65</f>
        <v>1964.65</v>
      </c>
      <c r="I4205">
        <f>8248.834</f>
        <v>8248.8340000000007</v>
      </c>
      <c r="J4205">
        <f>1613.22</f>
        <v>1613.22</v>
      </c>
      <c r="K4205">
        <f>4878.7</f>
        <v>4878.7</v>
      </c>
      <c r="L4205">
        <f>1300.93</f>
        <v>1300.93</v>
      </c>
      <c r="M4205">
        <f>4881.67</f>
        <v>4881.67</v>
      </c>
      <c r="N4205">
        <f>198.497</f>
        <v>198.49700000000001</v>
      </c>
      <c r="O4205">
        <f>2067.25</f>
        <v>2067.25</v>
      </c>
      <c r="P4205">
        <f>112.4</f>
        <v>112.4</v>
      </c>
      <c r="Q4205">
        <f>862.48</f>
        <v>862.48</v>
      </c>
      <c r="R4205">
        <f>2363.97</f>
        <v>2363.9699999999998</v>
      </c>
      <c r="S4205">
        <f>1994.35</f>
        <v>1994.35</v>
      </c>
      <c r="T4205" t="e">
        <f>NA()</f>
        <v>#N/A</v>
      </c>
      <c r="U4205">
        <f>28331.45</f>
        <v>28331.45</v>
      </c>
      <c r="V4205" t="e">
        <f>NA()</f>
        <v>#N/A</v>
      </c>
    </row>
    <row r="4206" spans="1:22" x14ac:dyDescent="0.2">
      <c r="A4206" s="1">
        <v>39219</v>
      </c>
      <c r="B4206">
        <f>4222.5</f>
        <v>4222.5</v>
      </c>
      <c r="C4206">
        <f>5874.99</f>
        <v>5874.99</v>
      </c>
      <c r="D4206">
        <f>3753.65</f>
        <v>3753.65</v>
      </c>
      <c r="E4206">
        <f>1639.494</f>
        <v>1639.4939999999999</v>
      </c>
      <c r="F4206">
        <f>2536.14</f>
        <v>2536.14</v>
      </c>
      <c r="G4206">
        <f>7610.739</f>
        <v>7610.7389999999996</v>
      </c>
      <c r="H4206">
        <f>1978.39</f>
        <v>1978.39</v>
      </c>
      <c r="I4206">
        <f>8162.823</f>
        <v>8162.8230000000003</v>
      </c>
      <c r="J4206">
        <f>1603.98</f>
        <v>1603.98</v>
      </c>
      <c r="K4206">
        <f>4847.41</f>
        <v>4847.41</v>
      </c>
      <c r="L4206">
        <f>1291.68</f>
        <v>1291.68</v>
      </c>
      <c r="M4206">
        <f>4853.1</f>
        <v>4853.1000000000004</v>
      </c>
      <c r="N4206">
        <f>197.328</f>
        <v>197.328</v>
      </c>
      <c r="O4206">
        <f>2047.42</f>
        <v>2047.42</v>
      </c>
      <c r="P4206">
        <f>113.07</f>
        <v>113.07</v>
      </c>
      <c r="Q4206">
        <f>856.69</f>
        <v>856.69</v>
      </c>
      <c r="R4206">
        <f>2348.44</f>
        <v>2348.44</v>
      </c>
      <c r="S4206">
        <f>2007.98</f>
        <v>2007.98</v>
      </c>
      <c r="T4206" t="e">
        <f>NA()</f>
        <v>#N/A</v>
      </c>
      <c r="U4206">
        <f>27884.36</f>
        <v>27884.36</v>
      </c>
      <c r="V4206" t="e">
        <f>NA()</f>
        <v>#N/A</v>
      </c>
    </row>
    <row r="4207" spans="1:22" x14ac:dyDescent="0.2">
      <c r="A4207" s="1">
        <v>39218</v>
      </c>
      <c r="B4207">
        <f>4213.37</f>
        <v>4213.37</v>
      </c>
      <c r="C4207">
        <f>5869.48</f>
        <v>5869.48</v>
      </c>
      <c r="D4207">
        <f>3742.36</f>
        <v>3742.36</v>
      </c>
      <c r="E4207">
        <f>1640.542</f>
        <v>1640.5419999999999</v>
      </c>
      <c r="F4207">
        <f>2550.01</f>
        <v>2550.0100000000002</v>
      </c>
      <c r="G4207">
        <f>7613.097</f>
        <v>7613.0969999999998</v>
      </c>
      <c r="H4207">
        <f>1997.88</f>
        <v>1997.88</v>
      </c>
      <c r="I4207">
        <f>8196.547</f>
        <v>8196.5470000000005</v>
      </c>
      <c r="J4207">
        <f>1607.45</f>
        <v>1607.45</v>
      </c>
      <c r="K4207">
        <f>4852.75</f>
        <v>4852.75</v>
      </c>
      <c r="L4207">
        <f>1292.7</f>
        <v>1292.7</v>
      </c>
      <c r="M4207">
        <f>4860.73</f>
        <v>4860.7299999999996</v>
      </c>
      <c r="N4207">
        <f>196.918</f>
        <v>196.91800000000001</v>
      </c>
      <c r="O4207">
        <f>2041.94</f>
        <v>2041.94</v>
      </c>
      <c r="P4207">
        <f>113.18</f>
        <v>113.18</v>
      </c>
      <c r="Q4207">
        <f>858.11</f>
        <v>858.11</v>
      </c>
      <c r="R4207">
        <f>2350.4</f>
        <v>2350.4</v>
      </c>
      <c r="S4207">
        <f>2013.4</f>
        <v>2013.4</v>
      </c>
      <c r="T4207" t="e">
        <f>NA()</f>
        <v>#N/A</v>
      </c>
      <c r="U4207">
        <f>28046.8</f>
        <v>28046.799999999999</v>
      </c>
      <c r="V4207" t="e">
        <f>NA()</f>
        <v>#N/A</v>
      </c>
    </row>
    <row r="4208" spans="1:22" x14ac:dyDescent="0.2">
      <c r="A4208" s="1">
        <v>39217</v>
      </c>
      <c r="B4208">
        <f>4217.06</f>
        <v>4217.0600000000004</v>
      </c>
      <c r="C4208">
        <f>5812.66</f>
        <v>5812.66</v>
      </c>
      <c r="D4208">
        <f>3745.12</f>
        <v>3745.12</v>
      </c>
      <c r="E4208">
        <f>1621.731</f>
        <v>1621.731</v>
      </c>
      <c r="F4208">
        <f>2562.37</f>
        <v>2562.37</v>
      </c>
      <c r="G4208">
        <f>7624.25</f>
        <v>7624.25</v>
      </c>
      <c r="H4208">
        <f>2001.07</f>
        <v>2001.07</v>
      </c>
      <c r="I4208">
        <f>8228.932</f>
        <v>8228.9320000000007</v>
      </c>
      <c r="J4208">
        <f>1590.67</f>
        <v>1590.67</v>
      </c>
      <c r="K4208">
        <f>4811.17</f>
        <v>4811.17</v>
      </c>
      <c r="L4208">
        <f>1290.94</f>
        <v>1290.94</v>
      </c>
      <c r="M4208">
        <f>4847.68</f>
        <v>4847.68</v>
      </c>
      <c r="N4208">
        <f>196.571</f>
        <v>196.571</v>
      </c>
      <c r="O4208">
        <f>2044.68</f>
        <v>2044.68</v>
      </c>
      <c r="P4208">
        <f>113.26</f>
        <v>113.26</v>
      </c>
      <c r="Q4208">
        <f>851.16</f>
        <v>851.16</v>
      </c>
      <c r="R4208">
        <f>2329.61</f>
        <v>2329.61</v>
      </c>
      <c r="S4208">
        <f>2014.18</f>
        <v>2014.18</v>
      </c>
      <c r="T4208" t="e">
        <f>NA()</f>
        <v>#N/A</v>
      </c>
      <c r="U4208">
        <f>28059.27</f>
        <v>28059.27</v>
      </c>
      <c r="V4208" t="e">
        <f>NA()</f>
        <v>#N/A</v>
      </c>
    </row>
    <row r="4209" spans="1:22" x14ac:dyDescent="0.2">
      <c r="A4209" s="1">
        <v>39216</v>
      </c>
      <c r="B4209">
        <f>4202.26</f>
        <v>4202.26</v>
      </c>
      <c r="C4209">
        <f>5827.73</f>
        <v>5827.73</v>
      </c>
      <c r="D4209">
        <f>3737.62</f>
        <v>3737.62</v>
      </c>
      <c r="E4209">
        <f>1630.113</f>
        <v>1630.1130000000001</v>
      </c>
      <c r="F4209">
        <f>2554.79</f>
        <v>2554.79</v>
      </c>
      <c r="G4209">
        <f>7594.052</f>
        <v>7594.0519999999997</v>
      </c>
      <c r="H4209">
        <f>2016.16</f>
        <v>2016.16</v>
      </c>
      <c r="I4209">
        <f>8151.429</f>
        <v>8151.4290000000001</v>
      </c>
      <c r="J4209">
        <f>1587.36</f>
        <v>1587.36</v>
      </c>
      <c r="K4209">
        <f>4818.52</f>
        <v>4818.5200000000004</v>
      </c>
      <c r="L4209">
        <f>1284.5</f>
        <v>1284.5</v>
      </c>
      <c r="M4209">
        <f>4843.2</f>
        <v>4843.2</v>
      </c>
      <c r="N4209">
        <f>195.731</f>
        <v>195.73099999999999</v>
      </c>
      <c r="O4209">
        <f>2036.46</f>
        <v>2036.46</v>
      </c>
      <c r="P4209">
        <f>114.64</f>
        <v>114.64</v>
      </c>
      <c r="Q4209">
        <f>851.25</f>
        <v>851.25</v>
      </c>
      <c r="R4209">
        <f>2332.43</f>
        <v>2332.4299999999998</v>
      </c>
      <c r="S4209">
        <f>2035.87</f>
        <v>2035.87</v>
      </c>
      <c r="T4209" t="e">
        <f>NA()</f>
        <v>#N/A</v>
      </c>
      <c r="U4209">
        <f>28094.8</f>
        <v>28094.799999999999</v>
      </c>
      <c r="V4209" t="e">
        <f>NA()</f>
        <v>#N/A</v>
      </c>
    </row>
    <row r="4210" spans="1:22" x14ac:dyDescent="0.2">
      <c r="A4210" s="1">
        <v>39213</v>
      </c>
      <c r="B4210">
        <f>4197.39</f>
        <v>4197.3900000000003</v>
      </c>
      <c r="C4210">
        <f>5795.69</f>
        <v>5795.69</v>
      </c>
      <c r="D4210">
        <f>3743.42</f>
        <v>3743.42</v>
      </c>
      <c r="E4210">
        <f>1617.869</f>
        <v>1617.8689999999999</v>
      </c>
      <c r="F4210">
        <f>2557.23</f>
        <v>2557.23</v>
      </c>
      <c r="G4210">
        <f>7611.246</f>
        <v>7611.2460000000001</v>
      </c>
      <c r="H4210">
        <f>1996.44</f>
        <v>1996.44</v>
      </c>
      <c r="I4210">
        <f>8150.023</f>
        <v>8150.0230000000001</v>
      </c>
      <c r="J4210">
        <f>1588.47</f>
        <v>1588.47</v>
      </c>
      <c r="K4210">
        <f>4828.07</f>
        <v>4828.07</v>
      </c>
      <c r="L4210">
        <f>1283.14</f>
        <v>1283.1400000000001</v>
      </c>
      <c r="M4210">
        <f>4844.6</f>
        <v>4844.6000000000004</v>
      </c>
      <c r="N4210">
        <f>196.185</f>
        <v>196.185</v>
      </c>
      <c r="O4210">
        <f>2041.08</f>
        <v>2041.08</v>
      </c>
      <c r="P4210">
        <f>114.19</f>
        <v>114.19</v>
      </c>
      <c r="Q4210">
        <f>853.14</f>
        <v>853.14</v>
      </c>
      <c r="R4210">
        <f>2336.48</f>
        <v>2336.48</v>
      </c>
      <c r="S4210">
        <f>2026.58</f>
        <v>2026.58</v>
      </c>
      <c r="T4210" t="e">
        <f>NA()</f>
        <v>#N/A</v>
      </c>
      <c r="U4210">
        <f>28671.48</f>
        <v>28671.48</v>
      </c>
      <c r="V4210" t="e">
        <f>NA()</f>
        <v>#N/A</v>
      </c>
    </row>
    <row r="4211" spans="1:22" x14ac:dyDescent="0.2">
      <c r="A4211" s="1">
        <v>39212</v>
      </c>
      <c r="B4211">
        <f>4199.67</f>
        <v>4199.67</v>
      </c>
      <c r="C4211">
        <f>5799.37</f>
        <v>5799.37</v>
      </c>
      <c r="D4211">
        <f>3719.73</f>
        <v>3719.73</v>
      </c>
      <c r="E4211">
        <f>1622.83</f>
        <v>1622.83</v>
      </c>
      <c r="F4211">
        <f>2538.54</f>
        <v>2538.54</v>
      </c>
      <c r="G4211">
        <f>7573.419</f>
        <v>7573.4189999999999</v>
      </c>
      <c r="H4211">
        <f>1999.97</f>
        <v>1999.97</v>
      </c>
      <c r="I4211">
        <f>8097.603</f>
        <v>8097.6030000000001</v>
      </c>
      <c r="J4211">
        <f>1576.81</f>
        <v>1576.81</v>
      </c>
      <c r="K4211">
        <f>4780.94</f>
        <v>4780.9399999999996</v>
      </c>
      <c r="L4211">
        <f>1275.18</f>
        <v>1275.18</v>
      </c>
      <c r="M4211">
        <f>4815.63</f>
        <v>4815.63</v>
      </c>
      <c r="N4211">
        <f>195.582</f>
        <v>195.58199999999999</v>
      </c>
      <c r="O4211">
        <f>2029.56</f>
        <v>2029.56</v>
      </c>
      <c r="P4211">
        <f>115.11</f>
        <v>115.11</v>
      </c>
      <c r="Q4211">
        <f>847.4</f>
        <v>847.4</v>
      </c>
      <c r="R4211">
        <f>2313.94</f>
        <v>2313.94</v>
      </c>
      <c r="S4211">
        <f>2042.93</f>
        <v>2042.93</v>
      </c>
      <c r="T4211" t="e">
        <f>NA()</f>
        <v>#N/A</v>
      </c>
      <c r="U4211">
        <f>28438.86</f>
        <v>28438.86</v>
      </c>
      <c r="V4211" t="e">
        <f>NA()</f>
        <v>#N/A</v>
      </c>
    </row>
    <row r="4212" spans="1:22" x14ac:dyDescent="0.2">
      <c r="A4212" s="1">
        <v>39211</v>
      </c>
      <c r="B4212">
        <f>4211.91</f>
        <v>4211.91</v>
      </c>
      <c r="C4212">
        <f>5807.14</f>
        <v>5807.14</v>
      </c>
      <c r="D4212">
        <f>3734.25</f>
        <v>3734.25</v>
      </c>
      <c r="E4212">
        <f>1629.485</f>
        <v>1629.4849999999999</v>
      </c>
      <c r="F4212">
        <f>2560.32</f>
        <v>2560.3200000000002</v>
      </c>
      <c r="G4212">
        <f>7654.667</f>
        <v>7654.6670000000004</v>
      </c>
      <c r="H4212">
        <f>2024.61</f>
        <v>2024.61</v>
      </c>
      <c r="I4212">
        <f>8173.841</f>
        <v>8173.8410000000003</v>
      </c>
      <c r="J4212">
        <f>1599.2</f>
        <v>1599.2</v>
      </c>
      <c r="K4212">
        <f>4847.72</f>
        <v>4847.72</v>
      </c>
      <c r="L4212">
        <f>1288.21</f>
        <v>1288.21</v>
      </c>
      <c r="M4212">
        <f>4869.19</f>
        <v>4869.1899999999996</v>
      </c>
      <c r="N4212">
        <f>195.887</f>
        <v>195.887</v>
      </c>
      <c r="O4212">
        <f>2043.61</f>
        <v>2043.61</v>
      </c>
      <c r="P4212">
        <f>115.96</f>
        <v>115.96</v>
      </c>
      <c r="Q4212">
        <f>857.71</f>
        <v>857.71</v>
      </c>
      <c r="R4212">
        <f>2346.3</f>
        <v>2346.3000000000002</v>
      </c>
      <c r="S4212">
        <f>2052.36</f>
        <v>2052.36</v>
      </c>
      <c r="T4212" t="e">
        <f>NA()</f>
        <v>#N/A</v>
      </c>
      <c r="U4212">
        <f>28354.41</f>
        <v>28354.41</v>
      </c>
      <c r="V4212" t="e">
        <f>NA()</f>
        <v>#N/A</v>
      </c>
    </row>
    <row r="4213" spans="1:22" x14ac:dyDescent="0.2">
      <c r="A4213" s="1">
        <v>39210</v>
      </c>
      <c r="B4213">
        <f>4223.8</f>
        <v>4223.8</v>
      </c>
      <c r="C4213">
        <f>5769.85</f>
        <v>5769.85</v>
      </c>
      <c r="D4213">
        <f>3728.97</f>
        <v>3728.97</v>
      </c>
      <c r="E4213">
        <f>1620.253</f>
        <v>1620.2529999999999</v>
      </c>
      <c r="F4213">
        <f>2564.48</f>
        <v>2564.48</v>
      </c>
      <c r="G4213">
        <f>7620.132</f>
        <v>7620.1319999999996</v>
      </c>
      <c r="H4213">
        <f>2004.88</f>
        <v>2004.88</v>
      </c>
      <c r="I4213">
        <f>8139.381</f>
        <v>8139.3810000000003</v>
      </c>
      <c r="J4213">
        <f>1592.81</f>
        <v>1592.81</v>
      </c>
      <c r="K4213">
        <f>4829.96</f>
        <v>4829.96</v>
      </c>
      <c r="L4213">
        <f>1284.22</f>
        <v>1284.22</v>
      </c>
      <c r="M4213">
        <f>4848.07</f>
        <v>4848.07</v>
      </c>
      <c r="N4213">
        <f>195.853</f>
        <v>195.85300000000001</v>
      </c>
      <c r="O4213">
        <f>2037.98</f>
        <v>2037.98</v>
      </c>
      <c r="P4213">
        <f>114.99</f>
        <v>114.99</v>
      </c>
      <c r="Q4213">
        <f>853.41</f>
        <v>853.41</v>
      </c>
      <c r="R4213">
        <f>2338.14</f>
        <v>2338.14</v>
      </c>
      <c r="S4213">
        <f>2037.8</f>
        <v>2037.8</v>
      </c>
      <c r="T4213" t="e">
        <f>NA()</f>
        <v>#N/A</v>
      </c>
      <c r="U4213">
        <f>28161.78</f>
        <v>28161.78</v>
      </c>
      <c r="V4213" t="e">
        <f>NA()</f>
        <v>#N/A</v>
      </c>
    </row>
    <row r="4214" spans="1:22" x14ac:dyDescent="0.2">
      <c r="A4214" s="1">
        <v>39209</v>
      </c>
      <c r="B4214">
        <f>4249.6</f>
        <v>4249.6000000000004</v>
      </c>
      <c r="C4214">
        <f>5795.15</f>
        <v>5795.15</v>
      </c>
      <c r="D4214" t="e">
        <f>NA()</f>
        <v>#N/A</v>
      </c>
      <c r="E4214">
        <f>1630.185</f>
        <v>1630.1849999999999</v>
      </c>
      <c r="F4214">
        <f>2589.87</f>
        <v>2589.87</v>
      </c>
      <c r="G4214">
        <f>7705.372</f>
        <v>7705.3720000000003</v>
      </c>
      <c r="H4214">
        <f>2012.71</f>
        <v>2012.71</v>
      </c>
      <c r="I4214">
        <f>8279.613</f>
        <v>8279.6129999999994</v>
      </c>
      <c r="J4214">
        <f>1597.74</f>
        <v>1597.74</v>
      </c>
      <c r="K4214">
        <f>4835.03</f>
        <v>4835.03</v>
      </c>
      <c r="L4214">
        <f>1295.61</f>
        <v>1295.6099999999999</v>
      </c>
      <c r="M4214">
        <f>4875.88</f>
        <v>4875.88</v>
      </c>
      <c r="N4214">
        <f>197.055</f>
        <v>197.05500000000001</v>
      </c>
      <c r="O4214">
        <f>2053.91</f>
        <v>2053.91</v>
      </c>
      <c r="P4214">
        <f>115.76</f>
        <v>115.76</v>
      </c>
      <c r="Q4214">
        <f>855.4</f>
        <v>855.4</v>
      </c>
      <c r="R4214">
        <f>2340.68</f>
        <v>2340.6799999999998</v>
      </c>
      <c r="S4214">
        <f>2038.26</f>
        <v>2038.26</v>
      </c>
      <c r="T4214" t="e">
        <f>NA()</f>
        <v>#N/A</v>
      </c>
      <c r="U4214">
        <f>28797.79</f>
        <v>28797.79</v>
      </c>
      <c r="V4214" t="e">
        <f>NA()</f>
        <v>#N/A</v>
      </c>
    </row>
    <row r="4215" spans="1:22" x14ac:dyDescent="0.2">
      <c r="A4215" s="1">
        <v>39206</v>
      </c>
      <c r="B4215">
        <f>4249.6</f>
        <v>4249.6000000000004</v>
      </c>
      <c r="C4215">
        <f>5774.61</f>
        <v>5774.61</v>
      </c>
      <c r="D4215">
        <f>3759.27</f>
        <v>3759.27</v>
      </c>
      <c r="E4215">
        <f>1623.12</f>
        <v>1623.12</v>
      </c>
      <c r="F4215">
        <f>2584.87</f>
        <v>2584.87</v>
      </c>
      <c r="G4215">
        <f>7690.508</f>
        <v>7690.5079999999998</v>
      </c>
      <c r="H4215">
        <f>1976.16</f>
        <v>1976.16</v>
      </c>
      <c r="I4215">
        <f>8247.697</f>
        <v>8247.6970000000001</v>
      </c>
      <c r="J4215">
        <f>1591.81</f>
        <v>1591.81</v>
      </c>
      <c r="K4215">
        <f>4823.5</f>
        <v>4823.5</v>
      </c>
      <c r="L4215">
        <f>1291.17</f>
        <v>1291.17</v>
      </c>
      <c r="M4215">
        <f>4851.26</f>
        <v>4851.26</v>
      </c>
      <c r="N4215">
        <f>196.468</f>
        <v>196.46799999999999</v>
      </c>
      <c r="O4215">
        <f>2053.33</f>
        <v>2053.33</v>
      </c>
      <c r="P4215" t="e">
        <f>NA()</f>
        <v>#N/A</v>
      </c>
      <c r="Q4215">
        <f>852.43</f>
        <v>852.43</v>
      </c>
      <c r="R4215">
        <f>2334.61</f>
        <v>2334.61</v>
      </c>
      <c r="S4215" t="e">
        <f>NA()</f>
        <v>#N/A</v>
      </c>
      <c r="T4215" t="e">
        <f>NA()</f>
        <v>#N/A</v>
      </c>
      <c r="U4215">
        <f>28649.7</f>
        <v>28649.7</v>
      </c>
      <c r="V4215" t="e">
        <f>NA()</f>
        <v>#N/A</v>
      </c>
    </row>
    <row r="4216" spans="1:22" x14ac:dyDescent="0.2">
      <c r="A4216" s="1">
        <v>39205</v>
      </c>
      <c r="B4216">
        <f>4205.35</f>
        <v>4205.3500000000004</v>
      </c>
      <c r="C4216">
        <f>5698.65</f>
        <v>5698.65</v>
      </c>
      <c r="D4216">
        <f>3721.77</f>
        <v>3721.77</v>
      </c>
      <c r="E4216">
        <f>1608.709</f>
        <v>1608.7090000000001</v>
      </c>
      <c r="F4216">
        <f>2574.06</f>
        <v>2574.06</v>
      </c>
      <c r="G4216">
        <f>7594.967</f>
        <v>7594.9669999999996</v>
      </c>
      <c r="H4216">
        <f>1974.35</f>
        <v>1974.35</v>
      </c>
      <c r="I4216">
        <f>8169.7</f>
        <v>8169.7</v>
      </c>
      <c r="J4216">
        <f>1587.41</f>
        <v>1587.41</v>
      </c>
      <c r="K4216">
        <f>4813.7</f>
        <v>4813.7</v>
      </c>
      <c r="L4216">
        <f>1283.49</f>
        <v>1283.49</v>
      </c>
      <c r="M4216">
        <f>4826.41</f>
        <v>4826.41</v>
      </c>
      <c r="N4216">
        <f>193.73</f>
        <v>193.73</v>
      </c>
      <c r="O4216">
        <f>2034.81</f>
        <v>2034.81</v>
      </c>
      <c r="P4216" t="e">
        <f>NA()</f>
        <v>#N/A</v>
      </c>
      <c r="Q4216">
        <f>850.82</f>
        <v>850.82</v>
      </c>
      <c r="R4216">
        <f>2329.54</f>
        <v>2329.54</v>
      </c>
      <c r="S4216" t="e">
        <f>NA()</f>
        <v>#N/A</v>
      </c>
      <c r="T4216" t="e">
        <f>NA()</f>
        <v>#N/A</v>
      </c>
      <c r="U4216">
        <f>28278.23</f>
        <v>28278.23</v>
      </c>
      <c r="V4216" t="e">
        <f>NA()</f>
        <v>#N/A</v>
      </c>
    </row>
    <row r="4217" spans="1:22" x14ac:dyDescent="0.2">
      <c r="A4217" s="1">
        <v>39204</v>
      </c>
      <c r="B4217">
        <f>4189.65</f>
        <v>4189.6499999999996</v>
      </c>
      <c r="C4217">
        <f>5640.5</f>
        <v>5640.5</v>
      </c>
      <c r="D4217">
        <f>3691.41</f>
        <v>3691.41</v>
      </c>
      <c r="E4217">
        <f>1589.922</f>
        <v>1589.922</v>
      </c>
      <c r="F4217">
        <f>2558</f>
        <v>2558</v>
      </c>
      <c r="G4217">
        <f>7542.085</f>
        <v>7542.085</v>
      </c>
      <c r="H4217">
        <f>1977.97</f>
        <v>1977.97</v>
      </c>
      <c r="I4217">
        <f>8184.399</f>
        <v>8184.3990000000003</v>
      </c>
      <c r="J4217">
        <f>1580.23</f>
        <v>1580.23</v>
      </c>
      <c r="K4217">
        <f>4792.64</f>
        <v>4792.6400000000003</v>
      </c>
      <c r="L4217">
        <f>1278.4</f>
        <v>1278.4000000000001</v>
      </c>
      <c r="M4217">
        <f>4812.81</f>
        <v>4812.8100000000004</v>
      </c>
      <c r="N4217">
        <f>193.81</f>
        <v>193.81</v>
      </c>
      <c r="O4217">
        <f>2027.28</f>
        <v>2027.28</v>
      </c>
      <c r="P4217">
        <f>114.93</f>
        <v>114.93</v>
      </c>
      <c r="Q4217">
        <f>848.63</f>
        <v>848.63</v>
      </c>
      <c r="R4217">
        <f>2318.84</f>
        <v>2318.84</v>
      </c>
      <c r="S4217">
        <f>2004.38</f>
        <v>2004.38</v>
      </c>
      <c r="T4217" t="e">
        <f>NA()</f>
        <v>#N/A</v>
      </c>
      <c r="U4217">
        <f>28328.12</f>
        <v>28328.12</v>
      </c>
      <c r="V4217" t="e">
        <f>NA()</f>
        <v>#N/A</v>
      </c>
    </row>
    <row r="4218" spans="1:22" x14ac:dyDescent="0.2">
      <c r="A4218" s="1">
        <v>39203</v>
      </c>
      <c r="B4218">
        <f>4157.66</f>
        <v>4157.66</v>
      </c>
      <c r="C4218">
        <f>5609.35</f>
        <v>5609.35</v>
      </c>
      <c r="D4218">
        <f>3652.76</f>
        <v>3652.76</v>
      </c>
      <c r="E4218">
        <f>1581.689</f>
        <v>1581.6890000000001</v>
      </c>
      <c r="F4218">
        <f>2552.24</f>
        <v>2552.2399999999998</v>
      </c>
      <c r="G4218">
        <f>7499.071</f>
        <v>7499.0709999999999</v>
      </c>
      <c r="H4218">
        <f>1972.02</f>
        <v>1972.02</v>
      </c>
      <c r="I4218">
        <f>8141.835</f>
        <v>8141.835</v>
      </c>
      <c r="J4218">
        <f>1574.98</f>
        <v>1574.98</v>
      </c>
      <c r="K4218">
        <f>4759.49</f>
        <v>4759.49</v>
      </c>
      <c r="L4218">
        <f>1272.21</f>
        <v>1272.21</v>
      </c>
      <c r="M4218">
        <f>4781.43</f>
        <v>4781.43</v>
      </c>
      <c r="N4218">
        <f>191.891</f>
        <v>191.89099999999999</v>
      </c>
      <c r="O4218">
        <f>2014.58</f>
        <v>2014.58</v>
      </c>
      <c r="P4218">
        <f>114.2</f>
        <v>114.2</v>
      </c>
      <c r="Q4218">
        <f>843.26</f>
        <v>843.26</v>
      </c>
      <c r="R4218">
        <f>2303.68</f>
        <v>2303.6799999999998</v>
      </c>
      <c r="S4218">
        <f>1991.49</f>
        <v>1991.49</v>
      </c>
      <c r="T4218" t="e">
        <f>NA()</f>
        <v>#N/A</v>
      </c>
      <c r="U4218" t="e">
        <f>NA()</f>
        <v>#N/A</v>
      </c>
      <c r="V4218" t="e">
        <f>NA()</f>
        <v>#N/A</v>
      </c>
    </row>
    <row r="4219" spans="1:22" x14ac:dyDescent="0.2">
      <c r="A4219" s="1">
        <v>39202</v>
      </c>
      <c r="B4219">
        <f>4165.04</f>
        <v>4165.04</v>
      </c>
      <c r="C4219">
        <f>5613.21</f>
        <v>5613.21</v>
      </c>
      <c r="D4219">
        <f>3669.6</f>
        <v>3669.6</v>
      </c>
      <c r="E4219">
        <f>1582.967</f>
        <v>1582.9670000000001</v>
      </c>
      <c r="F4219">
        <f>2566.13</f>
        <v>2566.13</v>
      </c>
      <c r="G4219">
        <f>7533.506</f>
        <v>7533.5060000000003</v>
      </c>
      <c r="H4219">
        <f>1980.73</f>
        <v>1980.73</v>
      </c>
      <c r="I4219">
        <f>8174.462</f>
        <v>8174.4620000000004</v>
      </c>
      <c r="J4219">
        <f>1569.55</f>
        <v>1569.55</v>
      </c>
      <c r="K4219">
        <f>4746.32</f>
        <v>4746.32</v>
      </c>
      <c r="L4219">
        <f>1273.45</f>
        <v>1273.45</v>
      </c>
      <c r="M4219">
        <f>4787.32</f>
        <v>4787.32</v>
      </c>
      <c r="N4219">
        <f>192.187</f>
        <v>192.18700000000001</v>
      </c>
      <c r="O4219">
        <f>2016.99</f>
        <v>2016.99</v>
      </c>
      <c r="P4219" t="e">
        <f>NA()</f>
        <v>#N/A</v>
      </c>
      <c r="Q4219">
        <f>841.21</f>
        <v>841.21</v>
      </c>
      <c r="R4219">
        <f>2297.57</f>
        <v>2297.5700000000002</v>
      </c>
      <c r="S4219" t="e">
        <f>NA()</f>
        <v>#N/A</v>
      </c>
      <c r="T4219" t="e">
        <f>NA()</f>
        <v>#N/A</v>
      </c>
      <c r="U4219">
        <f>28170.6</f>
        <v>28170.6</v>
      </c>
      <c r="V4219" t="e">
        <f>NA()</f>
        <v>#N/A</v>
      </c>
    </row>
    <row r="4220" spans="1:22" x14ac:dyDescent="0.2">
      <c r="A4220" s="1">
        <v>39199</v>
      </c>
      <c r="B4220">
        <f>4149.88</f>
        <v>4149.88</v>
      </c>
      <c r="C4220">
        <f>5648.66</f>
        <v>5648.66</v>
      </c>
      <c r="D4220">
        <f>3652.22</f>
        <v>3652.22</v>
      </c>
      <c r="E4220">
        <f>1590.651</f>
        <v>1590.6510000000001</v>
      </c>
      <c r="F4220">
        <f>2558.32</f>
        <v>2558.3200000000002</v>
      </c>
      <c r="G4220">
        <f>7506.109</f>
        <v>7506.1090000000004</v>
      </c>
      <c r="H4220">
        <f>1981.23</f>
        <v>1981.23</v>
      </c>
      <c r="I4220">
        <f>8164.99</f>
        <v>8164.99</v>
      </c>
      <c r="J4220">
        <f>1574.18</f>
        <v>1574.18</v>
      </c>
      <c r="K4220">
        <f>4786.25</f>
        <v>4786.25</v>
      </c>
      <c r="L4220">
        <f>1274.17</f>
        <v>1274.17</v>
      </c>
      <c r="M4220">
        <f>4805.45</f>
        <v>4805.45</v>
      </c>
      <c r="N4220">
        <f>191.93</f>
        <v>191.93</v>
      </c>
      <c r="O4220">
        <f>2012.46</f>
        <v>2012.46</v>
      </c>
      <c r="P4220">
        <f>114.44</f>
        <v>114.44</v>
      </c>
      <c r="Q4220">
        <f>847.47</f>
        <v>847.47</v>
      </c>
      <c r="R4220">
        <f>2315.7</f>
        <v>2315.6999999999998</v>
      </c>
      <c r="S4220">
        <f>2000.6</f>
        <v>2000.6</v>
      </c>
      <c r="T4220" t="e">
        <f>NA()</f>
        <v>#N/A</v>
      </c>
      <c r="U4220" t="e">
        <f>NA()</f>
        <v>#N/A</v>
      </c>
      <c r="V4220" t="e">
        <f>NA()</f>
        <v>#N/A</v>
      </c>
    </row>
    <row r="4221" spans="1:22" x14ac:dyDescent="0.2">
      <c r="A4221" s="1">
        <v>39198</v>
      </c>
      <c r="B4221">
        <f>4160.72</f>
        <v>4160.72</v>
      </c>
      <c r="C4221">
        <f>5675.12</f>
        <v>5675.12</v>
      </c>
      <c r="D4221">
        <f>3681.08</f>
        <v>3681.08</v>
      </c>
      <c r="E4221">
        <f>1603.041</f>
        <v>1603.0409999999999</v>
      </c>
      <c r="F4221">
        <f>2554.38</f>
        <v>2554.38</v>
      </c>
      <c r="G4221">
        <f>7524.655</f>
        <v>7524.6549999999997</v>
      </c>
      <c r="H4221">
        <f>1981.08</f>
        <v>1981.08</v>
      </c>
      <c r="I4221">
        <f>8176.902</f>
        <v>8176.902</v>
      </c>
      <c r="J4221">
        <f>1573.3</f>
        <v>1573.3</v>
      </c>
      <c r="K4221">
        <f>4787.15</f>
        <v>4787.1499999999996</v>
      </c>
      <c r="L4221">
        <f>1275.28</f>
        <v>1275.28</v>
      </c>
      <c r="M4221">
        <f>4809.43</f>
        <v>4809.43</v>
      </c>
      <c r="N4221">
        <f>192.41</f>
        <v>192.41</v>
      </c>
      <c r="O4221">
        <f>2023.74</f>
        <v>2023.74</v>
      </c>
      <c r="P4221">
        <f>114.25</f>
        <v>114.25</v>
      </c>
      <c r="Q4221">
        <f>847.92</f>
        <v>847.92</v>
      </c>
      <c r="R4221">
        <f>2315.91</f>
        <v>2315.91</v>
      </c>
      <c r="S4221">
        <f>2003.43</f>
        <v>2003.43</v>
      </c>
      <c r="T4221" t="e">
        <f>NA()</f>
        <v>#N/A</v>
      </c>
      <c r="U4221">
        <f>28076.19</f>
        <v>28076.19</v>
      </c>
      <c r="V4221" t="e">
        <f>NA()</f>
        <v>#N/A</v>
      </c>
    </row>
    <row r="4222" spans="1:22" x14ac:dyDescent="0.2">
      <c r="A4222" s="1">
        <v>39197</v>
      </c>
      <c r="B4222">
        <f>4152.84</f>
        <v>4152.84</v>
      </c>
      <c r="C4222">
        <f>5681.14</f>
        <v>5681.14</v>
      </c>
      <c r="D4222">
        <f>3676.85</f>
        <v>3676.85</v>
      </c>
      <c r="E4222">
        <f>1601.597</f>
        <v>1601.597</v>
      </c>
      <c r="F4222">
        <f>2567.51</f>
        <v>2567.5100000000002</v>
      </c>
      <c r="G4222">
        <f>7569.029</f>
        <v>7569.0290000000005</v>
      </c>
      <c r="H4222">
        <f>1983.32</f>
        <v>1983.32</v>
      </c>
      <c r="I4222">
        <f>8177.994</f>
        <v>8177.9939999999997</v>
      </c>
      <c r="J4222">
        <f>1574.23</f>
        <v>1574.23</v>
      </c>
      <c r="K4222">
        <f>4788.87</f>
        <v>4788.87</v>
      </c>
      <c r="L4222">
        <f>1277.84</f>
        <v>1277.8399999999999</v>
      </c>
      <c r="M4222">
        <f>4814.42</f>
        <v>4814.42</v>
      </c>
      <c r="N4222">
        <f>192.491</f>
        <v>192.49100000000001</v>
      </c>
      <c r="O4222">
        <f>2019.8</f>
        <v>2019.8</v>
      </c>
      <c r="P4222">
        <f>113.7</f>
        <v>113.7</v>
      </c>
      <c r="Q4222">
        <f>848.34</f>
        <v>848.34</v>
      </c>
      <c r="R4222">
        <f>2317.5</f>
        <v>2317.5</v>
      </c>
      <c r="S4222">
        <f>1984.53</f>
        <v>1984.53</v>
      </c>
      <c r="T4222" t="e">
        <f>NA()</f>
        <v>#N/A</v>
      </c>
      <c r="U4222">
        <f>28223.31</f>
        <v>28223.31</v>
      </c>
      <c r="V4222" t="e">
        <f>NA()</f>
        <v>#N/A</v>
      </c>
    </row>
    <row r="4223" spans="1:22" x14ac:dyDescent="0.2">
      <c r="A4223" s="1">
        <v>39196</v>
      </c>
      <c r="B4223">
        <f>4126.37</f>
        <v>4126.37</v>
      </c>
      <c r="C4223">
        <f>5648.13</f>
        <v>5648.13</v>
      </c>
      <c r="D4223">
        <f>3655.05</f>
        <v>3655.05</v>
      </c>
      <c r="E4223">
        <f>1597.363</f>
        <v>1597.3630000000001</v>
      </c>
      <c r="F4223">
        <f>2543.44</f>
        <v>2543.44</v>
      </c>
      <c r="G4223">
        <f>7511.779</f>
        <v>7511.7790000000005</v>
      </c>
      <c r="H4223">
        <f>2011.99</f>
        <v>2011.99</v>
      </c>
      <c r="I4223">
        <f>8087.919</f>
        <v>8087.9189999999999</v>
      </c>
      <c r="J4223">
        <f>1558.45</f>
        <v>1558.45</v>
      </c>
      <c r="K4223">
        <f>4741.88</f>
        <v>4741.88</v>
      </c>
      <c r="L4223">
        <f>1265.14</f>
        <v>1265.1400000000001</v>
      </c>
      <c r="M4223">
        <f>4778.77</f>
        <v>4778.7700000000004</v>
      </c>
      <c r="N4223">
        <f>191.549</f>
        <v>191.54900000000001</v>
      </c>
      <c r="O4223">
        <f>2004.61</f>
        <v>2004.61</v>
      </c>
      <c r="P4223">
        <f>114.77</f>
        <v>114.77</v>
      </c>
      <c r="Q4223">
        <f>842.15</f>
        <v>842.15</v>
      </c>
      <c r="R4223">
        <f>2294.02</f>
        <v>2294.02</v>
      </c>
      <c r="S4223">
        <f>2006.66</f>
        <v>2006.66</v>
      </c>
      <c r="T4223" t="e">
        <f>NA()</f>
        <v>#N/A</v>
      </c>
      <c r="U4223">
        <f>28150.75</f>
        <v>28150.75</v>
      </c>
      <c r="V4223" t="e">
        <f>NA()</f>
        <v>#N/A</v>
      </c>
    </row>
    <row r="4224" spans="1:22" x14ac:dyDescent="0.2">
      <c r="A4224" s="1">
        <v>39195</v>
      </c>
      <c r="B4224">
        <f>4157.82</f>
        <v>4157.82</v>
      </c>
      <c r="C4224">
        <f>5656.74</f>
        <v>5656.74</v>
      </c>
      <c r="D4224">
        <f>3683.58</f>
        <v>3683.58</v>
      </c>
      <c r="E4224">
        <f>1598.391</f>
        <v>1598.3910000000001</v>
      </c>
      <c r="F4224">
        <f>2560.76</f>
        <v>2560.7600000000002</v>
      </c>
      <c r="G4224">
        <f>7564.619</f>
        <v>7564.6189999999997</v>
      </c>
      <c r="H4224">
        <f>2009.89</f>
        <v>2009.89</v>
      </c>
      <c r="I4224">
        <f>8118.004</f>
        <v>8118.0039999999999</v>
      </c>
      <c r="J4224">
        <f>1560.59</f>
        <v>1560.59</v>
      </c>
      <c r="K4224">
        <f>4743.13</f>
        <v>4743.13</v>
      </c>
      <c r="L4224">
        <f>1270.14</f>
        <v>1270.1400000000001</v>
      </c>
      <c r="M4224">
        <f>4788.04</f>
        <v>4788.04</v>
      </c>
      <c r="N4224">
        <f>193.799</f>
        <v>193.79900000000001</v>
      </c>
      <c r="O4224">
        <f>2022.08</f>
        <v>2022.08</v>
      </c>
      <c r="P4224">
        <f>115.17</f>
        <v>115.17</v>
      </c>
      <c r="Q4224">
        <f>843.45</f>
        <v>843.45</v>
      </c>
      <c r="R4224">
        <f>2294.82</f>
        <v>2294.8200000000002</v>
      </c>
      <c r="S4224">
        <f>2006.03</f>
        <v>2006.03</v>
      </c>
      <c r="T4224" t="e">
        <f>NA()</f>
        <v>#N/A</v>
      </c>
      <c r="U4224">
        <f>28501.7</f>
        <v>28501.7</v>
      </c>
      <c r="V4224" t="e">
        <f>NA()</f>
        <v>#N/A</v>
      </c>
    </row>
    <row r="4225" spans="1:22" x14ac:dyDescent="0.2">
      <c r="A4225" s="1">
        <v>39192</v>
      </c>
      <c r="B4225">
        <f>4150.93</f>
        <v>4150.93</v>
      </c>
      <c r="C4225">
        <f>5636</f>
        <v>5636</v>
      </c>
      <c r="D4225">
        <f>3687.58</f>
        <v>3687.58</v>
      </c>
      <c r="E4225">
        <f>1596.276</f>
        <v>1596.2760000000001</v>
      </c>
      <c r="F4225">
        <f>2575.97</f>
        <v>2575.9699999999998</v>
      </c>
      <c r="G4225">
        <f>7582.151</f>
        <v>7582.1509999999998</v>
      </c>
      <c r="H4225">
        <f>2008.59</f>
        <v>2008.59</v>
      </c>
      <c r="I4225">
        <f>8139.249</f>
        <v>8139.2489999999998</v>
      </c>
      <c r="J4225">
        <f>1568.61</f>
        <v>1568.61</v>
      </c>
      <c r="K4225">
        <f>4752.78</f>
        <v>4752.78</v>
      </c>
      <c r="L4225">
        <f>1275.15</f>
        <v>1275.1500000000001</v>
      </c>
      <c r="M4225">
        <f>4797.4</f>
        <v>4797.3999999999996</v>
      </c>
      <c r="N4225">
        <f>193.507</f>
        <v>193.50700000000001</v>
      </c>
      <c r="O4225">
        <f>2023.48</f>
        <v>2023.48</v>
      </c>
      <c r="P4225">
        <f>115.59</f>
        <v>115.59</v>
      </c>
      <c r="Q4225">
        <f>847.02</f>
        <v>847.02</v>
      </c>
      <c r="R4225">
        <f>2300.08</f>
        <v>2300.08</v>
      </c>
      <c r="S4225">
        <f>2011.25</f>
        <v>2011.25</v>
      </c>
      <c r="T4225" t="e">
        <f>NA()</f>
        <v>#N/A</v>
      </c>
      <c r="U4225">
        <f>28367.54</f>
        <v>28367.54</v>
      </c>
      <c r="V4225" t="e">
        <f>NA()</f>
        <v>#N/A</v>
      </c>
    </row>
    <row r="4226" spans="1:22" x14ac:dyDescent="0.2">
      <c r="A4226" s="1">
        <v>39191</v>
      </c>
      <c r="B4226">
        <f>4127.77</f>
        <v>4127.7700000000004</v>
      </c>
      <c r="C4226">
        <f>5564.9</f>
        <v>5564.9</v>
      </c>
      <c r="D4226">
        <f>3661.33</f>
        <v>3661.33</v>
      </c>
      <c r="E4226">
        <f>1571.2</f>
        <v>1571.2</v>
      </c>
      <c r="F4226">
        <f>2546.97</f>
        <v>2546.9699999999998</v>
      </c>
      <c r="G4226">
        <f>7529.038</f>
        <v>7529.0379999999996</v>
      </c>
      <c r="H4226">
        <f>2017.09</f>
        <v>2017.09</v>
      </c>
      <c r="I4226">
        <f>8028.544</f>
        <v>8028.5439999999999</v>
      </c>
      <c r="J4226">
        <f>1556.55</f>
        <v>1556.55</v>
      </c>
      <c r="K4226">
        <f>4710.25</f>
        <v>4710.25</v>
      </c>
      <c r="L4226">
        <f>1261.68</f>
        <v>1261.68</v>
      </c>
      <c r="M4226">
        <f>4756.12</f>
        <v>4756.12</v>
      </c>
      <c r="N4226">
        <f>190.855</f>
        <v>190.85499999999999</v>
      </c>
      <c r="O4226">
        <f>1998.11</f>
        <v>1998.11</v>
      </c>
      <c r="P4226">
        <f>115.42</f>
        <v>115.42</v>
      </c>
      <c r="Q4226">
        <f>839.62</f>
        <v>839.62</v>
      </c>
      <c r="R4226">
        <f>2278.91</f>
        <v>2278.91</v>
      </c>
      <c r="S4226">
        <f>2007.55</f>
        <v>2007.55</v>
      </c>
      <c r="T4226" t="e">
        <f>NA()</f>
        <v>#N/A</v>
      </c>
      <c r="U4226">
        <f>28098.66</f>
        <v>28098.66</v>
      </c>
      <c r="V4226" t="e">
        <f>NA()</f>
        <v>#N/A</v>
      </c>
    </row>
    <row r="4227" spans="1:22" x14ac:dyDescent="0.2">
      <c r="A4227" s="1">
        <v>39190</v>
      </c>
      <c r="B4227">
        <f>4151.81</f>
        <v>4151.8100000000004</v>
      </c>
      <c r="C4227">
        <f>5624.97</f>
        <v>5624.97</v>
      </c>
      <c r="D4227">
        <f>3666.32</f>
        <v>3666.32</v>
      </c>
      <c r="E4227">
        <f>1589.575</f>
        <v>1589.575</v>
      </c>
      <c r="F4227">
        <f>2553.03</f>
        <v>2553.0300000000002</v>
      </c>
      <c r="G4227">
        <f>7550.956</f>
        <v>7550.9560000000001</v>
      </c>
      <c r="H4227">
        <f>2042.38</f>
        <v>2042.38</v>
      </c>
      <c r="I4227">
        <f>8033.118</f>
        <v>8033.1180000000004</v>
      </c>
      <c r="J4227">
        <f>1557.49</f>
        <v>1557.49</v>
      </c>
      <c r="K4227">
        <f>4718</f>
        <v>4718</v>
      </c>
      <c r="L4227">
        <f>1265.17</f>
        <v>1265.17</v>
      </c>
      <c r="M4227">
        <f>4774.3</f>
        <v>4774.3</v>
      </c>
      <c r="N4227">
        <f>191.241</f>
        <v>191.24100000000001</v>
      </c>
      <c r="O4227">
        <f>2003.8</f>
        <v>2003.8</v>
      </c>
      <c r="P4227">
        <f>116.98</f>
        <v>116.98</v>
      </c>
      <c r="Q4227">
        <f>838.49</f>
        <v>838.49</v>
      </c>
      <c r="R4227">
        <f>2281.61</f>
        <v>2281.61</v>
      </c>
      <c r="S4227">
        <f>2035.52</f>
        <v>2035.52</v>
      </c>
      <c r="T4227" t="e">
        <f>NA()</f>
        <v>#N/A</v>
      </c>
      <c r="U4227">
        <f>28148.52</f>
        <v>28148.52</v>
      </c>
      <c r="V4227" t="e">
        <f>NA()</f>
        <v>#N/A</v>
      </c>
    </row>
    <row r="4228" spans="1:22" x14ac:dyDescent="0.2">
      <c r="A4228" s="1">
        <v>39189</v>
      </c>
      <c r="B4228">
        <f>4169.18</f>
        <v>4169.18</v>
      </c>
      <c r="C4228">
        <f>5630.02</f>
        <v>5630.02</v>
      </c>
      <c r="D4228">
        <f>3691.94</f>
        <v>3691.94</v>
      </c>
      <c r="E4228">
        <f>1593.594</f>
        <v>1593.5940000000001</v>
      </c>
      <c r="F4228">
        <f>2564.79</f>
        <v>2564.79</v>
      </c>
      <c r="G4228">
        <f>7600.215</f>
        <v>7600.2150000000001</v>
      </c>
      <c r="H4228">
        <f>2003.4</f>
        <v>2003.4</v>
      </c>
      <c r="I4228">
        <f>8053.44</f>
        <v>8053.44</v>
      </c>
      <c r="J4228">
        <f>1552.64</f>
        <v>1552.64</v>
      </c>
      <c r="K4228">
        <f>4715.45</f>
        <v>4715.45</v>
      </c>
      <c r="L4228">
        <f>1265.88</f>
        <v>1265.8800000000001</v>
      </c>
      <c r="M4228">
        <f>4769.04</f>
        <v>4769.04</v>
      </c>
      <c r="N4228">
        <f>191.917</f>
        <v>191.917</v>
      </c>
      <c r="O4228">
        <f>2013.87</f>
        <v>2013.87</v>
      </c>
      <c r="P4228">
        <f>116.13</f>
        <v>116.13</v>
      </c>
      <c r="Q4228">
        <f>837.42</f>
        <v>837.42</v>
      </c>
      <c r="R4228">
        <f>2280.01</f>
        <v>2280.0100000000002</v>
      </c>
      <c r="S4228">
        <f>2018.35</f>
        <v>2018.35</v>
      </c>
      <c r="T4228" t="e">
        <f>NA()</f>
        <v>#N/A</v>
      </c>
      <c r="U4228">
        <f>28506.72</f>
        <v>28506.720000000001</v>
      </c>
      <c r="V4228" t="e">
        <f>NA()</f>
        <v>#N/A</v>
      </c>
    </row>
    <row r="4229" spans="1:22" x14ac:dyDescent="0.2">
      <c r="A4229" s="1">
        <v>39188</v>
      </c>
      <c r="B4229">
        <f>4196.68</f>
        <v>4196.68</v>
      </c>
      <c r="C4229">
        <f>5636.69</f>
        <v>5636.69</v>
      </c>
      <c r="D4229">
        <f>3702.42</f>
        <v>3702.42</v>
      </c>
      <c r="E4229">
        <f>1597.069</f>
        <v>1597.069</v>
      </c>
      <c r="F4229">
        <f>2558.25</f>
        <v>2558.25</v>
      </c>
      <c r="G4229">
        <f>7563.945</f>
        <v>7563.9449999999997</v>
      </c>
      <c r="H4229">
        <f>1997.57</f>
        <v>1997.57</v>
      </c>
      <c r="I4229">
        <f>8044.243</f>
        <v>8044.2430000000004</v>
      </c>
      <c r="J4229">
        <f>1550.69</f>
        <v>1550.69</v>
      </c>
      <c r="K4229">
        <f>4705.71</f>
        <v>4705.71</v>
      </c>
      <c r="L4229">
        <f>1263.4</f>
        <v>1263.4000000000001</v>
      </c>
      <c r="M4229">
        <f>4760.43</f>
        <v>4760.43</v>
      </c>
      <c r="N4229">
        <f>192.011</f>
        <v>192.011</v>
      </c>
      <c r="O4229">
        <f>2011.98</f>
        <v>2011.98</v>
      </c>
      <c r="P4229">
        <f>116.82</f>
        <v>116.82</v>
      </c>
      <c r="Q4229">
        <f>834.97</f>
        <v>834.97</v>
      </c>
      <c r="R4229">
        <f>2275.35</f>
        <v>2275.35</v>
      </c>
      <c r="S4229">
        <f>2029.52</f>
        <v>2029.52</v>
      </c>
      <c r="T4229" t="e">
        <f>NA()</f>
        <v>#N/A</v>
      </c>
      <c r="U4229">
        <f>28379.51</f>
        <v>28379.51</v>
      </c>
      <c r="V4229" t="e">
        <f>NA()</f>
        <v>#N/A</v>
      </c>
    </row>
    <row r="4230" spans="1:22" x14ac:dyDescent="0.2">
      <c r="A4230" s="1">
        <v>39185</v>
      </c>
      <c r="B4230">
        <f>4171.54</f>
        <v>4171.54</v>
      </c>
      <c r="C4230">
        <f>5565.72</f>
        <v>5565.72</v>
      </c>
      <c r="D4230">
        <f>3671.86</f>
        <v>3671.86</v>
      </c>
      <c r="E4230">
        <f>1577.818</f>
        <v>1577.818</v>
      </c>
      <c r="F4230">
        <f>2525.79</f>
        <v>2525.79</v>
      </c>
      <c r="G4230">
        <f>7475.964</f>
        <v>7475.9639999999999</v>
      </c>
      <c r="H4230">
        <f>1981.16</f>
        <v>1981.16</v>
      </c>
      <c r="I4230">
        <f>7923.244</f>
        <v>7923.2439999999997</v>
      </c>
      <c r="J4230">
        <f>1533.71</f>
        <v>1533.71</v>
      </c>
      <c r="K4230">
        <f>4656.35</f>
        <v>4656.3500000000004</v>
      </c>
      <c r="L4230">
        <f>1247.84</f>
        <v>1247.8399999999999</v>
      </c>
      <c r="M4230">
        <f>4705.63</f>
        <v>4705.63</v>
      </c>
      <c r="N4230">
        <f>189.76</f>
        <v>189.76</v>
      </c>
      <c r="O4230">
        <f>1988.18</f>
        <v>1988.18</v>
      </c>
      <c r="P4230">
        <f>115.47</f>
        <v>115.47</v>
      </c>
      <c r="Q4230">
        <f>823.41</f>
        <v>823.41</v>
      </c>
      <c r="R4230">
        <f>2251.12</f>
        <v>2251.12</v>
      </c>
      <c r="S4230">
        <f>2005.88</f>
        <v>2005.88</v>
      </c>
      <c r="T4230" t="e">
        <f>NA()</f>
        <v>#N/A</v>
      </c>
      <c r="U4230">
        <f>28132.45</f>
        <v>28132.45</v>
      </c>
      <c r="V4230" t="e">
        <f>NA()</f>
        <v>#N/A</v>
      </c>
    </row>
    <row r="4231" spans="1:22" x14ac:dyDescent="0.2">
      <c r="A4231" s="1">
        <v>39184</v>
      </c>
      <c r="B4231">
        <f>4161.85</f>
        <v>4161.8500000000004</v>
      </c>
      <c r="C4231">
        <f>5546.56</f>
        <v>5546.56</v>
      </c>
      <c r="D4231">
        <f>3645.69</f>
        <v>3645.69</v>
      </c>
      <c r="E4231">
        <f>1568.459</f>
        <v>1568.4590000000001</v>
      </c>
      <c r="F4231">
        <f>2509.75</f>
        <v>2509.75</v>
      </c>
      <c r="G4231">
        <f>7411.352</f>
        <v>7411.3519999999999</v>
      </c>
      <c r="H4231">
        <f>2023.58</f>
        <v>2023.58</v>
      </c>
      <c r="I4231">
        <f>7859.721</f>
        <v>7859.7209999999995</v>
      </c>
      <c r="J4231">
        <f>1525.48</f>
        <v>1525.48</v>
      </c>
      <c r="K4231">
        <f>4640.19</f>
        <v>4640.1899999999996</v>
      </c>
      <c r="L4231">
        <f>1239.47</f>
        <v>1239.47</v>
      </c>
      <c r="M4231">
        <f>4691.27</f>
        <v>4691.2700000000004</v>
      </c>
      <c r="N4231">
        <f>188.873</f>
        <v>188.87299999999999</v>
      </c>
      <c r="O4231">
        <f>1974.39</f>
        <v>1974.39</v>
      </c>
      <c r="P4231">
        <f>116.64</f>
        <v>116.64</v>
      </c>
      <c r="Q4231">
        <f>819.11</f>
        <v>819.11</v>
      </c>
      <c r="R4231">
        <f>2243.3</f>
        <v>2243.3000000000002</v>
      </c>
      <c r="S4231">
        <f>2030.2</f>
        <v>2030.2</v>
      </c>
      <c r="T4231" t="e">
        <f>NA()</f>
        <v>#N/A</v>
      </c>
      <c r="U4231">
        <f>27822.27</f>
        <v>27822.27</v>
      </c>
      <c r="V4231" t="e">
        <f>NA()</f>
        <v>#N/A</v>
      </c>
    </row>
    <row r="4232" spans="1:22" x14ac:dyDescent="0.2">
      <c r="A4232" s="1">
        <v>39183</v>
      </c>
      <c r="B4232">
        <f>4182.25</f>
        <v>4182.25</v>
      </c>
      <c r="C4232">
        <f>5547.18</f>
        <v>5547.18</v>
      </c>
      <c r="D4232">
        <f>3643.92</f>
        <v>3643.92</v>
      </c>
      <c r="E4232">
        <f>1568.612</f>
        <v>1568.6120000000001</v>
      </c>
      <c r="F4232">
        <f>2509.96</f>
        <v>2509.96</v>
      </c>
      <c r="G4232">
        <f>7408.43</f>
        <v>7408.43</v>
      </c>
      <c r="H4232">
        <f>2031.5</f>
        <v>2031.5</v>
      </c>
      <c r="I4232">
        <f>7851.576</f>
        <v>7851.576</v>
      </c>
      <c r="J4232">
        <f>1521.51</f>
        <v>1521.51</v>
      </c>
      <c r="K4232">
        <f>4611.97</f>
        <v>4611.97</v>
      </c>
      <c r="L4232">
        <f>1237.14</f>
        <v>1237.1400000000001</v>
      </c>
      <c r="M4232">
        <f>4676.6</f>
        <v>4676.6000000000004</v>
      </c>
      <c r="N4232">
        <f>189.978</f>
        <v>189.97800000000001</v>
      </c>
      <c r="O4232">
        <f>1980.57</f>
        <v>1980.57</v>
      </c>
      <c r="P4232">
        <f>117.23</f>
        <v>117.23</v>
      </c>
      <c r="Q4232">
        <f>815.37</f>
        <v>815.37</v>
      </c>
      <c r="R4232">
        <f>2229.44</f>
        <v>2229.44</v>
      </c>
      <c r="S4232">
        <f>2045.28</f>
        <v>2045.28</v>
      </c>
      <c r="T4232" t="e">
        <f>NA()</f>
        <v>#N/A</v>
      </c>
      <c r="U4232">
        <f>27638.64</f>
        <v>27638.639999999999</v>
      </c>
      <c r="V4232" t="e">
        <f>NA()</f>
        <v>#N/A</v>
      </c>
    </row>
    <row r="4233" spans="1:22" x14ac:dyDescent="0.2">
      <c r="A4233" s="1">
        <v>39182</v>
      </c>
      <c r="B4233">
        <f>4180.15</f>
        <v>4180.1499999999996</v>
      </c>
      <c r="C4233">
        <f>5548.34</f>
        <v>5548.34</v>
      </c>
      <c r="D4233">
        <f>3645.06</f>
        <v>3645.06</v>
      </c>
      <c r="E4233">
        <f>1563.132</f>
        <v>1563.1320000000001</v>
      </c>
      <c r="F4233">
        <f>2499.46</f>
        <v>2499.46</v>
      </c>
      <c r="G4233">
        <f>7389.084</f>
        <v>7389.0839999999998</v>
      </c>
      <c r="H4233">
        <f>2030.21</f>
        <v>2030.21</v>
      </c>
      <c r="I4233">
        <f>7873.198</f>
        <v>7873.1980000000003</v>
      </c>
      <c r="J4233">
        <f>1528.97</f>
        <v>1528.97</v>
      </c>
      <c r="K4233">
        <f>4642.77</f>
        <v>4642.7700000000004</v>
      </c>
      <c r="L4233">
        <f>1239.15</f>
        <v>1239.1500000000001</v>
      </c>
      <c r="M4233">
        <f>4692.89</f>
        <v>4692.8900000000003</v>
      </c>
      <c r="N4233">
        <f>190.155</f>
        <v>190.155</v>
      </c>
      <c r="O4233">
        <f>1981.75</f>
        <v>1981.75</v>
      </c>
      <c r="P4233">
        <f>117.03</f>
        <v>117.03</v>
      </c>
      <c r="Q4233">
        <f>820.6</f>
        <v>820.6</v>
      </c>
      <c r="R4233">
        <f>2243.93</f>
        <v>2243.9299999999998</v>
      </c>
      <c r="S4233">
        <f>2041.38</f>
        <v>2041.38</v>
      </c>
      <c r="T4233" t="e">
        <f>NA()</f>
        <v>#N/A</v>
      </c>
      <c r="U4233">
        <f>27875.62</f>
        <v>27875.62</v>
      </c>
      <c r="V4233" t="e">
        <f>NA()</f>
        <v>#N/A</v>
      </c>
    </row>
    <row r="4234" spans="1:22" x14ac:dyDescent="0.2">
      <c r="A4234" s="1">
        <v>39181</v>
      </c>
      <c r="B4234" t="e">
        <f>NA()</f>
        <v>#N/A</v>
      </c>
      <c r="C4234">
        <f>5532.65</f>
        <v>5532.65</v>
      </c>
      <c r="D4234" t="e">
        <f>NA()</f>
        <v>#N/A</v>
      </c>
      <c r="E4234">
        <f>1557.412</f>
        <v>1557.412</v>
      </c>
      <c r="F4234">
        <f>2477.23</f>
        <v>2477.23</v>
      </c>
      <c r="G4234">
        <f>7324.785</f>
        <v>7324.7849999999999</v>
      </c>
      <c r="H4234">
        <f>2025.08</f>
        <v>2025.08</v>
      </c>
      <c r="I4234">
        <f>7765.492</f>
        <v>7765.4920000000002</v>
      </c>
      <c r="J4234">
        <f>1523.72</f>
        <v>1523.72</v>
      </c>
      <c r="K4234">
        <f>4631.07</f>
        <v>4631.07</v>
      </c>
      <c r="L4234">
        <f>1228.74</f>
        <v>1228.74</v>
      </c>
      <c r="M4234">
        <f>4664.9</f>
        <v>4664.8999999999996</v>
      </c>
      <c r="N4234" t="e">
        <f>NA()</f>
        <v>#N/A</v>
      </c>
      <c r="O4234" t="e">
        <f>NA()</f>
        <v>#N/A</v>
      </c>
      <c r="P4234">
        <f>117.46</f>
        <v>117.46</v>
      </c>
      <c r="Q4234">
        <f>820.35</f>
        <v>820.35</v>
      </c>
      <c r="R4234">
        <f>2238.03</f>
        <v>2238.0300000000002</v>
      </c>
      <c r="S4234">
        <f>2044.22</f>
        <v>2044.22</v>
      </c>
      <c r="T4234" t="e">
        <f>NA()</f>
        <v>#N/A</v>
      </c>
      <c r="U4234" t="e">
        <f>NA()</f>
        <v>#N/A</v>
      </c>
      <c r="V4234" t="e">
        <f>NA()</f>
        <v>#N/A</v>
      </c>
    </row>
    <row r="4235" spans="1:22" x14ac:dyDescent="0.2">
      <c r="A4235" s="1">
        <v>39178</v>
      </c>
      <c r="B4235" t="e">
        <f>NA()</f>
        <v>#N/A</v>
      </c>
      <c r="C4235">
        <f>5502.03</f>
        <v>5502.03</v>
      </c>
      <c r="D4235" t="e">
        <f>NA()</f>
        <v>#N/A</v>
      </c>
      <c r="E4235">
        <f>1546.833</f>
        <v>1546.8330000000001</v>
      </c>
      <c r="F4235">
        <f>2489.79</f>
        <v>2489.79</v>
      </c>
      <c r="G4235">
        <f>7361.933</f>
        <v>7361.933</v>
      </c>
      <c r="H4235">
        <f>2016.9</f>
        <v>2016.9</v>
      </c>
      <c r="I4235">
        <f>7811.562</f>
        <v>7811.5619999999999</v>
      </c>
      <c r="J4235">
        <f>1523.85</f>
        <v>1523.85</v>
      </c>
      <c r="K4235">
        <f>4628.32</f>
        <v>4628.32</v>
      </c>
      <c r="L4235">
        <f>1232.34</f>
        <v>1232.3399999999999</v>
      </c>
      <c r="M4235">
        <f>4668.87</f>
        <v>4668.87</v>
      </c>
      <c r="N4235" t="e">
        <f>NA()</f>
        <v>#N/A</v>
      </c>
      <c r="O4235" t="e">
        <f>NA()</f>
        <v>#N/A</v>
      </c>
      <c r="P4235">
        <f>115.99</f>
        <v>115.99</v>
      </c>
      <c r="Q4235" t="e">
        <f>NA()</f>
        <v>#N/A</v>
      </c>
      <c r="R4235" t="e">
        <f>NA()</f>
        <v>#N/A</v>
      </c>
      <c r="S4235">
        <f>2019.5</f>
        <v>2019.5</v>
      </c>
      <c r="T4235" t="e">
        <f>NA()</f>
        <v>#N/A</v>
      </c>
      <c r="U4235" t="e">
        <f>NA()</f>
        <v>#N/A</v>
      </c>
      <c r="V4235" t="e">
        <f>NA()</f>
        <v>#N/A</v>
      </c>
    </row>
    <row r="4236" spans="1:22" x14ac:dyDescent="0.2">
      <c r="A4236" s="1">
        <v>39177</v>
      </c>
      <c r="B4236">
        <f>4162.18</f>
        <v>4162.18</v>
      </c>
      <c r="C4236">
        <f>5500.16</f>
        <v>5500.16</v>
      </c>
      <c r="D4236">
        <f>3633.46</f>
        <v>3633.46</v>
      </c>
      <c r="E4236">
        <f>1546.575</f>
        <v>1546.575</v>
      </c>
      <c r="F4236">
        <f>2489.79</f>
        <v>2489.79</v>
      </c>
      <c r="G4236">
        <f>7361.933</f>
        <v>7361.933</v>
      </c>
      <c r="H4236">
        <f>2026.31</f>
        <v>2026.31</v>
      </c>
      <c r="I4236">
        <f>7811.562</f>
        <v>7811.5619999999999</v>
      </c>
      <c r="J4236">
        <f>1523.85</f>
        <v>1523.85</v>
      </c>
      <c r="K4236">
        <f>4628.32</f>
        <v>4628.32</v>
      </c>
      <c r="L4236">
        <f>1232.33</f>
        <v>1232.33</v>
      </c>
      <c r="M4236">
        <f>4670.05</f>
        <v>4670.05</v>
      </c>
      <c r="N4236">
        <f>189.92</f>
        <v>189.92</v>
      </c>
      <c r="O4236">
        <f>1970.36</f>
        <v>1970.36</v>
      </c>
      <c r="P4236">
        <f>116.09</f>
        <v>116.09</v>
      </c>
      <c r="Q4236">
        <f>819.6</f>
        <v>819.6</v>
      </c>
      <c r="R4236">
        <f>2236.71</f>
        <v>2236.71</v>
      </c>
      <c r="S4236">
        <f>2023.78</f>
        <v>2023.78</v>
      </c>
      <c r="T4236" t="e">
        <f>NA()</f>
        <v>#N/A</v>
      </c>
      <c r="U4236">
        <f>27547.85</f>
        <v>27547.85</v>
      </c>
      <c r="V4236" t="e">
        <f>NA()</f>
        <v>#N/A</v>
      </c>
    </row>
    <row r="4237" spans="1:22" x14ac:dyDescent="0.2">
      <c r="A4237" s="1">
        <v>39176</v>
      </c>
      <c r="B4237">
        <f>4142.87</f>
        <v>4142.87</v>
      </c>
      <c r="C4237">
        <f>5487.33</f>
        <v>5487.33</v>
      </c>
      <c r="D4237">
        <f>3614.92</f>
        <v>3614.92</v>
      </c>
      <c r="E4237">
        <f>1541.727</f>
        <v>1541.7270000000001</v>
      </c>
      <c r="F4237">
        <f>2483.57</f>
        <v>2483.5700000000002</v>
      </c>
      <c r="G4237">
        <f>7344.979</f>
        <v>7344.9790000000003</v>
      </c>
      <c r="H4237">
        <f>2048.76</f>
        <v>2048.7600000000002</v>
      </c>
      <c r="I4237">
        <f>7754.547</f>
        <v>7754.5469999999996</v>
      </c>
      <c r="J4237">
        <f>1519.51</f>
        <v>1519.51</v>
      </c>
      <c r="K4237">
        <f>4612.97</f>
        <v>4612.97</v>
      </c>
      <c r="L4237">
        <f>1227.12</f>
        <v>1227.1199999999999</v>
      </c>
      <c r="M4237">
        <f>4655.96</f>
        <v>4655.96</v>
      </c>
      <c r="N4237">
        <f>189.702</f>
        <v>189.702</v>
      </c>
      <c r="O4237">
        <f>1968.26</f>
        <v>1968.26</v>
      </c>
      <c r="P4237">
        <f>116.13</f>
        <v>116.13</v>
      </c>
      <c r="Q4237">
        <f>817.38</f>
        <v>817.38</v>
      </c>
      <c r="R4237">
        <f>2229.26</f>
        <v>2229.2600000000002</v>
      </c>
      <c r="S4237">
        <f>2035.3</f>
        <v>2035.3</v>
      </c>
      <c r="T4237" t="e">
        <f>NA()</f>
        <v>#N/A</v>
      </c>
      <c r="U4237">
        <f>27525.74</f>
        <v>27525.74</v>
      </c>
      <c r="V4237" t="e">
        <f>NA()</f>
        <v>#N/A</v>
      </c>
    </row>
    <row r="4238" spans="1:22" x14ac:dyDescent="0.2">
      <c r="A4238" s="1">
        <v>39175</v>
      </c>
      <c r="B4238">
        <f>4153.62</f>
        <v>4153.62</v>
      </c>
      <c r="C4238">
        <f>5432.41</f>
        <v>5432.41</v>
      </c>
      <c r="D4238">
        <f>3614.36</f>
        <v>3614.36</v>
      </c>
      <c r="E4238">
        <f>1524.775</f>
        <v>1524.7750000000001</v>
      </c>
      <c r="F4238">
        <f>2491.44</f>
        <v>2491.44</v>
      </c>
      <c r="G4238">
        <f>7349.555</f>
        <v>7349.5550000000003</v>
      </c>
      <c r="H4238">
        <f>2019.05</f>
        <v>2019.05</v>
      </c>
      <c r="I4238">
        <f>7732.922</f>
        <v>7732.9219999999996</v>
      </c>
      <c r="J4238">
        <f>1519.96</f>
        <v>1519.96</v>
      </c>
      <c r="K4238">
        <f>4607.7</f>
        <v>4607.7</v>
      </c>
      <c r="L4238">
        <f>1226.02</f>
        <v>1226.02</v>
      </c>
      <c r="M4238">
        <f>4638.19</f>
        <v>4638.1899999999996</v>
      </c>
      <c r="N4238">
        <f>190.049</f>
        <v>190.04900000000001</v>
      </c>
      <c r="O4238">
        <f>1965.84</f>
        <v>1965.84</v>
      </c>
      <c r="P4238">
        <f>114.58</f>
        <v>114.58</v>
      </c>
      <c r="Q4238">
        <f>818.59</f>
        <v>818.59</v>
      </c>
      <c r="R4238">
        <f>2226.76</f>
        <v>2226.7600000000002</v>
      </c>
      <c r="S4238">
        <f>2004.49</f>
        <v>2004.49</v>
      </c>
      <c r="T4238" t="e">
        <f>NA()</f>
        <v>#N/A</v>
      </c>
      <c r="U4238">
        <f>27568.17</f>
        <v>27568.17</v>
      </c>
      <c r="V4238" t="e">
        <f>NA()</f>
        <v>#N/A</v>
      </c>
    </row>
    <row r="4239" spans="1:22" x14ac:dyDescent="0.2">
      <c r="A4239" s="1">
        <v>39174</v>
      </c>
      <c r="B4239">
        <f>4112.53</f>
        <v>4112.53</v>
      </c>
      <c r="C4239">
        <f>5380.26</f>
        <v>5380.26</v>
      </c>
      <c r="D4239">
        <f>3585.65</f>
        <v>3585.65</v>
      </c>
      <c r="E4239">
        <f>1509.733</f>
        <v>1509.7329999999999</v>
      </c>
      <c r="F4239">
        <f>2470.9</f>
        <v>2470.9</v>
      </c>
      <c r="G4239">
        <f>7288.286</f>
        <v>7288.2860000000001</v>
      </c>
      <c r="H4239">
        <f>2014.93</f>
        <v>2014.93</v>
      </c>
      <c r="I4239">
        <f>7647.267</f>
        <v>7647.2669999999998</v>
      </c>
      <c r="J4239">
        <f>1507.25</f>
        <v>1507.25</v>
      </c>
      <c r="K4239">
        <f>4564.11</f>
        <v>4564.1099999999997</v>
      </c>
      <c r="L4239">
        <f>1214.61</f>
        <v>1214.6099999999999</v>
      </c>
      <c r="M4239">
        <f>4594.7</f>
        <v>4594.7</v>
      </c>
      <c r="N4239">
        <f>187.786</f>
        <v>187.786</v>
      </c>
      <c r="O4239">
        <f>1945.43</f>
        <v>1945.43</v>
      </c>
      <c r="P4239">
        <f>113.55</f>
        <v>113.55</v>
      </c>
      <c r="Q4239">
        <f>810.71</f>
        <v>810.71</v>
      </c>
      <c r="R4239">
        <f>2205.85</f>
        <v>2205.85</v>
      </c>
      <c r="S4239">
        <f>1978.81</f>
        <v>1978.81</v>
      </c>
      <c r="T4239" t="e">
        <f>NA()</f>
        <v>#N/A</v>
      </c>
      <c r="U4239">
        <f>27418.88</f>
        <v>27418.880000000001</v>
      </c>
      <c r="V4239" t="e">
        <f>NA()</f>
        <v>#N/A</v>
      </c>
    </row>
    <row r="4240" spans="1:22" x14ac:dyDescent="0.2">
      <c r="A4240" s="1">
        <v>39171</v>
      </c>
      <c r="B4240">
        <f>4096.16</f>
        <v>4096.16</v>
      </c>
      <c r="C4240">
        <f>5380.7</f>
        <v>5380.7</v>
      </c>
      <c r="D4240">
        <f>3581.39</f>
        <v>3581.39</v>
      </c>
      <c r="E4240">
        <f>1511.062</f>
        <v>1511.0619999999999</v>
      </c>
      <c r="F4240">
        <f>2439.06</f>
        <v>2439.06</v>
      </c>
      <c r="G4240">
        <f>7213.818</f>
        <v>7213.8180000000002</v>
      </c>
      <c r="H4240">
        <f>2053.7</f>
        <v>2053.6999999999998</v>
      </c>
      <c r="I4240">
        <f>7591.25</f>
        <v>7591.25</v>
      </c>
      <c r="J4240">
        <f>1506.41</f>
        <v>1506.41</v>
      </c>
      <c r="K4240">
        <f>4551.23</f>
        <v>4551.2299999999996</v>
      </c>
      <c r="L4240">
        <f>1208.82</f>
        <v>1208.82</v>
      </c>
      <c r="M4240">
        <f>4582.51</f>
        <v>4582.51</v>
      </c>
      <c r="N4240">
        <f>186.607</f>
        <v>186.607</v>
      </c>
      <c r="O4240">
        <f>1938.63</f>
        <v>1938.63</v>
      </c>
      <c r="P4240">
        <f>115.6</f>
        <v>115.6</v>
      </c>
      <c r="Q4240">
        <f>811.2</f>
        <v>811.2</v>
      </c>
      <c r="R4240">
        <f>2200.12</f>
        <v>2200.12</v>
      </c>
      <c r="S4240">
        <f>2015.42</f>
        <v>2015.42</v>
      </c>
      <c r="T4240" t="e">
        <f>NA()</f>
        <v>#N/A</v>
      </c>
      <c r="U4240">
        <f>27267.24</f>
        <v>27267.24</v>
      </c>
      <c r="V4240" t="e">
        <f>NA()</f>
        <v>#N/A</v>
      </c>
    </row>
    <row r="4241" spans="1:22" x14ac:dyDescent="0.2">
      <c r="A4241" s="1">
        <v>39170</v>
      </c>
      <c r="B4241">
        <f>4092.13</f>
        <v>4092.13</v>
      </c>
      <c r="C4241">
        <f>5339.12</f>
        <v>5339.12</v>
      </c>
      <c r="D4241">
        <f>3590.56</f>
        <v>3590.56</v>
      </c>
      <c r="E4241">
        <f>1503.294</f>
        <v>1503.2940000000001</v>
      </c>
      <c r="F4241">
        <f>2455.32</f>
        <v>2455.3200000000002</v>
      </c>
      <c r="G4241">
        <f>7236.001</f>
        <v>7236.0010000000002</v>
      </c>
      <c r="H4241">
        <f>2067.89</f>
        <v>2067.89</v>
      </c>
      <c r="I4241">
        <f>7598.797</f>
        <v>7598.7969999999996</v>
      </c>
      <c r="J4241">
        <f>1508.36</f>
        <v>1508.36</v>
      </c>
      <c r="K4241">
        <f>4555.26</f>
        <v>4555.26</v>
      </c>
      <c r="L4241">
        <f>1211.08</f>
        <v>1211.08</v>
      </c>
      <c r="M4241">
        <f>4587.33</f>
        <v>4587.33</v>
      </c>
      <c r="N4241">
        <f>186.285</f>
        <v>186.285</v>
      </c>
      <c r="O4241">
        <f>1939.4</f>
        <v>1939.4</v>
      </c>
      <c r="P4241">
        <f>115.23</f>
        <v>115.23</v>
      </c>
      <c r="Q4241">
        <f>811.78</f>
        <v>811.78</v>
      </c>
      <c r="R4241">
        <f>2202.68</f>
        <v>2202.6799999999998</v>
      </c>
      <c r="S4241">
        <f>2011.96</f>
        <v>2011.96</v>
      </c>
      <c r="T4241" t="e">
        <f>NA()</f>
        <v>#N/A</v>
      </c>
      <c r="U4241">
        <f>27150.59</f>
        <v>27150.59</v>
      </c>
      <c r="V4241" t="e">
        <f>NA()</f>
        <v>#N/A</v>
      </c>
    </row>
    <row r="4242" spans="1:22" x14ac:dyDescent="0.2">
      <c r="A4242" s="1">
        <v>39169</v>
      </c>
      <c r="B4242">
        <f>4054.75</f>
        <v>4054.75</v>
      </c>
      <c r="C4242">
        <f>5253.57</f>
        <v>5253.57</v>
      </c>
      <c r="D4242">
        <f>3558.21</f>
        <v>3558.21</v>
      </c>
      <c r="E4242">
        <f>1485.471</f>
        <v>1485.471</v>
      </c>
      <c r="F4242">
        <f>2441.07</f>
        <v>2441.0700000000002</v>
      </c>
      <c r="G4242">
        <f>7181.903</f>
        <v>7181.9030000000002</v>
      </c>
      <c r="H4242">
        <f>2092.68</f>
        <v>2092.6799999999998</v>
      </c>
      <c r="I4242">
        <f>7527.594</f>
        <v>7527.5940000000001</v>
      </c>
      <c r="J4242">
        <f>1499.16</f>
        <v>1499.16</v>
      </c>
      <c r="K4242">
        <f>4538.76</f>
        <v>4538.76</v>
      </c>
      <c r="L4242">
        <f>1202.24</f>
        <v>1202.24</v>
      </c>
      <c r="M4242">
        <f>4570.06</f>
        <v>4570.0600000000004</v>
      </c>
      <c r="N4242">
        <f>184.654</f>
        <v>184.654</v>
      </c>
      <c r="O4242">
        <f>1917.4</f>
        <v>1917.4</v>
      </c>
      <c r="P4242">
        <f>115.19</f>
        <v>115.19</v>
      </c>
      <c r="Q4242">
        <f>808.12</f>
        <v>808.12</v>
      </c>
      <c r="R4242">
        <f>2194.38</f>
        <v>2194.38</v>
      </c>
      <c r="S4242">
        <f>2012.42</f>
        <v>2012.42</v>
      </c>
      <c r="T4242" t="e">
        <f>NA()</f>
        <v>#N/A</v>
      </c>
      <c r="U4242">
        <f>26829.8</f>
        <v>26829.8</v>
      </c>
      <c r="V4242" t="e">
        <f>NA()</f>
        <v>#N/A</v>
      </c>
    </row>
    <row r="4243" spans="1:22" x14ac:dyDescent="0.2">
      <c r="A4243" s="1">
        <v>39168</v>
      </c>
      <c r="B4243">
        <f>4084.87</f>
        <v>4084.87</v>
      </c>
      <c r="C4243">
        <f>5308.14</f>
        <v>5308.14</v>
      </c>
      <c r="D4243">
        <f>3571.44</f>
        <v>3571.44</v>
      </c>
      <c r="E4243">
        <f>1498.958</f>
        <v>1498.9580000000001</v>
      </c>
      <c r="F4243">
        <f>2456.23</f>
        <v>2456.23</v>
      </c>
      <c r="G4243">
        <f>7207.367</f>
        <v>7207.3670000000002</v>
      </c>
      <c r="H4243">
        <f>2085.28</f>
        <v>2085.2800000000002</v>
      </c>
      <c r="I4243">
        <f>7564.59</f>
        <v>7564.59</v>
      </c>
      <c r="J4243">
        <f>1510.23</f>
        <v>1510.23</v>
      </c>
      <c r="K4243">
        <f>4573.93</f>
        <v>4573.93</v>
      </c>
      <c r="L4243">
        <f>1208.97</f>
        <v>1208.97</v>
      </c>
      <c r="M4243">
        <f>4593.42</f>
        <v>4593.42</v>
      </c>
      <c r="N4243">
        <f>185.572</f>
        <v>185.572</v>
      </c>
      <c r="O4243">
        <f>1928.73</f>
        <v>1928.73</v>
      </c>
      <c r="P4243">
        <f>115.67</f>
        <v>115.67</v>
      </c>
      <c r="Q4243">
        <f>814.5</f>
        <v>814.5</v>
      </c>
      <c r="R4243">
        <f>2211.52</f>
        <v>2211.52</v>
      </c>
      <c r="S4243">
        <f>2027.47</f>
        <v>2027.47</v>
      </c>
      <c r="T4243" t="e">
        <f>NA()</f>
        <v>#N/A</v>
      </c>
      <c r="U4243">
        <f>26839.63</f>
        <v>26839.63</v>
      </c>
      <c r="V4243" t="e">
        <f>NA()</f>
        <v>#N/A</v>
      </c>
    </row>
    <row r="4244" spans="1:22" x14ac:dyDescent="0.2">
      <c r="A4244" s="1">
        <v>39167</v>
      </c>
      <c r="B4244">
        <f>4068.02</f>
        <v>4068.02</v>
      </c>
      <c r="C4244">
        <f>5315.54</f>
        <v>5315.54</v>
      </c>
      <c r="D4244">
        <f>3571.07</f>
        <v>3571.07</v>
      </c>
      <c r="E4244">
        <f>1504.3</f>
        <v>1504.3</v>
      </c>
      <c r="F4244">
        <f>2461.64</f>
        <v>2461.64</v>
      </c>
      <c r="G4244">
        <f>7217.573</f>
        <v>7217.5730000000003</v>
      </c>
      <c r="H4244">
        <f>2094.95</f>
        <v>2094.9499999999998</v>
      </c>
      <c r="I4244">
        <f>7558.409</f>
        <v>7558.4089999999997</v>
      </c>
      <c r="J4244">
        <f>1518.3</f>
        <v>1518.3</v>
      </c>
      <c r="K4244">
        <f>4602.47</f>
        <v>4602.47</v>
      </c>
      <c r="L4244">
        <f>1210.75</f>
        <v>1210.75</v>
      </c>
      <c r="M4244">
        <f>4610.81</f>
        <v>4610.8100000000004</v>
      </c>
      <c r="N4244">
        <f>186.093</f>
        <v>186.09299999999999</v>
      </c>
      <c r="O4244">
        <f>1930.48</f>
        <v>1930.48</v>
      </c>
      <c r="P4244">
        <f>116.29</f>
        <v>116.29</v>
      </c>
      <c r="Q4244">
        <f>819.69</f>
        <v>819.69</v>
      </c>
      <c r="R4244">
        <f>2225.26</f>
        <v>2225.2600000000002</v>
      </c>
      <c r="S4244">
        <f>2036.37</f>
        <v>2036.37</v>
      </c>
      <c r="T4244" t="e">
        <f>NA()</f>
        <v>#N/A</v>
      </c>
      <c r="U4244">
        <f>26756.29</f>
        <v>26756.29</v>
      </c>
      <c r="V4244" t="e">
        <f>NA()</f>
        <v>#N/A</v>
      </c>
    </row>
    <row r="4245" spans="1:22" x14ac:dyDescent="0.2">
      <c r="A4245" s="1">
        <v>39164</v>
      </c>
      <c r="B4245">
        <f>4099.95</f>
        <v>4099.95</v>
      </c>
      <c r="C4245">
        <f>5313.04</f>
        <v>5313.04</v>
      </c>
      <c r="D4245">
        <f>3598</f>
        <v>3598</v>
      </c>
      <c r="E4245">
        <f>1501.038</f>
        <v>1501.038</v>
      </c>
      <c r="F4245">
        <f>2484.97</f>
        <v>2484.9699999999998</v>
      </c>
      <c r="G4245">
        <f>7248.603</f>
        <v>7248.6030000000001</v>
      </c>
      <c r="H4245">
        <f>2102.37</f>
        <v>2102.37</v>
      </c>
      <c r="I4245">
        <f>7610.229</f>
        <v>7610.2290000000003</v>
      </c>
      <c r="J4245">
        <f>1516.5</f>
        <v>1516.5</v>
      </c>
      <c r="K4245">
        <f>4598.6</f>
        <v>4598.6000000000004</v>
      </c>
      <c r="L4245">
        <f>1212.63</f>
        <v>1212.6300000000001</v>
      </c>
      <c r="M4245">
        <f>4616.12</f>
        <v>4616.12</v>
      </c>
      <c r="N4245">
        <f>187.331</f>
        <v>187.33099999999999</v>
      </c>
      <c r="O4245">
        <f>1947.68</f>
        <v>1947.68</v>
      </c>
      <c r="P4245">
        <f>115.89</f>
        <v>115.89</v>
      </c>
      <c r="Q4245">
        <f>821.02</f>
        <v>821.02</v>
      </c>
      <c r="R4245">
        <f>2223.12</f>
        <v>2223.12</v>
      </c>
      <c r="S4245">
        <f>2037.03</f>
        <v>2037.03</v>
      </c>
      <c r="T4245" t="e">
        <f>NA()</f>
        <v>#N/A</v>
      </c>
      <c r="U4245">
        <f>26913.62</f>
        <v>26913.62</v>
      </c>
      <c r="V4245" t="e">
        <f>NA()</f>
        <v>#N/A</v>
      </c>
    </row>
    <row r="4246" spans="1:22" x14ac:dyDescent="0.2">
      <c r="A4246" s="1">
        <v>39163</v>
      </c>
      <c r="B4246">
        <f>4096.43</f>
        <v>4096.43</v>
      </c>
      <c r="C4246">
        <f>5309.12</f>
        <v>5309.12</v>
      </c>
      <c r="D4246">
        <f>3585.88</f>
        <v>3585.88</v>
      </c>
      <c r="E4246">
        <f>1498.106</f>
        <v>1498.106</v>
      </c>
      <c r="F4246">
        <f>2483.48</f>
        <v>2483.48</v>
      </c>
      <c r="G4246">
        <f>7240.833</f>
        <v>7240.8329999999996</v>
      </c>
      <c r="H4246">
        <f>2087.96</f>
        <v>2087.96</v>
      </c>
      <c r="I4246">
        <f>7607.355</f>
        <v>7607.3549999999996</v>
      </c>
      <c r="J4246">
        <f>1517.11</f>
        <v>1517.11</v>
      </c>
      <c r="K4246">
        <f>4594.71</f>
        <v>4594.71</v>
      </c>
      <c r="L4246">
        <f>1211.68</f>
        <v>1211.68</v>
      </c>
      <c r="M4246">
        <f>4609.98</f>
        <v>4609.9799999999996</v>
      </c>
      <c r="N4246">
        <f>186.866</f>
        <v>186.86600000000001</v>
      </c>
      <c r="O4246">
        <f>1937.51</f>
        <v>1937.51</v>
      </c>
      <c r="P4246">
        <f>114.88</f>
        <v>114.88</v>
      </c>
      <c r="Q4246">
        <f>819.68</f>
        <v>819.68</v>
      </c>
      <c r="R4246">
        <f>2220.68</f>
        <v>2220.6799999999998</v>
      </c>
      <c r="S4246">
        <f>2025.18</f>
        <v>2025.18</v>
      </c>
      <c r="T4246" t="e">
        <f>NA()</f>
        <v>#N/A</v>
      </c>
      <c r="U4246">
        <f>26654.9</f>
        <v>26654.9</v>
      </c>
      <c r="V4246" t="e">
        <f>NA()</f>
        <v>#N/A</v>
      </c>
    </row>
    <row r="4247" spans="1:22" x14ac:dyDescent="0.2">
      <c r="A4247" s="1">
        <v>39162</v>
      </c>
      <c r="B4247">
        <f>4064.07</f>
        <v>4064.07</v>
      </c>
      <c r="C4247">
        <f>5232.22</f>
        <v>5232.22</v>
      </c>
      <c r="D4247">
        <f>3551.11</f>
        <v>3551.11</v>
      </c>
      <c r="E4247">
        <f>1477.927</f>
        <v>1477.9269999999999</v>
      </c>
      <c r="F4247">
        <f>2443.47</f>
        <v>2443.4699999999998</v>
      </c>
      <c r="G4247">
        <f>7144.36</f>
        <v>7144.36</v>
      </c>
      <c r="H4247">
        <f>2054.89</f>
        <v>2054.89</v>
      </c>
      <c r="I4247">
        <f>7450.253</f>
        <v>7450.2529999999997</v>
      </c>
      <c r="J4247">
        <f>1516.81</f>
        <v>1516.81</v>
      </c>
      <c r="K4247">
        <f>4596.34</f>
        <v>4596.34</v>
      </c>
      <c r="L4247">
        <f>1198.14</f>
        <v>1198.1400000000001</v>
      </c>
      <c r="M4247">
        <f>4571.6</f>
        <v>4571.6000000000004</v>
      </c>
      <c r="N4247">
        <f>185.251</f>
        <v>185.251</v>
      </c>
      <c r="O4247">
        <f>1909.17</f>
        <v>1909.17</v>
      </c>
      <c r="P4247" t="e">
        <f>NA()</f>
        <v>#N/A</v>
      </c>
      <c r="Q4247">
        <f>820.89</f>
        <v>820.89</v>
      </c>
      <c r="R4247">
        <f>2221.46</f>
        <v>2221.46</v>
      </c>
      <c r="S4247" t="e">
        <f>NA()</f>
        <v>#N/A</v>
      </c>
      <c r="T4247" t="e">
        <f>NA()</f>
        <v>#N/A</v>
      </c>
      <c r="U4247" t="e">
        <f>NA()</f>
        <v>#N/A</v>
      </c>
      <c r="V4247" t="e">
        <f>NA()</f>
        <v>#N/A</v>
      </c>
    </row>
    <row r="4248" spans="1:22" x14ac:dyDescent="0.2">
      <c r="A4248" s="1">
        <v>39161</v>
      </c>
      <c r="B4248">
        <f>4035.18</f>
        <v>4035.18</v>
      </c>
      <c r="C4248">
        <f>5162.44</f>
        <v>5162.4399999999996</v>
      </c>
      <c r="D4248">
        <f>3525.11</f>
        <v>3525.11</v>
      </c>
      <c r="E4248">
        <f>1460.236</f>
        <v>1460.2360000000001</v>
      </c>
      <c r="F4248">
        <f>2424.57</f>
        <v>2424.5700000000002</v>
      </c>
      <c r="G4248">
        <f>7083.399</f>
        <v>7083.3990000000003</v>
      </c>
      <c r="H4248">
        <f>2063.73</f>
        <v>2063.73</v>
      </c>
      <c r="I4248">
        <f>7419.243</f>
        <v>7419.2430000000004</v>
      </c>
      <c r="J4248">
        <f>1492.22</f>
        <v>1492.22</v>
      </c>
      <c r="K4248">
        <f>4519.29</f>
        <v>4519.29</v>
      </c>
      <c r="L4248">
        <f>1186.15</f>
        <v>1186.1500000000001</v>
      </c>
      <c r="M4248">
        <f>4524.6</f>
        <v>4524.6000000000004</v>
      </c>
      <c r="N4248">
        <f>183.804</f>
        <v>183.804</v>
      </c>
      <c r="O4248">
        <f>1901.5</f>
        <v>1901.5</v>
      </c>
      <c r="P4248">
        <f>113.3</f>
        <v>113.3</v>
      </c>
      <c r="Q4248">
        <f>808.14</f>
        <v>808.14</v>
      </c>
      <c r="R4248">
        <f>2184.1</f>
        <v>2184.1</v>
      </c>
      <c r="S4248">
        <f>1997.68</f>
        <v>1997.68</v>
      </c>
      <c r="T4248" t="e">
        <f>NA()</f>
        <v>#N/A</v>
      </c>
      <c r="U4248">
        <f>26360.93</f>
        <v>26360.93</v>
      </c>
      <c r="V4248" t="e">
        <f>NA()</f>
        <v>#N/A</v>
      </c>
    </row>
    <row r="4249" spans="1:22" x14ac:dyDescent="0.2">
      <c r="A4249" s="1">
        <v>39160</v>
      </c>
      <c r="B4249">
        <f>4028.69</f>
        <v>4028.69</v>
      </c>
      <c r="C4249">
        <f>5128.69</f>
        <v>5128.6899999999996</v>
      </c>
      <c r="D4249">
        <f>3507.6</f>
        <v>3507.6</v>
      </c>
      <c r="E4249">
        <f>1452.575</f>
        <v>1452.575</v>
      </c>
      <c r="F4249">
        <f>2385.42</f>
        <v>2385.42</v>
      </c>
      <c r="G4249">
        <f>7003.776</f>
        <v>7003.7759999999998</v>
      </c>
      <c r="H4249">
        <f>2046.46</f>
        <v>2046.46</v>
      </c>
      <c r="I4249">
        <f>7382.908</f>
        <v>7382.9080000000004</v>
      </c>
      <c r="J4249">
        <f>1481.46</f>
        <v>1481.46</v>
      </c>
      <c r="K4249">
        <f>4490.28</f>
        <v>4490.28</v>
      </c>
      <c r="L4249">
        <f>1177.44</f>
        <v>1177.44</v>
      </c>
      <c r="M4249">
        <f>4492.91</f>
        <v>4492.91</v>
      </c>
      <c r="N4249">
        <f>181.564</f>
        <v>181.56399999999999</v>
      </c>
      <c r="O4249">
        <f>1886.32</f>
        <v>1886.32</v>
      </c>
      <c r="P4249">
        <f>112.46</f>
        <v>112.46</v>
      </c>
      <c r="Q4249">
        <f>802.76</f>
        <v>802.76</v>
      </c>
      <c r="R4249">
        <f>2170.33</f>
        <v>2170.33</v>
      </c>
      <c r="S4249">
        <f>1981.07</f>
        <v>1981.07</v>
      </c>
      <c r="T4249" t="e">
        <f>NA()</f>
        <v>#N/A</v>
      </c>
      <c r="U4249">
        <f>26161.53</f>
        <v>26161.53</v>
      </c>
      <c r="V4249" t="e">
        <f>NA()</f>
        <v>#N/A</v>
      </c>
    </row>
    <row r="4250" spans="1:22" x14ac:dyDescent="0.2">
      <c r="A4250" s="1">
        <v>39157</v>
      </c>
      <c r="B4250">
        <f>3982.99</f>
        <v>3982.99</v>
      </c>
      <c r="C4250">
        <f>5083.07</f>
        <v>5083.07</v>
      </c>
      <c r="D4250">
        <f>3474.29</f>
        <v>3474.29</v>
      </c>
      <c r="E4250">
        <f>1434.895</f>
        <v>1434.895</v>
      </c>
      <c r="F4250">
        <f>2354.48</f>
        <v>2354.48</v>
      </c>
      <c r="G4250">
        <f>6922.431</f>
        <v>6922.4309999999996</v>
      </c>
      <c r="H4250">
        <f>2039.11</f>
        <v>2039.11</v>
      </c>
      <c r="I4250">
        <f>7273.96</f>
        <v>7273.96</v>
      </c>
      <c r="J4250">
        <f>1466.1</f>
        <v>1466.1</v>
      </c>
      <c r="K4250">
        <f>4440.84</f>
        <v>4440.84</v>
      </c>
      <c r="L4250">
        <f>1162.76</f>
        <v>1162.76</v>
      </c>
      <c r="M4250">
        <f>4442.04</f>
        <v>4442.04</v>
      </c>
      <c r="N4250">
        <f>179.047</f>
        <v>179.047</v>
      </c>
      <c r="O4250">
        <f>1859.79</f>
        <v>1859.79</v>
      </c>
      <c r="P4250">
        <f>111.41</f>
        <v>111.41</v>
      </c>
      <c r="Q4250">
        <f>795.47</f>
        <v>795.47</v>
      </c>
      <c r="R4250">
        <f>2146.93</f>
        <v>2146.9299999999998</v>
      </c>
      <c r="S4250">
        <f>1961.17</f>
        <v>1961.17</v>
      </c>
      <c r="T4250" t="e">
        <f>NA()</f>
        <v>#N/A</v>
      </c>
      <c r="U4250">
        <f>25839.13</f>
        <v>25839.13</v>
      </c>
      <c r="V4250" t="e">
        <f>NA()</f>
        <v>#N/A</v>
      </c>
    </row>
    <row r="4251" spans="1:22" x14ac:dyDescent="0.2">
      <c r="A4251" s="1">
        <v>39156</v>
      </c>
      <c r="B4251">
        <f>3986.18</f>
        <v>3986.18</v>
      </c>
      <c r="C4251">
        <f>5096.14</f>
        <v>5096.1400000000003</v>
      </c>
      <c r="D4251">
        <f>3475.78</f>
        <v>3475.78</v>
      </c>
      <c r="E4251">
        <f>1436.216</f>
        <v>1436.2159999999999</v>
      </c>
      <c r="F4251">
        <f>2343.1</f>
        <v>2343.1</v>
      </c>
      <c r="G4251">
        <f>6903.867</f>
        <v>6903.8670000000002</v>
      </c>
      <c r="H4251">
        <f>2049.77</f>
        <v>2049.77</v>
      </c>
      <c r="I4251">
        <f>7235.731</f>
        <v>7235.7309999999998</v>
      </c>
      <c r="J4251">
        <f>1473.02</f>
        <v>1473.02</v>
      </c>
      <c r="K4251">
        <f>4457.77</f>
        <v>4457.7700000000004</v>
      </c>
      <c r="L4251">
        <f>1163.14</f>
        <v>1163.1400000000001</v>
      </c>
      <c r="M4251">
        <f>4446.86</f>
        <v>4446.8599999999997</v>
      </c>
      <c r="N4251">
        <f>179.074</f>
        <v>179.07400000000001</v>
      </c>
      <c r="O4251">
        <f>1860.73</f>
        <v>1860.73</v>
      </c>
      <c r="P4251">
        <f>112.07</f>
        <v>112.07</v>
      </c>
      <c r="Q4251">
        <f>798.43</f>
        <v>798.43</v>
      </c>
      <c r="R4251">
        <f>2155.18</f>
        <v>2155.1799999999998</v>
      </c>
      <c r="S4251">
        <f>1981.18</f>
        <v>1981.18</v>
      </c>
      <c r="T4251" t="e">
        <f>NA()</f>
        <v>#N/A</v>
      </c>
      <c r="U4251">
        <f>25662.31</f>
        <v>25662.31</v>
      </c>
      <c r="V4251" t="e">
        <f>NA()</f>
        <v>#N/A</v>
      </c>
    </row>
    <row r="4252" spans="1:22" x14ac:dyDescent="0.2">
      <c r="A4252" s="1">
        <v>39155</v>
      </c>
      <c r="B4252">
        <f>3909.97</f>
        <v>3909.97</v>
      </c>
      <c r="C4252">
        <f>5028.31</f>
        <v>5028.3100000000004</v>
      </c>
      <c r="D4252">
        <f>3400.69</f>
        <v>3400.69</v>
      </c>
      <c r="E4252">
        <f>1417.349</f>
        <v>1417.3489999999999</v>
      </c>
      <c r="F4252">
        <f>2305.04</f>
        <v>2305.04</v>
      </c>
      <c r="G4252">
        <f>6745.205</f>
        <v>6745.2049999999999</v>
      </c>
      <c r="H4252">
        <f>2035.6</f>
        <v>2035.6</v>
      </c>
      <c r="I4252">
        <f>7088.426</f>
        <v>7088.4260000000004</v>
      </c>
      <c r="J4252">
        <f>1464.31</f>
        <v>1464.31</v>
      </c>
      <c r="K4252">
        <f>4440.01</f>
        <v>4440.01</v>
      </c>
      <c r="L4252">
        <f>1145.45</f>
        <v>1145.45</v>
      </c>
      <c r="M4252">
        <f>4401.1</f>
        <v>4401.1000000000004</v>
      </c>
      <c r="N4252">
        <f>175.241</f>
        <v>175.24100000000001</v>
      </c>
      <c r="O4252">
        <f>1824.09</f>
        <v>1824.09</v>
      </c>
      <c r="P4252">
        <f>110.76</f>
        <v>110.76</v>
      </c>
      <c r="Q4252">
        <f>794.78</f>
        <v>794.78</v>
      </c>
      <c r="R4252">
        <f>2147.18</f>
        <v>2147.1799999999998</v>
      </c>
      <c r="S4252">
        <f>1958.68</f>
        <v>1958.68</v>
      </c>
      <c r="T4252" t="e">
        <f>NA()</f>
        <v>#N/A</v>
      </c>
      <c r="U4252">
        <f>25250.06</f>
        <v>25250.06</v>
      </c>
      <c r="V4252" t="e">
        <f>NA()</f>
        <v>#N/A</v>
      </c>
    </row>
    <row r="4253" spans="1:22" x14ac:dyDescent="0.2">
      <c r="A4253" s="1">
        <v>39154</v>
      </c>
      <c r="B4253">
        <f>4002.38</f>
        <v>4002.38</v>
      </c>
      <c r="C4253">
        <f>5099.38</f>
        <v>5099.38</v>
      </c>
      <c r="D4253">
        <f>3487.25</f>
        <v>3487.25</v>
      </c>
      <c r="E4253">
        <f>1444.288</f>
        <v>1444.288</v>
      </c>
      <c r="F4253">
        <f>2363.86</f>
        <v>2363.86</v>
      </c>
      <c r="G4253">
        <f>6912.251</f>
        <v>6912.2510000000002</v>
      </c>
      <c r="H4253">
        <f>2086.59</f>
        <v>2086.59</v>
      </c>
      <c r="I4253">
        <f>7261.256</f>
        <v>7261.2560000000003</v>
      </c>
      <c r="J4253">
        <f>1458.69</f>
        <v>1458.69</v>
      </c>
      <c r="K4253">
        <f>4411.74</f>
        <v>4411.74</v>
      </c>
      <c r="L4253">
        <f>1160.64</f>
        <v>1160.6400000000001</v>
      </c>
      <c r="M4253">
        <f>4440.52</f>
        <v>4440.5200000000004</v>
      </c>
      <c r="N4253">
        <f>179.113</f>
        <v>179.113</v>
      </c>
      <c r="O4253">
        <f>1871.72</f>
        <v>1871.72</v>
      </c>
      <c r="P4253">
        <f>113.52</f>
        <v>113.52</v>
      </c>
      <c r="Q4253">
        <f>791.9</f>
        <v>791.9</v>
      </c>
      <c r="R4253">
        <f>2132.76</f>
        <v>2132.7600000000002</v>
      </c>
      <c r="S4253">
        <f>2017.73</f>
        <v>2017.73</v>
      </c>
      <c r="T4253" t="e">
        <f>NA()</f>
        <v>#N/A</v>
      </c>
      <c r="U4253">
        <f>25853.05</f>
        <v>25853.05</v>
      </c>
      <c r="V4253" t="e">
        <f>NA()</f>
        <v>#N/A</v>
      </c>
    </row>
    <row r="4254" spans="1:22" x14ac:dyDescent="0.2">
      <c r="A4254" s="1">
        <v>39153</v>
      </c>
      <c r="B4254">
        <f>4043.85</f>
        <v>4043.85</v>
      </c>
      <c r="C4254">
        <f>5134.82</f>
        <v>5134.82</v>
      </c>
      <c r="D4254">
        <f>3528.08</f>
        <v>3528.08</v>
      </c>
      <c r="E4254">
        <f>1454.794</f>
        <v>1454.7940000000001</v>
      </c>
      <c r="F4254">
        <f>2388.96</f>
        <v>2388.96</v>
      </c>
      <c r="G4254">
        <f>6980.658</f>
        <v>6980.6580000000004</v>
      </c>
      <c r="H4254">
        <f>2097.44</f>
        <v>2097.44</v>
      </c>
      <c r="I4254">
        <f>7328.496</f>
        <v>7328.4960000000001</v>
      </c>
      <c r="J4254">
        <f>1486.95</f>
        <v>1486.95</v>
      </c>
      <c r="K4254">
        <f>4501.26</f>
        <v>4501.26</v>
      </c>
      <c r="L4254">
        <f>1175.97</f>
        <v>1175.97</v>
      </c>
      <c r="M4254">
        <f>4503</f>
        <v>4503</v>
      </c>
      <c r="N4254">
        <f>180.779</f>
        <v>180.779</v>
      </c>
      <c r="O4254">
        <f>1892.7</f>
        <v>1892.7</v>
      </c>
      <c r="P4254">
        <f>114.17</f>
        <v>114.17</v>
      </c>
      <c r="Q4254">
        <f>808.55</f>
        <v>808.55</v>
      </c>
      <c r="R4254">
        <f>2176.5</f>
        <v>2176.5</v>
      </c>
      <c r="S4254">
        <f>2036.35</f>
        <v>2036.35</v>
      </c>
      <c r="T4254" t="e">
        <f>NA()</f>
        <v>#N/A</v>
      </c>
      <c r="U4254">
        <f>26012.12</f>
        <v>26012.12</v>
      </c>
      <c r="V4254" t="e">
        <f>NA()</f>
        <v>#N/A</v>
      </c>
    </row>
    <row r="4255" spans="1:22" x14ac:dyDescent="0.2">
      <c r="A4255" s="1">
        <v>39150</v>
      </c>
      <c r="B4255">
        <f>4038.99</f>
        <v>4038.99</v>
      </c>
      <c r="C4255">
        <f>5110.85</f>
        <v>5110.8500000000004</v>
      </c>
      <c r="D4255">
        <f>3534.84</f>
        <v>3534.84</v>
      </c>
      <c r="E4255">
        <f>1444.574</f>
        <v>1444.5740000000001</v>
      </c>
      <c r="F4255">
        <f>2396.81</f>
        <v>2396.81</v>
      </c>
      <c r="G4255">
        <f>7003.28</f>
        <v>7003.28</v>
      </c>
      <c r="H4255">
        <f>2076.71</f>
        <v>2076.71</v>
      </c>
      <c r="I4255">
        <f>7311.643</f>
        <v>7311.643</v>
      </c>
      <c r="J4255">
        <f>1483.38</f>
        <v>1483.38</v>
      </c>
      <c r="K4255">
        <f>4488.46</f>
        <v>4488.46</v>
      </c>
      <c r="L4255">
        <f>1173.6</f>
        <v>1173.5999999999999</v>
      </c>
      <c r="M4255">
        <f>4487.15</f>
        <v>4487.1499999999996</v>
      </c>
      <c r="N4255">
        <f>181.523</f>
        <v>181.523</v>
      </c>
      <c r="O4255">
        <f>1901.81</f>
        <v>1901.81</v>
      </c>
      <c r="P4255">
        <f>113.39</f>
        <v>113.39</v>
      </c>
      <c r="Q4255">
        <f>806.84</f>
        <v>806.84</v>
      </c>
      <c r="R4255">
        <f>2170.62</f>
        <v>2170.62</v>
      </c>
      <c r="S4255">
        <f>2023.42</f>
        <v>2023.42</v>
      </c>
      <c r="T4255" t="e">
        <f>NA()</f>
        <v>#N/A</v>
      </c>
      <c r="U4255">
        <f>25923.48</f>
        <v>25923.48</v>
      </c>
      <c r="V4255" t="e">
        <f>NA()</f>
        <v>#N/A</v>
      </c>
    </row>
    <row r="4256" spans="1:22" x14ac:dyDescent="0.2">
      <c r="A4256" s="1">
        <v>39149</v>
      </c>
      <c r="B4256">
        <f>3994.23</f>
        <v>3994.23</v>
      </c>
      <c r="C4256">
        <f>5079.53</f>
        <v>5079.53</v>
      </c>
      <c r="D4256">
        <f>3524.92</f>
        <v>3524.92</v>
      </c>
      <c r="E4256">
        <f>1433.78</f>
        <v>1433.78</v>
      </c>
      <c r="F4256">
        <f>2387.09</f>
        <v>2387.09</v>
      </c>
      <c r="G4256">
        <f>6977.199</f>
        <v>6977.1989999999996</v>
      </c>
      <c r="H4256">
        <f>2085.61</f>
        <v>2085.61</v>
      </c>
      <c r="I4256">
        <f>7308.823</f>
        <v>7308.8230000000003</v>
      </c>
      <c r="J4256">
        <f>1480.39</f>
        <v>1480.39</v>
      </c>
      <c r="K4256">
        <f>4485.06</f>
        <v>4485.0600000000004</v>
      </c>
      <c r="L4256">
        <f>1170.75</f>
        <v>1170.75</v>
      </c>
      <c r="M4256">
        <f>4481.39</f>
        <v>4481.3900000000003</v>
      </c>
      <c r="N4256">
        <f>180.871</f>
        <v>180.87100000000001</v>
      </c>
      <c r="O4256">
        <f>1897.18</f>
        <v>1897.18</v>
      </c>
      <c r="P4256">
        <f>113.29</f>
        <v>113.29</v>
      </c>
      <c r="Q4256">
        <f>804.75</f>
        <v>804.75</v>
      </c>
      <c r="R4256">
        <f>2169.14</f>
        <v>2169.14</v>
      </c>
      <c r="S4256">
        <f>2012.49</f>
        <v>2012.49</v>
      </c>
      <c r="T4256" t="e">
        <f>NA()</f>
        <v>#N/A</v>
      </c>
      <c r="U4256">
        <f>25616.63</f>
        <v>25616.63</v>
      </c>
      <c r="V4256" t="e">
        <f>NA()</f>
        <v>#N/A</v>
      </c>
    </row>
    <row r="4257" spans="1:22" x14ac:dyDescent="0.2">
      <c r="A4257" s="1">
        <v>39148</v>
      </c>
      <c r="B4257">
        <f>3934.09</f>
        <v>3934.09</v>
      </c>
      <c r="C4257">
        <f>4980.77</f>
        <v>4980.7700000000004</v>
      </c>
      <c r="D4257">
        <f>3484.62</f>
        <v>3484.62</v>
      </c>
      <c r="E4257">
        <f>1405.879</f>
        <v>1405.8789999999999</v>
      </c>
      <c r="F4257">
        <f>2357.14</f>
        <v>2357.14</v>
      </c>
      <c r="G4257">
        <f>6898.247</f>
        <v>6898.2470000000003</v>
      </c>
      <c r="H4257">
        <f>2052.31</f>
        <v>2052.31</v>
      </c>
      <c r="I4257">
        <f>7219.147</f>
        <v>7219.1469999999999</v>
      </c>
      <c r="J4257">
        <f>1469.04</f>
        <v>1469.04</v>
      </c>
      <c r="K4257">
        <f>4453.11</f>
        <v>4453.1099999999997</v>
      </c>
      <c r="L4257">
        <f>1159.36</f>
        <v>1159.3599999999999</v>
      </c>
      <c r="M4257">
        <f>4441.19</f>
        <v>4441.1899999999996</v>
      </c>
      <c r="N4257">
        <f>179.115</f>
        <v>179.11500000000001</v>
      </c>
      <c r="O4257">
        <f>1872.81</f>
        <v>1872.81</v>
      </c>
      <c r="P4257">
        <f>111.54</f>
        <v>111.54</v>
      </c>
      <c r="Q4257">
        <f>797.6</f>
        <v>797.6</v>
      </c>
      <c r="R4257">
        <f>2153.65</f>
        <v>2153.65</v>
      </c>
      <c r="S4257">
        <f>1975.83</f>
        <v>1975.83</v>
      </c>
      <c r="T4257" t="e">
        <f>NA()</f>
        <v>#N/A</v>
      </c>
      <c r="U4257">
        <f>25280.4</f>
        <v>25280.400000000001</v>
      </c>
      <c r="V4257" t="e">
        <f>NA()</f>
        <v>#N/A</v>
      </c>
    </row>
    <row r="4258" spans="1:22" x14ac:dyDescent="0.2">
      <c r="A4258" s="1">
        <v>39147</v>
      </c>
      <c r="B4258">
        <f>3898.68</f>
        <v>3898.68</v>
      </c>
      <c r="C4258">
        <f>4967.31</f>
        <v>4967.3100000000004</v>
      </c>
      <c r="D4258">
        <f>3458.17</f>
        <v>3458.17</v>
      </c>
      <c r="E4258">
        <f>1403.352</f>
        <v>1403.3520000000001</v>
      </c>
      <c r="F4258">
        <f>2334.38</f>
        <v>2334.38</v>
      </c>
      <c r="G4258">
        <f>6826.584</f>
        <v>6826.5839999999998</v>
      </c>
      <c r="H4258">
        <f>2057.07</f>
        <v>2057.0700000000002</v>
      </c>
      <c r="I4258">
        <f>7150.213</f>
        <v>7150.2129999999997</v>
      </c>
      <c r="J4258">
        <f>1476.88</f>
        <v>1476.88</v>
      </c>
      <c r="K4258">
        <f>4462.31</f>
        <v>4462.3100000000004</v>
      </c>
      <c r="L4258">
        <f>1154.7</f>
        <v>1154.7</v>
      </c>
      <c r="M4258">
        <f>4430.44</f>
        <v>4430.4399999999996</v>
      </c>
      <c r="N4258">
        <f>177.623</f>
        <v>177.62299999999999</v>
      </c>
      <c r="O4258">
        <f>1860.81</f>
        <v>1860.81</v>
      </c>
      <c r="P4258">
        <f>111.7</f>
        <v>111.7</v>
      </c>
      <c r="Q4258">
        <f>800.3</f>
        <v>800.3</v>
      </c>
      <c r="R4258">
        <f>2158.36</f>
        <v>2158.36</v>
      </c>
      <c r="S4258">
        <f>1979.26</f>
        <v>1979.26</v>
      </c>
      <c r="T4258" t="e">
        <f>NA()</f>
        <v>#N/A</v>
      </c>
      <c r="U4258">
        <f>25228.11</f>
        <v>25228.11</v>
      </c>
      <c r="V4258" t="e">
        <f>NA()</f>
        <v>#N/A</v>
      </c>
    </row>
    <row r="4259" spans="1:22" x14ac:dyDescent="0.2">
      <c r="A4259" s="1">
        <v>39146</v>
      </c>
      <c r="B4259">
        <f>3863.58</f>
        <v>3863.58</v>
      </c>
      <c r="C4259">
        <f>4856.96</f>
        <v>4856.96</v>
      </c>
      <c r="D4259">
        <f>3413.16</f>
        <v>3413.16</v>
      </c>
      <c r="E4259">
        <f>1370.021</f>
        <v>1370.021</v>
      </c>
      <c r="F4259">
        <f>2312.02</f>
        <v>2312.02</v>
      </c>
      <c r="G4259">
        <f>6737.899</f>
        <v>6737.8990000000003</v>
      </c>
      <c r="H4259">
        <f>2011.85</f>
        <v>2011.85</v>
      </c>
      <c r="I4259">
        <f>7091.467</f>
        <v>7091.4669999999996</v>
      </c>
      <c r="J4259">
        <f>1456.67</f>
        <v>1456.67</v>
      </c>
      <c r="K4259">
        <f>4393.71</f>
        <v>4393.71</v>
      </c>
      <c r="L4259">
        <f>1140.22</f>
        <v>1140.22</v>
      </c>
      <c r="M4259">
        <f>4369.2</f>
        <v>4369.2</v>
      </c>
      <c r="N4259">
        <f>175.444</f>
        <v>175.44399999999999</v>
      </c>
      <c r="O4259">
        <f>1842.95</f>
        <v>1842.95</v>
      </c>
      <c r="P4259">
        <f>110.49</f>
        <v>110.49</v>
      </c>
      <c r="Q4259">
        <f>790.28</f>
        <v>790.28</v>
      </c>
      <c r="R4259">
        <f>2125.34</f>
        <v>2125.34</v>
      </c>
      <c r="S4259">
        <f>1944.37</f>
        <v>1944.37</v>
      </c>
      <c r="T4259" t="e">
        <f>NA()</f>
        <v>#N/A</v>
      </c>
      <c r="U4259">
        <f>24919.46</f>
        <v>24919.46</v>
      </c>
      <c r="V4259" t="e">
        <f>NA()</f>
        <v>#N/A</v>
      </c>
    </row>
    <row r="4260" spans="1:22" x14ac:dyDescent="0.2">
      <c r="A4260" s="1">
        <v>39143</v>
      </c>
      <c r="B4260">
        <f>3911.21</f>
        <v>3911.21</v>
      </c>
      <c r="C4260">
        <f>5043.72</f>
        <v>5043.72</v>
      </c>
      <c r="D4260">
        <f>3445.6</f>
        <v>3445.6</v>
      </c>
      <c r="E4260">
        <f>1424.18</f>
        <v>1424.18</v>
      </c>
      <c r="F4260">
        <f>2343.91</f>
        <v>2343.91</v>
      </c>
      <c r="G4260">
        <f>6868.531</f>
        <v>6868.5309999999999</v>
      </c>
      <c r="H4260">
        <f>2066.65</f>
        <v>2066.65</v>
      </c>
      <c r="I4260">
        <f>7207.748</f>
        <v>7207.7479999999996</v>
      </c>
      <c r="J4260">
        <f>1470.55</f>
        <v>1470.55</v>
      </c>
      <c r="K4260">
        <f>4438.09</f>
        <v>4438.09</v>
      </c>
      <c r="L4260">
        <f>1157.86</f>
        <v>1157.8599999999999</v>
      </c>
      <c r="M4260">
        <f>4436.87</f>
        <v>4436.87</v>
      </c>
      <c r="N4260">
        <f>177.639</f>
        <v>177.63900000000001</v>
      </c>
      <c r="O4260">
        <f>1864.64</f>
        <v>1864.64</v>
      </c>
      <c r="P4260">
        <f>113.74</f>
        <v>113.74</v>
      </c>
      <c r="Q4260">
        <f>798.13</f>
        <v>798.13</v>
      </c>
      <c r="R4260">
        <f>2145.43</f>
        <v>2145.4299999999998</v>
      </c>
      <c r="S4260">
        <f>2013.24</f>
        <v>2013.24</v>
      </c>
      <c r="T4260" t="e">
        <f>NA()</f>
        <v>#N/A</v>
      </c>
      <c r="U4260">
        <f>25561.12</f>
        <v>25561.119999999999</v>
      </c>
      <c r="V4260" t="e">
        <f>NA()</f>
        <v>#N/A</v>
      </c>
    </row>
    <row r="4261" spans="1:22" x14ac:dyDescent="0.2">
      <c r="A4261" s="1">
        <v>39142</v>
      </c>
      <c r="B4261">
        <f>3895.97</f>
        <v>3895.97</v>
      </c>
      <c r="C4261">
        <f>5058.42</f>
        <v>5058.42</v>
      </c>
      <c r="D4261">
        <f>3445.49</f>
        <v>3445.49</v>
      </c>
      <c r="E4261">
        <f>1431.38</f>
        <v>1431.38</v>
      </c>
      <c r="F4261">
        <f>2362.59</f>
        <v>2362.59</v>
      </c>
      <c r="G4261">
        <f>6913.565</f>
        <v>6913.5649999999996</v>
      </c>
      <c r="H4261">
        <f>2075.88</f>
        <v>2075.88</v>
      </c>
      <c r="I4261">
        <f>7209.64</f>
        <v>7209.64</v>
      </c>
      <c r="J4261">
        <f>1485.98</f>
        <v>1485.98</v>
      </c>
      <c r="K4261">
        <f>4490.89</f>
        <v>4490.8900000000003</v>
      </c>
      <c r="L4261">
        <f>1165.51</f>
        <v>1165.51</v>
      </c>
      <c r="M4261">
        <f>4471.53</f>
        <v>4471.53</v>
      </c>
      <c r="N4261">
        <f>177.42</f>
        <v>177.42</v>
      </c>
      <c r="O4261">
        <f>1871.11</f>
        <v>1871.11</v>
      </c>
      <c r="P4261">
        <f>114.89</f>
        <v>114.89</v>
      </c>
      <c r="Q4261">
        <f>805.88</f>
        <v>805.88</v>
      </c>
      <c r="R4261">
        <f>2170.17</f>
        <v>2170.17</v>
      </c>
      <c r="S4261">
        <f>2034.89</f>
        <v>2034.89</v>
      </c>
      <c r="T4261" t="e">
        <f>NA()</f>
        <v>#N/A</v>
      </c>
      <c r="U4261">
        <f>25336.58</f>
        <v>25336.58</v>
      </c>
      <c r="V4261" t="e">
        <f>NA()</f>
        <v>#N/A</v>
      </c>
    </row>
    <row r="4262" spans="1:22" x14ac:dyDescent="0.2">
      <c r="A4262" s="1">
        <v>39141</v>
      </c>
      <c r="B4262">
        <f>3923.45</f>
        <v>3923.45</v>
      </c>
      <c r="C4262">
        <f>5128.93</f>
        <v>5128.93</v>
      </c>
      <c r="D4262">
        <f>3476.72</f>
        <v>3476.72</v>
      </c>
      <c r="E4262">
        <f>1452.863</f>
        <v>1452.8630000000001</v>
      </c>
      <c r="F4262">
        <f>2393.45</f>
        <v>2393.4499999999998</v>
      </c>
      <c r="G4262">
        <f>6982.167</f>
        <v>6982.1670000000004</v>
      </c>
      <c r="H4262">
        <f>2076</f>
        <v>2076</v>
      </c>
      <c r="I4262">
        <f>7309.977</f>
        <v>7309.9769999999999</v>
      </c>
      <c r="J4262">
        <f>1488.18</f>
        <v>1488.18</v>
      </c>
      <c r="K4262">
        <f>4502.53</f>
        <v>4502.53</v>
      </c>
      <c r="L4262">
        <f>1174.71</f>
        <v>1174.71</v>
      </c>
      <c r="M4262">
        <f>4498.26</f>
        <v>4498.26</v>
      </c>
      <c r="N4262">
        <f>178.524</f>
        <v>178.524</v>
      </c>
      <c r="O4262">
        <f>1887.5</f>
        <v>1887.5</v>
      </c>
      <c r="P4262">
        <f>115.44</f>
        <v>115.44</v>
      </c>
      <c r="Q4262">
        <f>807.91</f>
        <v>807.91</v>
      </c>
      <c r="R4262">
        <f>2175.78</f>
        <v>2175.7800000000002</v>
      </c>
      <c r="S4262">
        <f>2049.66</f>
        <v>2049.66</v>
      </c>
      <c r="T4262" t="e">
        <f>NA()</f>
        <v>#N/A</v>
      </c>
      <c r="U4262">
        <f>25795.99</f>
        <v>25795.99</v>
      </c>
      <c r="V4262" t="e">
        <f>NA()</f>
        <v>#N/A</v>
      </c>
    </row>
    <row r="4263" spans="1:22" x14ac:dyDescent="0.2">
      <c r="A4263" s="1">
        <v>39140</v>
      </c>
      <c r="B4263">
        <f>3976.66</f>
        <v>3976.66</v>
      </c>
      <c r="C4263">
        <f>5188.6</f>
        <v>5188.6000000000004</v>
      </c>
      <c r="D4263">
        <f>3540.17</f>
        <v>3540.17</v>
      </c>
      <c r="E4263">
        <f>1478.797</f>
        <v>1478.797</v>
      </c>
      <c r="F4263">
        <f>2444.56</f>
        <v>2444.56</v>
      </c>
      <c r="G4263">
        <f>7127.022</f>
        <v>7127.0219999999999</v>
      </c>
      <c r="H4263">
        <f>2149.04</f>
        <v>2149.04</v>
      </c>
      <c r="I4263">
        <f>7432.041</f>
        <v>7432.0410000000002</v>
      </c>
      <c r="J4263">
        <f>1478.55</f>
        <v>1478.55</v>
      </c>
      <c r="K4263">
        <f>4477.58</f>
        <v>4477.58</v>
      </c>
      <c r="L4263">
        <f>1187.79</f>
        <v>1187.79</v>
      </c>
      <c r="M4263">
        <f>4536.52</f>
        <v>4536.5200000000004</v>
      </c>
      <c r="N4263">
        <f>180.86</f>
        <v>180.86</v>
      </c>
      <c r="O4263">
        <f>1917.88</f>
        <v>1917.88</v>
      </c>
      <c r="P4263">
        <f>118.84</f>
        <v>118.84</v>
      </c>
      <c r="Q4263">
        <f>804.45</f>
        <v>804.45</v>
      </c>
      <c r="R4263">
        <f>2163.11</f>
        <v>2163.11</v>
      </c>
      <c r="S4263">
        <f>2118.17</f>
        <v>2118.17</v>
      </c>
      <c r="T4263" t="e">
        <f>NA()</f>
        <v>#N/A</v>
      </c>
      <c r="U4263">
        <f>26078.3</f>
        <v>26078.3</v>
      </c>
      <c r="V4263" t="e">
        <f>NA()</f>
        <v>#N/A</v>
      </c>
    </row>
    <row r="4264" spans="1:22" x14ac:dyDescent="0.2">
      <c r="A4264" s="1">
        <v>39139</v>
      </c>
      <c r="B4264">
        <f>4092.47</f>
        <v>4092.47</v>
      </c>
      <c r="C4264">
        <f>5346.01</f>
        <v>5346.01</v>
      </c>
      <c r="D4264">
        <f>3623.87</f>
        <v>3623.87</v>
      </c>
      <c r="E4264">
        <f>1525.651</f>
        <v>1525.6510000000001</v>
      </c>
      <c r="F4264">
        <f>2489.24</f>
        <v>2489.2399999999998</v>
      </c>
      <c r="G4264">
        <f>7288.42</f>
        <v>7288.42</v>
      </c>
      <c r="H4264">
        <f>2116.02</f>
        <v>2116.02</v>
      </c>
      <c r="I4264">
        <f>7625.235</f>
        <v>7625.2349999999997</v>
      </c>
      <c r="J4264">
        <f>1524.74</f>
        <v>1524.74</v>
      </c>
      <c r="K4264">
        <f>4636.53</f>
        <v>4636.53</v>
      </c>
      <c r="L4264">
        <f>1216.5</f>
        <v>1216.5</v>
      </c>
      <c r="M4264">
        <f>4651.75</f>
        <v>4651.75</v>
      </c>
      <c r="N4264">
        <f>186.548</f>
        <v>186.548</v>
      </c>
      <c r="O4264">
        <f>1974.97</f>
        <v>1974.97</v>
      </c>
      <c r="P4264">
        <f>118.95</f>
        <v>118.95</v>
      </c>
      <c r="Q4264">
        <f>827.17</f>
        <v>827.17</v>
      </c>
      <c r="R4264">
        <f>2240.73</f>
        <v>2240.73</v>
      </c>
      <c r="S4264">
        <f>2124.77</f>
        <v>2124.77</v>
      </c>
      <c r="T4264" t="e">
        <f>NA()</f>
        <v>#N/A</v>
      </c>
      <c r="U4264">
        <f>26932.15</f>
        <v>26932.15</v>
      </c>
      <c r="V4264" t="e">
        <f>NA()</f>
        <v>#N/A</v>
      </c>
    </row>
    <row r="4265" spans="1:22" x14ac:dyDescent="0.2">
      <c r="A4265" s="1">
        <v>39136</v>
      </c>
      <c r="B4265">
        <f>4080.28</f>
        <v>4080.28</v>
      </c>
      <c r="C4265">
        <f>5335.85</f>
        <v>5335.85</v>
      </c>
      <c r="D4265">
        <f>3605.17</f>
        <v>3605.17</v>
      </c>
      <c r="E4265">
        <f>1525.26</f>
        <v>1525.26</v>
      </c>
      <c r="F4265">
        <f>2477.9</f>
        <v>2477.9</v>
      </c>
      <c r="G4265">
        <f>7251.176</f>
        <v>7251.1760000000004</v>
      </c>
      <c r="H4265">
        <f>2087.68</f>
        <v>2087.6799999999998</v>
      </c>
      <c r="I4265">
        <f>7591.58</f>
        <v>7591.58</v>
      </c>
      <c r="J4265">
        <f>1519.55</f>
        <v>1519.55</v>
      </c>
      <c r="K4265">
        <f>4642.12</f>
        <v>4642.12</v>
      </c>
      <c r="L4265">
        <f>1209.78</f>
        <v>1209.78</v>
      </c>
      <c r="M4265">
        <f>4642.77</f>
        <v>4642.7700000000004</v>
      </c>
      <c r="N4265">
        <f>186.386</f>
        <v>186.386</v>
      </c>
      <c r="O4265">
        <f>1966.36</f>
        <v>1966.36</v>
      </c>
      <c r="P4265">
        <f>118.64</f>
        <v>118.64</v>
      </c>
      <c r="Q4265">
        <f>829.45</f>
        <v>829.45</v>
      </c>
      <c r="R4265">
        <f>2243.26</f>
        <v>2243.2600000000002</v>
      </c>
      <c r="S4265">
        <f>2122.42</f>
        <v>2122.42</v>
      </c>
      <c r="T4265" t="e">
        <f>NA()</f>
        <v>#N/A</v>
      </c>
      <c r="U4265">
        <f>26792.39</f>
        <v>26792.39</v>
      </c>
      <c r="V4265" t="e">
        <f>NA()</f>
        <v>#N/A</v>
      </c>
    </row>
    <row r="4266" spans="1:22" x14ac:dyDescent="0.2">
      <c r="A4266" s="1">
        <v>39135</v>
      </c>
      <c r="B4266">
        <f>4085.95</f>
        <v>4085.95</v>
      </c>
      <c r="C4266">
        <f>5357.21</f>
        <v>5357.21</v>
      </c>
      <c r="D4266">
        <f>3593.6</f>
        <v>3593.6</v>
      </c>
      <c r="E4266">
        <f>1531.175</f>
        <v>1531.175</v>
      </c>
      <c r="F4266">
        <f>2476.68</f>
        <v>2476.6799999999998</v>
      </c>
      <c r="G4266">
        <f>7192.271</f>
        <v>7192.2709999999997</v>
      </c>
      <c r="H4266">
        <f>2060.2</f>
        <v>2060.1999999999998</v>
      </c>
      <c r="I4266">
        <f>7545.192</f>
        <v>7545.192</v>
      </c>
      <c r="J4266">
        <f>1523.59</f>
        <v>1523.59</v>
      </c>
      <c r="K4266">
        <f>4657.83</f>
        <v>4657.83</v>
      </c>
      <c r="L4266">
        <f>1206.2</f>
        <v>1206.2</v>
      </c>
      <c r="M4266">
        <f>4633.39</f>
        <v>4633.3900000000003</v>
      </c>
      <c r="N4266">
        <f>185.981</f>
        <v>185.98099999999999</v>
      </c>
      <c r="O4266">
        <f>1960.85</f>
        <v>1960.85</v>
      </c>
      <c r="P4266">
        <f>117.89</f>
        <v>117.89</v>
      </c>
      <c r="Q4266">
        <f>831.37</f>
        <v>831.37</v>
      </c>
      <c r="R4266">
        <f>2251.03</f>
        <v>2251.0300000000002</v>
      </c>
      <c r="S4266">
        <f>2108.03</f>
        <v>2108.0300000000002</v>
      </c>
      <c r="T4266" t="e">
        <f>NA()</f>
        <v>#N/A</v>
      </c>
      <c r="U4266">
        <f>26697.7</f>
        <v>26697.7</v>
      </c>
      <c r="V4266" t="e">
        <f>NA()</f>
        <v>#N/A</v>
      </c>
    </row>
    <row r="4267" spans="1:22" x14ac:dyDescent="0.2">
      <c r="A4267" s="1">
        <v>39134</v>
      </c>
      <c r="B4267">
        <f>4073.69</f>
        <v>4073.69</v>
      </c>
      <c r="C4267">
        <f>5316.71</f>
        <v>5316.71</v>
      </c>
      <c r="D4267">
        <f>3580.15</f>
        <v>3580.15</v>
      </c>
      <c r="E4267">
        <f>1520.88</f>
        <v>1520.88</v>
      </c>
      <c r="F4267">
        <f>2474.73</f>
        <v>2474.73</v>
      </c>
      <c r="G4267">
        <f>7166.087</f>
        <v>7166.0870000000004</v>
      </c>
      <c r="H4267">
        <f>2054.11</f>
        <v>2054.11</v>
      </c>
      <c r="I4267">
        <f>7538.342</f>
        <v>7538.3419999999996</v>
      </c>
      <c r="J4267">
        <f>1526.37</f>
        <v>1526.37</v>
      </c>
      <c r="K4267">
        <f>4660.63</f>
        <v>4660.63</v>
      </c>
      <c r="L4267">
        <f>1205.7</f>
        <v>1205.7</v>
      </c>
      <c r="M4267">
        <f>4628.12</f>
        <v>4628.12</v>
      </c>
      <c r="N4267">
        <f>186.507</f>
        <v>186.50700000000001</v>
      </c>
      <c r="O4267">
        <f>1954.8</f>
        <v>1954.8</v>
      </c>
      <c r="P4267">
        <f>116.75</f>
        <v>116.75</v>
      </c>
      <c r="Q4267">
        <f>833.02</f>
        <v>833.02</v>
      </c>
      <c r="R4267">
        <f>2252.43</f>
        <v>2252.4299999999998</v>
      </c>
      <c r="S4267">
        <f>2089.71</f>
        <v>2089.71</v>
      </c>
      <c r="T4267" t="e">
        <f>NA()</f>
        <v>#N/A</v>
      </c>
      <c r="U4267">
        <f>26306.3</f>
        <v>26306.3</v>
      </c>
      <c r="V4267" t="e">
        <f>NA()</f>
        <v>#N/A</v>
      </c>
    </row>
    <row r="4268" spans="1:22" x14ac:dyDescent="0.2">
      <c r="A4268" s="1">
        <v>39133</v>
      </c>
      <c r="B4268">
        <f>4087.23</f>
        <v>4087.23</v>
      </c>
      <c r="C4268">
        <f>5318.57</f>
        <v>5318.57</v>
      </c>
      <c r="D4268">
        <f>3608.59</f>
        <v>3608.59</v>
      </c>
      <c r="E4268">
        <f>1518.967</f>
        <v>1518.9670000000001</v>
      </c>
      <c r="F4268">
        <f>2500.7</f>
        <v>2500.6999999999998</v>
      </c>
      <c r="G4268">
        <f>7240.923</f>
        <v>7240.9229999999998</v>
      </c>
      <c r="H4268">
        <f>2070.39</f>
        <v>2070.39</v>
      </c>
      <c r="I4268">
        <f>7595.031</f>
        <v>7595.0309999999999</v>
      </c>
      <c r="J4268">
        <f>1532.44</f>
        <v>1532.44</v>
      </c>
      <c r="K4268">
        <f>4666.13</f>
        <v>4666.13</v>
      </c>
      <c r="L4268">
        <f>1212.66</f>
        <v>1212.6600000000001</v>
      </c>
      <c r="M4268">
        <f>4645.56</f>
        <v>4645.5600000000004</v>
      </c>
      <c r="N4268">
        <f>187.571</f>
        <v>187.571</v>
      </c>
      <c r="O4268" t="e">
        <f>NA()</f>
        <v>#N/A</v>
      </c>
      <c r="P4268">
        <f>117.04</f>
        <v>117.04</v>
      </c>
      <c r="Q4268">
        <f>833.96</f>
        <v>833.96</v>
      </c>
      <c r="R4268">
        <f>2255.48</f>
        <v>2255.48</v>
      </c>
      <c r="S4268">
        <f>2084.45</f>
        <v>2084.4499999999998</v>
      </c>
      <c r="T4268" t="e">
        <f>NA()</f>
        <v>#N/A</v>
      </c>
      <c r="U4268">
        <f>26514.77</f>
        <v>26514.77</v>
      </c>
      <c r="V4268" t="e">
        <f>NA()</f>
        <v>#N/A</v>
      </c>
    </row>
    <row r="4269" spans="1:22" x14ac:dyDescent="0.2">
      <c r="A4269" s="1">
        <v>39132</v>
      </c>
      <c r="B4269">
        <f>4110.15</f>
        <v>4110.1499999999996</v>
      </c>
      <c r="C4269">
        <f>5319.44</f>
        <v>5319.44</v>
      </c>
      <c r="D4269">
        <f>3626.66</f>
        <v>3626.66</v>
      </c>
      <c r="E4269">
        <f>1523.478</f>
        <v>1523.4780000000001</v>
      </c>
      <c r="F4269">
        <f>2494.47</f>
        <v>2494.4699999999998</v>
      </c>
      <c r="G4269">
        <f>7242.941</f>
        <v>7242.9409999999998</v>
      </c>
      <c r="H4269">
        <f>2063.51</f>
        <v>2063.5100000000002</v>
      </c>
      <c r="I4269">
        <f>7617.905</f>
        <v>7617.9049999999997</v>
      </c>
      <c r="J4269">
        <f>1530.3</f>
        <v>1530.3</v>
      </c>
      <c r="K4269">
        <f>4651.59</f>
        <v>4651.59</v>
      </c>
      <c r="L4269">
        <f>1212.93</f>
        <v>1212.93</v>
      </c>
      <c r="M4269">
        <f>4642.6</f>
        <v>4642.6000000000004</v>
      </c>
      <c r="N4269">
        <f>188.07</f>
        <v>188.07</v>
      </c>
      <c r="O4269">
        <f>1973.98</f>
        <v>1973.98</v>
      </c>
      <c r="P4269">
        <f>116.86</f>
        <v>116.86</v>
      </c>
      <c r="Q4269">
        <f>829.67</f>
        <v>829.67</v>
      </c>
      <c r="R4269" t="e">
        <f>NA()</f>
        <v>#N/A</v>
      </c>
      <c r="S4269">
        <f>2081.21</f>
        <v>2081.21</v>
      </c>
      <c r="T4269" t="e">
        <f>NA()</f>
        <v>#N/A</v>
      </c>
      <c r="U4269">
        <f>26623.23</f>
        <v>26623.23</v>
      </c>
      <c r="V4269" t="e">
        <f>NA()</f>
        <v>#N/A</v>
      </c>
    </row>
    <row r="4270" spans="1:22" x14ac:dyDescent="0.2">
      <c r="A4270" s="1">
        <v>39129</v>
      </c>
      <c r="B4270">
        <f>4099.26</f>
        <v>4099.26</v>
      </c>
      <c r="C4270">
        <f>5308.19</f>
        <v>5308.19</v>
      </c>
      <c r="D4270">
        <f>3612.65</f>
        <v>3612.65</v>
      </c>
      <c r="E4270">
        <f>1519.82</f>
        <v>1519.82</v>
      </c>
      <c r="F4270">
        <f>2492.4</f>
        <v>2492.4</v>
      </c>
      <c r="G4270">
        <f>7221.582</f>
        <v>7221.5820000000003</v>
      </c>
      <c r="H4270">
        <f>2068.93</f>
        <v>2068.9299999999998</v>
      </c>
      <c r="I4270">
        <f>7573.024</f>
        <v>7573.0240000000003</v>
      </c>
      <c r="J4270">
        <f>1530.3</f>
        <v>1530.3</v>
      </c>
      <c r="K4270">
        <f>4651.59</f>
        <v>4651.59</v>
      </c>
      <c r="L4270">
        <f>1209.54</f>
        <v>1209.54</v>
      </c>
      <c r="M4270">
        <f>4634.43</f>
        <v>4634.43</v>
      </c>
      <c r="N4270">
        <f>187.375</f>
        <v>187.375</v>
      </c>
      <c r="O4270">
        <f>1966.23</f>
        <v>1966.23</v>
      </c>
      <c r="P4270">
        <f>116.63</f>
        <v>116.63</v>
      </c>
      <c r="Q4270">
        <f>829.67</f>
        <v>829.67</v>
      </c>
      <c r="R4270">
        <f>2249.06</f>
        <v>2249.06</v>
      </c>
      <c r="S4270">
        <f>2074.86</f>
        <v>2074.86</v>
      </c>
      <c r="T4270" t="e">
        <f>NA()</f>
        <v>#N/A</v>
      </c>
      <c r="U4270">
        <f>26511.08</f>
        <v>26511.08</v>
      </c>
      <c r="V4270" t="e">
        <f>NA()</f>
        <v>#N/A</v>
      </c>
    </row>
    <row r="4271" spans="1:22" x14ac:dyDescent="0.2">
      <c r="A4271" s="1">
        <v>39128</v>
      </c>
      <c r="B4271">
        <f>4128.7</f>
        <v>4128.7</v>
      </c>
      <c r="C4271">
        <f>5303.36</f>
        <v>5303.36</v>
      </c>
      <c r="D4271">
        <f>3620.4</f>
        <v>3620.4</v>
      </c>
      <c r="E4271">
        <f>1516.565</f>
        <v>1516.5650000000001</v>
      </c>
      <c r="F4271">
        <f>2501.14</f>
        <v>2501.14</v>
      </c>
      <c r="G4271">
        <f>7251.624</f>
        <v>7251.6239999999998</v>
      </c>
      <c r="H4271">
        <f>2075.71</f>
        <v>2075.71</v>
      </c>
      <c r="I4271">
        <f>7589.423</f>
        <v>7589.4229999999998</v>
      </c>
      <c r="J4271">
        <f>1530.27</f>
        <v>1530.27</v>
      </c>
      <c r="K4271">
        <f>4654.67</f>
        <v>4654.67</v>
      </c>
      <c r="L4271">
        <f>1211.74</f>
        <v>1211.74</v>
      </c>
      <c r="M4271">
        <f>4641.04</f>
        <v>4641.04</v>
      </c>
      <c r="N4271">
        <f>187.097</f>
        <v>187.09700000000001</v>
      </c>
      <c r="O4271">
        <f>1968.77</f>
        <v>1968.77</v>
      </c>
      <c r="P4271">
        <f>116.73</f>
        <v>116.73</v>
      </c>
      <c r="Q4271">
        <f>829.22</f>
        <v>829.22</v>
      </c>
      <c r="R4271">
        <f>2250.97</f>
        <v>2250.9699999999998</v>
      </c>
      <c r="S4271">
        <f>2077.41</f>
        <v>2077.41</v>
      </c>
      <c r="T4271" t="e">
        <f>NA()</f>
        <v>#N/A</v>
      </c>
      <c r="U4271">
        <f>26521.1</f>
        <v>26521.1</v>
      </c>
      <c r="V4271" t="e">
        <f>NA()</f>
        <v>#N/A</v>
      </c>
    </row>
    <row r="4272" spans="1:22" x14ac:dyDescent="0.2">
      <c r="A4272" s="1">
        <v>39127</v>
      </c>
      <c r="B4272">
        <f>4117.19</f>
        <v>4117.1899999999996</v>
      </c>
      <c r="C4272">
        <f>5275.12</f>
        <v>5275.12</v>
      </c>
      <c r="D4272">
        <f>3613.59</f>
        <v>3613.59</v>
      </c>
      <c r="E4272">
        <f>1505.565</f>
        <v>1505.5650000000001</v>
      </c>
      <c r="F4272">
        <f>2513.32</f>
        <v>2513.3200000000002</v>
      </c>
      <c r="G4272">
        <f>7261.877</f>
        <v>7261.8770000000004</v>
      </c>
      <c r="H4272">
        <f>2041.25</f>
        <v>2041.25</v>
      </c>
      <c r="I4272">
        <f>7579.569</f>
        <v>7579.5690000000004</v>
      </c>
      <c r="J4272">
        <f>1532.24</f>
        <v>1532.24</v>
      </c>
      <c r="K4272">
        <f>4648.72</f>
        <v>4648.72</v>
      </c>
      <c r="L4272">
        <f>1212.33</f>
        <v>1212.33</v>
      </c>
      <c r="M4272">
        <f>4625.47</f>
        <v>4625.47</v>
      </c>
      <c r="N4272">
        <f>187.534</f>
        <v>187.53399999999999</v>
      </c>
      <c r="O4272">
        <f>1971.4</f>
        <v>1971.4</v>
      </c>
      <c r="P4272">
        <f>116.18</f>
        <v>116.18</v>
      </c>
      <c r="Q4272">
        <f>825.54</f>
        <v>825.54</v>
      </c>
      <c r="R4272">
        <f>2248.4</f>
        <v>2248.4</v>
      </c>
      <c r="S4272">
        <f>2064</f>
        <v>2064</v>
      </c>
      <c r="T4272" t="e">
        <f>NA()</f>
        <v>#N/A</v>
      </c>
      <c r="U4272">
        <f>26311.42</f>
        <v>26311.42</v>
      </c>
      <c r="V4272" t="e">
        <f>NA()</f>
        <v>#N/A</v>
      </c>
    </row>
    <row r="4273" spans="1:22" x14ac:dyDescent="0.2">
      <c r="A4273" s="1">
        <v>39126</v>
      </c>
      <c r="B4273">
        <f>4105.3</f>
        <v>4105.3</v>
      </c>
      <c r="C4273">
        <f>5202.63</f>
        <v>5202.63</v>
      </c>
      <c r="D4273">
        <f>3589.46</f>
        <v>3589.46</v>
      </c>
      <c r="E4273">
        <f>1484.052</f>
        <v>1484.0519999999999</v>
      </c>
      <c r="F4273">
        <f>2482.18</f>
        <v>2482.1799999999998</v>
      </c>
      <c r="G4273">
        <f>7148.96</f>
        <v>7148.96</v>
      </c>
      <c r="H4273">
        <f>2026.3</f>
        <v>2026.3</v>
      </c>
      <c r="I4273">
        <f>7451.772</f>
        <v>7451.7719999999999</v>
      </c>
      <c r="J4273">
        <f>1522.72</f>
        <v>1522.72</v>
      </c>
      <c r="K4273">
        <f>4611.91</f>
        <v>4611.91</v>
      </c>
      <c r="L4273">
        <f>1198.73</f>
        <v>1198.73</v>
      </c>
      <c r="M4273">
        <f>4574.65</f>
        <v>4574.6499999999996</v>
      </c>
      <c r="N4273">
        <f>186.383</f>
        <v>186.38300000000001</v>
      </c>
      <c r="O4273">
        <f>1955.88</f>
        <v>1955.88</v>
      </c>
      <c r="P4273">
        <f>116.12</f>
        <v>116.12</v>
      </c>
      <c r="Q4273">
        <f>820.82</f>
        <v>820.82</v>
      </c>
      <c r="R4273">
        <f>2230.8</f>
        <v>2230.8000000000002</v>
      </c>
      <c r="S4273">
        <f>2052.99</f>
        <v>2052.9899999999998</v>
      </c>
      <c r="T4273" t="e">
        <f>NA()</f>
        <v>#N/A</v>
      </c>
      <c r="U4273">
        <f>26023.35</f>
        <v>26023.35</v>
      </c>
      <c r="V4273" t="e">
        <f>NA()</f>
        <v>#N/A</v>
      </c>
    </row>
    <row r="4274" spans="1:22" x14ac:dyDescent="0.2">
      <c r="A4274" s="1">
        <v>39125</v>
      </c>
      <c r="B4274">
        <f>4089.77</f>
        <v>4089.77</v>
      </c>
      <c r="C4274">
        <f>5174.38</f>
        <v>5174.38</v>
      </c>
      <c r="D4274">
        <f>3573.54</f>
        <v>3573.54</v>
      </c>
      <c r="E4274">
        <f>1478.463</f>
        <v>1478.463</v>
      </c>
      <c r="F4274">
        <f>2483.61</f>
        <v>2483.61</v>
      </c>
      <c r="G4274">
        <f>7133.716</f>
        <v>7133.7160000000003</v>
      </c>
      <c r="H4274">
        <f>1994.35</f>
        <v>1994.35</v>
      </c>
      <c r="I4274">
        <f>7396.962</f>
        <v>7396.9620000000004</v>
      </c>
      <c r="J4274">
        <f>1511.21</f>
        <v>1511.21</v>
      </c>
      <c r="K4274">
        <f>4575.95</f>
        <v>4575.95</v>
      </c>
      <c r="L4274">
        <f>1191.39</f>
        <v>1191.3900000000001</v>
      </c>
      <c r="M4274">
        <f>4541.01</f>
        <v>4541.01</v>
      </c>
      <c r="N4274">
        <f>186.586</f>
        <v>186.58600000000001</v>
      </c>
      <c r="O4274">
        <f>1952.29</f>
        <v>1952.29</v>
      </c>
      <c r="P4274" t="e">
        <f>NA()</f>
        <v>#N/A</v>
      </c>
      <c r="Q4274">
        <f>815.01</f>
        <v>815.01</v>
      </c>
      <c r="R4274">
        <f>2213.58</f>
        <v>2213.58</v>
      </c>
      <c r="S4274" t="e">
        <f>NA()</f>
        <v>#N/A</v>
      </c>
      <c r="T4274" t="e">
        <f>NA()</f>
        <v>#N/A</v>
      </c>
      <c r="U4274">
        <f>25820.61</f>
        <v>25820.61</v>
      </c>
      <c r="V4274" t="e">
        <f>NA()</f>
        <v>#N/A</v>
      </c>
    </row>
    <row r="4275" spans="1:22" x14ac:dyDescent="0.2">
      <c r="A4275" s="1">
        <v>39122</v>
      </c>
      <c r="B4275">
        <f>4114.62</f>
        <v>4114.62</v>
      </c>
      <c r="C4275">
        <f>5237.47</f>
        <v>5237.47</v>
      </c>
      <c r="D4275">
        <f>3590.07</f>
        <v>3590.07</v>
      </c>
      <c r="E4275">
        <f>1498.342</f>
        <v>1498.3420000000001</v>
      </c>
      <c r="F4275">
        <f>2491.06</f>
        <v>2491.06</v>
      </c>
      <c r="G4275">
        <f>7170.492</f>
        <v>7170.4920000000002</v>
      </c>
      <c r="H4275">
        <f>1996.15</f>
        <v>1996.15</v>
      </c>
      <c r="I4275">
        <f>7471.513</f>
        <v>7471.5129999999999</v>
      </c>
      <c r="J4275">
        <f>1511.63</f>
        <v>1511.63</v>
      </c>
      <c r="K4275">
        <f>4592.25</f>
        <v>4592.25</v>
      </c>
      <c r="L4275">
        <f>1197.41</f>
        <v>1197.4100000000001</v>
      </c>
      <c r="M4275">
        <f>4563.51</f>
        <v>4563.51</v>
      </c>
      <c r="N4275">
        <f>187.559</f>
        <v>187.559</v>
      </c>
      <c r="O4275">
        <f>1963.61</f>
        <v>1963.61</v>
      </c>
      <c r="P4275">
        <f>115.68</f>
        <v>115.68</v>
      </c>
      <c r="Q4275">
        <f>815.95</f>
        <v>815.95</v>
      </c>
      <c r="R4275">
        <f>2220.72</f>
        <v>2220.7199999999998</v>
      </c>
      <c r="S4275">
        <f>2040.36</f>
        <v>2040.36</v>
      </c>
      <c r="T4275" t="e">
        <f>NA()</f>
        <v>#N/A</v>
      </c>
      <c r="U4275">
        <f>25666.81</f>
        <v>25666.81</v>
      </c>
      <c r="V4275" t="e">
        <f>NA()</f>
        <v>#N/A</v>
      </c>
    </row>
    <row r="4276" spans="1:22" x14ac:dyDescent="0.2">
      <c r="A4276" s="1">
        <v>39121</v>
      </c>
      <c r="B4276">
        <f>4093.62</f>
        <v>4093.62</v>
      </c>
      <c r="C4276">
        <f>5246.86</f>
        <v>5246.86</v>
      </c>
      <c r="D4276">
        <f>3569.56</f>
        <v>3569.56</v>
      </c>
      <c r="E4276">
        <f>1499.488</f>
        <v>1499.4880000000001</v>
      </c>
      <c r="F4276">
        <f>2493.79</f>
        <v>2493.79</v>
      </c>
      <c r="G4276">
        <f>7166.483</f>
        <v>7166.4830000000002</v>
      </c>
      <c r="H4276">
        <f>1977.52</f>
        <v>1977.52</v>
      </c>
      <c r="I4276">
        <f>7454.239</f>
        <v>7454.2389999999996</v>
      </c>
      <c r="J4276">
        <f>1519.5</f>
        <v>1519.5</v>
      </c>
      <c r="K4276">
        <f>4626.24</f>
        <v>4626.24</v>
      </c>
      <c r="L4276">
        <f>1199.02</f>
        <v>1199.02</v>
      </c>
      <c r="M4276">
        <f>4572.56</f>
        <v>4572.5600000000004</v>
      </c>
      <c r="N4276">
        <f>186.306</f>
        <v>186.30600000000001</v>
      </c>
      <c r="O4276">
        <f>1953.78</f>
        <v>1953.78</v>
      </c>
      <c r="P4276">
        <f>114.26</f>
        <v>114.26</v>
      </c>
      <c r="Q4276">
        <f>819.19</f>
        <v>819.19</v>
      </c>
      <c r="R4276">
        <f>2236.46</f>
        <v>2236.46</v>
      </c>
      <c r="S4276">
        <f>2011.23</f>
        <v>2011.23</v>
      </c>
      <c r="T4276" t="e">
        <f>NA()</f>
        <v>#N/A</v>
      </c>
      <c r="U4276">
        <f>25596.86</f>
        <v>25596.86</v>
      </c>
      <c r="V4276" t="e">
        <f>NA()</f>
        <v>#N/A</v>
      </c>
    </row>
    <row r="4277" spans="1:22" x14ac:dyDescent="0.2">
      <c r="A4277" s="1">
        <v>39120</v>
      </c>
      <c r="B4277">
        <f>4109.46</f>
        <v>4109.46</v>
      </c>
      <c r="C4277">
        <f>5265.08</f>
        <v>5265.08</v>
      </c>
      <c r="D4277">
        <f>3582.54</f>
        <v>3582.54</v>
      </c>
      <c r="E4277">
        <f>1505.431</f>
        <v>1505.431</v>
      </c>
      <c r="F4277">
        <f>2517.83</f>
        <v>2517.83</v>
      </c>
      <c r="G4277">
        <f>7234.987</f>
        <v>7234.9870000000001</v>
      </c>
      <c r="H4277">
        <f>2004.86</f>
        <v>2004.86</v>
      </c>
      <c r="I4277">
        <f>7496.393</f>
        <v>7496.393</v>
      </c>
      <c r="J4277">
        <f>1523.71</f>
        <v>1523.71</v>
      </c>
      <c r="K4277">
        <f>4631.54</f>
        <v>4631.54</v>
      </c>
      <c r="L4277">
        <f>1204.98</f>
        <v>1204.98</v>
      </c>
      <c r="M4277">
        <f>4588.95</f>
        <v>4588.95</v>
      </c>
      <c r="N4277">
        <f>188.754</f>
        <v>188.75399999999999</v>
      </c>
      <c r="O4277">
        <f>1970.53</f>
        <v>1970.53</v>
      </c>
      <c r="P4277">
        <f>115.22</f>
        <v>115.22</v>
      </c>
      <c r="Q4277">
        <f>822.59</f>
        <v>822.59</v>
      </c>
      <c r="R4277">
        <f>2239.05</f>
        <v>2239.0500000000002</v>
      </c>
      <c r="S4277">
        <f>2020.79</f>
        <v>2020.79</v>
      </c>
      <c r="T4277" t="e">
        <f>NA()</f>
        <v>#N/A</v>
      </c>
      <c r="U4277">
        <f>25915.9</f>
        <v>25915.9</v>
      </c>
      <c r="V4277" t="e">
        <f>NA()</f>
        <v>#N/A</v>
      </c>
    </row>
    <row r="4278" spans="1:22" x14ac:dyDescent="0.2">
      <c r="A4278" s="1">
        <v>39119</v>
      </c>
      <c r="B4278">
        <f>4099.56</f>
        <v>4099.5600000000004</v>
      </c>
      <c r="C4278">
        <f>5277.64</f>
        <v>5277.64</v>
      </c>
      <c r="D4278">
        <f>3564.6</f>
        <v>3564.6</v>
      </c>
      <c r="E4278">
        <f>1505.509</f>
        <v>1505.509</v>
      </c>
      <c r="F4278">
        <f>2508.73</f>
        <v>2508.73</v>
      </c>
      <c r="G4278">
        <f>7195.243</f>
        <v>7195.2430000000004</v>
      </c>
      <c r="H4278">
        <f>2002.39</f>
        <v>2002.39</v>
      </c>
      <c r="I4278">
        <f>7424.373</f>
        <v>7424.3729999999996</v>
      </c>
      <c r="J4278">
        <f>1525.53</f>
        <v>1525.53</v>
      </c>
      <c r="K4278">
        <f>4621.55</f>
        <v>4621.55</v>
      </c>
      <c r="L4278">
        <f>1200.85</f>
        <v>1200.8499999999999</v>
      </c>
      <c r="M4278">
        <f>4572.99</f>
        <v>4572.99</v>
      </c>
      <c r="N4278">
        <f>188.144</f>
        <v>188.14400000000001</v>
      </c>
      <c r="O4278">
        <f>1964.75</f>
        <v>1964.75</v>
      </c>
      <c r="P4278">
        <f>115.28</f>
        <v>115.28</v>
      </c>
      <c r="Q4278">
        <f>822.29</f>
        <v>822.29</v>
      </c>
      <c r="R4278">
        <f>2235.02</f>
        <v>2235.02</v>
      </c>
      <c r="S4278">
        <f>2025.54</f>
        <v>2025.54</v>
      </c>
      <c r="T4278" t="e">
        <f>NA()</f>
        <v>#N/A</v>
      </c>
      <c r="U4278">
        <f>25933.81</f>
        <v>25933.81</v>
      </c>
      <c r="V4278" t="e">
        <f>NA()</f>
        <v>#N/A</v>
      </c>
    </row>
    <row r="4279" spans="1:22" x14ac:dyDescent="0.2">
      <c r="A4279" s="1">
        <v>39118</v>
      </c>
      <c r="B4279">
        <f>4068.6</f>
        <v>4068.6</v>
      </c>
      <c r="C4279">
        <f>5242.46</f>
        <v>5242.46</v>
      </c>
      <c r="D4279">
        <f>3548.67</f>
        <v>3548.67</v>
      </c>
      <c r="E4279">
        <f>1494.783</f>
        <v>1494.7829999999999</v>
      </c>
      <c r="F4279">
        <f>2485.63</f>
        <v>2485.63</v>
      </c>
      <c r="G4279">
        <f>7132.681</f>
        <v>7132.6809999999996</v>
      </c>
      <c r="H4279">
        <f>1965.92</f>
        <v>1965.92</v>
      </c>
      <c r="I4279">
        <f>7398.603</f>
        <v>7398.6030000000001</v>
      </c>
      <c r="J4279">
        <f>1524.2</f>
        <v>1524.2</v>
      </c>
      <c r="K4279">
        <f>4617.51</f>
        <v>4617.51</v>
      </c>
      <c r="L4279">
        <f>1195.6</f>
        <v>1195.5999999999999</v>
      </c>
      <c r="M4279">
        <f>4557.54</f>
        <v>4557.54</v>
      </c>
      <c r="N4279">
        <f>186.255</f>
        <v>186.255</v>
      </c>
      <c r="O4279">
        <f>1958.02</f>
        <v>1958.02</v>
      </c>
      <c r="P4279">
        <f>113.87</f>
        <v>113.87</v>
      </c>
      <c r="Q4279">
        <f>820.22</f>
        <v>820.22</v>
      </c>
      <c r="R4279">
        <f>2233.44</f>
        <v>2233.44</v>
      </c>
      <c r="S4279">
        <f>2006.67</f>
        <v>2006.67</v>
      </c>
      <c r="T4279" t="e">
        <f>NA()</f>
        <v>#N/A</v>
      </c>
      <c r="U4279">
        <f>25605.18</f>
        <v>25605.18</v>
      </c>
      <c r="V4279" t="e">
        <f>NA()</f>
        <v>#N/A</v>
      </c>
    </row>
    <row r="4280" spans="1:22" x14ac:dyDescent="0.2">
      <c r="A4280" s="1">
        <v>39115</v>
      </c>
      <c r="B4280">
        <f>4054.87</f>
        <v>4054.87</v>
      </c>
      <c r="C4280">
        <f>5230.3</f>
        <v>5230.3</v>
      </c>
      <c r="D4280">
        <f>3544.75</f>
        <v>3544.75</v>
      </c>
      <c r="E4280">
        <f>1490.824</f>
        <v>1490.8240000000001</v>
      </c>
      <c r="F4280">
        <f>2492.61</f>
        <v>2492.61</v>
      </c>
      <c r="G4280">
        <f>7152.857</f>
        <v>7152.857</v>
      </c>
      <c r="H4280">
        <f>1982.84</f>
        <v>1982.84</v>
      </c>
      <c r="I4280">
        <f>7421.798</f>
        <v>7421.7979999999998</v>
      </c>
      <c r="J4280">
        <f>1523.55</f>
        <v>1523.55</v>
      </c>
      <c r="K4280">
        <f>4620.6</f>
        <v>4620.6000000000004</v>
      </c>
      <c r="L4280">
        <f>1197.47</f>
        <v>1197.47</v>
      </c>
      <c r="M4280">
        <f>4567.31</f>
        <v>4567.3100000000004</v>
      </c>
      <c r="N4280">
        <f>185.977</f>
        <v>185.977</v>
      </c>
      <c r="O4280">
        <f>1957.29</f>
        <v>1957.29</v>
      </c>
      <c r="P4280">
        <f>115.05</f>
        <v>115.05</v>
      </c>
      <c r="Q4280">
        <f>823.06</f>
        <v>823.06</v>
      </c>
      <c r="R4280">
        <f>2235.39</f>
        <v>2235.39</v>
      </c>
      <c r="S4280">
        <f>2037.2</f>
        <v>2037.2</v>
      </c>
      <c r="T4280" t="e">
        <f>NA()</f>
        <v>#N/A</v>
      </c>
      <c r="U4280">
        <f>25679.19</f>
        <v>25679.19</v>
      </c>
      <c r="V4280" t="e">
        <f>NA()</f>
        <v>#N/A</v>
      </c>
    </row>
    <row r="4281" spans="1:22" x14ac:dyDescent="0.2">
      <c r="A4281" s="1">
        <v>39114</v>
      </c>
      <c r="B4281">
        <f>4023.24</f>
        <v>4023.24</v>
      </c>
      <c r="C4281">
        <f>5200.39</f>
        <v>5200.3900000000003</v>
      </c>
      <c r="D4281">
        <f>3528.64</f>
        <v>3528.64</v>
      </c>
      <c r="E4281">
        <f>1479.537</f>
        <v>1479.537</v>
      </c>
      <c r="F4281">
        <f>2491.63</f>
        <v>2491.63</v>
      </c>
      <c r="G4281">
        <f>7128.396</f>
        <v>7128.3959999999997</v>
      </c>
      <c r="H4281">
        <f>1980.45</f>
        <v>1980.45</v>
      </c>
      <c r="I4281">
        <f>7420.165</f>
        <v>7420.165</v>
      </c>
      <c r="J4281">
        <f>1522.78</f>
        <v>1522.78</v>
      </c>
      <c r="K4281">
        <f>4611.67</f>
        <v>4611.67</v>
      </c>
      <c r="L4281">
        <f>1195.68</f>
        <v>1195.68</v>
      </c>
      <c r="M4281">
        <f>4562.36</f>
        <v>4562.3599999999997</v>
      </c>
      <c r="N4281">
        <f>184.315</f>
        <v>184.315</v>
      </c>
      <c r="O4281">
        <f>1946.83</f>
        <v>1946.83</v>
      </c>
      <c r="P4281">
        <f>114.68</f>
        <v>114.68</v>
      </c>
      <c r="Q4281">
        <f>821.92</f>
        <v>821.92</v>
      </c>
      <c r="R4281">
        <f>2231.61</f>
        <v>2231.61</v>
      </c>
      <c r="S4281">
        <f>2032.74</f>
        <v>2032.74</v>
      </c>
      <c r="T4281" t="e">
        <f>NA()</f>
        <v>#N/A</v>
      </c>
      <c r="U4281">
        <f>25782.38</f>
        <v>25782.38</v>
      </c>
      <c r="V4281" t="e">
        <f>NA()</f>
        <v>#N/A</v>
      </c>
    </row>
    <row r="4282" spans="1:22" x14ac:dyDescent="0.2">
      <c r="A4282" s="1">
        <v>39113</v>
      </c>
      <c r="B4282">
        <f>3986.93</f>
        <v>3986.93</v>
      </c>
      <c r="C4282">
        <f>5146.77</f>
        <v>5146.7700000000004</v>
      </c>
      <c r="D4282">
        <f>3484.18</f>
        <v>3484.18</v>
      </c>
      <c r="E4282">
        <f>1461.328</f>
        <v>1461.328</v>
      </c>
      <c r="F4282">
        <f>2448.91</f>
        <v>2448.91</v>
      </c>
      <c r="G4282">
        <f>6991.664</f>
        <v>6991.6639999999998</v>
      </c>
      <c r="H4282">
        <f>1950.43</f>
        <v>1950.43</v>
      </c>
      <c r="I4282">
        <f>7344.362</f>
        <v>7344.3620000000001</v>
      </c>
      <c r="J4282">
        <f>1513.6</f>
        <v>1513.6</v>
      </c>
      <c r="K4282">
        <f>4586.41</f>
        <v>4586.41</v>
      </c>
      <c r="L4282">
        <f>1183.26</f>
        <v>1183.26</v>
      </c>
      <c r="M4282">
        <f>4519.92</f>
        <v>4519.92</v>
      </c>
      <c r="N4282">
        <f>182.867</f>
        <v>182.86699999999999</v>
      </c>
      <c r="O4282">
        <f>1926.48</f>
        <v>1926.48</v>
      </c>
      <c r="P4282">
        <f>113.27</f>
        <v>113.27</v>
      </c>
      <c r="Q4282">
        <f>815.1</f>
        <v>815.1</v>
      </c>
      <c r="R4282">
        <f>2219.19</f>
        <v>2219.19</v>
      </c>
      <c r="S4282">
        <f>2013.31</f>
        <v>2013.31</v>
      </c>
      <c r="T4282" t="e">
        <f>NA()</f>
        <v>#N/A</v>
      </c>
      <c r="U4282">
        <f>25447.73</f>
        <v>25447.73</v>
      </c>
      <c r="V4282" t="e">
        <f>NA()</f>
        <v>#N/A</v>
      </c>
    </row>
    <row r="4283" spans="1:22" x14ac:dyDescent="0.2">
      <c r="A4283" s="1">
        <v>39112</v>
      </c>
      <c r="B4283">
        <f>3997.74</f>
        <v>3997.74</v>
      </c>
      <c r="C4283">
        <f>5129.94</f>
        <v>5129.9399999999996</v>
      </c>
      <c r="D4283">
        <f>3506.02</f>
        <v>3506.02</v>
      </c>
      <c r="E4283">
        <f>1457.991</f>
        <v>1457.991</v>
      </c>
      <c r="F4283">
        <f>2465.26</f>
        <v>2465.2600000000002</v>
      </c>
      <c r="G4283">
        <f>7047.186</f>
        <v>7047.1859999999997</v>
      </c>
      <c r="H4283">
        <f>1957.04</f>
        <v>1957.04</v>
      </c>
      <c r="I4283">
        <f>7339.166</f>
        <v>7339.1660000000002</v>
      </c>
      <c r="J4283">
        <f>1505.3</f>
        <v>1505.3</v>
      </c>
      <c r="K4283">
        <f>4555.49</f>
        <v>4555.49</v>
      </c>
      <c r="L4283">
        <f>1183.01</f>
        <v>1183.01</v>
      </c>
      <c r="M4283">
        <f>4509.16</f>
        <v>4509.16</v>
      </c>
      <c r="N4283">
        <f>183.458</f>
        <v>183.458</v>
      </c>
      <c r="O4283">
        <f>1936.49</f>
        <v>1936.49</v>
      </c>
      <c r="P4283">
        <f>113.88</f>
        <v>113.88</v>
      </c>
      <c r="Q4283">
        <f>808.24</f>
        <v>808.24</v>
      </c>
      <c r="R4283">
        <f>2204.4</f>
        <v>2204.4</v>
      </c>
      <c r="S4283">
        <f>2024.58</f>
        <v>2024.58</v>
      </c>
      <c r="T4283" t="e">
        <f>NA()</f>
        <v>#N/A</v>
      </c>
      <c r="U4283">
        <f>25481.25</f>
        <v>25481.25</v>
      </c>
      <c r="V4283" t="e">
        <f>NA()</f>
        <v>#N/A</v>
      </c>
    </row>
    <row r="4284" spans="1:22" x14ac:dyDescent="0.2">
      <c r="A4284" s="1">
        <v>39111</v>
      </c>
      <c r="B4284">
        <f>3995.12</f>
        <v>3995.12</v>
      </c>
      <c r="C4284">
        <f>5098.29</f>
        <v>5098.29</v>
      </c>
      <c r="D4284">
        <f>3504.85</f>
        <v>3504.85</v>
      </c>
      <c r="E4284">
        <f>1450.305</f>
        <v>1450.3050000000001</v>
      </c>
      <c r="F4284">
        <f>2467.84</f>
        <v>2467.84</v>
      </c>
      <c r="G4284">
        <f>7031.675</f>
        <v>7031.6750000000002</v>
      </c>
      <c r="H4284">
        <f>1953.57</f>
        <v>1953.57</v>
      </c>
      <c r="I4284">
        <f>7290.9</f>
        <v>7290.9</v>
      </c>
      <c r="J4284">
        <f>1500.61</f>
        <v>1500.61</v>
      </c>
      <c r="K4284">
        <f>4529.4</f>
        <v>4529.3999999999996</v>
      </c>
      <c r="L4284">
        <f>1177.78</f>
        <v>1177.78</v>
      </c>
      <c r="M4284">
        <f>4485.61</f>
        <v>4485.6099999999997</v>
      </c>
      <c r="N4284">
        <f>183.056</f>
        <v>183.05600000000001</v>
      </c>
      <c r="O4284">
        <f>1929.87</f>
        <v>1929.87</v>
      </c>
      <c r="P4284">
        <f>114.05</f>
        <v>114.05</v>
      </c>
      <c r="Q4284">
        <f>804.28</f>
        <v>804.28</v>
      </c>
      <c r="R4284">
        <f>2191.71</f>
        <v>2191.71</v>
      </c>
      <c r="S4284">
        <f>2026.9</f>
        <v>2026.9</v>
      </c>
      <c r="T4284" t="e">
        <f>NA()</f>
        <v>#N/A</v>
      </c>
      <c r="U4284">
        <f>25341.81</f>
        <v>25341.81</v>
      </c>
      <c r="V4284" t="e">
        <f>NA()</f>
        <v>#N/A</v>
      </c>
    </row>
    <row r="4285" spans="1:22" x14ac:dyDescent="0.2">
      <c r="A4285" s="1">
        <v>39108</v>
      </c>
      <c r="B4285">
        <f>3990.54</f>
        <v>3990.54</v>
      </c>
      <c r="C4285">
        <f>5138.13</f>
        <v>5138.13</v>
      </c>
      <c r="D4285">
        <f>3498.2</f>
        <v>3498.2</v>
      </c>
      <c r="E4285">
        <f>1461.912</f>
        <v>1461.912</v>
      </c>
      <c r="F4285">
        <f>2461.44</f>
        <v>2461.44</v>
      </c>
      <c r="G4285">
        <f>7024.462</f>
        <v>7024.4620000000004</v>
      </c>
      <c r="H4285">
        <f>1946.54</f>
        <v>1946.54</v>
      </c>
      <c r="I4285">
        <f>7240.745</f>
        <v>7240.7449999999999</v>
      </c>
      <c r="J4285">
        <f>1502.52</f>
        <v>1502.52</v>
      </c>
      <c r="K4285">
        <f>4532.76</f>
        <v>4532.76</v>
      </c>
      <c r="L4285">
        <f>1176.01</f>
        <v>1176.01</v>
      </c>
      <c r="M4285">
        <f>4480.31</f>
        <v>4480.3100000000004</v>
      </c>
      <c r="N4285">
        <f>183.03</f>
        <v>183.03</v>
      </c>
      <c r="O4285">
        <f>1924.74</f>
        <v>1924.74</v>
      </c>
      <c r="P4285">
        <f>113.38</f>
        <v>113.38</v>
      </c>
      <c r="Q4285">
        <f>803.11</f>
        <v>803.11</v>
      </c>
      <c r="R4285">
        <f>2193.89</f>
        <v>2193.89</v>
      </c>
      <c r="S4285">
        <f>2020.4</f>
        <v>2020.4</v>
      </c>
      <c r="T4285" t="e">
        <f>NA()</f>
        <v>#N/A</v>
      </c>
      <c r="U4285">
        <f>25377.29</f>
        <v>25377.29</v>
      </c>
      <c r="V4285" t="e">
        <f>NA()</f>
        <v>#N/A</v>
      </c>
    </row>
    <row r="4286" spans="1:22" x14ac:dyDescent="0.2">
      <c r="A4286" s="1">
        <v>39107</v>
      </c>
      <c r="B4286">
        <f>4010.08</f>
        <v>4010.08</v>
      </c>
      <c r="C4286">
        <f>5179.35</f>
        <v>5179.3500000000004</v>
      </c>
      <c r="D4286">
        <f>3521.35</f>
        <v>3521.35</v>
      </c>
      <c r="E4286">
        <f>1478.805</f>
        <v>1478.8050000000001</v>
      </c>
      <c r="F4286">
        <f>2490.47</f>
        <v>2490.4699999999998</v>
      </c>
      <c r="G4286">
        <f>7109.863</f>
        <v>7109.8630000000003</v>
      </c>
      <c r="H4286">
        <f>1941.09</f>
        <v>1941.09</v>
      </c>
      <c r="I4286">
        <f>7327.527</f>
        <v>7327.527</v>
      </c>
      <c r="J4286">
        <f>1504.44</f>
        <v>1504.44</v>
      </c>
      <c r="K4286">
        <f>4538.22</f>
        <v>4538.22</v>
      </c>
      <c r="L4286">
        <f>1184.01</f>
        <v>1184.01</v>
      </c>
      <c r="M4286">
        <f>4504.56</f>
        <v>4504.5600000000004</v>
      </c>
      <c r="N4286">
        <f>183.771</f>
        <v>183.77099999999999</v>
      </c>
      <c r="O4286">
        <f>1936.84</f>
        <v>1936.84</v>
      </c>
      <c r="P4286">
        <f>112.65</f>
        <v>112.65</v>
      </c>
      <c r="Q4286">
        <f>804.8</f>
        <v>804.8</v>
      </c>
      <c r="R4286">
        <f>2196.54</f>
        <v>2196.54</v>
      </c>
      <c r="S4286">
        <f>2021.96</f>
        <v>2021.96</v>
      </c>
      <c r="T4286" t="e">
        <f>NA()</f>
        <v>#N/A</v>
      </c>
      <c r="U4286">
        <f>25572.39</f>
        <v>25572.39</v>
      </c>
      <c r="V4286" t="e">
        <f>NA()</f>
        <v>#N/A</v>
      </c>
    </row>
    <row r="4287" spans="1:22" x14ac:dyDescent="0.2">
      <c r="A4287" s="1">
        <v>39106</v>
      </c>
      <c r="B4287">
        <f>4018.07</f>
        <v>4018.07</v>
      </c>
      <c r="C4287">
        <f>5199.83</f>
        <v>5199.83</v>
      </c>
      <c r="D4287">
        <f>3546.93</f>
        <v>3546.93</v>
      </c>
      <c r="E4287">
        <f>1483.828</f>
        <v>1483.828</v>
      </c>
      <c r="F4287">
        <f>2494.34</f>
        <v>2494.34</v>
      </c>
      <c r="G4287">
        <f>7138.477</f>
        <v>7138.4769999999999</v>
      </c>
      <c r="H4287">
        <f>1954.17</f>
        <v>1954.17</v>
      </c>
      <c r="I4287">
        <f>7335.933</f>
        <v>7335.933</v>
      </c>
      <c r="J4287">
        <f>1518.45</f>
        <v>1518.45</v>
      </c>
      <c r="K4287">
        <f>4589.65</f>
        <v>4589.6499999999996</v>
      </c>
      <c r="L4287">
        <f>1191.19</f>
        <v>1191.19</v>
      </c>
      <c r="M4287">
        <f>4536.27</f>
        <v>4536.2700000000004</v>
      </c>
      <c r="N4287">
        <f>184.186</f>
        <v>184.18600000000001</v>
      </c>
      <c r="O4287">
        <f>1944.22</f>
        <v>1944.22</v>
      </c>
      <c r="P4287">
        <f>113.49</f>
        <v>113.49</v>
      </c>
      <c r="Q4287">
        <f>812.61</f>
        <v>812.61</v>
      </c>
      <c r="R4287">
        <f>2221.56</f>
        <v>2221.56</v>
      </c>
      <c r="S4287">
        <f>2032.73</f>
        <v>2032.73</v>
      </c>
      <c r="T4287" t="e">
        <f>NA()</f>
        <v>#N/A</v>
      </c>
      <c r="U4287">
        <f>25444.28</f>
        <v>25444.28</v>
      </c>
      <c r="V4287" t="e">
        <f>NA()</f>
        <v>#N/A</v>
      </c>
    </row>
    <row r="4288" spans="1:22" x14ac:dyDescent="0.2">
      <c r="A4288" s="1">
        <v>39105</v>
      </c>
      <c r="B4288">
        <f>3993.29</f>
        <v>3993.29</v>
      </c>
      <c r="C4288">
        <f>5146.45</f>
        <v>5146.45</v>
      </c>
      <c r="D4288">
        <f>3497.84</f>
        <v>3497.84</v>
      </c>
      <c r="E4288">
        <f>1467.352</f>
        <v>1467.3520000000001</v>
      </c>
      <c r="F4288">
        <f>2489.77</f>
        <v>2489.77</v>
      </c>
      <c r="G4288">
        <f>7120.896</f>
        <v>7120.8959999999997</v>
      </c>
      <c r="H4288">
        <f>1928.31</f>
        <v>1928.31</v>
      </c>
      <c r="I4288">
        <f>7304.936</f>
        <v>7304.9359999999997</v>
      </c>
      <c r="J4288">
        <f>1507.68</f>
        <v>1507.68</v>
      </c>
      <c r="K4288">
        <f>4549.89</f>
        <v>4549.8900000000003</v>
      </c>
      <c r="L4288">
        <f>1185.63</f>
        <v>1185.6300000000001</v>
      </c>
      <c r="M4288">
        <f>4507.75</f>
        <v>4507.75</v>
      </c>
      <c r="N4288">
        <f>183.042</f>
        <v>183.042</v>
      </c>
      <c r="O4288">
        <f>1925.9</f>
        <v>1925.9</v>
      </c>
      <c r="P4288">
        <f>112.68</f>
        <v>112.68</v>
      </c>
      <c r="Q4288">
        <f>808.68</f>
        <v>808.68</v>
      </c>
      <c r="R4288">
        <f>2202.77</f>
        <v>2202.77</v>
      </c>
      <c r="S4288">
        <f>2023.55</f>
        <v>2023.55</v>
      </c>
      <c r="T4288" t="e">
        <f>NA()</f>
        <v>#N/A</v>
      </c>
      <c r="U4288">
        <f>25103.68</f>
        <v>25103.68</v>
      </c>
      <c r="V4288" t="e">
        <f>NA()</f>
        <v>#N/A</v>
      </c>
    </row>
    <row r="4289" spans="1:22" x14ac:dyDescent="0.2">
      <c r="A4289" s="1">
        <v>39104</v>
      </c>
      <c r="B4289">
        <f>4005.79</f>
        <v>4005.79</v>
      </c>
      <c r="C4289">
        <f>5128.71</f>
        <v>5128.71</v>
      </c>
      <c r="D4289">
        <f>3492.68</f>
        <v>3492.68</v>
      </c>
      <c r="E4289">
        <f>1463.936</f>
        <v>1463.9359999999999</v>
      </c>
      <c r="F4289">
        <f>2479.19</f>
        <v>2479.19</v>
      </c>
      <c r="G4289">
        <f>7077.295</f>
        <v>7077.2950000000001</v>
      </c>
      <c r="H4289">
        <f>1921.35</f>
        <v>1921.35</v>
      </c>
      <c r="I4289">
        <f>7266.504</f>
        <v>7266.5039999999999</v>
      </c>
      <c r="J4289">
        <f>1505.99</f>
        <v>1505.99</v>
      </c>
      <c r="K4289">
        <f>4533.4</f>
        <v>4533.3999999999996</v>
      </c>
      <c r="L4289">
        <f>1181.76</f>
        <v>1181.76</v>
      </c>
      <c r="M4289">
        <f>4488.34</f>
        <v>4488.34</v>
      </c>
      <c r="N4289">
        <f>183.703</f>
        <v>183.703</v>
      </c>
      <c r="O4289">
        <f>1926.49</f>
        <v>1926.49</v>
      </c>
      <c r="P4289">
        <f>113.1</f>
        <v>113.1</v>
      </c>
      <c r="Q4289">
        <f>806.78</f>
        <v>806.78</v>
      </c>
      <c r="R4289">
        <f>2195</f>
        <v>2195</v>
      </c>
      <c r="S4289">
        <f>2023.04</f>
        <v>2023.04</v>
      </c>
      <c r="T4289" t="e">
        <f>NA()</f>
        <v>#N/A</v>
      </c>
      <c r="U4289">
        <f>25139.78</f>
        <v>25139.78</v>
      </c>
      <c r="V4289" t="e">
        <f>NA()</f>
        <v>#N/A</v>
      </c>
    </row>
    <row r="4290" spans="1:22" x14ac:dyDescent="0.2">
      <c r="A4290" s="1">
        <v>39101</v>
      </c>
      <c r="B4290">
        <f>4002.41</f>
        <v>4002.41</v>
      </c>
      <c r="C4290">
        <f>5107.22</f>
        <v>5107.22</v>
      </c>
      <c r="D4290">
        <f>3503.22</f>
        <v>3503.22</v>
      </c>
      <c r="E4290">
        <f>1452.691</f>
        <v>1452.691</v>
      </c>
      <c r="F4290">
        <f>2477.72</f>
        <v>2477.7199999999998</v>
      </c>
      <c r="G4290">
        <f>7090.606</f>
        <v>7090.6059999999998</v>
      </c>
      <c r="H4290">
        <f>1904.74</f>
        <v>1904.74</v>
      </c>
      <c r="I4290">
        <f>7291.815</f>
        <v>7291.8149999999996</v>
      </c>
      <c r="J4290">
        <f>1510.87</f>
        <v>1510.87</v>
      </c>
      <c r="K4290">
        <f>4557.3</f>
        <v>4557.3</v>
      </c>
      <c r="L4290">
        <f>1183.67</f>
        <v>1183.67</v>
      </c>
      <c r="M4290">
        <f>4498.59</f>
        <v>4498.59</v>
      </c>
      <c r="N4290">
        <f>184.184</f>
        <v>184.184</v>
      </c>
      <c r="O4290">
        <f>1933.89</f>
        <v>1933.89</v>
      </c>
      <c r="P4290">
        <f>112.23</f>
        <v>112.23</v>
      </c>
      <c r="Q4290">
        <f>809.46</f>
        <v>809.46</v>
      </c>
      <c r="R4290">
        <f>2206.6</f>
        <v>2206.6</v>
      </c>
      <c r="S4290">
        <f>2004.2</f>
        <v>2004.2</v>
      </c>
      <c r="T4290" t="e">
        <f>NA()</f>
        <v>#N/A</v>
      </c>
      <c r="U4290">
        <f>24920.95</f>
        <v>24920.95</v>
      </c>
      <c r="V4290" t="e">
        <f>NA()</f>
        <v>#N/A</v>
      </c>
    </row>
    <row r="4291" spans="1:22" x14ac:dyDescent="0.2">
      <c r="A4291" s="1">
        <v>39100</v>
      </c>
      <c r="B4291">
        <f>3989.93</f>
        <v>3989.93</v>
      </c>
      <c r="C4291">
        <f>5096.58</f>
        <v>5096.58</v>
      </c>
      <c r="D4291">
        <f>3488.1</f>
        <v>3488.1</v>
      </c>
      <c r="E4291">
        <f>1452.792</f>
        <v>1452.7919999999999</v>
      </c>
      <c r="F4291">
        <f>2466.25</f>
        <v>2466.25</v>
      </c>
      <c r="G4291">
        <f>7053.263</f>
        <v>7053.2629999999999</v>
      </c>
      <c r="H4291">
        <f>1904.99</f>
        <v>1904.99</v>
      </c>
      <c r="I4291">
        <f>7239.124</f>
        <v>7239.1239999999998</v>
      </c>
      <c r="J4291">
        <f>1511.11</f>
        <v>1511.11</v>
      </c>
      <c r="K4291">
        <f>4543.36</f>
        <v>4543.3599999999997</v>
      </c>
      <c r="L4291">
        <f>1178.98</f>
        <v>1178.98</v>
      </c>
      <c r="M4291">
        <f>4481.27</f>
        <v>4481.2700000000004</v>
      </c>
      <c r="N4291">
        <f>183.177</f>
        <v>183.17699999999999</v>
      </c>
      <c r="O4291">
        <f>1920.52</f>
        <v>1920.52</v>
      </c>
      <c r="P4291">
        <f>111.85</f>
        <v>111.85</v>
      </c>
      <c r="Q4291">
        <f>807.97</f>
        <v>807.97</v>
      </c>
      <c r="R4291">
        <f>2200.2</f>
        <v>2200.1999999999998</v>
      </c>
      <c r="S4291">
        <f>2005.33</f>
        <v>2005.33</v>
      </c>
      <c r="T4291" t="e">
        <f>NA()</f>
        <v>#N/A</v>
      </c>
      <c r="U4291">
        <f>25231.5</f>
        <v>25231.5</v>
      </c>
      <c r="V4291" t="e">
        <f>NA()</f>
        <v>#N/A</v>
      </c>
    </row>
    <row r="4292" spans="1:22" x14ac:dyDescent="0.2">
      <c r="A4292" s="1">
        <v>39099</v>
      </c>
      <c r="B4292">
        <f>3975.08</f>
        <v>3975.08</v>
      </c>
      <c r="C4292">
        <f>5059.48</f>
        <v>5059.4799999999996</v>
      </c>
      <c r="D4292">
        <f>3484.84</f>
        <v>3484.84</v>
      </c>
      <c r="E4292">
        <f>1447.688</f>
        <v>1447.6880000000001</v>
      </c>
      <c r="F4292">
        <f>2467.79</f>
        <v>2467.79</v>
      </c>
      <c r="G4292">
        <f>7043.44</f>
        <v>7043.44</v>
      </c>
      <c r="H4292">
        <f>1901.67</f>
        <v>1901.67</v>
      </c>
      <c r="I4292">
        <f>7248.29</f>
        <v>7248.29</v>
      </c>
      <c r="J4292">
        <f>1506.83</f>
        <v>1506.83</v>
      </c>
      <c r="K4292">
        <f>4558.46</f>
        <v>4558.46</v>
      </c>
      <c r="L4292">
        <f>1177.28</f>
        <v>1177.28</v>
      </c>
      <c r="M4292">
        <f>4489.69</f>
        <v>4489.6899999999996</v>
      </c>
      <c r="N4292">
        <f>183.063</f>
        <v>183.06299999999999</v>
      </c>
      <c r="O4292">
        <f>1921.82</f>
        <v>1921.82</v>
      </c>
      <c r="P4292">
        <f>110.91</f>
        <v>110.91</v>
      </c>
      <c r="Q4292">
        <f>806.87</f>
        <v>806.87</v>
      </c>
      <c r="R4292">
        <f>2206.7</f>
        <v>2206.6999999999998</v>
      </c>
      <c r="S4292">
        <f>1995.49</f>
        <v>1995.49</v>
      </c>
      <c r="T4292" t="e">
        <f>NA()</f>
        <v>#N/A</v>
      </c>
      <c r="U4292">
        <f>24980.44</f>
        <v>24980.44</v>
      </c>
      <c r="V4292" t="e">
        <f>NA()</f>
        <v>#N/A</v>
      </c>
    </row>
    <row r="4293" spans="1:22" x14ac:dyDescent="0.2">
      <c r="A4293" s="1">
        <v>39098</v>
      </c>
      <c r="B4293">
        <f>3991.67</f>
        <v>3991.67</v>
      </c>
      <c r="C4293">
        <f>5052.28</f>
        <v>5052.28</v>
      </c>
      <c r="D4293">
        <f>3490.38</f>
        <v>3490.38</v>
      </c>
      <c r="E4293">
        <f>1449.799</f>
        <v>1449.799</v>
      </c>
      <c r="F4293">
        <f>2462.34</f>
        <v>2462.34</v>
      </c>
      <c r="G4293">
        <f>7017.434</f>
        <v>7017.4340000000002</v>
      </c>
      <c r="H4293">
        <f>1898.2</f>
        <v>1898.2</v>
      </c>
      <c r="I4293">
        <f>7253.435</f>
        <v>7253.4350000000004</v>
      </c>
      <c r="J4293">
        <f>1506.33</f>
        <v>1506.33</v>
      </c>
      <c r="K4293">
        <f>4562.28</f>
        <v>4562.28</v>
      </c>
      <c r="L4293">
        <f>1177.46</f>
        <v>1177.46</v>
      </c>
      <c r="M4293">
        <f>4488.06</f>
        <v>4488.0600000000004</v>
      </c>
      <c r="N4293">
        <f>183.177</f>
        <v>183.17699999999999</v>
      </c>
      <c r="O4293">
        <f>1923.67</f>
        <v>1923.67</v>
      </c>
      <c r="P4293">
        <f>110.97</f>
        <v>110.97</v>
      </c>
      <c r="Q4293">
        <f>806.15</f>
        <v>806.15</v>
      </c>
      <c r="R4293">
        <f>2208.48</f>
        <v>2208.48</v>
      </c>
      <c r="S4293">
        <f>1991.73</f>
        <v>1991.73</v>
      </c>
      <c r="T4293" t="e">
        <f>NA()</f>
        <v>#N/A</v>
      </c>
      <c r="U4293">
        <f>25155.45</f>
        <v>25155.45</v>
      </c>
      <c r="V4293" t="e">
        <f>NA()</f>
        <v>#N/A</v>
      </c>
    </row>
    <row r="4294" spans="1:22" x14ac:dyDescent="0.2">
      <c r="A4294" s="1">
        <v>39097</v>
      </c>
      <c r="B4294">
        <f>4028.53</f>
        <v>4028.53</v>
      </c>
      <c r="C4294">
        <f>5061.69</f>
        <v>5061.6899999999996</v>
      </c>
      <c r="D4294">
        <f>3517.22</f>
        <v>3517.22</v>
      </c>
      <c r="E4294">
        <f>1452.454</f>
        <v>1452.454</v>
      </c>
      <c r="F4294">
        <f>2488.31</f>
        <v>2488.31</v>
      </c>
      <c r="G4294">
        <f>7088.106</f>
        <v>7088.1059999999998</v>
      </c>
      <c r="H4294">
        <f>1904.49</f>
        <v>1904.49</v>
      </c>
      <c r="I4294">
        <f>7280.955</f>
        <v>7280.9549999999999</v>
      </c>
      <c r="J4294">
        <f>1502.69</f>
        <v>1502.69</v>
      </c>
      <c r="K4294">
        <f>4557.39</f>
        <v>4557.3900000000003</v>
      </c>
      <c r="L4294">
        <f>1180.59</f>
        <v>1180.5899999999999</v>
      </c>
      <c r="M4294">
        <f>4497.45</f>
        <v>4497.45</v>
      </c>
      <c r="N4294">
        <f>183.863</f>
        <v>183.863</v>
      </c>
      <c r="O4294">
        <f>1933.26</f>
        <v>1933.26</v>
      </c>
      <c r="P4294">
        <f>111.08</f>
        <v>111.08</v>
      </c>
      <c r="Q4294">
        <f>805.19</f>
        <v>805.19</v>
      </c>
      <c r="R4294" t="e">
        <f>NA()</f>
        <v>#N/A</v>
      </c>
      <c r="S4294">
        <f>1992.94</f>
        <v>1992.94</v>
      </c>
      <c r="T4294" t="e">
        <f>NA()</f>
        <v>#N/A</v>
      </c>
      <c r="U4294">
        <f>25194.73</f>
        <v>25194.73</v>
      </c>
      <c r="V4294" t="e">
        <f>NA()</f>
        <v>#N/A</v>
      </c>
    </row>
    <row r="4295" spans="1:22" x14ac:dyDescent="0.2">
      <c r="A4295" s="1">
        <v>39094</v>
      </c>
      <c r="B4295">
        <f>4003.66</f>
        <v>4003.66</v>
      </c>
      <c r="C4295">
        <f>5018.64</f>
        <v>5018.6400000000003</v>
      </c>
      <c r="D4295">
        <f>3503.49</f>
        <v>3503.49</v>
      </c>
      <c r="E4295">
        <f>1432.22</f>
        <v>1432.22</v>
      </c>
      <c r="F4295">
        <f>2471.14</f>
        <v>2471.14</v>
      </c>
      <c r="G4295">
        <f>7035.992</f>
        <v>7035.9920000000002</v>
      </c>
      <c r="H4295">
        <f>1886.79</f>
        <v>1886.79</v>
      </c>
      <c r="I4295">
        <f>7237.327</f>
        <v>7237.3270000000002</v>
      </c>
      <c r="J4295">
        <f>1502.69</f>
        <v>1502.69</v>
      </c>
      <c r="K4295">
        <f>4557.39</f>
        <v>4557.3900000000003</v>
      </c>
      <c r="L4295">
        <f>1175.56</f>
        <v>1175.56</v>
      </c>
      <c r="M4295">
        <f>4480.06</f>
        <v>4480.0600000000004</v>
      </c>
      <c r="N4295">
        <f>182.411</f>
        <v>182.411</v>
      </c>
      <c r="O4295">
        <f>1921.57</f>
        <v>1921.57</v>
      </c>
      <c r="P4295">
        <f>109.83</f>
        <v>109.83</v>
      </c>
      <c r="Q4295">
        <f>805.19</f>
        <v>805.19</v>
      </c>
      <c r="R4295">
        <f>2206.68</f>
        <v>2206.6799999999998</v>
      </c>
      <c r="S4295">
        <f>1970.36</f>
        <v>1970.36</v>
      </c>
      <c r="T4295" t="e">
        <f>NA()</f>
        <v>#N/A</v>
      </c>
      <c r="U4295">
        <f>24908.87</f>
        <v>24908.87</v>
      </c>
      <c r="V4295" t="e">
        <f>NA()</f>
        <v>#N/A</v>
      </c>
    </row>
    <row r="4296" spans="1:22" x14ac:dyDescent="0.2">
      <c r="A4296" s="1">
        <v>39093</v>
      </c>
      <c r="B4296">
        <f>3986.42</f>
        <v>3986.42</v>
      </c>
      <c r="C4296">
        <f>4953.65</f>
        <v>4953.6499999999996</v>
      </c>
      <c r="D4296">
        <f>3498.47</f>
        <v>3498.47</v>
      </c>
      <c r="E4296">
        <f>1414.646</f>
        <v>1414.646</v>
      </c>
      <c r="F4296">
        <f>2448.98</f>
        <v>2448.98</v>
      </c>
      <c r="G4296">
        <f>6958.827</f>
        <v>6958.8270000000002</v>
      </c>
      <c r="H4296">
        <f>1858.42</f>
        <v>1858.42</v>
      </c>
      <c r="I4296">
        <f>7191.06</f>
        <v>7191.06</v>
      </c>
      <c r="J4296">
        <f>1500.46</f>
        <v>1500.46</v>
      </c>
      <c r="K4296">
        <f>4535.11</f>
        <v>4535.1099999999997</v>
      </c>
      <c r="L4296">
        <f>1167.49</f>
        <v>1167.49</v>
      </c>
      <c r="M4296">
        <f>4443.67</f>
        <v>4443.67</v>
      </c>
      <c r="N4296">
        <f>181.646</f>
        <v>181.64599999999999</v>
      </c>
      <c r="O4296">
        <f>1913.14</f>
        <v>1913.14</v>
      </c>
      <c r="P4296">
        <f>108.05</f>
        <v>108.05</v>
      </c>
      <c r="Q4296">
        <f>805.13</f>
        <v>805.13</v>
      </c>
      <c r="R4296">
        <f>2196.02</f>
        <v>2196.02</v>
      </c>
      <c r="S4296">
        <f>1936.98</f>
        <v>1936.98</v>
      </c>
      <c r="T4296" t="e">
        <f>NA()</f>
        <v>#N/A</v>
      </c>
      <c r="U4296">
        <f>24677.47</f>
        <v>24677.47</v>
      </c>
      <c r="V4296" t="e">
        <f>NA()</f>
        <v>#N/A</v>
      </c>
    </row>
    <row r="4297" spans="1:22" x14ac:dyDescent="0.2">
      <c r="A4297" s="1">
        <v>39092</v>
      </c>
      <c r="B4297">
        <f>3964.98</f>
        <v>3964.98</v>
      </c>
      <c r="C4297">
        <f>4919.1</f>
        <v>4919.1000000000004</v>
      </c>
      <c r="D4297">
        <f>3459.51</f>
        <v>3459.51</v>
      </c>
      <c r="E4297">
        <f>1403.749</f>
        <v>1403.749</v>
      </c>
      <c r="F4297">
        <f>2422.14</f>
        <v>2422.14</v>
      </c>
      <c r="G4297">
        <f>6862.289</f>
        <v>6862.2889999999998</v>
      </c>
      <c r="H4297">
        <f>1877.42</f>
        <v>1877.42</v>
      </c>
      <c r="I4297">
        <f>7104.947</f>
        <v>7104.9470000000001</v>
      </c>
      <c r="J4297">
        <f>1494.42</f>
        <v>1494.42</v>
      </c>
      <c r="K4297">
        <f>4503.79</f>
        <v>4503.79</v>
      </c>
      <c r="L4297">
        <f>1158.14</f>
        <v>1158.1400000000001</v>
      </c>
      <c r="M4297">
        <f>4413.02</f>
        <v>4413.0200000000004</v>
      </c>
      <c r="N4297">
        <f>178.748</f>
        <v>178.74799999999999</v>
      </c>
      <c r="O4297">
        <f>1879.86</f>
        <v>1879.86</v>
      </c>
      <c r="P4297">
        <f>107.99</f>
        <v>107.99</v>
      </c>
      <c r="Q4297">
        <f>799.32</f>
        <v>799.32</v>
      </c>
      <c r="R4297">
        <f>2182.16</f>
        <v>2182.16</v>
      </c>
      <c r="S4297">
        <f>1944.33</f>
        <v>1944.33</v>
      </c>
      <c r="T4297" t="e">
        <f>NA()</f>
        <v>#N/A</v>
      </c>
      <c r="U4297">
        <f>24535.63</f>
        <v>24535.63</v>
      </c>
      <c r="V4297" t="e">
        <f>NA()</f>
        <v>#N/A</v>
      </c>
    </row>
    <row r="4298" spans="1:22" x14ac:dyDescent="0.2">
      <c r="A4298" s="1">
        <v>39091</v>
      </c>
      <c r="B4298">
        <f>3974.76</f>
        <v>3974.76</v>
      </c>
      <c r="C4298">
        <f>4988.12</f>
        <v>4988.12</v>
      </c>
      <c r="D4298">
        <f>3479.33</f>
        <v>3479.33</v>
      </c>
      <c r="E4298">
        <f>1420.672</f>
        <v>1420.672</v>
      </c>
      <c r="F4298">
        <f>2451.28</f>
        <v>2451.2800000000002</v>
      </c>
      <c r="G4298">
        <f>6922.905</f>
        <v>6922.9049999999997</v>
      </c>
      <c r="H4298">
        <f>1918.96</f>
        <v>1918.96</v>
      </c>
      <c r="I4298">
        <f>7187.286</f>
        <v>7187.2860000000001</v>
      </c>
      <c r="J4298">
        <f>1493.07</f>
        <v>1493.07</v>
      </c>
      <c r="K4298">
        <f>4491.44</f>
        <v>4491.4399999999996</v>
      </c>
      <c r="L4298">
        <f>1166.58</f>
        <v>1166.58</v>
      </c>
      <c r="M4298">
        <f>4434.91</f>
        <v>4434.91</v>
      </c>
      <c r="N4298">
        <f>179.914</f>
        <v>179.91399999999999</v>
      </c>
      <c r="O4298">
        <f>1891.35</f>
        <v>1891.35</v>
      </c>
      <c r="P4298">
        <f>109.72</f>
        <v>109.72</v>
      </c>
      <c r="Q4298">
        <f>798.03</f>
        <v>798.03</v>
      </c>
      <c r="R4298">
        <f>2177.68</f>
        <v>2177.6799999999998</v>
      </c>
      <c r="S4298">
        <f>1978.37</f>
        <v>1978.37</v>
      </c>
      <c r="T4298" t="e">
        <f>NA()</f>
        <v>#N/A</v>
      </c>
      <c r="U4298">
        <f>24603.61</f>
        <v>24603.61</v>
      </c>
      <c r="V4298" t="e">
        <f>NA()</f>
        <v>#N/A</v>
      </c>
    </row>
    <row r="4299" spans="1:22" x14ac:dyDescent="0.2">
      <c r="A4299" s="1">
        <v>39090</v>
      </c>
      <c r="B4299">
        <f>3972.72</f>
        <v>3972.72</v>
      </c>
      <c r="C4299">
        <f>5007.15</f>
        <v>5007.1499999999996</v>
      </c>
      <c r="D4299">
        <f>3478.21</f>
        <v>3478.21</v>
      </c>
      <c r="E4299">
        <f>1439.107</f>
        <v>1439.107</v>
      </c>
      <c r="F4299">
        <f>2429.86</f>
        <v>2429.86</v>
      </c>
      <c r="G4299">
        <f>6899.599</f>
        <v>6899.5990000000002</v>
      </c>
      <c r="H4299">
        <f>1919.59</f>
        <v>1919.59</v>
      </c>
      <c r="I4299">
        <f>7181.687</f>
        <v>7181.6869999999999</v>
      </c>
      <c r="J4299">
        <f>1493.63</f>
        <v>1493.63</v>
      </c>
      <c r="K4299">
        <f>4491.94</f>
        <v>4491.9399999999996</v>
      </c>
      <c r="L4299">
        <f>1165.58</f>
        <v>1165.58</v>
      </c>
      <c r="M4299">
        <f>4430.83</f>
        <v>4430.83</v>
      </c>
      <c r="N4299">
        <f>179.341</f>
        <v>179.34100000000001</v>
      </c>
      <c r="O4299">
        <f>1888.06</f>
        <v>1888.06</v>
      </c>
      <c r="P4299" t="e">
        <f>NA()</f>
        <v>#N/A</v>
      </c>
      <c r="Q4299">
        <f>796.97</f>
        <v>796.97</v>
      </c>
      <c r="R4299">
        <f>2178.8</f>
        <v>2178.8000000000002</v>
      </c>
      <c r="S4299" t="e">
        <f>NA()</f>
        <v>#N/A</v>
      </c>
      <c r="T4299" t="e">
        <f>NA()</f>
        <v>#N/A</v>
      </c>
      <c r="U4299">
        <f>24412.47</f>
        <v>24412.47</v>
      </c>
      <c r="V4299" t="e">
        <f>NA()</f>
        <v>#N/A</v>
      </c>
    </row>
    <row r="4300" spans="1:22" x14ac:dyDescent="0.2">
      <c r="A4300" s="1">
        <v>39087</v>
      </c>
      <c r="B4300">
        <f>3982.17</f>
        <v>3982.17</v>
      </c>
      <c r="C4300">
        <f>5029.3</f>
        <v>5029.3</v>
      </c>
      <c r="D4300">
        <f>3492.79</f>
        <v>3492.79</v>
      </c>
      <c r="E4300">
        <f>1447.044</f>
        <v>1447.0440000000001</v>
      </c>
      <c r="F4300">
        <f>2424.07</f>
        <v>2424.0700000000002</v>
      </c>
      <c r="G4300">
        <f>6902.244</f>
        <v>6902.2439999999997</v>
      </c>
      <c r="H4300">
        <f>1917.33</f>
        <v>1917.33</v>
      </c>
      <c r="I4300">
        <f>7179.289</f>
        <v>7179.2889999999998</v>
      </c>
      <c r="J4300">
        <f>1491.64</f>
        <v>1491.64</v>
      </c>
      <c r="K4300">
        <f>4481.15</f>
        <v>4481.1499999999996</v>
      </c>
      <c r="L4300">
        <f>1165.58</f>
        <v>1165.58</v>
      </c>
      <c r="M4300">
        <f>4425.41</f>
        <v>4425.41</v>
      </c>
      <c r="N4300">
        <f>179.249</f>
        <v>179.249</v>
      </c>
      <c r="O4300">
        <f>1890.3</f>
        <v>1890.3</v>
      </c>
      <c r="P4300">
        <f>108.91</f>
        <v>108.91</v>
      </c>
      <c r="Q4300">
        <f>795.91</f>
        <v>795.91</v>
      </c>
      <c r="R4300">
        <f>2173.29</f>
        <v>2173.29</v>
      </c>
      <c r="S4300">
        <f>1958.74</f>
        <v>1958.74</v>
      </c>
      <c r="T4300" t="e">
        <f>NA()</f>
        <v>#N/A</v>
      </c>
      <c r="U4300">
        <f>24261.06</f>
        <v>24261.06</v>
      </c>
      <c r="V4300" t="e">
        <f>NA()</f>
        <v>#N/A</v>
      </c>
    </row>
    <row r="4301" spans="1:22" x14ac:dyDescent="0.2">
      <c r="A4301" s="1">
        <v>39086</v>
      </c>
      <c r="B4301">
        <f>4013.73</f>
        <v>4013.73</v>
      </c>
      <c r="C4301">
        <f>5111.06</f>
        <v>5111.0600000000004</v>
      </c>
      <c r="D4301">
        <f>3530.32</f>
        <v>3530.32</v>
      </c>
      <c r="E4301">
        <f>1467.638</f>
        <v>1467.6379999999999</v>
      </c>
      <c r="F4301">
        <f>2468.49</f>
        <v>2468.4899999999998</v>
      </c>
      <c r="G4301">
        <f>7036.219</f>
        <v>7036.2190000000001</v>
      </c>
      <c r="H4301">
        <f>1948.86</f>
        <v>1948.86</v>
      </c>
      <c r="I4301">
        <f>7283.236</f>
        <v>7283.2359999999999</v>
      </c>
      <c r="J4301">
        <f>1504.7</f>
        <v>1504.7</v>
      </c>
      <c r="K4301">
        <f>4509.28</f>
        <v>4509.28</v>
      </c>
      <c r="L4301">
        <f>1180.71</f>
        <v>1180.71</v>
      </c>
      <c r="M4301">
        <f>4469.22</f>
        <v>4469.22</v>
      </c>
      <c r="N4301">
        <f>180.241</f>
        <v>180.24100000000001</v>
      </c>
      <c r="O4301">
        <f>1907.03</f>
        <v>1907.03</v>
      </c>
      <c r="P4301">
        <f>110.31</f>
        <v>110.31</v>
      </c>
      <c r="Q4301">
        <f>802</f>
        <v>802</v>
      </c>
      <c r="R4301">
        <f>2186.6</f>
        <v>2186.6</v>
      </c>
      <c r="S4301">
        <f>1986.36</f>
        <v>1986.36</v>
      </c>
      <c r="T4301" t="e">
        <f>NA()</f>
        <v>#N/A</v>
      </c>
      <c r="U4301">
        <f>24201.02</f>
        <v>24201.02</v>
      </c>
      <c r="V4301" t="e">
        <f>NA()</f>
        <v>#N/A</v>
      </c>
    </row>
    <row r="4302" spans="1:22" x14ac:dyDescent="0.2">
      <c r="A4302" s="1">
        <v>39085</v>
      </c>
      <c r="B4302">
        <f>4029.71</f>
        <v>4029.71</v>
      </c>
      <c r="C4302">
        <f>5188.09</f>
        <v>5188.09</v>
      </c>
      <c r="D4302">
        <f>3548.32</f>
        <v>3548.32</v>
      </c>
      <c r="E4302">
        <f>1490.394</f>
        <v>1490.394</v>
      </c>
      <c r="F4302">
        <f>2477.45</f>
        <v>2477.4499999999998</v>
      </c>
      <c r="G4302">
        <f>7098.694</f>
        <v>7098.6940000000004</v>
      </c>
      <c r="H4302">
        <f>1928.9</f>
        <v>1928.9</v>
      </c>
      <c r="I4302">
        <f>7372.143</f>
        <v>7372.143</v>
      </c>
      <c r="J4302">
        <f>1504.94</f>
        <v>1504.94</v>
      </c>
      <c r="K4302">
        <f>4501.49</f>
        <v>4501.49</v>
      </c>
      <c r="L4302">
        <f>1188.35</f>
        <v>1188.3499999999999</v>
      </c>
      <c r="M4302">
        <f>4482.09</f>
        <v>4482.09</v>
      </c>
      <c r="N4302">
        <f>180.455</f>
        <v>180.45500000000001</v>
      </c>
      <c r="O4302">
        <f>1912.3</f>
        <v>1912.3</v>
      </c>
      <c r="P4302" t="e">
        <f>NA()</f>
        <v>#N/A</v>
      </c>
      <c r="Q4302">
        <f>802.25</f>
        <v>802.25</v>
      </c>
      <c r="R4302">
        <f>2183.92</f>
        <v>2183.92</v>
      </c>
      <c r="S4302" t="e">
        <f>NA()</f>
        <v>#N/A</v>
      </c>
      <c r="T4302" t="e">
        <f>NA()</f>
        <v>#N/A</v>
      </c>
      <c r="U4302">
        <f>24600.96</f>
        <v>24600.959999999999</v>
      </c>
      <c r="V4302" t="e">
        <f>NA()</f>
        <v>#N/A</v>
      </c>
    </row>
    <row r="4303" spans="1:22" x14ac:dyDescent="0.2">
      <c r="A4303" s="1">
        <v>39084</v>
      </c>
      <c r="B4303">
        <f>4026.78</f>
        <v>4026.78</v>
      </c>
      <c r="C4303">
        <f>5233.65</f>
        <v>5233.6499999999996</v>
      </c>
      <c r="D4303">
        <f>3543.72</f>
        <v>3543.72</v>
      </c>
      <c r="E4303">
        <f>1499.022</f>
        <v>1499.0219999999999</v>
      </c>
      <c r="F4303">
        <f>2483.78</f>
        <v>2483.7800000000002</v>
      </c>
      <c r="G4303">
        <f>7160.296</f>
        <v>7160.2960000000003</v>
      </c>
      <c r="H4303">
        <f>1937.66</f>
        <v>1937.66</v>
      </c>
      <c r="I4303">
        <f>7405.83</f>
        <v>7405.83</v>
      </c>
      <c r="J4303">
        <f>1500.01</f>
        <v>1500.01</v>
      </c>
      <c r="K4303">
        <f>4504.77</f>
        <v>4504.7700000000004</v>
      </c>
      <c r="L4303">
        <f>1191.22</f>
        <v>1191.22</v>
      </c>
      <c r="M4303">
        <f>4498.81</f>
        <v>4498.8100000000004</v>
      </c>
      <c r="N4303">
        <f>180.439</f>
        <v>180.43899999999999</v>
      </c>
      <c r="O4303">
        <f>1910.89</f>
        <v>1910.89</v>
      </c>
      <c r="P4303" t="e">
        <f>NA()</f>
        <v>#N/A</v>
      </c>
      <c r="Q4303">
        <f>800.14</f>
        <v>800.14</v>
      </c>
      <c r="R4303" t="e">
        <f>NA()</f>
        <v>#N/A</v>
      </c>
      <c r="S4303" t="e">
        <f>NA()</f>
        <v>#N/A</v>
      </c>
      <c r="T4303" t="e">
        <f>NA()</f>
        <v>#N/A</v>
      </c>
      <c r="U4303">
        <f>25156.71</f>
        <v>25156.71</v>
      </c>
      <c r="V4303" t="e">
        <f>NA()</f>
        <v>#N/A</v>
      </c>
    </row>
    <row r="4304" spans="1:22" x14ac:dyDescent="0.2">
      <c r="A4304" s="1">
        <v>39083</v>
      </c>
      <c r="B4304" t="e">
        <f>NA()</f>
        <v>#N/A</v>
      </c>
      <c r="C4304">
        <f>5151.57</f>
        <v>5151.57</v>
      </c>
      <c r="D4304" t="e">
        <f>NA()</f>
        <v>#N/A</v>
      </c>
      <c r="E4304">
        <f>1476.806</f>
        <v>1476.806</v>
      </c>
      <c r="F4304">
        <f>2427.48</f>
        <v>2427.48</v>
      </c>
      <c r="G4304">
        <f>7002.593</f>
        <v>7002.5929999999998</v>
      </c>
      <c r="H4304">
        <f>1932.3</f>
        <v>1932.3</v>
      </c>
      <c r="I4304">
        <f>7271.756</f>
        <v>7271.7560000000003</v>
      </c>
      <c r="J4304">
        <f>1500.01</f>
        <v>1500.01</v>
      </c>
      <c r="K4304">
        <f>4504.77</f>
        <v>4504.7700000000004</v>
      </c>
      <c r="L4304">
        <f>1177.14</f>
        <v>1177.1400000000001</v>
      </c>
      <c r="M4304">
        <f>4466.3</f>
        <v>4466.3</v>
      </c>
      <c r="N4304" t="e">
        <f>NA()</f>
        <v>#N/A</v>
      </c>
      <c r="O4304" t="e">
        <f>NA()</f>
        <v>#N/A</v>
      </c>
      <c r="P4304" t="e">
        <f>NA()</f>
        <v>#N/A</v>
      </c>
      <c r="Q4304" t="e">
        <f>NA()</f>
        <v>#N/A</v>
      </c>
      <c r="R4304" t="e">
        <f>NA()</f>
        <v>#N/A</v>
      </c>
      <c r="S4304" t="e">
        <f>NA()</f>
        <v>#N/A</v>
      </c>
      <c r="T4304" t="e">
        <f>NA()</f>
        <v>#N/A</v>
      </c>
      <c r="U4304" t="e">
        <f>NA()</f>
        <v>#N/A</v>
      </c>
      <c r="V4304" t="e">
        <f>NA()</f>
        <v>#N/A</v>
      </c>
    </row>
    <row r="4305" spans="1:22" x14ac:dyDescent="0.2">
      <c r="A4305" s="1">
        <v>39080</v>
      </c>
      <c r="B4305">
        <f>3964.81</f>
        <v>3964.81</v>
      </c>
      <c r="C4305">
        <f>5150.08</f>
        <v>5150.08</v>
      </c>
      <c r="D4305">
        <f>3493.12</f>
        <v>3493.12</v>
      </c>
      <c r="E4305">
        <f>1476.239</f>
        <v>1476.239</v>
      </c>
      <c r="F4305">
        <f>2427.48</f>
        <v>2427.48</v>
      </c>
      <c r="G4305">
        <f>7002.593</f>
        <v>7002.5929999999998</v>
      </c>
      <c r="H4305">
        <f>1932.3</f>
        <v>1932.3</v>
      </c>
      <c r="I4305">
        <f>7271.756</f>
        <v>7271.7560000000003</v>
      </c>
      <c r="J4305">
        <f>1500.01</f>
        <v>1500.01</v>
      </c>
      <c r="K4305">
        <f>4504.77</f>
        <v>4504.7700000000004</v>
      </c>
      <c r="L4305">
        <f>1177.14</f>
        <v>1177.1400000000001</v>
      </c>
      <c r="M4305">
        <f>4466.3</f>
        <v>4466.3</v>
      </c>
      <c r="N4305">
        <f>178.443</f>
        <v>178.44300000000001</v>
      </c>
      <c r="O4305">
        <f>1886.8</f>
        <v>1886.8</v>
      </c>
      <c r="P4305">
        <f>109.24</f>
        <v>109.24</v>
      </c>
      <c r="Q4305">
        <f>800.14</f>
        <v>800.14</v>
      </c>
      <c r="R4305">
        <f>2186.13</f>
        <v>2186.13</v>
      </c>
      <c r="S4305">
        <f>1965.45</f>
        <v>1965.45</v>
      </c>
      <c r="T4305" t="e">
        <f>NA()</f>
        <v>#N/A</v>
      </c>
      <c r="U4305">
        <f>24915.2</f>
        <v>24915.200000000001</v>
      </c>
      <c r="V4305" t="e">
        <f>NA()</f>
        <v>#N/A</v>
      </c>
    </row>
    <row r="4306" spans="1:22" x14ac:dyDescent="0.2">
      <c r="A4306" s="1">
        <v>39079</v>
      </c>
      <c r="B4306">
        <f>3984.89</f>
        <v>3984.89</v>
      </c>
      <c r="C4306">
        <f>5129.34</f>
        <v>5129.34</v>
      </c>
      <c r="D4306">
        <f>3504.42</f>
        <v>3504.42</v>
      </c>
      <c r="E4306">
        <f>1472.129</f>
        <v>1472.1289999999999</v>
      </c>
      <c r="F4306">
        <f>2442.65</f>
        <v>2442.65</v>
      </c>
      <c r="G4306">
        <f>7034.438</f>
        <v>7034.4380000000001</v>
      </c>
      <c r="H4306">
        <f>1930.44</f>
        <v>1930.44</v>
      </c>
      <c r="I4306">
        <f>7253.346</f>
        <v>7253.3459999999995</v>
      </c>
      <c r="J4306">
        <f>1508.09</f>
        <v>1508.09</v>
      </c>
      <c r="K4306">
        <f>4524.65</f>
        <v>4524.6499999999996</v>
      </c>
      <c r="L4306">
        <f>1179.76</f>
        <v>1179.76</v>
      </c>
      <c r="M4306">
        <f>4475.48</f>
        <v>4475.4799999999996</v>
      </c>
      <c r="N4306">
        <f>179.08</f>
        <v>179.08</v>
      </c>
      <c r="O4306">
        <f>1893.28</f>
        <v>1893.28</v>
      </c>
      <c r="P4306">
        <f>108.87</f>
        <v>108.87</v>
      </c>
      <c r="Q4306">
        <f>804.3</f>
        <v>804.3</v>
      </c>
      <c r="R4306">
        <f>2196</f>
        <v>2196</v>
      </c>
      <c r="S4306">
        <f>1962.93</f>
        <v>1962.93</v>
      </c>
      <c r="T4306" t="e">
        <f>NA()</f>
        <v>#N/A</v>
      </c>
      <c r="U4306">
        <f>24985.81</f>
        <v>24985.81</v>
      </c>
      <c r="V4306" t="e">
        <f>NA()</f>
        <v>#N/A</v>
      </c>
    </row>
    <row r="4307" spans="1:22" x14ac:dyDescent="0.2">
      <c r="A4307" s="1">
        <v>39078</v>
      </c>
      <c r="B4307">
        <f>3994.61</f>
        <v>3994.61</v>
      </c>
      <c r="C4307">
        <f>5109.08</f>
        <v>5109.08</v>
      </c>
      <c r="D4307">
        <f>3506.83</f>
        <v>3506.83</v>
      </c>
      <c r="E4307">
        <f>1463.956</f>
        <v>1463.9559999999999</v>
      </c>
      <c r="F4307">
        <f>2436.28</f>
        <v>2436.2800000000002</v>
      </c>
      <c r="G4307">
        <f>7020.425</f>
        <v>7020.4250000000002</v>
      </c>
      <c r="H4307">
        <f>1925.79</f>
        <v>1925.79</v>
      </c>
      <c r="I4307">
        <f>7243.45</f>
        <v>7243.45</v>
      </c>
      <c r="J4307">
        <f>1510.74</f>
        <v>1510.74</v>
      </c>
      <c r="K4307">
        <f>4531.4</f>
        <v>4531.3999999999996</v>
      </c>
      <c r="L4307">
        <f>1179.31</f>
        <v>1179.31</v>
      </c>
      <c r="M4307">
        <f>4474.37</f>
        <v>4474.37</v>
      </c>
      <c r="N4307">
        <f>178.786</f>
        <v>178.786</v>
      </c>
      <c r="O4307">
        <f>1893.64</f>
        <v>1893.64</v>
      </c>
      <c r="P4307">
        <f>108.67</f>
        <v>108.67</v>
      </c>
      <c r="Q4307">
        <f>806.46</f>
        <v>806.46</v>
      </c>
      <c r="R4307">
        <f>2199.15</f>
        <v>2199.15</v>
      </c>
      <c r="S4307">
        <f>1960.64</f>
        <v>1960.64</v>
      </c>
      <c r="T4307" t="e">
        <f>NA()</f>
        <v>#N/A</v>
      </c>
      <c r="U4307">
        <f>24932.27</f>
        <v>24932.27</v>
      </c>
      <c r="V4307" t="e">
        <f>NA()</f>
        <v>#N/A</v>
      </c>
    </row>
    <row r="4308" spans="1:22" x14ac:dyDescent="0.2">
      <c r="A4308" s="1">
        <v>39077</v>
      </c>
      <c r="B4308" t="e">
        <f>NA()</f>
        <v>#N/A</v>
      </c>
      <c r="C4308">
        <f>5066.96</f>
        <v>5066.96</v>
      </c>
      <c r="D4308" t="e">
        <f>NA()</f>
        <v>#N/A</v>
      </c>
      <c r="E4308">
        <f>1444.568</f>
        <v>1444.568</v>
      </c>
      <c r="F4308">
        <f>2421.02</f>
        <v>2421.02</v>
      </c>
      <c r="G4308">
        <f>6964.52</f>
        <v>6964.52</v>
      </c>
      <c r="H4308">
        <f>1916.84</f>
        <v>1916.84</v>
      </c>
      <c r="I4308">
        <f>7167.894</f>
        <v>7167.8940000000002</v>
      </c>
      <c r="J4308">
        <f>1499.88</f>
        <v>1499.88</v>
      </c>
      <c r="K4308">
        <f>4498.85</f>
        <v>4498.8500000000004</v>
      </c>
      <c r="L4308">
        <f>1169.16</f>
        <v>1169.1600000000001</v>
      </c>
      <c r="M4308">
        <f>4438.89</f>
        <v>4438.8900000000003</v>
      </c>
      <c r="N4308" t="e">
        <f>NA()</f>
        <v>#N/A</v>
      </c>
      <c r="O4308" t="e">
        <f>NA()</f>
        <v>#N/A</v>
      </c>
      <c r="P4308">
        <f>108.51</f>
        <v>108.51</v>
      </c>
      <c r="Q4308">
        <f>801.17</f>
        <v>801.17</v>
      </c>
      <c r="R4308">
        <f>2183.38</f>
        <v>2183.38</v>
      </c>
      <c r="S4308">
        <f>1955.38</f>
        <v>1955.38</v>
      </c>
      <c r="T4308" t="e">
        <f>NA()</f>
        <v>#N/A</v>
      </c>
      <c r="U4308" t="e">
        <f>NA()</f>
        <v>#N/A</v>
      </c>
      <c r="V4308" t="e">
        <f>NA()</f>
        <v>#N/A</v>
      </c>
    </row>
    <row r="4309" spans="1:22" x14ac:dyDescent="0.2">
      <c r="A4309" s="1">
        <v>39076</v>
      </c>
      <c r="B4309" t="e">
        <f>NA()</f>
        <v>#N/A</v>
      </c>
      <c r="C4309">
        <f>5045.05</f>
        <v>5045.05</v>
      </c>
      <c r="D4309" t="e">
        <f>NA()</f>
        <v>#N/A</v>
      </c>
      <c r="E4309">
        <f>1441.842</f>
        <v>1441.8420000000001</v>
      </c>
      <c r="F4309">
        <f>2424.98</f>
        <v>2424.98</v>
      </c>
      <c r="G4309">
        <f>6975.909</f>
        <v>6975.9089999999997</v>
      </c>
      <c r="H4309">
        <f>1904.94</f>
        <v>1904.94</v>
      </c>
      <c r="I4309">
        <f>7180.002</f>
        <v>7180.0020000000004</v>
      </c>
      <c r="J4309">
        <f>1492.92</f>
        <v>1492.92</v>
      </c>
      <c r="K4309">
        <f>4480.46</f>
        <v>4480.46</v>
      </c>
      <c r="L4309">
        <f>1168.05</f>
        <v>1168.05</v>
      </c>
      <c r="M4309">
        <f>4431.42</f>
        <v>4431.42</v>
      </c>
      <c r="N4309" t="e">
        <f>NA()</f>
        <v>#N/A</v>
      </c>
      <c r="O4309" t="e">
        <f>NA()</f>
        <v>#N/A</v>
      </c>
      <c r="P4309">
        <f>107.93</f>
        <v>107.93</v>
      </c>
      <c r="Q4309" t="e">
        <f>NA()</f>
        <v>#N/A</v>
      </c>
      <c r="R4309" t="e">
        <f>NA()</f>
        <v>#N/A</v>
      </c>
      <c r="S4309">
        <f>1945.52</f>
        <v>1945.52</v>
      </c>
      <c r="T4309" t="e">
        <f>NA()</f>
        <v>#N/A</v>
      </c>
      <c r="U4309" t="e">
        <f>NA()</f>
        <v>#N/A</v>
      </c>
      <c r="V4309" t="e">
        <f>NA()</f>
        <v>#N/A</v>
      </c>
    </row>
    <row r="4310" spans="1:22" x14ac:dyDescent="0.2">
      <c r="A4310" s="1">
        <v>39073</v>
      </c>
      <c r="B4310">
        <f>3956.01</f>
        <v>3956.01</v>
      </c>
      <c r="C4310">
        <f>5049.92</f>
        <v>5049.92</v>
      </c>
      <c r="D4310">
        <f>3474.7</f>
        <v>3474.7</v>
      </c>
      <c r="E4310">
        <f>1443.795</f>
        <v>1443.7950000000001</v>
      </c>
      <c r="F4310">
        <f>2424.98</f>
        <v>2424.98</v>
      </c>
      <c r="G4310">
        <f>6975.909</f>
        <v>6975.9089999999997</v>
      </c>
      <c r="H4310">
        <f>1912.88</f>
        <v>1912.88</v>
      </c>
      <c r="I4310">
        <f>7180.002</f>
        <v>7180.0020000000004</v>
      </c>
      <c r="J4310">
        <f>1492.92</f>
        <v>1492.92</v>
      </c>
      <c r="K4310">
        <f>4480.46</f>
        <v>4480.46</v>
      </c>
      <c r="L4310">
        <f>1168.1</f>
        <v>1168.0999999999999</v>
      </c>
      <c r="M4310">
        <f>4433.13</f>
        <v>4433.13</v>
      </c>
      <c r="N4310">
        <f>178.189</f>
        <v>178.18899999999999</v>
      </c>
      <c r="O4310">
        <f>1874.28</f>
        <v>1874.28</v>
      </c>
      <c r="P4310">
        <f>108.62</f>
        <v>108.62</v>
      </c>
      <c r="Q4310">
        <f>797.49</f>
        <v>797.49</v>
      </c>
      <c r="R4310">
        <f>2173.9</f>
        <v>2173.9</v>
      </c>
      <c r="S4310">
        <f>1953.97</f>
        <v>1953.97</v>
      </c>
      <c r="T4310" t="e">
        <f>NA()</f>
        <v>#N/A</v>
      </c>
      <c r="U4310">
        <f>24631.33</f>
        <v>24631.33</v>
      </c>
      <c r="V4310" t="e">
        <f>NA()</f>
        <v>#N/A</v>
      </c>
    </row>
    <row r="4311" spans="1:22" x14ac:dyDescent="0.2">
      <c r="A4311" s="1">
        <v>39072</v>
      </c>
      <c r="B4311">
        <f>3966.17</f>
        <v>3966.17</v>
      </c>
      <c r="C4311">
        <f>5050.89</f>
        <v>5050.8900000000003</v>
      </c>
      <c r="D4311">
        <f>3471.17</f>
        <v>3471.17</v>
      </c>
      <c r="E4311">
        <f>1443.472</f>
        <v>1443.472</v>
      </c>
      <c r="F4311">
        <f>2428.22</f>
        <v>2428.2199999999998</v>
      </c>
      <c r="G4311">
        <f>6973.717</f>
        <v>6973.7169999999996</v>
      </c>
      <c r="H4311">
        <f>1910.41</f>
        <v>1910.41</v>
      </c>
      <c r="I4311">
        <f>7236.355</f>
        <v>7236.3549999999996</v>
      </c>
      <c r="J4311">
        <f>1499.02</f>
        <v>1499.02</v>
      </c>
      <c r="K4311">
        <f>4503.15</f>
        <v>4503.1499999999996</v>
      </c>
      <c r="L4311">
        <f>1172.36</f>
        <v>1172.3599999999999</v>
      </c>
      <c r="M4311">
        <f>4452.08</f>
        <v>4452.08</v>
      </c>
      <c r="N4311">
        <f>178.173</f>
        <v>178.173</v>
      </c>
      <c r="O4311">
        <f>1881.49</f>
        <v>1881.49</v>
      </c>
      <c r="P4311">
        <f>108.62</f>
        <v>108.62</v>
      </c>
      <c r="Q4311">
        <f>799.14</f>
        <v>799.14</v>
      </c>
      <c r="R4311">
        <f>2185.21</f>
        <v>2185.21</v>
      </c>
      <c r="S4311">
        <f>1953.04</f>
        <v>1953.04</v>
      </c>
      <c r="T4311" t="e">
        <f>NA()</f>
        <v>#N/A</v>
      </c>
      <c r="U4311">
        <f>24825</f>
        <v>24825</v>
      </c>
      <c r="V4311" t="e">
        <f>NA()</f>
        <v>#N/A</v>
      </c>
    </row>
    <row r="4312" spans="1:22" x14ac:dyDescent="0.2">
      <c r="A4312" s="1">
        <v>39071</v>
      </c>
      <c r="B4312">
        <f>3966.18</f>
        <v>3966.18</v>
      </c>
      <c r="C4312">
        <f>5055.81</f>
        <v>5055.8100000000004</v>
      </c>
      <c r="D4312">
        <f>3479.53</f>
        <v>3479.53</v>
      </c>
      <c r="E4312">
        <f>1442.924</f>
        <v>1442.924</v>
      </c>
      <c r="F4312">
        <f>2441.73</f>
        <v>2441.73</v>
      </c>
      <c r="G4312">
        <f>7000.707</f>
        <v>7000.7070000000003</v>
      </c>
      <c r="H4312">
        <f>1897.15</f>
        <v>1897.15</v>
      </c>
      <c r="I4312">
        <f>7249.395</f>
        <v>7249.3950000000004</v>
      </c>
      <c r="J4312">
        <f>1501.61</f>
        <v>1501.61</v>
      </c>
      <c r="K4312">
        <f>4519.09</f>
        <v>4519.09</v>
      </c>
      <c r="L4312">
        <f>1175.01</f>
        <v>1175.01</v>
      </c>
      <c r="M4312">
        <f>4464.38</f>
        <v>4464.38</v>
      </c>
      <c r="N4312">
        <f>178.272</f>
        <v>178.27199999999999</v>
      </c>
      <c r="O4312">
        <f>1884.29</f>
        <v>1884.29</v>
      </c>
      <c r="P4312">
        <f>108.42</f>
        <v>108.42</v>
      </c>
      <c r="Q4312">
        <f>801.38</f>
        <v>801.38</v>
      </c>
      <c r="R4312">
        <f>2192.76</f>
        <v>2192.7600000000002</v>
      </c>
      <c r="S4312">
        <f>1948.03</f>
        <v>1948.03</v>
      </c>
      <c r="T4312" t="e">
        <f>NA()</f>
        <v>#N/A</v>
      </c>
      <c r="U4312">
        <f>24447.02</f>
        <v>24447.02</v>
      </c>
      <c r="V4312" t="e">
        <f>NA()</f>
        <v>#N/A</v>
      </c>
    </row>
    <row r="4313" spans="1:22" x14ac:dyDescent="0.2">
      <c r="A4313" s="1">
        <v>39070</v>
      </c>
      <c r="B4313">
        <f>3969.64</f>
        <v>3969.64</v>
      </c>
      <c r="C4313">
        <f>4990.03</f>
        <v>4990.03</v>
      </c>
      <c r="D4313">
        <f>3482.25</f>
        <v>3482.25</v>
      </c>
      <c r="E4313">
        <f>1425.045</f>
        <v>1425.0450000000001</v>
      </c>
      <c r="F4313">
        <f>2429.54</f>
        <v>2429.54</v>
      </c>
      <c r="G4313">
        <f>6995.832</f>
        <v>6995.8320000000003</v>
      </c>
      <c r="H4313">
        <f>1872.24</f>
        <v>1872.24</v>
      </c>
      <c r="I4313">
        <f>7209.096</f>
        <v>7209.0959999999995</v>
      </c>
      <c r="J4313">
        <f>1501.82</f>
        <v>1501.82</v>
      </c>
      <c r="K4313">
        <f>4524.86</f>
        <v>4524.8599999999997</v>
      </c>
      <c r="L4313">
        <f>1171.63</f>
        <v>1171.6300000000001</v>
      </c>
      <c r="M4313">
        <f>4452.73</f>
        <v>4452.7299999999996</v>
      </c>
      <c r="N4313">
        <f>178.321</f>
        <v>178.321</v>
      </c>
      <c r="O4313">
        <f>1879.72</f>
        <v>1879.72</v>
      </c>
      <c r="P4313">
        <f>107.08</f>
        <v>107.08</v>
      </c>
      <c r="Q4313">
        <f>801.62</f>
        <v>801.62</v>
      </c>
      <c r="R4313">
        <f>2195.8</f>
        <v>2195.8000000000002</v>
      </c>
      <c r="S4313">
        <f>1922.77</f>
        <v>1922.77</v>
      </c>
      <c r="T4313" t="e">
        <f>NA()</f>
        <v>#N/A</v>
      </c>
      <c r="U4313">
        <f>24118.23</f>
        <v>24118.23</v>
      </c>
      <c r="V4313" t="e">
        <f>NA()</f>
        <v>#N/A</v>
      </c>
    </row>
    <row r="4314" spans="1:22" x14ac:dyDescent="0.2">
      <c r="A4314" s="1">
        <v>39069</v>
      </c>
      <c r="B4314">
        <f>3985.9</f>
        <v>3985.9</v>
      </c>
      <c r="C4314">
        <f>5071.16</f>
        <v>5071.16</v>
      </c>
      <c r="D4314">
        <f>3506.66</f>
        <v>3506.66</v>
      </c>
      <c r="E4314">
        <f>1447.351</f>
        <v>1447.3510000000001</v>
      </c>
      <c r="F4314">
        <f>2423.3</f>
        <v>2423.3000000000002</v>
      </c>
      <c r="G4314">
        <f>6979.913</f>
        <v>6979.9129999999996</v>
      </c>
      <c r="H4314">
        <f>1888.18</f>
        <v>1888.18</v>
      </c>
      <c r="I4314">
        <f>7204.378</f>
        <v>7204.3779999999997</v>
      </c>
      <c r="J4314">
        <f>1498.38</f>
        <v>1498.38</v>
      </c>
      <c r="K4314">
        <f>4515.43</f>
        <v>4515.43</v>
      </c>
      <c r="L4314">
        <f>1169.75</f>
        <v>1169.75</v>
      </c>
      <c r="M4314">
        <f>4452.74</f>
        <v>4452.74</v>
      </c>
      <c r="N4314">
        <f>179.182</f>
        <v>179.18199999999999</v>
      </c>
      <c r="O4314">
        <f>1891.82</f>
        <v>1891.82</v>
      </c>
      <c r="P4314">
        <f>107.88</f>
        <v>107.88</v>
      </c>
      <c r="Q4314">
        <f>800.23</f>
        <v>800.23</v>
      </c>
      <c r="R4314">
        <f>2190.97</f>
        <v>2190.9699999999998</v>
      </c>
      <c r="S4314">
        <f>1946.05</f>
        <v>1946.05</v>
      </c>
      <c r="T4314" t="e">
        <f>NA()</f>
        <v>#N/A</v>
      </c>
      <c r="U4314">
        <f>24137.27</f>
        <v>24137.27</v>
      </c>
      <c r="V4314" t="e">
        <f>NA()</f>
        <v>#N/A</v>
      </c>
    </row>
    <row r="4315" spans="1:22" x14ac:dyDescent="0.2">
      <c r="A4315" s="1">
        <v>39066</v>
      </c>
      <c r="B4315">
        <f>3979.66</f>
        <v>3979.66</v>
      </c>
      <c r="C4315">
        <f>5048.11</f>
        <v>5048.1099999999997</v>
      </c>
      <c r="D4315">
        <f>3513.72</f>
        <v>3513.72</v>
      </c>
      <c r="E4315">
        <f>1441.369</f>
        <v>1441.3689999999999</v>
      </c>
      <c r="F4315">
        <f>2435.58</f>
        <v>2435.58</v>
      </c>
      <c r="G4315">
        <f>7014.24</f>
        <v>7014.24</v>
      </c>
      <c r="H4315">
        <f>1876.04</f>
        <v>1876.04</v>
      </c>
      <c r="I4315">
        <f>7211.205</f>
        <v>7211.2049999999999</v>
      </c>
      <c r="J4315">
        <f>1496.22</f>
        <v>1496.22</v>
      </c>
      <c r="K4315">
        <f>4531.85</f>
        <v>4531.8500000000004</v>
      </c>
      <c r="L4315">
        <f>1170.9</f>
        <v>1170.9000000000001</v>
      </c>
      <c r="M4315">
        <f>4464.16</f>
        <v>4464.16</v>
      </c>
      <c r="N4315">
        <f>179.482</f>
        <v>179.482</v>
      </c>
      <c r="O4315">
        <f>1894.29</f>
        <v>1894.29</v>
      </c>
      <c r="P4315">
        <f>107.24</f>
        <v>107.24</v>
      </c>
      <c r="Q4315">
        <f>801.63</f>
        <v>801.63</v>
      </c>
      <c r="R4315">
        <f>2198.07</f>
        <v>2198.0700000000002</v>
      </c>
      <c r="S4315">
        <f>1936.8</f>
        <v>1936.8</v>
      </c>
      <c r="T4315" t="e">
        <f>NA()</f>
        <v>#N/A</v>
      </c>
      <c r="U4315">
        <f>24149.06</f>
        <v>24149.06</v>
      </c>
      <c r="V4315" t="e">
        <f>NA()</f>
        <v>#N/A</v>
      </c>
    </row>
    <row r="4316" spans="1:22" x14ac:dyDescent="0.2">
      <c r="A4316" s="1">
        <v>39065</v>
      </c>
      <c r="B4316">
        <f>3962.28</f>
        <v>3962.28</v>
      </c>
      <c r="C4316">
        <f>5016.08</f>
        <v>5016.08</v>
      </c>
      <c r="D4316">
        <f>3495.73</f>
        <v>3495.73</v>
      </c>
      <c r="E4316">
        <f>1433.431</f>
        <v>1433.431</v>
      </c>
      <c r="F4316">
        <f>2430.28</f>
        <v>2430.2800000000002</v>
      </c>
      <c r="G4316">
        <f>7019.365</f>
        <v>7019.3649999999998</v>
      </c>
      <c r="H4316">
        <f>1875.67</f>
        <v>1875.67</v>
      </c>
      <c r="I4316">
        <f>7218.226</f>
        <v>7218.2259999999997</v>
      </c>
      <c r="J4316">
        <f>1487.34</f>
        <v>1487.34</v>
      </c>
      <c r="K4316">
        <f>4527.8</f>
        <v>4527.8</v>
      </c>
      <c r="L4316">
        <f>1168.16</f>
        <v>1168.1600000000001</v>
      </c>
      <c r="M4316">
        <f>4464.05</f>
        <v>4464.05</v>
      </c>
      <c r="N4316">
        <f>178.245</f>
        <v>178.245</v>
      </c>
      <c r="O4316">
        <f>1884.75</f>
        <v>1884.75</v>
      </c>
      <c r="P4316">
        <f>107.23</f>
        <v>107.23</v>
      </c>
      <c r="Q4316">
        <f>801.21</f>
        <v>801.21</v>
      </c>
      <c r="R4316">
        <f>2195.59</f>
        <v>2195.59</v>
      </c>
      <c r="S4316">
        <f>1930.31</f>
        <v>1930.31</v>
      </c>
      <c r="T4316" t="e">
        <f>NA()</f>
        <v>#N/A</v>
      </c>
      <c r="U4316">
        <f>23965.91</f>
        <v>23965.91</v>
      </c>
      <c r="V4316" t="e">
        <f>NA()</f>
        <v>#N/A</v>
      </c>
    </row>
    <row r="4317" spans="1:22" x14ac:dyDescent="0.2">
      <c r="A4317" s="1">
        <v>39064</v>
      </c>
      <c r="B4317">
        <f>3928.99</f>
        <v>3928.99</v>
      </c>
      <c r="C4317">
        <f>4974.11</f>
        <v>4974.1099999999997</v>
      </c>
      <c r="D4317">
        <f>3475.8</f>
        <v>3475.8</v>
      </c>
      <c r="E4317">
        <f>1415.971</f>
        <v>1415.971</v>
      </c>
      <c r="F4317">
        <f>2417.46</f>
        <v>2417.46</v>
      </c>
      <c r="G4317">
        <f>6996.942</f>
        <v>6996.942</v>
      </c>
      <c r="H4317">
        <f>1868.68</f>
        <v>1868.68</v>
      </c>
      <c r="I4317">
        <f>7206.347</f>
        <v>7206.3469999999998</v>
      </c>
      <c r="J4317">
        <f>1475.93</f>
        <v>1475.93</v>
      </c>
      <c r="K4317">
        <f>4489.86</f>
        <v>4489.8599999999997</v>
      </c>
      <c r="L4317">
        <f>1162.17</f>
        <v>1162.17</v>
      </c>
      <c r="M4317">
        <f>4436.75</f>
        <v>4436.75</v>
      </c>
      <c r="N4317">
        <f>177.459</f>
        <v>177.459</v>
      </c>
      <c r="O4317">
        <f>1872.88</f>
        <v>1872.88</v>
      </c>
      <c r="P4317">
        <f>106.72</f>
        <v>106.72</v>
      </c>
      <c r="Q4317">
        <f>796.6</f>
        <v>796.6</v>
      </c>
      <c r="R4317">
        <f>2176.52</f>
        <v>2176.52</v>
      </c>
      <c r="S4317">
        <f>1915.51</f>
        <v>1915.51</v>
      </c>
      <c r="T4317" t="e">
        <f>NA()</f>
        <v>#N/A</v>
      </c>
      <c r="U4317">
        <f>23711.17</f>
        <v>23711.17</v>
      </c>
      <c r="V4317" t="e">
        <f>NA()</f>
        <v>#N/A</v>
      </c>
    </row>
    <row r="4318" spans="1:22" x14ac:dyDescent="0.2">
      <c r="A4318" s="1">
        <v>39063</v>
      </c>
      <c r="B4318">
        <f>3904.84</f>
        <v>3904.84</v>
      </c>
      <c r="C4318">
        <f>4974.65</f>
        <v>4974.6499999999996</v>
      </c>
      <c r="D4318">
        <f>3455.36</f>
        <v>3455.36</v>
      </c>
      <c r="E4318">
        <f>1414.954</f>
        <v>1414.954</v>
      </c>
      <c r="F4318">
        <f>2398.23</f>
        <v>2398.23</v>
      </c>
      <c r="G4318">
        <f>6952.804</f>
        <v>6952.8040000000001</v>
      </c>
      <c r="H4318">
        <f>1867.43</f>
        <v>1867.43</v>
      </c>
      <c r="I4318">
        <f>7177.217</f>
        <v>7177.2169999999996</v>
      </c>
      <c r="J4318">
        <f>1474.33</f>
        <v>1474.33</v>
      </c>
      <c r="K4318">
        <f>4484.45</f>
        <v>4484.45</v>
      </c>
      <c r="L4318">
        <f>1158.16</f>
        <v>1158.1600000000001</v>
      </c>
      <c r="M4318">
        <f>4426.33</f>
        <v>4426.33</v>
      </c>
      <c r="N4318">
        <f>176.528</f>
        <v>176.52799999999999</v>
      </c>
      <c r="O4318">
        <f>1860.91</f>
        <v>1860.91</v>
      </c>
      <c r="P4318">
        <f>106.38</f>
        <v>106.38</v>
      </c>
      <c r="Q4318">
        <f>794.93</f>
        <v>794.93</v>
      </c>
      <c r="R4318">
        <f>2173.58</f>
        <v>2173.58</v>
      </c>
      <c r="S4318">
        <f>1912.63</f>
        <v>1912.63</v>
      </c>
      <c r="T4318" t="e">
        <f>NA()</f>
        <v>#N/A</v>
      </c>
      <c r="U4318">
        <f>23555.11</f>
        <v>23555.11</v>
      </c>
      <c r="V4318" t="e">
        <f>NA()</f>
        <v>#N/A</v>
      </c>
    </row>
    <row r="4319" spans="1:22" x14ac:dyDescent="0.2">
      <c r="A4319" s="1">
        <v>39062</v>
      </c>
      <c r="B4319">
        <f>3919.83</f>
        <v>3919.83</v>
      </c>
      <c r="C4319">
        <f>5005.23</f>
        <v>5005.2299999999996</v>
      </c>
      <c r="D4319">
        <f>3457.25</f>
        <v>3457.25</v>
      </c>
      <c r="E4319">
        <f>1425.051</f>
        <v>1425.0509999999999</v>
      </c>
      <c r="F4319">
        <f>2379.41</f>
        <v>2379.41</v>
      </c>
      <c r="G4319">
        <f>6914.338</f>
        <v>6914.3379999999997</v>
      </c>
      <c r="H4319">
        <f>1860.03</f>
        <v>1860.03</v>
      </c>
      <c r="I4319">
        <f>7138.089</f>
        <v>7138.0889999999999</v>
      </c>
      <c r="J4319">
        <f>1471.83</f>
        <v>1471.83</v>
      </c>
      <c r="K4319">
        <f>4489.87</f>
        <v>4489.87</v>
      </c>
      <c r="L4319">
        <f>1153.9</f>
        <v>1153.9000000000001</v>
      </c>
      <c r="M4319">
        <f>4419.14</f>
        <v>4419.1400000000003</v>
      </c>
      <c r="N4319">
        <f>176.088</f>
        <v>176.08799999999999</v>
      </c>
      <c r="O4319">
        <f>1853.9</f>
        <v>1853.9</v>
      </c>
      <c r="P4319">
        <f>106.08</f>
        <v>106.08</v>
      </c>
      <c r="Q4319">
        <f>795.88</f>
        <v>795.88</v>
      </c>
      <c r="R4319">
        <f>2175.8</f>
        <v>2175.8000000000002</v>
      </c>
      <c r="S4319">
        <f>1902.4</f>
        <v>1902.4</v>
      </c>
      <c r="T4319" t="e">
        <f>NA()</f>
        <v>#N/A</v>
      </c>
      <c r="U4319">
        <f>23703.51</f>
        <v>23703.51</v>
      </c>
      <c r="V4319" t="e">
        <f>NA()</f>
        <v>#N/A</v>
      </c>
    </row>
    <row r="4320" spans="1:22" x14ac:dyDescent="0.2">
      <c r="A4320" s="1">
        <v>39059</v>
      </c>
      <c r="B4320">
        <f>3908.54</f>
        <v>3908.54</v>
      </c>
      <c r="C4320">
        <f>5010.42</f>
        <v>5010.42</v>
      </c>
      <c r="D4320">
        <f>3453.13</f>
        <v>3453.13</v>
      </c>
      <c r="E4320">
        <f>1430.989</f>
        <v>1430.989</v>
      </c>
      <c r="F4320">
        <f>2390.56</f>
        <v>2390.56</v>
      </c>
      <c r="G4320">
        <f>6949.521</f>
        <v>6949.5209999999997</v>
      </c>
      <c r="H4320">
        <f>1865.63</f>
        <v>1865.63</v>
      </c>
      <c r="I4320">
        <f>7141.239</f>
        <v>7141.2389999999996</v>
      </c>
      <c r="J4320">
        <f>1464.95</f>
        <v>1464.95</v>
      </c>
      <c r="K4320">
        <f>4479.96</f>
        <v>4479.96</v>
      </c>
      <c r="L4320">
        <f>1152.33</f>
        <v>1152.33</v>
      </c>
      <c r="M4320">
        <f>4420.32</f>
        <v>4420.32</v>
      </c>
      <c r="N4320">
        <f>175.544</f>
        <v>175.54400000000001</v>
      </c>
      <c r="O4320">
        <f>1845.14</f>
        <v>1845.14</v>
      </c>
      <c r="P4320">
        <f>104.99</f>
        <v>104.99</v>
      </c>
      <c r="Q4320">
        <f>796</f>
        <v>796</v>
      </c>
      <c r="R4320">
        <f>2170.84</f>
        <v>2170.84</v>
      </c>
      <c r="S4320">
        <f>1888.81</f>
        <v>1888.81</v>
      </c>
      <c r="T4320" t="e">
        <f>NA()</f>
        <v>#N/A</v>
      </c>
      <c r="U4320">
        <f>23760.59</f>
        <v>23760.59</v>
      </c>
      <c r="V4320" t="e">
        <f>NA()</f>
        <v>#N/A</v>
      </c>
    </row>
    <row r="4321" spans="1:22" x14ac:dyDescent="0.2">
      <c r="A4321" s="1">
        <v>39058</v>
      </c>
      <c r="B4321">
        <f>3899.61</f>
        <v>3899.61</v>
      </c>
      <c r="C4321">
        <f>5031.63</f>
        <v>5031.63</v>
      </c>
      <c r="D4321">
        <f>3441.37</f>
        <v>3441.37</v>
      </c>
      <c r="E4321">
        <f>1440.638</f>
        <v>1440.6379999999999</v>
      </c>
      <c r="F4321">
        <f>2371.6</f>
        <v>2371.6</v>
      </c>
      <c r="G4321">
        <f>6915.927</f>
        <v>6915.9269999999997</v>
      </c>
      <c r="H4321">
        <f>1880.28</f>
        <v>1880.28</v>
      </c>
      <c r="I4321">
        <f>7133.552</f>
        <v>7133.5519999999997</v>
      </c>
      <c r="J4321">
        <f>1462.98</f>
        <v>1462.98</v>
      </c>
      <c r="K4321">
        <f>4472.86</f>
        <v>4472.8599999999997</v>
      </c>
      <c r="L4321">
        <f>1149.84</f>
        <v>1149.8399999999999</v>
      </c>
      <c r="M4321">
        <f>4417.92</f>
        <v>4417.92</v>
      </c>
      <c r="N4321">
        <f>174.419</f>
        <v>174.41900000000001</v>
      </c>
      <c r="O4321">
        <f>1841.62</f>
        <v>1841.62</v>
      </c>
      <c r="P4321">
        <f>105.41</f>
        <v>105.41</v>
      </c>
      <c r="Q4321">
        <f>795.11</f>
        <v>795.11</v>
      </c>
      <c r="R4321">
        <f>2166.87</f>
        <v>2166.87</v>
      </c>
      <c r="S4321">
        <f>1896.33</f>
        <v>1896.33</v>
      </c>
      <c r="T4321" t="e">
        <f>NA()</f>
        <v>#N/A</v>
      </c>
      <c r="U4321">
        <f>23856.59</f>
        <v>23856.59</v>
      </c>
      <c r="V4321" t="e">
        <f>NA()</f>
        <v>#N/A</v>
      </c>
    </row>
    <row r="4322" spans="1:22" x14ac:dyDescent="0.2">
      <c r="A4322" s="1">
        <v>39057</v>
      </c>
      <c r="B4322">
        <f>3873.36</f>
        <v>3873.36</v>
      </c>
      <c r="C4322">
        <f>5028.2</f>
        <v>5028.2</v>
      </c>
      <c r="D4322">
        <f>3418.28</f>
        <v>3418.28</v>
      </c>
      <c r="E4322">
        <f>1440.419</f>
        <v>1440.4190000000001</v>
      </c>
      <c r="F4322">
        <f>2360.08</f>
        <v>2360.08</v>
      </c>
      <c r="G4322">
        <f>6889.767</f>
        <v>6889.7669999999998</v>
      </c>
      <c r="H4322">
        <f>1882.11</f>
        <v>1882.11</v>
      </c>
      <c r="I4322">
        <f>7102.217</f>
        <v>7102.2169999999996</v>
      </c>
      <c r="J4322">
        <f>1465.5</f>
        <v>1465.5</v>
      </c>
      <c r="K4322">
        <f>4491.35</f>
        <v>4491.3500000000004</v>
      </c>
      <c r="L4322">
        <f>1147.87</f>
        <v>1147.8699999999999</v>
      </c>
      <c r="M4322">
        <f>4419.45</f>
        <v>4419.45</v>
      </c>
      <c r="N4322">
        <f>172.594</f>
        <v>172.59399999999999</v>
      </c>
      <c r="O4322">
        <f>1831.79</f>
        <v>1831.79</v>
      </c>
      <c r="P4322">
        <f>105.11</f>
        <v>105.11</v>
      </c>
      <c r="Q4322">
        <f>796.73</f>
        <v>796.73</v>
      </c>
      <c r="R4322">
        <f>2175.45</f>
        <v>2175.4499999999998</v>
      </c>
      <c r="S4322">
        <f>1887.45</f>
        <v>1887.45</v>
      </c>
      <c r="T4322" t="e">
        <f>NA()</f>
        <v>#N/A</v>
      </c>
      <c r="U4322">
        <f>23946.47</f>
        <v>23946.47</v>
      </c>
      <c r="V4322" t="e">
        <f>NA()</f>
        <v>#N/A</v>
      </c>
    </row>
    <row r="4323" spans="1:22" x14ac:dyDescent="0.2">
      <c r="A4323" s="1">
        <v>39056</v>
      </c>
      <c r="B4323">
        <f>3874.45</f>
        <v>3874.45</v>
      </c>
      <c r="C4323">
        <f>5001.18</f>
        <v>5001.18</v>
      </c>
      <c r="D4323">
        <f>3415.7</f>
        <v>3415.7</v>
      </c>
      <c r="E4323">
        <f>1435.731</f>
        <v>1435.731</v>
      </c>
      <c r="F4323">
        <f>2363.61</f>
        <v>2363.61</v>
      </c>
      <c r="G4323">
        <f>6886.353</f>
        <v>6886.3530000000001</v>
      </c>
      <c r="H4323">
        <f>1852.48</f>
        <v>1852.48</v>
      </c>
      <c r="I4323">
        <f>7091.809</f>
        <v>7091.8090000000002</v>
      </c>
      <c r="J4323">
        <f>1466.45</f>
        <v>1466.45</v>
      </c>
      <c r="K4323">
        <f>4496.39</f>
        <v>4496.3900000000003</v>
      </c>
      <c r="L4323">
        <f>1147</f>
        <v>1147</v>
      </c>
      <c r="M4323">
        <f>4413.67</f>
        <v>4413.67</v>
      </c>
      <c r="N4323">
        <f>172.599</f>
        <v>172.59899999999999</v>
      </c>
      <c r="O4323">
        <f>1831.78</f>
        <v>1831.78</v>
      </c>
      <c r="P4323">
        <f>104.12</f>
        <v>104.12</v>
      </c>
      <c r="Q4323">
        <f>796.19</f>
        <v>796.19</v>
      </c>
      <c r="R4323">
        <f>2177.75</f>
        <v>2177.75</v>
      </c>
      <c r="S4323">
        <f>1868.42</f>
        <v>1868.42</v>
      </c>
      <c r="T4323" t="e">
        <f>NA()</f>
        <v>#N/A</v>
      </c>
      <c r="U4323">
        <f>24191.44</f>
        <v>24191.439999999999</v>
      </c>
      <c r="V4323" t="e">
        <f>NA()</f>
        <v>#N/A</v>
      </c>
    </row>
    <row r="4324" spans="1:22" x14ac:dyDescent="0.2">
      <c r="A4324" s="1">
        <v>39055</v>
      </c>
      <c r="B4324">
        <f>3852.97</f>
        <v>3852.97</v>
      </c>
      <c r="C4324">
        <f>4955.95</f>
        <v>4955.95</v>
      </c>
      <c r="D4324">
        <f>3395.51</f>
        <v>3395.51</v>
      </c>
      <c r="E4324">
        <f>1421.055</f>
        <v>1421.0550000000001</v>
      </c>
      <c r="F4324">
        <f>2370.72</f>
        <v>2370.7199999999998</v>
      </c>
      <c r="G4324">
        <f>6870.562</f>
        <v>6870.5619999999999</v>
      </c>
      <c r="H4324">
        <f>1848.11</f>
        <v>1848.11</v>
      </c>
      <c r="I4324">
        <f>7041.513</f>
        <v>7041.5129999999999</v>
      </c>
      <c r="J4324">
        <f>1460.89</f>
        <v>1460.89</v>
      </c>
      <c r="K4324">
        <f>4479.14</f>
        <v>4479.1400000000003</v>
      </c>
      <c r="L4324">
        <f>1142.53</f>
        <v>1142.53</v>
      </c>
      <c r="M4324">
        <f>4396.96</f>
        <v>4396.96</v>
      </c>
      <c r="N4324">
        <f>180.671</f>
        <v>180.67099999999999</v>
      </c>
      <c r="O4324">
        <f>1818.88</f>
        <v>1818.88</v>
      </c>
      <c r="P4324">
        <f>104.47</f>
        <v>104.47</v>
      </c>
      <c r="Q4324">
        <f>793.31</f>
        <v>793.31</v>
      </c>
      <c r="R4324">
        <f>2169</f>
        <v>2169</v>
      </c>
      <c r="S4324">
        <f>1878.77</f>
        <v>1878.77</v>
      </c>
      <c r="T4324" t="e">
        <f>NA()</f>
        <v>#N/A</v>
      </c>
      <c r="U4324">
        <f>24073.2</f>
        <v>24073.200000000001</v>
      </c>
      <c r="V4324" t="e">
        <f>NA()</f>
        <v>#N/A</v>
      </c>
    </row>
    <row r="4325" spans="1:22" x14ac:dyDescent="0.2">
      <c r="A4325" s="1">
        <v>39052</v>
      </c>
      <c r="B4325">
        <f>3796.92</f>
        <v>3796.92</v>
      </c>
      <c r="C4325">
        <f>4923.72</f>
        <v>4923.72</v>
      </c>
      <c r="D4325">
        <f>3379.29</f>
        <v>3379.29</v>
      </c>
      <c r="E4325">
        <f>1415.164</f>
        <v>1415.164</v>
      </c>
      <c r="F4325">
        <f>2353.71</f>
        <v>2353.71</v>
      </c>
      <c r="G4325">
        <f>6845.693</f>
        <v>6845.6930000000002</v>
      </c>
      <c r="H4325">
        <f>1847.89</f>
        <v>1847.89</v>
      </c>
      <c r="I4325">
        <f>6993.571</f>
        <v>6993.5709999999999</v>
      </c>
      <c r="J4325">
        <f>1456</f>
        <v>1456</v>
      </c>
      <c r="K4325">
        <f>4440.14</f>
        <v>4440.1400000000003</v>
      </c>
      <c r="L4325">
        <f>1138.9</f>
        <v>1138.9000000000001</v>
      </c>
      <c r="M4325">
        <f>4369.69</f>
        <v>4369.6899999999996</v>
      </c>
      <c r="N4325">
        <f>179.313</f>
        <v>179.31299999999999</v>
      </c>
      <c r="O4325">
        <f>1807.5</f>
        <v>1807.5</v>
      </c>
      <c r="P4325">
        <f>104.16</f>
        <v>104.16</v>
      </c>
      <c r="Q4325">
        <f>785.42</f>
        <v>785.42</v>
      </c>
      <c r="R4325">
        <f>2149.85</f>
        <v>2149.85</v>
      </c>
      <c r="S4325">
        <f>1875.45</f>
        <v>1875.45</v>
      </c>
      <c r="T4325" t="e">
        <f>NA()</f>
        <v>#N/A</v>
      </c>
      <c r="U4325">
        <f>24070.92</f>
        <v>24070.92</v>
      </c>
      <c r="V4325" t="e">
        <f>NA()</f>
        <v>#N/A</v>
      </c>
    </row>
    <row r="4326" spans="1:22" x14ac:dyDescent="0.2">
      <c r="A4326" s="1">
        <v>39051</v>
      </c>
      <c r="B4326">
        <f>3794.8</f>
        <v>3794.8</v>
      </c>
      <c r="C4326">
        <f>4916.22</f>
        <v>4916.22</v>
      </c>
      <c r="D4326">
        <f>3394.62</f>
        <v>3394.62</v>
      </c>
      <c r="E4326">
        <f>1412.502</f>
        <v>1412.502</v>
      </c>
      <c r="F4326">
        <f>2348.87</f>
        <v>2348.87</v>
      </c>
      <c r="G4326">
        <f>6829.163</f>
        <v>6829.1629999999996</v>
      </c>
      <c r="H4326">
        <f>1839.55</f>
        <v>1839.55</v>
      </c>
      <c r="I4326">
        <f>7021.113</f>
        <v>7021.1130000000003</v>
      </c>
      <c r="J4326">
        <f>1457.07</f>
        <v>1457.07</v>
      </c>
      <c r="K4326">
        <f>4450.72</f>
        <v>4450.72</v>
      </c>
      <c r="L4326">
        <f>1140.06</f>
        <v>1140.06</v>
      </c>
      <c r="M4326">
        <f>4376.15</f>
        <v>4376.1499999999996</v>
      </c>
      <c r="N4326">
        <f>180.673</f>
        <v>180.673</v>
      </c>
      <c r="O4326">
        <f>1822.47</f>
        <v>1822.47</v>
      </c>
      <c r="P4326">
        <f>104.07</f>
        <v>104.07</v>
      </c>
      <c r="Q4326">
        <f>787.12</f>
        <v>787.12</v>
      </c>
      <c r="R4326">
        <f>2155.89</f>
        <v>2155.89</v>
      </c>
      <c r="S4326">
        <f>1873.26</f>
        <v>1873.26</v>
      </c>
      <c r="T4326" t="e">
        <f>NA()</f>
        <v>#N/A</v>
      </c>
      <c r="U4326">
        <f>23949.95</f>
        <v>23949.95</v>
      </c>
      <c r="V4326" t="e">
        <f>NA()</f>
        <v>#N/A</v>
      </c>
    </row>
    <row r="4327" spans="1:22" x14ac:dyDescent="0.2">
      <c r="A4327" s="1">
        <v>39050</v>
      </c>
      <c r="B4327">
        <f>3798.9</f>
        <v>3798.9</v>
      </c>
      <c r="C4327">
        <f>4872.5</f>
        <v>4872.5</v>
      </c>
      <c r="D4327">
        <f>3414.55</f>
        <v>3414.55</v>
      </c>
      <c r="E4327">
        <f>1400.233</f>
        <v>1400.2329999999999</v>
      </c>
      <c r="F4327">
        <f>2345.11</f>
        <v>2345.11</v>
      </c>
      <c r="G4327">
        <f>6805.306</f>
        <v>6805.3059999999996</v>
      </c>
      <c r="H4327">
        <f>1803</f>
        <v>1803</v>
      </c>
      <c r="I4327">
        <f>7023.447</f>
        <v>7023.4470000000001</v>
      </c>
      <c r="J4327">
        <f>1455.15</f>
        <v>1455.15</v>
      </c>
      <c r="K4327">
        <f>4446.38</f>
        <v>4446.38</v>
      </c>
      <c r="L4327">
        <f>1138.47</f>
        <v>1138.47</v>
      </c>
      <c r="M4327">
        <f>4361.55</f>
        <v>4361.55</v>
      </c>
      <c r="N4327">
        <f>181.454</f>
        <v>181.45400000000001</v>
      </c>
      <c r="O4327">
        <f>1835.39</f>
        <v>1835.39</v>
      </c>
      <c r="P4327">
        <f>102.78</f>
        <v>102.78</v>
      </c>
      <c r="Q4327">
        <f>787.47</f>
        <v>787.47</v>
      </c>
      <c r="R4327">
        <f>2154.09</f>
        <v>2154.09</v>
      </c>
      <c r="S4327">
        <f>1846.46</f>
        <v>1846.46</v>
      </c>
      <c r="T4327" t="e">
        <f>NA()</f>
        <v>#N/A</v>
      </c>
      <c r="U4327">
        <f>23691.74</f>
        <v>23691.74</v>
      </c>
      <c r="V4327" t="e">
        <f>NA()</f>
        <v>#N/A</v>
      </c>
    </row>
    <row r="4328" spans="1:22" x14ac:dyDescent="0.2">
      <c r="A4328" s="1">
        <v>39049</v>
      </c>
      <c r="B4328">
        <f>3752.46</f>
        <v>3752.46</v>
      </c>
      <c r="C4328">
        <f>4800</f>
        <v>4800</v>
      </c>
      <c r="D4328">
        <f>3380.66</f>
        <v>3380.66</v>
      </c>
      <c r="E4328">
        <f>1378.408</f>
        <v>1378.4079999999999</v>
      </c>
      <c r="F4328">
        <f>2323.39</f>
        <v>2323.39</v>
      </c>
      <c r="G4328">
        <f>6727.36</f>
        <v>6727.36</v>
      </c>
      <c r="H4328">
        <f>1774.01</f>
        <v>1774.01</v>
      </c>
      <c r="I4328">
        <f>6923.943</f>
        <v>6923.9430000000002</v>
      </c>
      <c r="J4328">
        <f>1441.23</f>
        <v>1441.23</v>
      </c>
      <c r="K4328">
        <f>4402.71</f>
        <v>4402.71</v>
      </c>
      <c r="L4328">
        <f>1126.22</f>
        <v>1126.22</v>
      </c>
      <c r="M4328">
        <f>4310.45</f>
        <v>4310.45</v>
      </c>
      <c r="N4328">
        <f>178.392</f>
        <v>178.392</v>
      </c>
      <c r="O4328">
        <f>1811.6</f>
        <v>1811.6</v>
      </c>
      <c r="P4328">
        <f>101.19</f>
        <v>101.19</v>
      </c>
      <c r="Q4328">
        <f>780.1</f>
        <v>780.1</v>
      </c>
      <c r="R4328">
        <f>2133.52</f>
        <v>2133.52</v>
      </c>
      <c r="S4328">
        <f>1817.26</f>
        <v>1817.26</v>
      </c>
      <c r="T4328" t="e">
        <f>NA()</f>
        <v>#N/A</v>
      </c>
      <c r="U4328">
        <f>23564.36</f>
        <v>23564.36</v>
      </c>
      <c r="V4328" t="e">
        <f>NA()</f>
        <v>#N/A</v>
      </c>
    </row>
    <row r="4329" spans="1:22" x14ac:dyDescent="0.2">
      <c r="A4329" s="1">
        <v>39048</v>
      </c>
      <c r="B4329">
        <f>3758.88</f>
        <v>3758.88</v>
      </c>
      <c r="C4329">
        <f>4865.08</f>
        <v>4865.08</v>
      </c>
      <c r="D4329">
        <f>3394.21</f>
        <v>3394.21</v>
      </c>
      <c r="E4329">
        <f>1394.717</f>
        <v>1394.7170000000001</v>
      </c>
      <c r="F4329">
        <f>2326.97</f>
        <v>2326.9699999999998</v>
      </c>
      <c r="G4329">
        <f>6715.704</f>
        <v>6715.7039999999997</v>
      </c>
      <c r="H4329">
        <f>1778.96</f>
        <v>1778.96</v>
      </c>
      <c r="I4329">
        <f>6940.515</f>
        <v>6940.5150000000003</v>
      </c>
      <c r="J4329">
        <f>1436.07</f>
        <v>1436.07</v>
      </c>
      <c r="K4329">
        <f>4387.01</f>
        <v>4387.01</v>
      </c>
      <c r="L4329">
        <f>1126.4</f>
        <v>1126.4000000000001</v>
      </c>
      <c r="M4329">
        <f>4307.16</f>
        <v>4307.16</v>
      </c>
      <c r="N4329">
        <f>179.713</f>
        <v>179.71299999999999</v>
      </c>
      <c r="O4329">
        <f>1816.65</f>
        <v>1816.65</v>
      </c>
      <c r="P4329">
        <f>101.25</f>
        <v>101.25</v>
      </c>
      <c r="Q4329">
        <f>779.14</f>
        <v>779.14</v>
      </c>
      <c r="R4329">
        <f>2125.67</f>
        <v>2125.67</v>
      </c>
      <c r="S4329">
        <f>1814.81</f>
        <v>1814.81</v>
      </c>
      <c r="T4329" t="e">
        <f>NA()</f>
        <v>#N/A</v>
      </c>
      <c r="U4329">
        <f>23809.72</f>
        <v>23809.72</v>
      </c>
      <c r="V4329" t="e">
        <f>NA()</f>
        <v>#N/A</v>
      </c>
    </row>
    <row r="4330" spans="1:22" x14ac:dyDescent="0.2">
      <c r="A4330" s="1">
        <v>39045</v>
      </c>
      <c r="B4330">
        <f>3805.66</f>
        <v>3805.66</v>
      </c>
      <c r="C4330">
        <f>4846.08</f>
        <v>4846.08</v>
      </c>
      <c r="D4330">
        <f>3434.6</f>
        <v>3434.6</v>
      </c>
      <c r="E4330">
        <f>1394.46</f>
        <v>1394.46</v>
      </c>
      <c r="F4330">
        <f>2347.99</f>
        <v>2347.9899999999998</v>
      </c>
      <c r="G4330">
        <f>6775.024</f>
        <v>6775.0240000000003</v>
      </c>
      <c r="H4330">
        <f>1770.19</f>
        <v>1770.19</v>
      </c>
      <c r="I4330">
        <f>7043.916</f>
        <v>7043.9160000000002</v>
      </c>
      <c r="J4330">
        <f>1447.85</f>
        <v>1447.85</v>
      </c>
      <c r="K4330">
        <f>4449.03</f>
        <v>4449.03</v>
      </c>
      <c r="L4330">
        <f>1137.21</f>
        <v>1137.21</v>
      </c>
      <c r="M4330">
        <f>4352.66</f>
        <v>4352.66</v>
      </c>
      <c r="N4330">
        <f>182.139</f>
        <v>182.13900000000001</v>
      </c>
      <c r="O4330">
        <f>1844.35</f>
        <v>1844.35</v>
      </c>
      <c r="P4330">
        <f>100.22</f>
        <v>100.22</v>
      </c>
      <c r="Q4330">
        <f>788.13</f>
        <v>788.13</v>
      </c>
      <c r="R4330">
        <f>2154.96</f>
        <v>2154.96</v>
      </c>
      <c r="S4330">
        <f>1797.26</f>
        <v>1797.26</v>
      </c>
      <c r="T4330" t="e">
        <f>NA()</f>
        <v>#N/A</v>
      </c>
      <c r="U4330">
        <f>23990.87</f>
        <v>23990.87</v>
      </c>
      <c r="V4330" t="e">
        <f>NA()</f>
        <v>#N/A</v>
      </c>
    </row>
    <row r="4331" spans="1:22" x14ac:dyDescent="0.2">
      <c r="A4331" s="1">
        <v>39044</v>
      </c>
      <c r="B4331">
        <f>3814.93</f>
        <v>3814.93</v>
      </c>
      <c r="C4331">
        <f>4840.15</f>
        <v>4840.1499999999996</v>
      </c>
      <c r="D4331">
        <f>3444.65</f>
        <v>3444.65</v>
      </c>
      <c r="E4331">
        <f>1392.148</f>
        <v>1392.1479999999999</v>
      </c>
      <c r="F4331">
        <f>2341.85</f>
        <v>2341.85</v>
      </c>
      <c r="G4331">
        <f>6737.947</f>
        <v>6737.9470000000001</v>
      </c>
      <c r="H4331">
        <f>1780.67</f>
        <v>1780.67</v>
      </c>
      <c r="I4331">
        <f>7026.656</f>
        <v>7026.6559999999999</v>
      </c>
      <c r="J4331">
        <f>1453.8</f>
        <v>1453.8</v>
      </c>
      <c r="K4331">
        <f>4463.85</f>
        <v>4463.8500000000004</v>
      </c>
      <c r="L4331">
        <f>1135.95</f>
        <v>1135.95</v>
      </c>
      <c r="M4331">
        <f>4357.55</f>
        <v>4357.55</v>
      </c>
      <c r="N4331">
        <f>183.325</f>
        <v>183.32499999999999</v>
      </c>
      <c r="O4331">
        <f>1858.82</f>
        <v>1858.82</v>
      </c>
      <c r="P4331" t="e">
        <f>NA()</f>
        <v>#N/A</v>
      </c>
      <c r="Q4331" t="e">
        <f>NA()</f>
        <v>#N/A</v>
      </c>
      <c r="R4331" t="e">
        <f>NA()</f>
        <v>#N/A</v>
      </c>
      <c r="S4331" t="e">
        <f>NA()</f>
        <v>#N/A</v>
      </c>
      <c r="T4331" t="e">
        <f>NA()</f>
        <v>#N/A</v>
      </c>
      <c r="U4331">
        <f>23858.28</f>
        <v>23858.28</v>
      </c>
      <c r="V4331" t="e">
        <f>NA()</f>
        <v>#N/A</v>
      </c>
    </row>
    <row r="4332" spans="1:22" x14ac:dyDescent="0.2">
      <c r="A4332" s="1">
        <v>39043</v>
      </c>
      <c r="B4332">
        <f>3831.26</f>
        <v>3831.26</v>
      </c>
      <c r="C4332">
        <f>4824.85</f>
        <v>4824.8500000000004</v>
      </c>
      <c r="D4332">
        <f>3456.04</f>
        <v>3456.04</v>
      </c>
      <c r="E4332">
        <f>1389.528</f>
        <v>1389.528</v>
      </c>
      <c r="F4332">
        <f>2349.9</f>
        <v>2349.9</v>
      </c>
      <c r="G4332">
        <f>6755.012</f>
        <v>6755.0119999999997</v>
      </c>
      <c r="H4332">
        <f>1773.49</f>
        <v>1773.49</v>
      </c>
      <c r="I4332">
        <f>7030.759</f>
        <v>7030.759</v>
      </c>
      <c r="J4332">
        <f>1453.8</f>
        <v>1453.8</v>
      </c>
      <c r="K4332">
        <f>4463.85</f>
        <v>4463.8500000000004</v>
      </c>
      <c r="L4332">
        <f>1136.26</f>
        <v>1136.26</v>
      </c>
      <c r="M4332">
        <f>4355.89</f>
        <v>4355.8900000000003</v>
      </c>
      <c r="N4332">
        <f>183.389</f>
        <v>183.38900000000001</v>
      </c>
      <c r="O4332">
        <f>1863.85</f>
        <v>1863.85</v>
      </c>
      <c r="P4332">
        <f>100.81</f>
        <v>100.81</v>
      </c>
      <c r="Q4332">
        <f>791.45</f>
        <v>791.45</v>
      </c>
      <c r="R4332">
        <f>2162.65</f>
        <v>2162.65</v>
      </c>
      <c r="S4332">
        <f>1814.59</f>
        <v>1814.59</v>
      </c>
      <c r="T4332" t="e">
        <f>NA()</f>
        <v>#N/A</v>
      </c>
      <c r="U4332">
        <f>23899.11</f>
        <v>23899.11</v>
      </c>
      <c r="V4332" t="e">
        <f>NA()</f>
        <v>#N/A</v>
      </c>
    </row>
    <row r="4333" spans="1:22" x14ac:dyDescent="0.2">
      <c r="A4333" s="1">
        <v>39042</v>
      </c>
      <c r="B4333">
        <f>3844.67</f>
        <v>3844.67</v>
      </c>
      <c r="C4333">
        <f>4766.31</f>
        <v>4766.3100000000004</v>
      </c>
      <c r="D4333">
        <f>3474.3</f>
        <v>3474.3</v>
      </c>
      <c r="E4333">
        <f>1374.659</f>
        <v>1374.6590000000001</v>
      </c>
      <c r="F4333">
        <f>2342.32</f>
        <v>2342.3200000000002</v>
      </c>
      <c r="G4333">
        <f>6741.615</f>
        <v>6741.6149999999998</v>
      </c>
      <c r="H4333">
        <f>1740.99</f>
        <v>1740.99</v>
      </c>
      <c r="I4333">
        <f>6957.234</f>
        <v>6957.2340000000004</v>
      </c>
      <c r="J4333">
        <f>1452.85</f>
        <v>1452.85</v>
      </c>
      <c r="K4333">
        <f>4452.06</f>
        <v>4452.0600000000004</v>
      </c>
      <c r="L4333">
        <f>1131.6</f>
        <v>1131.5999999999999</v>
      </c>
      <c r="M4333">
        <f>4325.74</f>
        <v>4325.74</v>
      </c>
      <c r="N4333">
        <f>183.414</f>
        <v>183.41399999999999</v>
      </c>
      <c r="O4333">
        <f>1865.15</f>
        <v>1865.15</v>
      </c>
      <c r="P4333">
        <f>99.77</f>
        <v>99.77</v>
      </c>
      <c r="Q4333">
        <f>790.09</f>
        <v>790.09</v>
      </c>
      <c r="R4333">
        <f>2157.42</f>
        <v>2157.42</v>
      </c>
      <c r="S4333">
        <f>1791.31</f>
        <v>1791.31</v>
      </c>
      <c r="T4333" t="e">
        <f>NA()</f>
        <v>#N/A</v>
      </c>
      <c r="U4333">
        <f>23792.06</f>
        <v>23792.06</v>
      </c>
      <c r="V4333" t="e">
        <f>NA()</f>
        <v>#N/A</v>
      </c>
    </row>
    <row r="4334" spans="1:22" x14ac:dyDescent="0.2">
      <c r="A4334" s="1">
        <v>39041</v>
      </c>
      <c r="B4334">
        <f>3834.97</f>
        <v>3834.97</v>
      </c>
      <c r="C4334">
        <f>4729.44</f>
        <v>4729.4399999999996</v>
      </c>
      <c r="D4334">
        <f>3475.36</f>
        <v>3475.36</v>
      </c>
      <c r="E4334">
        <f>1363.887</f>
        <v>1363.8869999999999</v>
      </c>
      <c r="F4334">
        <f>2334.8</f>
        <v>2334.8000000000002</v>
      </c>
      <c r="G4334">
        <f>6734.249</f>
        <v>6734.2489999999998</v>
      </c>
      <c r="H4334">
        <f>1734.25</f>
        <v>1734.25</v>
      </c>
      <c r="I4334">
        <f>6938.602</f>
        <v>6938.6019999999999</v>
      </c>
      <c r="J4334">
        <f>1454.58</f>
        <v>1454.58</v>
      </c>
      <c r="K4334">
        <f>4444.34</f>
        <v>4444.34</v>
      </c>
      <c r="L4334">
        <f>1131.56</f>
        <v>1131.56</v>
      </c>
      <c r="M4334">
        <f>4314.27</f>
        <v>4314.2700000000004</v>
      </c>
      <c r="N4334">
        <f>183.113</f>
        <v>183.113</v>
      </c>
      <c r="O4334">
        <f>1863.41</f>
        <v>1863.41</v>
      </c>
      <c r="P4334">
        <f>99.52</f>
        <v>99.52</v>
      </c>
      <c r="Q4334">
        <f>790.27</f>
        <v>790.27</v>
      </c>
      <c r="R4334">
        <f>2153.76</f>
        <v>2153.7600000000002</v>
      </c>
      <c r="S4334">
        <f>1792.46</f>
        <v>1792.46</v>
      </c>
      <c r="T4334" t="e">
        <f>NA()</f>
        <v>#N/A</v>
      </c>
      <c r="U4334">
        <f>23603.55</f>
        <v>23603.55</v>
      </c>
      <c r="V4334" t="e">
        <f>NA()</f>
        <v>#N/A</v>
      </c>
    </row>
    <row r="4335" spans="1:22" x14ac:dyDescent="0.2">
      <c r="A4335" s="1">
        <v>39038</v>
      </c>
      <c r="B4335">
        <f>3831.83</f>
        <v>3831.83</v>
      </c>
      <c r="C4335">
        <f>4733.69</f>
        <v>4733.6899999999996</v>
      </c>
      <c r="D4335">
        <f>3468.37</f>
        <v>3468.37</v>
      </c>
      <c r="E4335">
        <f>1363.293</f>
        <v>1363.2929999999999</v>
      </c>
      <c r="F4335">
        <f>2334.4</f>
        <v>2334.4</v>
      </c>
      <c r="G4335">
        <f>6712.527</f>
        <v>6712.527</v>
      </c>
      <c r="H4335">
        <f>1779.48</f>
        <v>1779.48</v>
      </c>
      <c r="I4335">
        <f>6923.322</f>
        <v>6923.3220000000001</v>
      </c>
      <c r="J4335">
        <f>1458.44</f>
        <v>1458.44</v>
      </c>
      <c r="K4335">
        <f>4445.16</f>
        <v>4445.16</v>
      </c>
      <c r="L4335">
        <f>1132.33</f>
        <v>1132.33</v>
      </c>
      <c r="M4335">
        <f>4326.3</f>
        <v>4326.3</v>
      </c>
      <c r="N4335">
        <f>182.003</f>
        <v>182.00299999999999</v>
      </c>
      <c r="O4335">
        <f>1856.76</f>
        <v>1856.76</v>
      </c>
      <c r="P4335">
        <f>101.62</f>
        <v>101.62</v>
      </c>
      <c r="Q4335">
        <f>792.15</f>
        <v>792.15</v>
      </c>
      <c r="R4335">
        <f>2154.8</f>
        <v>2154.8000000000002</v>
      </c>
      <c r="S4335">
        <f>1838.74</f>
        <v>1838.74</v>
      </c>
      <c r="T4335" t="e">
        <f>NA()</f>
        <v>#N/A</v>
      </c>
      <c r="U4335">
        <f>23188.8</f>
        <v>23188.799999999999</v>
      </c>
      <c r="V4335" t="e">
        <f>NA()</f>
        <v>#N/A</v>
      </c>
    </row>
    <row r="4336" spans="1:22" x14ac:dyDescent="0.2">
      <c r="A4336" s="1">
        <v>39037</v>
      </c>
      <c r="B4336">
        <f>3847.4</f>
        <v>3847.4</v>
      </c>
      <c r="C4336">
        <f>4758.87</f>
        <v>4758.87</v>
      </c>
      <c r="D4336">
        <f>3503.56</f>
        <v>3503.56</v>
      </c>
      <c r="E4336">
        <f>1375.256</f>
        <v>1375.2560000000001</v>
      </c>
      <c r="F4336">
        <f>2336.81</f>
        <v>2336.81</v>
      </c>
      <c r="G4336">
        <f>6760.599</f>
        <v>6760.5990000000002</v>
      </c>
      <c r="H4336">
        <f>1776.71</f>
        <v>1776.71</v>
      </c>
      <c r="I4336">
        <f>6960.007</f>
        <v>6960.0069999999996</v>
      </c>
      <c r="J4336">
        <f>1454.13</f>
        <v>1454.13</v>
      </c>
      <c r="K4336">
        <f>4440.78</f>
        <v>4440.78</v>
      </c>
      <c r="L4336">
        <f>1134.14</f>
        <v>1134.1400000000001</v>
      </c>
      <c r="M4336">
        <f>4332.65</f>
        <v>4332.6499999999996</v>
      </c>
      <c r="N4336">
        <f>183.423</f>
        <v>183.423</v>
      </c>
      <c r="O4336">
        <f>1871.02</f>
        <v>1871.02</v>
      </c>
      <c r="P4336">
        <f>102.03</f>
        <v>102.03</v>
      </c>
      <c r="Q4336">
        <f>793.73</f>
        <v>793.73</v>
      </c>
      <c r="R4336">
        <f>2152.57</f>
        <v>2152.5700000000002</v>
      </c>
      <c r="S4336">
        <f>1848.67</f>
        <v>1848.67</v>
      </c>
      <c r="T4336" t="e">
        <f>NA()</f>
        <v>#N/A</v>
      </c>
      <c r="U4336">
        <f>23436.27</f>
        <v>23436.27</v>
      </c>
      <c r="V4336" t="e">
        <f>NA()</f>
        <v>#N/A</v>
      </c>
    </row>
    <row r="4337" spans="1:22" x14ac:dyDescent="0.2">
      <c r="A4337" s="1">
        <v>39036</v>
      </c>
      <c r="B4337">
        <f>3824.89</f>
        <v>3824.89</v>
      </c>
      <c r="C4337">
        <f>4740.72</f>
        <v>4740.72</v>
      </c>
      <c r="D4337">
        <f>3489.52</f>
        <v>3489.52</v>
      </c>
      <c r="E4337">
        <f>1370.528</f>
        <v>1370.528</v>
      </c>
      <c r="F4337">
        <f>2323.06</f>
        <v>2323.06</v>
      </c>
      <c r="G4337">
        <f>6729.097</f>
        <v>6729.0969999999998</v>
      </c>
      <c r="H4337">
        <f>1784.77</f>
        <v>1784.77</v>
      </c>
      <c r="I4337">
        <f>6955.915</f>
        <v>6955.915</v>
      </c>
      <c r="J4337">
        <f>1451.43</f>
        <v>1451.43</v>
      </c>
      <c r="K4337">
        <f>4431.3</f>
        <v>4431.3</v>
      </c>
      <c r="L4337">
        <f>1130.89</f>
        <v>1130.8900000000001</v>
      </c>
      <c r="M4337">
        <f>4329.04</f>
        <v>4329.04</v>
      </c>
      <c r="N4337">
        <f>182.72</f>
        <v>182.72</v>
      </c>
      <c r="O4337">
        <f>1867.32</f>
        <v>1867.32</v>
      </c>
      <c r="P4337">
        <f>102.5</f>
        <v>102.5</v>
      </c>
      <c r="Q4337">
        <f>789.94</f>
        <v>789.94</v>
      </c>
      <c r="R4337">
        <f>2147.6</f>
        <v>2147.6</v>
      </c>
      <c r="S4337">
        <f>1860.31</f>
        <v>1860.31</v>
      </c>
      <c r="T4337" t="e">
        <f>NA()</f>
        <v>#N/A</v>
      </c>
      <c r="U4337">
        <f>23659.44</f>
        <v>23659.439999999999</v>
      </c>
      <c r="V4337" t="e">
        <f>NA()</f>
        <v>#N/A</v>
      </c>
    </row>
    <row r="4338" spans="1:22" x14ac:dyDescent="0.2">
      <c r="A4338" s="1">
        <v>39035</v>
      </c>
      <c r="B4338">
        <f>3802.78</f>
        <v>3802.78</v>
      </c>
      <c r="C4338">
        <f>4743.1</f>
        <v>4743.1000000000004</v>
      </c>
      <c r="D4338">
        <f>3464.76</f>
        <v>3464.76</v>
      </c>
      <c r="E4338">
        <f>1369.881</f>
        <v>1369.8810000000001</v>
      </c>
      <c r="F4338">
        <f>2316.26</f>
        <v>2316.2600000000002</v>
      </c>
      <c r="G4338">
        <f>6701.643</f>
        <v>6701.643</v>
      </c>
      <c r="H4338">
        <f>1798.64</f>
        <v>1798.64</v>
      </c>
      <c r="I4338">
        <f>6911.442</f>
        <v>6911.442</v>
      </c>
      <c r="J4338">
        <f>1450.08</f>
        <v>1450.08</v>
      </c>
      <c r="K4338">
        <f>4418.9</f>
        <v>4418.8999999999996</v>
      </c>
      <c r="L4338">
        <f>1127.31</f>
        <v>1127.31</v>
      </c>
      <c r="M4338">
        <f>4316.05</f>
        <v>4316.05</v>
      </c>
      <c r="N4338">
        <f>181.782</f>
        <v>181.78200000000001</v>
      </c>
      <c r="O4338">
        <f>1856.39</f>
        <v>1856.39</v>
      </c>
      <c r="P4338">
        <f>103.11</f>
        <v>103.11</v>
      </c>
      <c r="Q4338">
        <f>787.68</f>
        <v>787.68</v>
      </c>
      <c r="R4338">
        <f>2141.95</f>
        <v>2141.9499999999998</v>
      </c>
      <c r="S4338">
        <f>1865.47</f>
        <v>1865.47</v>
      </c>
      <c r="T4338" t="e">
        <f>NA()</f>
        <v>#N/A</v>
      </c>
      <c r="U4338">
        <f>23674.39</f>
        <v>23674.39</v>
      </c>
      <c r="V4338" t="e">
        <f>NA()</f>
        <v>#N/A</v>
      </c>
    </row>
    <row r="4339" spans="1:22" x14ac:dyDescent="0.2">
      <c r="A4339" s="1">
        <v>39034</v>
      </c>
      <c r="B4339">
        <f>3801.63</f>
        <v>3801.63</v>
      </c>
      <c r="C4339">
        <f>4702.37</f>
        <v>4702.37</v>
      </c>
      <c r="D4339">
        <f>3468.98</f>
        <v>3468.98</v>
      </c>
      <c r="E4339">
        <f>1358.287</f>
        <v>1358.287</v>
      </c>
      <c r="F4339">
        <f>2338.84</f>
        <v>2338.84</v>
      </c>
      <c r="G4339">
        <f>6741.391</f>
        <v>6741.3909999999996</v>
      </c>
      <c r="H4339">
        <f>1772.35</f>
        <v>1772.35</v>
      </c>
      <c r="I4339">
        <f>6918.543</f>
        <v>6918.5429999999997</v>
      </c>
      <c r="J4339">
        <f>1445.17</f>
        <v>1445.17</v>
      </c>
      <c r="K4339">
        <f>4389.72</f>
        <v>4389.72</v>
      </c>
      <c r="L4339">
        <f>1126.84</f>
        <v>1126.8399999999999</v>
      </c>
      <c r="M4339">
        <f>4296.16</f>
        <v>4296.16</v>
      </c>
      <c r="N4339">
        <f>182.702</f>
        <v>182.702</v>
      </c>
      <c r="O4339">
        <f>1861.43</f>
        <v>1861.43</v>
      </c>
      <c r="P4339">
        <f>101.79</f>
        <v>101.79</v>
      </c>
      <c r="Q4339">
        <f>782.01</f>
        <v>782.01</v>
      </c>
      <c r="R4339">
        <f>2128.17</f>
        <v>2128.17</v>
      </c>
      <c r="S4339">
        <f>1833.15</f>
        <v>1833.15</v>
      </c>
      <c r="T4339" t="e">
        <f>NA()</f>
        <v>#N/A</v>
      </c>
      <c r="U4339">
        <f>23566.96</f>
        <v>23566.959999999999</v>
      </c>
      <c r="V4339" t="e">
        <f>NA()</f>
        <v>#N/A</v>
      </c>
    </row>
    <row r="4340" spans="1:22" x14ac:dyDescent="0.2">
      <c r="A4340" s="1">
        <v>39031</v>
      </c>
      <c r="B4340">
        <f>3793.2</f>
        <v>3793.2</v>
      </c>
      <c r="C4340">
        <f>4722.73</f>
        <v>4722.7299999999996</v>
      </c>
      <c r="D4340">
        <f>3476.96</f>
        <v>3476.96</v>
      </c>
      <c r="E4340">
        <f>1361.113</f>
        <v>1361.1130000000001</v>
      </c>
      <c r="F4340">
        <f>2349.61</f>
        <v>2349.61</v>
      </c>
      <c r="G4340">
        <f>6783.41</f>
        <v>6783.41</v>
      </c>
      <c r="H4340">
        <f>1794.2</f>
        <v>1794.2</v>
      </c>
      <c r="I4340">
        <f>6915.259</f>
        <v>6915.259</v>
      </c>
      <c r="J4340">
        <f>1443.12</f>
        <v>1443.12</v>
      </c>
      <c r="K4340">
        <f>4378.28</f>
        <v>4378.28</v>
      </c>
      <c r="L4340">
        <f>1127.9</f>
        <v>1127.9000000000001</v>
      </c>
      <c r="M4340">
        <f>4300.62</f>
        <v>4300.62</v>
      </c>
      <c r="N4340">
        <f>182.852</f>
        <v>182.852</v>
      </c>
      <c r="O4340">
        <f>1858.21</f>
        <v>1858.21</v>
      </c>
      <c r="P4340">
        <f>102.08</f>
        <v>102.08</v>
      </c>
      <c r="Q4340">
        <f>781.91</f>
        <v>781.91</v>
      </c>
      <c r="R4340">
        <f>2122.26</f>
        <v>2122.2600000000002</v>
      </c>
      <c r="S4340">
        <f>1847.89</f>
        <v>1847.89</v>
      </c>
      <c r="T4340" t="e">
        <f>NA()</f>
        <v>#N/A</v>
      </c>
      <c r="U4340">
        <f>23819.21</f>
        <v>23819.21</v>
      </c>
      <c r="V4340" t="e">
        <f>NA()</f>
        <v>#N/A</v>
      </c>
    </row>
    <row r="4341" spans="1:22" x14ac:dyDescent="0.2">
      <c r="A4341" s="1">
        <v>39030</v>
      </c>
      <c r="B4341">
        <f>3790.38</f>
        <v>3790.38</v>
      </c>
      <c r="C4341">
        <f>4731.32</f>
        <v>4731.32</v>
      </c>
      <c r="D4341">
        <f>3489.9</f>
        <v>3489.9</v>
      </c>
      <c r="E4341">
        <f>1360.148</f>
        <v>1360.1479999999999</v>
      </c>
      <c r="F4341">
        <f>2345.12</f>
        <v>2345.12</v>
      </c>
      <c r="G4341">
        <f>6757.188</f>
        <v>6757.1880000000001</v>
      </c>
      <c r="H4341">
        <f>1791.02</f>
        <v>1791.02</v>
      </c>
      <c r="I4341">
        <f>6886.237</f>
        <v>6886.2370000000001</v>
      </c>
      <c r="J4341">
        <f>1443.29</f>
        <v>1443.29</v>
      </c>
      <c r="K4341">
        <f>4370.07</f>
        <v>4370.07</v>
      </c>
      <c r="L4341">
        <f>1125.06</f>
        <v>1125.06</v>
      </c>
      <c r="M4341">
        <f>4290.12</f>
        <v>4290.12</v>
      </c>
      <c r="N4341">
        <f>182.731</f>
        <v>182.73099999999999</v>
      </c>
      <c r="O4341">
        <f>1861.98</f>
        <v>1861.98</v>
      </c>
      <c r="P4341">
        <f>102.27</f>
        <v>102.27</v>
      </c>
      <c r="Q4341">
        <f>780.51</f>
        <v>780.51</v>
      </c>
      <c r="R4341">
        <f>2118.32</f>
        <v>2118.3200000000002</v>
      </c>
      <c r="S4341">
        <f>1856.88</f>
        <v>1856.88</v>
      </c>
      <c r="T4341" t="e">
        <f>NA()</f>
        <v>#N/A</v>
      </c>
      <c r="U4341">
        <f>23684.67</f>
        <v>23684.67</v>
      </c>
      <c r="V4341" t="e">
        <f>NA()</f>
        <v>#N/A</v>
      </c>
    </row>
    <row r="4342" spans="1:22" x14ac:dyDescent="0.2">
      <c r="A4342" s="1">
        <v>39029</v>
      </c>
      <c r="B4342">
        <f>3802.27</f>
        <v>3802.27</v>
      </c>
      <c r="C4342">
        <f>4707.15</f>
        <v>4707.1499999999996</v>
      </c>
      <c r="D4342">
        <f>3494.08</f>
        <v>3494.08</v>
      </c>
      <c r="E4342">
        <f>1350.268</f>
        <v>1350.268</v>
      </c>
      <c r="F4342">
        <f>2360.25</f>
        <v>2360.25</v>
      </c>
      <c r="G4342">
        <f>6779.938</f>
        <v>6779.9380000000001</v>
      </c>
      <c r="H4342">
        <f>1800.28</f>
        <v>1800.28</v>
      </c>
      <c r="I4342">
        <f>6863.34</f>
        <v>6863.34</v>
      </c>
      <c r="J4342">
        <f>1451.4</f>
        <v>1451.4</v>
      </c>
      <c r="K4342">
        <f>4392.08</f>
        <v>4392.08</v>
      </c>
      <c r="L4342">
        <f>1128.91</f>
        <v>1128.9100000000001</v>
      </c>
      <c r="M4342">
        <f>4303.78</f>
        <v>4303.78</v>
      </c>
      <c r="N4342">
        <f>183.139</f>
        <v>183.13900000000001</v>
      </c>
      <c r="O4342">
        <f>1865.08</f>
        <v>1865.08</v>
      </c>
      <c r="P4342">
        <f>102.78</f>
        <v>102.78</v>
      </c>
      <c r="Q4342">
        <f>785.81</f>
        <v>785.81</v>
      </c>
      <c r="R4342">
        <f>2129.22</f>
        <v>2129.2199999999998</v>
      </c>
      <c r="S4342">
        <f>1866.74</f>
        <v>1866.74</v>
      </c>
      <c r="T4342" t="e">
        <f>NA()</f>
        <v>#N/A</v>
      </c>
      <c r="U4342">
        <f>23952.68</f>
        <v>23952.68</v>
      </c>
      <c r="V4342" t="e">
        <f>NA()</f>
        <v>#N/A</v>
      </c>
    </row>
    <row r="4343" spans="1:22" x14ac:dyDescent="0.2">
      <c r="A4343" s="1">
        <v>39028</v>
      </c>
      <c r="B4343">
        <f>3793.77</f>
        <v>3793.77</v>
      </c>
      <c r="C4343">
        <f>4709.73</f>
        <v>4709.7299999999996</v>
      </c>
      <c r="D4343">
        <f>3493.89</f>
        <v>3493.89</v>
      </c>
      <c r="E4343">
        <f>1353.554</f>
        <v>1353.5540000000001</v>
      </c>
      <c r="F4343">
        <f>2356.5</f>
        <v>2356.5</v>
      </c>
      <c r="G4343">
        <f>6801.962</f>
        <v>6801.9620000000004</v>
      </c>
      <c r="H4343">
        <f>1810.18</f>
        <v>1810.18</v>
      </c>
      <c r="I4343">
        <f>6891.906</f>
        <v>6891.9059999999999</v>
      </c>
      <c r="J4343">
        <f>1446.78</f>
        <v>1446.78</v>
      </c>
      <c r="K4343">
        <f>4380.15</f>
        <v>4380.1499999999996</v>
      </c>
      <c r="L4343">
        <f>1130.25</f>
        <v>1130.25</v>
      </c>
      <c r="M4343">
        <f>4310.79</f>
        <v>4310.79</v>
      </c>
      <c r="N4343">
        <f>182.839</f>
        <v>182.839</v>
      </c>
      <c r="O4343">
        <f>1865.88</f>
        <v>1865.88</v>
      </c>
      <c r="P4343">
        <f>103.57</f>
        <v>103.57</v>
      </c>
      <c r="Q4343">
        <f>784.92</f>
        <v>784.92</v>
      </c>
      <c r="R4343">
        <f>2124.28</f>
        <v>2124.2800000000002</v>
      </c>
      <c r="S4343">
        <f>1889.14</f>
        <v>1889.14</v>
      </c>
      <c r="T4343" t="e">
        <f>NA()</f>
        <v>#N/A</v>
      </c>
      <c r="U4343">
        <f>24022.61</f>
        <v>24022.61</v>
      </c>
      <c r="V4343" t="e">
        <f>NA()</f>
        <v>#N/A</v>
      </c>
    </row>
    <row r="4344" spans="1:22" x14ac:dyDescent="0.2">
      <c r="A4344" s="1">
        <v>39027</v>
      </c>
      <c r="B4344">
        <f>3779.33</f>
        <v>3779.33</v>
      </c>
      <c r="C4344">
        <f>4671.26</f>
        <v>4671.26</v>
      </c>
      <c r="D4344">
        <f>3483.02</f>
        <v>3483.02</v>
      </c>
      <c r="E4344">
        <f>1343.184</f>
        <v>1343.184</v>
      </c>
      <c r="F4344">
        <f>2335.18</f>
        <v>2335.1799999999998</v>
      </c>
      <c r="G4344">
        <f>6732.834</f>
        <v>6732.8339999999998</v>
      </c>
      <c r="H4344">
        <f>1786.28</f>
        <v>1786.28</v>
      </c>
      <c r="I4344">
        <f>6808.878</f>
        <v>6808.8779999999997</v>
      </c>
      <c r="J4344">
        <f>1443.59</f>
        <v>1443.59</v>
      </c>
      <c r="K4344">
        <f>4370.98</f>
        <v>4370.9799999999996</v>
      </c>
      <c r="L4344">
        <f>1121.79</f>
        <v>1121.79</v>
      </c>
      <c r="M4344">
        <f>4284.19</f>
        <v>4284.1899999999996</v>
      </c>
      <c r="N4344">
        <f>181.775</f>
        <v>181.77500000000001</v>
      </c>
      <c r="O4344">
        <f>1857.74</f>
        <v>1857.74</v>
      </c>
      <c r="P4344">
        <f>103.79</f>
        <v>103.79</v>
      </c>
      <c r="Q4344">
        <f>782.23</f>
        <v>782.23</v>
      </c>
      <c r="R4344">
        <f>2119.53</f>
        <v>2119.5300000000002</v>
      </c>
      <c r="S4344">
        <f>1889.18</f>
        <v>1889.18</v>
      </c>
      <c r="T4344" t="e">
        <f>NA()</f>
        <v>#N/A</v>
      </c>
      <c r="U4344">
        <f>23950.99</f>
        <v>23950.99</v>
      </c>
      <c r="V4344" t="e">
        <f>NA()</f>
        <v>#N/A</v>
      </c>
    </row>
    <row r="4345" spans="1:22" x14ac:dyDescent="0.2">
      <c r="A4345" s="1">
        <v>39024</v>
      </c>
      <c r="B4345">
        <f>3745.65</f>
        <v>3745.65</v>
      </c>
      <c r="C4345">
        <f>4640.91</f>
        <v>4640.91</v>
      </c>
      <c r="D4345">
        <f>3440.27</f>
        <v>3440.27</v>
      </c>
      <c r="E4345">
        <f>1335.574</f>
        <v>1335.5740000000001</v>
      </c>
      <c r="F4345">
        <f>2312.71</f>
        <v>2312.71</v>
      </c>
      <c r="G4345">
        <f>6665.523</f>
        <v>6665.5230000000001</v>
      </c>
      <c r="H4345">
        <f>1787</f>
        <v>1787</v>
      </c>
      <c r="I4345">
        <f>6724.105</f>
        <v>6724.1049999999996</v>
      </c>
      <c r="J4345">
        <f>1429.45</f>
        <v>1429.45</v>
      </c>
      <c r="K4345">
        <f>4321.83</f>
        <v>4321.83</v>
      </c>
      <c r="L4345">
        <f>1110.48</f>
        <v>1110.48</v>
      </c>
      <c r="M4345">
        <f>4244.32</f>
        <v>4244.32</v>
      </c>
      <c r="N4345">
        <f>180.691</f>
        <v>180.691</v>
      </c>
      <c r="O4345">
        <f>1837.07</f>
        <v>1837.07</v>
      </c>
      <c r="P4345" t="e">
        <f>NA()</f>
        <v>#N/A</v>
      </c>
      <c r="Q4345">
        <f>775.9</f>
        <v>775.9</v>
      </c>
      <c r="R4345">
        <f>2095.68</f>
        <v>2095.6799999999998</v>
      </c>
      <c r="S4345" t="e">
        <f>NA()</f>
        <v>#N/A</v>
      </c>
      <c r="T4345" t="e">
        <f>NA()</f>
        <v>#N/A</v>
      </c>
      <c r="U4345">
        <f>23590.57</f>
        <v>23590.57</v>
      </c>
      <c r="V4345" t="e">
        <f>NA()</f>
        <v>#N/A</v>
      </c>
    </row>
    <row r="4346" spans="1:22" x14ac:dyDescent="0.2">
      <c r="A4346" s="1">
        <v>39023</v>
      </c>
      <c r="B4346">
        <f>3751.35</f>
        <v>3751.35</v>
      </c>
      <c r="C4346">
        <f>4604.32</f>
        <v>4604.32</v>
      </c>
      <c r="D4346">
        <f>3440.91</f>
        <v>3440.91</v>
      </c>
      <c r="E4346">
        <f>1326.43</f>
        <v>1326.43</v>
      </c>
      <c r="F4346">
        <f>2320.87</f>
        <v>2320.87</v>
      </c>
      <c r="G4346">
        <f>6690.338</f>
        <v>6690.3379999999997</v>
      </c>
      <c r="H4346">
        <f>1801.65</f>
        <v>1801.65</v>
      </c>
      <c r="I4346">
        <f>6726.395</f>
        <v>6726.3950000000004</v>
      </c>
      <c r="J4346">
        <f>1430.51</f>
        <v>1430.51</v>
      </c>
      <c r="K4346">
        <f>4330.54</f>
        <v>4330.54</v>
      </c>
      <c r="L4346">
        <f>1111.8</f>
        <v>1111.8</v>
      </c>
      <c r="M4346">
        <f>4252.61</f>
        <v>4252.6099999999997</v>
      </c>
      <c r="N4346">
        <f>180.285</f>
        <v>180.285</v>
      </c>
      <c r="O4346">
        <f>1830.38</f>
        <v>1830.38</v>
      </c>
      <c r="P4346">
        <f>103.7</f>
        <v>103.7</v>
      </c>
      <c r="Q4346">
        <f>779.98</f>
        <v>779.98</v>
      </c>
      <c r="R4346">
        <f>2100.21</f>
        <v>2100.21</v>
      </c>
      <c r="S4346">
        <f>1891.88</f>
        <v>1891.88</v>
      </c>
      <c r="T4346" t="e">
        <f>NA()</f>
        <v>#N/A</v>
      </c>
      <c r="U4346">
        <f>23527.62</f>
        <v>23527.62</v>
      </c>
      <c r="V4346" t="e">
        <f>NA()</f>
        <v>#N/A</v>
      </c>
    </row>
    <row r="4347" spans="1:22" x14ac:dyDescent="0.2">
      <c r="A4347" s="1">
        <v>39022</v>
      </c>
      <c r="B4347">
        <f>3751.85</f>
        <v>3751.85</v>
      </c>
      <c r="C4347">
        <f>4597.29</f>
        <v>4597.29</v>
      </c>
      <c r="D4347">
        <f>3441.1</f>
        <v>3441.1</v>
      </c>
      <c r="E4347">
        <f>1327.815</f>
        <v>1327.8150000000001</v>
      </c>
      <c r="F4347">
        <f>2322.38</f>
        <v>2322.38</v>
      </c>
      <c r="G4347">
        <f>6691.717</f>
        <v>6691.7169999999996</v>
      </c>
      <c r="H4347">
        <f>1802.25</f>
        <v>1802.25</v>
      </c>
      <c r="I4347">
        <f>6770.144</f>
        <v>6770.1440000000002</v>
      </c>
      <c r="J4347">
        <f>1431.04</f>
        <v>1431.04</v>
      </c>
      <c r="K4347">
        <f>4331.23</f>
        <v>4331.2299999999996</v>
      </c>
      <c r="L4347">
        <f>1114.85</f>
        <v>1114.8499999999999</v>
      </c>
      <c r="M4347">
        <f>4259.58</f>
        <v>4259.58</v>
      </c>
      <c r="N4347">
        <f>180.555</f>
        <v>180.55500000000001</v>
      </c>
      <c r="O4347">
        <f>1838.76</f>
        <v>1838.76</v>
      </c>
      <c r="P4347">
        <f>103.52</f>
        <v>103.52</v>
      </c>
      <c r="Q4347">
        <f>781.04</f>
        <v>781.04</v>
      </c>
      <c r="R4347">
        <f>2100.36</f>
        <v>2100.36</v>
      </c>
      <c r="S4347">
        <f>1895.96</f>
        <v>1895.96</v>
      </c>
      <c r="T4347" t="e">
        <f>NA()</f>
        <v>#N/A</v>
      </c>
      <c r="U4347">
        <f>23600.52</f>
        <v>23600.52</v>
      </c>
      <c r="V4347" t="e">
        <f>NA()</f>
        <v>#N/A</v>
      </c>
    </row>
    <row r="4348" spans="1:22" x14ac:dyDescent="0.2">
      <c r="A4348" s="1">
        <v>39021</v>
      </c>
      <c r="B4348">
        <f>3751.1</f>
        <v>3751.1</v>
      </c>
      <c r="C4348">
        <f>4573.93</f>
        <v>4573.93</v>
      </c>
      <c r="D4348">
        <f>3425.52</f>
        <v>3425.52</v>
      </c>
      <c r="E4348">
        <f>1314.597</f>
        <v>1314.597</v>
      </c>
      <c r="F4348">
        <f>2312.7</f>
        <v>2312.6999999999998</v>
      </c>
      <c r="G4348">
        <f>6666.198</f>
        <v>6666.1980000000003</v>
      </c>
      <c r="H4348">
        <f>1795.65</f>
        <v>1795.65</v>
      </c>
      <c r="I4348">
        <f>6738.067</f>
        <v>6738.067</v>
      </c>
      <c r="J4348">
        <f>1436.42</f>
        <v>1436.42</v>
      </c>
      <c r="K4348">
        <f>4364.12</f>
        <v>4364.12</v>
      </c>
      <c r="L4348">
        <f>1113.94</f>
        <v>1113.94</v>
      </c>
      <c r="M4348">
        <f>4269.39</f>
        <v>4269.3900000000003</v>
      </c>
      <c r="N4348">
        <f>179.956</f>
        <v>179.95599999999999</v>
      </c>
      <c r="O4348">
        <f>1831.13</f>
        <v>1831.13</v>
      </c>
      <c r="P4348">
        <f>103.07</f>
        <v>103.07</v>
      </c>
      <c r="Q4348">
        <f>785.73</f>
        <v>785.73</v>
      </c>
      <c r="R4348">
        <f>2115.65</f>
        <v>2115.65</v>
      </c>
      <c r="S4348">
        <f>1890.01</f>
        <v>1890.01</v>
      </c>
      <c r="T4348" t="e">
        <f>NA()</f>
        <v>#N/A</v>
      </c>
      <c r="U4348">
        <f>23338.16</f>
        <v>23338.16</v>
      </c>
      <c r="V4348" t="e">
        <f>NA()</f>
        <v>#N/A</v>
      </c>
    </row>
    <row r="4349" spans="1:22" x14ac:dyDescent="0.2">
      <c r="A4349" s="1">
        <v>39020</v>
      </c>
      <c r="B4349">
        <f>3733.97</f>
        <v>3733.97</v>
      </c>
      <c r="C4349">
        <f>4523.66</f>
        <v>4523.66</v>
      </c>
      <c r="D4349">
        <f>3424.16</f>
        <v>3424.16</v>
      </c>
      <c r="E4349">
        <f>1301.227</f>
        <v>1301.2270000000001</v>
      </c>
      <c r="F4349">
        <f>2304.35</f>
        <v>2304.35</v>
      </c>
      <c r="G4349">
        <f>6644.984</f>
        <v>6644.9840000000004</v>
      </c>
      <c r="H4349">
        <f>1794.13</f>
        <v>1794.13</v>
      </c>
      <c r="I4349">
        <f>6716.017</f>
        <v>6716.0169999999998</v>
      </c>
      <c r="J4349">
        <f>1437.66</f>
        <v>1437.66</v>
      </c>
      <c r="K4349">
        <f>4363.98</f>
        <v>4363.9799999999996</v>
      </c>
      <c r="L4349">
        <f>1112.41</f>
        <v>1112.4100000000001</v>
      </c>
      <c r="M4349">
        <f>4262.98</f>
        <v>4262.9799999999996</v>
      </c>
      <c r="N4349">
        <f>180.103</f>
        <v>180.10300000000001</v>
      </c>
      <c r="O4349">
        <f>1832.61</f>
        <v>1832.61</v>
      </c>
      <c r="P4349">
        <f>103.25</f>
        <v>103.25</v>
      </c>
      <c r="Q4349">
        <f>786.97</f>
        <v>786.97</v>
      </c>
      <c r="R4349">
        <f>2115.63</f>
        <v>2115.63</v>
      </c>
      <c r="S4349">
        <f>1893.78</f>
        <v>1893.78</v>
      </c>
      <c r="T4349" t="e">
        <f>NA()</f>
        <v>#N/A</v>
      </c>
      <c r="U4349">
        <f>23200</f>
        <v>23200</v>
      </c>
      <c r="V4349" t="e">
        <f>NA()</f>
        <v>#N/A</v>
      </c>
    </row>
    <row r="4350" spans="1:22" x14ac:dyDescent="0.2">
      <c r="A4350" s="1">
        <v>39017</v>
      </c>
      <c r="B4350">
        <f>3732.06</f>
        <v>3732.06</v>
      </c>
      <c r="C4350">
        <f>4566.07</f>
        <v>4566.07</v>
      </c>
      <c r="D4350">
        <f>3443.22</f>
        <v>3443.22</v>
      </c>
      <c r="E4350">
        <f>1315.113</f>
        <v>1315.1130000000001</v>
      </c>
      <c r="F4350">
        <f>2304.21</f>
        <v>2304.21</v>
      </c>
      <c r="G4350">
        <f>6662.192</f>
        <v>6662.192</v>
      </c>
      <c r="H4350">
        <f>1817.48</f>
        <v>1817.48</v>
      </c>
      <c r="I4350">
        <f>6745.658</f>
        <v>6745.6580000000004</v>
      </c>
      <c r="J4350">
        <f>1440.96</f>
        <v>1440.96</v>
      </c>
      <c r="K4350">
        <f>4362.27</f>
        <v>4362.2700000000004</v>
      </c>
      <c r="L4350">
        <f>1115.6</f>
        <v>1115.5999999999999</v>
      </c>
      <c r="M4350">
        <f>4275.14</f>
        <v>4275.1400000000003</v>
      </c>
      <c r="N4350">
        <f>179.914</f>
        <v>179.91399999999999</v>
      </c>
      <c r="O4350">
        <f>1838.03</f>
        <v>1838.03</v>
      </c>
      <c r="P4350">
        <f>104.7</f>
        <v>104.7</v>
      </c>
      <c r="Q4350">
        <f>785.95</f>
        <v>785.95</v>
      </c>
      <c r="R4350">
        <f>2114.65</f>
        <v>2114.65</v>
      </c>
      <c r="S4350">
        <f>1928.93</f>
        <v>1928.93</v>
      </c>
      <c r="T4350" t="e">
        <f>NA()</f>
        <v>#N/A</v>
      </c>
      <c r="U4350">
        <f>23062.26</f>
        <v>23062.26</v>
      </c>
      <c r="V4350" t="e">
        <f>NA()</f>
        <v>#N/A</v>
      </c>
    </row>
    <row r="4351" spans="1:22" x14ac:dyDescent="0.2">
      <c r="A4351" s="1">
        <v>39016</v>
      </c>
      <c r="B4351">
        <f>3755.13</f>
        <v>3755.13</v>
      </c>
      <c r="C4351">
        <f>4566.13</f>
        <v>4566.13</v>
      </c>
      <c r="D4351">
        <f>3456.59</f>
        <v>3456.59</v>
      </c>
      <c r="E4351">
        <f>1317.956</f>
        <v>1317.9559999999999</v>
      </c>
      <c r="F4351">
        <f>2298.04</f>
        <v>2298.04</v>
      </c>
      <c r="G4351">
        <f>6659.589</f>
        <v>6659.5889999999999</v>
      </c>
      <c r="H4351">
        <f>1810.28</f>
        <v>1810.28</v>
      </c>
      <c r="I4351">
        <f>6729.111</f>
        <v>6729.1109999999999</v>
      </c>
      <c r="J4351">
        <f>1448.49</f>
        <v>1448.49</v>
      </c>
      <c r="K4351">
        <f>4399.28</f>
        <v>4399.28</v>
      </c>
      <c r="L4351">
        <f>1116.08</f>
        <v>1116.08</v>
      </c>
      <c r="M4351">
        <f>4290.4</f>
        <v>4290.3999999999996</v>
      </c>
      <c r="N4351">
        <f>180.636</f>
        <v>180.636</v>
      </c>
      <c r="O4351">
        <f>1842.28</f>
        <v>1842.28</v>
      </c>
      <c r="P4351">
        <f>105.12</f>
        <v>105.12</v>
      </c>
      <c r="Q4351">
        <f>792.17</f>
        <v>792.17</v>
      </c>
      <c r="R4351">
        <f>2132.39</f>
        <v>2132.39</v>
      </c>
      <c r="S4351">
        <f>1945.13</f>
        <v>1945.13</v>
      </c>
      <c r="T4351" t="e">
        <f>NA()</f>
        <v>#N/A</v>
      </c>
      <c r="U4351">
        <f>23212.71</f>
        <v>23212.71</v>
      </c>
      <c r="V4351" t="e">
        <f>NA()</f>
        <v>#N/A</v>
      </c>
    </row>
    <row r="4352" spans="1:22" x14ac:dyDescent="0.2">
      <c r="A4352" s="1">
        <v>39015</v>
      </c>
      <c r="B4352">
        <f>3743.75</f>
        <v>3743.75</v>
      </c>
      <c r="C4352">
        <f>4538.43</f>
        <v>4538.43</v>
      </c>
      <c r="D4352">
        <f>3473.21</f>
        <v>3473.21</v>
      </c>
      <c r="E4352">
        <f>1309.956</f>
        <v>1309.9559999999999</v>
      </c>
      <c r="F4352">
        <f>2285.67</f>
        <v>2285.67</v>
      </c>
      <c r="G4352">
        <f>6651.81</f>
        <v>6651.81</v>
      </c>
      <c r="H4352">
        <f>1794.07</f>
        <v>1794.07</v>
      </c>
      <c r="I4352">
        <f>6680.197</f>
        <v>6680.1970000000001</v>
      </c>
      <c r="J4352">
        <f>1444.64</f>
        <v>1444.64</v>
      </c>
      <c r="K4352">
        <f>4372.71</f>
        <v>4372.71</v>
      </c>
      <c r="L4352">
        <f>1111.56</f>
        <v>1111.56</v>
      </c>
      <c r="M4352">
        <f>4263.91</f>
        <v>4263.91</v>
      </c>
      <c r="N4352">
        <f>180.931</f>
        <v>180.93100000000001</v>
      </c>
      <c r="O4352">
        <f>1845.17</f>
        <v>1845.17</v>
      </c>
      <c r="P4352">
        <f>104.72</f>
        <v>104.72</v>
      </c>
      <c r="Q4352">
        <f>787.79</f>
        <v>787.79</v>
      </c>
      <c r="R4352">
        <f>2121.83</f>
        <v>2121.83</v>
      </c>
      <c r="S4352">
        <f>1932.01</f>
        <v>1932.01</v>
      </c>
      <c r="T4352" t="e">
        <f>NA()</f>
        <v>#N/A</v>
      </c>
      <c r="U4352">
        <f>23489.48</f>
        <v>23489.48</v>
      </c>
      <c r="V4352" t="e">
        <f>NA()</f>
        <v>#N/A</v>
      </c>
    </row>
    <row r="4353" spans="1:22" x14ac:dyDescent="0.2">
      <c r="A4353" s="1">
        <v>39014</v>
      </c>
      <c r="B4353">
        <f>3747.92</f>
        <v>3747.92</v>
      </c>
      <c r="C4353">
        <f>4514.13</f>
        <v>4514.13</v>
      </c>
      <c r="D4353">
        <f>3455.1</f>
        <v>3455.1</v>
      </c>
      <c r="E4353">
        <f>1302.828</f>
        <v>1302.828</v>
      </c>
      <c r="F4353">
        <f>2279.39</f>
        <v>2279.39</v>
      </c>
      <c r="G4353">
        <f>6599.737</f>
        <v>6599.7370000000001</v>
      </c>
      <c r="H4353">
        <f>1793.4</f>
        <v>1793.4</v>
      </c>
      <c r="I4353">
        <f>6641.455</f>
        <v>6641.4549999999999</v>
      </c>
      <c r="J4353">
        <f>1436.12</f>
        <v>1436.12</v>
      </c>
      <c r="K4353">
        <f>4356.79</f>
        <v>4356.79</v>
      </c>
      <c r="L4353">
        <f>1105.17</f>
        <v>1105.17</v>
      </c>
      <c r="M4353">
        <f>4244.9</f>
        <v>4244.8999999999996</v>
      </c>
      <c r="N4353">
        <f>180.843</f>
        <v>180.84299999999999</v>
      </c>
      <c r="O4353">
        <f>1839.65</f>
        <v>1839.65</v>
      </c>
      <c r="P4353">
        <f>105.37</f>
        <v>105.37</v>
      </c>
      <c r="Q4353">
        <f>790.37</f>
        <v>790.37</v>
      </c>
      <c r="R4353">
        <f>2114.36</f>
        <v>2114.36</v>
      </c>
      <c r="S4353">
        <f>1942.71</f>
        <v>1942.71</v>
      </c>
      <c r="T4353" t="e">
        <f>NA()</f>
        <v>#N/A</v>
      </c>
      <c r="U4353">
        <f>23532.81</f>
        <v>23532.81</v>
      </c>
      <c r="V4353" t="e">
        <f>NA()</f>
        <v>#N/A</v>
      </c>
    </row>
    <row r="4354" spans="1:22" x14ac:dyDescent="0.2">
      <c r="A4354" s="1">
        <v>39013</v>
      </c>
      <c r="B4354">
        <f>3725.14</f>
        <v>3725.14</v>
      </c>
      <c r="C4354">
        <f>4487.33</f>
        <v>4487.33</v>
      </c>
      <c r="D4354">
        <f>3445.94</f>
        <v>3445.94</v>
      </c>
      <c r="E4354">
        <f>1297.856</f>
        <v>1297.856</v>
      </c>
      <c r="F4354">
        <f>2273.84</f>
        <v>2273.84</v>
      </c>
      <c r="G4354">
        <f>6580.234</f>
        <v>6580.2340000000004</v>
      </c>
      <c r="H4354">
        <f>1794.12</f>
        <v>1794.12</v>
      </c>
      <c r="I4354">
        <f>6649.966</f>
        <v>6649.9660000000003</v>
      </c>
      <c r="J4354">
        <f>1438.32</f>
        <v>1438.32</v>
      </c>
      <c r="K4354">
        <f>4356.48</f>
        <v>4356.4799999999996</v>
      </c>
      <c r="L4354">
        <f>1105.79</f>
        <v>1105.79</v>
      </c>
      <c r="M4354">
        <f>4243.42</f>
        <v>4243.42</v>
      </c>
      <c r="N4354">
        <f>180.91</f>
        <v>180.91</v>
      </c>
      <c r="O4354">
        <f>1839.18</f>
        <v>1839.18</v>
      </c>
      <c r="P4354">
        <f>105.29</f>
        <v>105.29</v>
      </c>
      <c r="Q4354">
        <f>791.55</f>
        <v>791.55</v>
      </c>
      <c r="R4354">
        <f>2113.82</f>
        <v>2113.8200000000002</v>
      </c>
      <c r="S4354">
        <f>1939.03</f>
        <v>1939.03</v>
      </c>
      <c r="T4354" t="e">
        <f>NA()</f>
        <v>#N/A</v>
      </c>
      <c r="U4354">
        <f>23469.79</f>
        <v>23469.79</v>
      </c>
      <c r="V4354" t="e">
        <f>NA()</f>
        <v>#N/A</v>
      </c>
    </row>
    <row r="4355" spans="1:22" x14ac:dyDescent="0.2">
      <c r="A4355" s="1">
        <v>39010</v>
      </c>
      <c r="B4355">
        <f>3730.71</f>
        <v>3730.71</v>
      </c>
      <c r="C4355">
        <f>4494.54</f>
        <v>4494.54</v>
      </c>
      <c r="D4355">
        <f>3439.83</f>
        <v>3439.83</v>
      </c>
      <c r="E4355">
        <f>1302.626</f>
        <v>1302.626</v>
      </c>
      <c r="F4355">
        <f>2278.05</f>
        <v>2278.0500000000002</v>
      </c>
      <c r="G4355">
        <f>6601.097</f>
        <v>6601.0969999999998</v>
      </c>
      <c r="H4355">
        <f>1791.43</f>
        <v>1791.43</v>
      </c>
      <c r="I4355">
        <f>6646.393</f>
        <v>6646.393</v>
      </c>
      <c r="J4355">
        <f>1430.92</f>
        <v>1430.92</v>
      </c>
      <c r="K4355">
        <f>4329.52</f>
        <v>4329.5200000000004</v>
      </c>
      <c r="L4355">
        <f>1103.99</f>
        <v>1103.99</v>
      </c>
      <c r="M4355">
        <f>4228.46</f>
        <v>4228.46</v>
      </c>
      <c r="N4355">
        <f>180.471</f>
        <v>180.471</v>
      </c>
      <c r="O4355">
        <f>1832.51</f>
        <v>1832.51</v>
      </c>
      <c r="P4355">
        <f>104.76</f>
        <v>104.76</v>
      </c>
      <c r="Q4355">
        <f>784.48</f>
        <v>784.48</v>
      </c>
      <c r="R4355">
        <f>2100.86</f>
        <v>2100.86</v>
      </c>
      <c r="S4355">
        <f>1921.23</f>
        <v>1921.23</v>
      </c>
      <c r="T4355" t="e">
        <f>NA()</f>
        <v>#N/A</v>
      </c>
      <c r="U4355">
        <f>23337.66</f>
        <v>23337.66</v>
      </c>
      <c r="V4355" t="e">
        <f>NA()</f>
        <v>#N/A</v>
      </c>
    </row>
    <row r="4356" spans="1:22" x14ac:dyDescent="0.2">
      <c r="A4356" s="1">
        <v>39009</v>
      </c>
      <c r="B4356">
        <f>3727.5</f>
        <v>3727.5</v>
      </c>
      <c r="C4356">
        <f>4488.81</f>
        <v>4488.8100000000004</v>
      </c>
      <c r="D4356">
        <f>3440.26</f>
        <v>3440.26</v>
      </c>
      <c r="E4356">
        <f>1303.161</f>
        <v>1303.1610000000001</v>
      </c>
      <c r="F4356">
        <f>2272.38</f>
        <v>2272.38</v>
      </c>
      <c r="G4356">
        <f>6583.596</f>
        <v>6583.5959999999995</v>
      </c>
      <c r="H4356">
        <f>1780.63</f>
        <v>1780.63</v>
      </c>
      <c r="I4356">
        <f>6619.255</f>
        <v>6619.2550000000001</v>
      </c>
      <c r="J4356">
        <f>1427.42</f>
        <v>1427.42</v>
      </c>
      <c r="K4356">
        <f>4326.71</f>
        <v>4326.71</v>
      </c>
      <c r="L4356">
        <f>1100.07</f>
        <v>1100.07</v>
      </c>
      <c r="M4356">
        <f>4218.86</f>
        <v>4218.8599999999997</v>
      </c>
      <c r="N4356">
        <f>179.088</f>
        <v>179.08799999999999</v>
      </c>
      <c r="O4356">
        <f>1826.84</f>
        <v>1826.84</v>
      </c>
      <c r="P4356">
        <f>103.98</f>
        <v>103.98</v>
      </c>
      <c r="Q4356">
        <f>783.19</f>
        <v>783.19</v>
      </c>
      <c r="R4356">
        <f>2098.32</f>
        <v>2098.3200000000002</v>
      </c>
      <c r="S4356">
        <f>1911.43</f>
        <v>1911.43</v>
      </c>
      <c r="T4356" t="e">
        <f>NA()</f>
        <v>#N/A</v>
      </c>
      <c r="U4356">
        <f>23254.9</f>
        <v>23254.9</v>
      </c>
      <c r="V4356" t="e">
        <f>NA()</f>
        <v>#N/A</v>
      </c>
    </row>
    <row r="4357" spans="1:22" x14ac:dyDescent="0.2">
      <c r="A4357" s="1">
        <v>39008</v>
      </c>
      <c r="B4357">
        <f>3728.23</f>
        <v>3728.23</v>
      </c>
      <c r="C4357">
        <f>4486.11</f>
        <v>4486.1099999999997</v>
      </c>
      <c r="D4357">
        <f>3437.15</f>
        <v>3437.15</v>
      </c>
      <c r="E4357">
        <f>1300.738</f>
        <v>1300.7380000000001</v>
      </c>
      <c r="F4357">
        <f>2277.4</f>
        <v>2277.4</v>
      </c>
      <c r="G4357">
        <f>6548.385</f>
        <v>6548.3850000000002</v>
      </c>
      <c r="H4357">
        <f>1772.69</f>
        <v>1772.69</v>
      </c>
      <c r="I4357">
        <f>6574.529</f>
        <v>6574.5290000000005</v>
      </c>
      <c r="J4357">
        <f>1428.82</f>
        <v>1428.82</v>
      </c>
      <c r="K4357">
        <f>4322.48</f>
        <v>4322.4799999999996</v>
      </c>
      <c r="L4357">
        <f>1097.17</f>
        <v>1097.17</v>
      </c>
      <c r="M4357">
        <f>4205.24</f>
        <v>4205.24</v>
      </c>
      <c r="N4357">
        <f>179.305</f>
        <v>179.30500000000001</v>
      </c>
      <c r="O4357">
        <f>1827.56</f>
        <v>1827.56</v>
      </c>
      <c r="P4357">
        <f>104.21</f>
        <v>104.21</v>
      </c>
      <c r="Q4357">
        <f>783.8</f>
        <v>783.8</v>
      </c>
      <c r="R4357">
        <f>2096.71</f>
        <v>2096.71</v>
      </c>
      <c r="S4357">
        <f>1914.91</f>
        <v>1914.91</v>
      </c>
      <c r="T4357" t="e">
        <f>NA()</f>
        <v>#N/A</v>
      </c>
      <c r="U4357">
        <f>23209.26</f>
        <v>23209.26</v>
      </c>
      <c r="V4357" t="e">
        <f>NA()</f>
        <v>#N/A</v>
      </c>
    </row>
    <row r="4358" spans="1:22" x14ac:dyDescent="0.2">
      <c r="A4358" s="1">
        <v>39007</v>
      </c>
      <c r="B4358">
        <f>3697.41</f>
        <v>3697.41</v>
      </c>
      <c r="C4358">
        <f>4481.76</f>
        <v>4481.76</v>
      </c>
      <c r="D4358">
        <f>3413.17</f>
        <v>3413.17</v>
      </c>
      <c r="E4358">
        <f>1295.979</f>
        <v>1295.979</v>
      </c>
      <c r="F4358">
        <f>2263.77</f>
        <v>2263.77</v>
      </c>
      <c r="G4358">
        <f>6509.406</f>
        <v>6509.4059999999999</v>
      </c>
      <c r="H4358">
        <f>1779.49</f>
        <v>1779.49</v>
      </c>
      <c r="I4358">
        <f>6524.073</f>
        <v>6524.0730000000003</v>
      </c>
      <c r="J4358">
        <f>1424.57</f>
        <v>1424.57</v>
      </c>
      <c r="K4358">
        <f>4316.19</f>
        <v>4316.1899999999996</v>
      </c>
      <c r="L4358">
        <f>1092.02</f>
        <v>1092.02</v>
      </c>
      <c r="M4358">
        <f>4193.2</f>
        <v>4193.2</v>
      </c>
      <c r="N4358">
        <f>177.003</f>
        <v>177.00299999999999</v>
      </c>
      <c r="O4358">
        <f>1811.07</f>
        <v>1811.07</v>
      </c>
      <c r="P4358">
        <f>104.02</f>
        <v>104.02</v>
      </c>
      <c r="Q4358">
        <f>781.24</f>
        <v>781.24</v>
      </c>
      <c r="R4358">
        <f>2093.58</f>
        <v>2093.58</v>
      </c>
      <c r="S4358">
        <f>1913.98</f>
        <v>1913.98</v>
      </c>
      <c r="T4358" t="e">
        <f>NA()</f>
        <v>#N/A</v>
      </c>
      <c r="U4358">
        <f>23155.11</f>
        <v>23155.11</v>
      </c>
      <c r="V4358" t="e">
        <f>NA()</f>
        <v>#N/A</v>
      </c>
    </row>
    <row r="4359" spans="1:22" x14ac:dyDescent="0.2">
      <c r="A4359" s="1">
        <v>39006</v>
      </c>
      <c r="B4359">
        <f>3747.27</f>
        <v>3747.27</v>
      </c>
      <c r="C4359">
        <f>4527.57</f>
        <v>4527.57</v>
      </c>
      <c r="D4359">
        <f>3448.79</f>
        <v>3448.79</v>
      </c>
      <c r="E4359">
        <f>1304.822</f>
        <v>1304.8219999999999</v>
      </c>
      <c r="F4359">
        <f>2286.86</f>
        <v>2286.86</v>
      </c>
      <c r="G4359">
        <f>6547.455</f>
        <v>6547.4549999999999</v>
      </c>
      <c r="H4359">
        <f>1782.77</f>
        <v>1782.77</v>
      </c>
      <c r="I4359">
        <f>6588.739</f>
        <v>6588.7389999999996</v>
      </c>
      <c r="J4359">
        <f>1425.7</f>
        <v>1425.7</v>
      </c>
      <c r="K4359">
        <f>4333.4</f>
        <v>4333.3999999999996</v>
      </c>
      <c r="L4359">
        <f>1097.23</f>
        <v>1097.23</v>
      </c>
      <c r="M4359">
        <f>4214.81</f>
        <v>4214.8100000000004</v>
      </c>
      <c r="N4359">
        <f>178.86</f>
        <v>178.86</v>
      </c>
      <c r="O4359">
        <f>1829.98</f>
        <v>1829.98</v>
      </c>
      <c r="P4359">
        <f>104.3</f>
        <v>104.3</v>
      </c>
      <c r="Q4359">
        <f>783.34</f>
        <v>783.34</v>
      </c>
      <c r="R4359">
        <f>2101.27</f>
        <v>2101.27</v>
      </c>
      <c r="S4359">
        <f>1923.45</f>
        <v>1923.45</v>
      </c>
      <c r="T4359" t="e">
        <f>NA()</f>
        <v>#N/A</v>
      </c>
      <c r="U4359">
        <f>23141.09</f>
        <v>23141.09</v>
      </c>
      <c r="V4359" t="e">
        <f>NA()</f>
        <v>#N/A</v>
      </c>
    </row>
    <row r="4360" spans="1:22" x14ac:dyDescent="0.2">
      <c r="A4360" s="1">
        <v>39003</v>
      </c>
      <c r="B4360">
        <f>3750.05</f>
        <v>3750.05</v>
      </c>
      <c r="C4360">
        <f>4479.4</f>
        <v>4479.3999999999996</v>
      </c>
      <c r="D4360">
        <f>3440.38</f>
        <v>3440.38</v>
      </c>
      <c r="E4360">
        <f>1296.781</f>
        <v>1296.7809999999999</v>
      </c>
      <c r="F4360">
        <f>2280.15</f>
        <v>2280.15</v>
      </c>
      <c r="G4360">
        <f>6514.287</f>
        <v>6514.2870000000003</v>
      </c>
      <c r="H4360">
        <f>1764.25</f>
        <v>1764.25</v>
      </c>
      <c r="I4360">
        <f>6567.933</f>
        <v>6567.933</v>
      </c>
      <c r="J4360">
        <f>1425.16</f>
        <v>1425.16</v>
      </c>
      <c r="K4360">
        <f>4321.15</f>
        <v>4321.1499999999996</v>
      </c>
      <c r="L4360">
        <f>1096.26</f>
        <v>1096.26</v>
      </c>
      <c r="M4360">
        <f>4193.58</f>
        <v>4193.58</v>
      </c>
      <c r="N4360">
        <f>177.76</f>
        <v>177.76</v>
      </c>
      <c r="O4360">
        <f>1826.21</f>
        <v>1826.21</v>
      </c>
      <c r="P4360">
        <f>103.46</f>
        <v>103.46</v>
      </c>
      <c r="Q4360">
        <f>780.41</f>
        <v>780.41</v>
      </c>
      <c r="R4360">
        <f>2095.97</f>
        <v>2095.9699999999998</v>
      </c>
      <c r="S4360">
        <f>1902.36</f>
        <v>1902.36</v>
      </c>
      <c r="T4360" t="e">
        <f>NA()</f>
        <v>#N/A</v>
      </c>
      <c r="U4360">
        <f>22840.3</f>
        <v>22840.3</v>
      </c>
      <c r="V4360" t="e">
        <f>NA()</f>
        <v>#N/A</v>
      </c>
    </row>
    <row r="4361" spans="1:22" x14ac:dyDescent="0.2">
      <c r="A4361" s="1">
        <v>39002</v>
      </c>
      <c r="B4361">
        <f>3739.15</f>
        <v>3739.15</v>
      </c>
      <c r="C4361">
        <f>4413.59</f>
        <v>4413.59</v>
      </c>
      <c r="D4361">
        <f>3420.25</f>
        <v>3420.25</v>
      </c>
      <c r="E4361">
        <f>1275.516</f>
        <v>1275.5160000000001</v>
      </c>
      <c r="F4361">
        <f>2267.08</f>
        <v>2267.08</v>
      </c>
      <c r="G4361">
        <f>6481.988</f>
        <v>6481.9880000000003</v>
      </c>
      <c r="H4361">
        <f>1760.36</f>
        <v>1760.36</v>
      </c>
      <c r="I4361">
        <f>6591.903</f>
        <v>6591.9030000000002</v>
      </c>
      <c r="J4361">
        <f>1422.96</f>
        <v>1422.96</v>
      </c>
      <c r="K4361">
        <f>4311.18</f>
        <v>4311.18</v>
      </c>
      <c r="L4361">
        <f>1095.46</f>
        <v>1095.46</v>
      </c>
      <c r="M4361">
        <f>4183.96</f>
        <v>4183.96</v>
      </c>
      <c r="N4361">
        <f>177.569</f>
        <v>177.56899999999999</v>
      </c>
      <c r="O4361">
        <f>1821.32</f>
        <v>1821.32</v>
      </c>
      <c r="P4361">
        <f>102.91</f>
        <v>102.91</v>
      </c>
      <c r="Q4361">
        <f>779.53</f>
        <v>779.53</v>
      </c>
      <c r="R4361">
        <f>2091.69</f>
        <v>2091.69</v>
      </c>
      <c r="S4361">
        <f>1885.58</f>
        <v>1885.58</v>
      </c>
      <c r="T4361" t="e">
        <f>NA()</f>
        <v>#N/A</v>
      </c>
      <c r="U4361">
        <f>22751.49</f>
        <v>22751.49</v>
      </c>
      <c r="V4361" t="e">
        <f>NA()</f>
        <v>#N/A</v>
      </c>
    </row>
    <row r="4362" spans="1:22" x14ac:dyDescent="0.2">
      <c r="A4362" s="1">
        <v>39001</v>
      </c>
      <c r="B4362">
        <f>3699.09</f>
        <v>3699.09</v>
      </c>
      <c r="C4362">
        <f>4382.31</f>
        <v>4382.3100000000004</v>
      </c>
      <c r="D4362">
        <f>3393.55</f>
        <v>3393.55</v>
      </c>
      <c r="E4362">
        <f>1267.991</f>
        <v>1267.991</v>
      </c>
      <c r="F4362">
        <f>2250.64</f>
        <v>2250.64</v>
      </c>
      <c r="G4362">
        <f>6430.473</f>
        <v>6430.473</v>
      </c>
      <c r="H4362">
        <f>1762.79</f>
        <v>1762.79</v>
      </c>
      <c r="I4362">
        <f>6547.886</f>
        <v>6547.8860000000004</v>
      </c>
      <c r="J4362">
        <f>1414.68</f>
        <v>1414.68</v>
      </c>
      <c r="K4362">
        <f>4270.1</f>
        <v>4270.1000000000004</v>
      </c>
      <c r="L4362">
        <f>1088.11</f>
        <v>1088.1099999999999</v>
      </c>
      <c r="M4362">
        <f>4154.61</f>
        <v>4154.6099999999997</v>
      </c>
      <c r="N4362">
        <f>176.007</f>
        <v>176.00700000000001</v>
      </c>
      <c r="O4362">
        <f>1807</f>
        <v>1807</v>
      </c>
      <c r="P4362">
        <f>103.05</f>
        <v>103.05</v>
      </c>
      <c r="Q4362">
        <f>774.76</f>
        <v>774.76</v>
      </c>
      <c r="R4362">
        <f>2071.9</f>
        <v>2071.9</v>
      </c>
      <c r="S4362">
        <f>1895.43</f>
        <v>1895.43</v>
      </c>
      <c r="T4362" t="e">
        <f>NA()</f>
        <v>#N/A</v>
      </c>
      <c r="U4362">
        <f>22679.38</f>
        <v>22679.38</v>
      </c>
      <c r="V4362" t="e">
        <f>NA()</f>
        <v>#N/A</v>
      </c>
    </row>
    <row r="4363" spans="1:22" x14ac:dyDescent="0.2">
      <c r="A4363" s="1">
        <v>39000</v>
      </c>
      <c r="B4363">
        <f>3697.47</f>
        <v>3697.47</v>
      </c>
      <c r="C4363">
        <f>4391.02</f>
        <v>4391.0200000000004</v>
      </c>
      <c r="D4363">
        <f>3392.34</f>
        <v>3392.34</v>
      </c>
      <c r="E4363">
        <f>1268.604</f>
        <v>1268.604</v>
      </c>
      <c r="F4363">
        <f>2249.75</f>
        <v>2249.75</v>
      </c>
      <c r="G4363">
        <f>6422.458</f>
        <v>6422.4579999999996</v>
      </c>
      <c r="H4363">
        <f>1765.26</f>
        <v>1765.26</v>
      </c>
      <c r="I4363">
        <f>6533.281</f>
        <v>6533.2809999999999</v>
      </c>
      <c r="J4363">
        <f>1419.02</f>
        <v>1419.02</v>
      </c>
      <c r="K4363">
        <f>4281.27</f>
        <v>4281.2700000000004</v>
      </c>
      <c r="L4363">
        <f>1088.09</f>
        <v>1088.0899999999999</v>
      </c>
      <c r="M4363">
        <f>4161.93</f>
        <v>4161.93</v>
      </c>
      <c r="N4363">
        <f>176.114</f>
        <v>176.114</v>
      </c>
      <c r="O4363">
        <f>1804.29</f>
        <v>1804.29</v>
      </c>
      <c r="P4363">
        <f>103.66</f>
        <v>103.66</v>
      </c>
      <c r="Q4363">
        <f>774.34</f>
        <v>774.34</v>
      </c>
      <c r="R4363">
        <f>2077.01</f>
        <v>2077.0100000000002</v>
      </c>
      <c r="S4363">
        <f>1910.33</f>
        <v>1910.33</v>
      </c>
      <c r="T4363" t="e">
        <f>NA()</f>
        <v>#N/A</v>
      </c>
      <c r="U4363">
        <f>22799.56</f>
        <v>22799.56</v>
      </c>
      <c r="V4363" t="e">
        <f>NA()</f>
        <v>#N/A</v>
      </c>
    </row>
    <row r="4364" spans="1:22" x14ac:dyDescent="0.2">
      <c r="A4364" s="1">
        <v>38999</v>
      </c>
      <c r="B4364">
        <f>3672.28</f>
        <v>3672.28</v>
      </c>
      <c r="C4364">
        <f>4360.74</f>
        <v>4360.74</v>
      </c>
      <c r="D4364">
        <f>3368.99</f>
        <v>3368.99</v>
      </c>
      <c r="E4364">
        <f>1262.377</f>
        <v>1262.377</v>
      </c>
      <c r="F4364">
        <f>2245.77</f>
        <v>2245.77</v>
      </c>
      <c r="G4364">
        <f>6412.083</f>
        <v>6412.0829999999996</v>
      </c>
      <c r="H4364">
        <f>1768.32</f>
        <v>1768.32</v>
      </c>
      <c r="I4364">
        <f>6521.566</f>
        <v>6521.5659999999998</v>
      </c>
      <c r="J4364">
        <f>1417.25</f>
        <v>1417.25</v>
      </c>
      <c r="K4364">
        <f>4271.42</f>
        <v>4271.42</v>
      </c>
      <c r="L4364">
        <f>1086.82</f>
        <v>1086.82</v>
      </c>
      <c r="M4364">
        <f>4155.13</f>
        <v>4155.13</v>
      </c>
      <c r="N4364">
        <f>175.778</f>
        <v>175.77799999999999</v>
      </c>
      <c r="O4364">
        <f>1793.32</f>
        <v>1793.32</v>
      </c>
      <c r="P4364" t="e">
        <f>NA()</f>
        <v>#N/A</v>
      </c>
      <c r="Q4364">
        <f>771.84</f>
        <v>771.84</v>
      </c>
      <c r="R4364">
        <f>2072.71</f>
        <v>2072.71</v>
      </c>
      <c r="S4364" t="e">
        <f>NA()</f>
        <v>#N/A</v>
      </c>
      <c r="T4364" t="e">
        <f>NA()</f>
        <v>#N/A</v>
      </c>
      <c r="U4364">
        <f>22773.36</f>
        <v>22773.360000000001</v>
      </c>
      <c r="V4364" t="e">
        <f>NA()</f>
        <v>#N/A</v>
      </c>
    </row>
    <row r="4365" spans="1:22" x14ac:dyDescent="0.2">
      <c r="A4365" s="1">
        <v>38996</v>
      </c>
      <c r="B4365">
        <f>3678.44</f>
        <v>3678.44</v>
      </c>
      <c r="C4365">
        <f>4362.95</f>
        <v>4362.95</v>
      </c>
      <c r="D4365">
        <f>3352.4</f>
        <v>3352.4</v>
      </c>
      <c r="E4365">
        <f>1264.349</f>
        <v>1264.3489999999999</v>
      </c>
      <c r="F4365">
        <f>2256.81</f>
        <v>2256.81</v>
      </c>
      <c r="G4365">
        <f>6403.563</f>
        <v>6403.5630000000001</v>
      </c>
      <c r="H4365">
        <f>1770.7</f>
        <v>1770.7</v>
      </c>
      <c r="I4365">
        <f>6502.545</f>
        <v>6502.5450000000001</v>
      </c>
      <c r="J4365">
        <f>1417.75</f>
        <v>1417.75</v>
      </c>
      <c r="K4365">
        <f>4265.71</f>
        <v>4265.71</v>
      </c>
      <c r="L4365">
        <f>1085.29</f>
        <v>1085.29</v>
      </c>
      <c r="M4365">
        <f>4149.99</f>
        <v>4149.99</v>
      </c>
      <c r="N4365">
        <f>175.68</f>
        <v>175.68</v>
      </c>
      <c r="O4365">
        <f>1790.09</f>
        <v>1790.09</v>
      </c>
      <c r="P4365">
        <f>103.8</f>
        <v>103.8</v>
      </c>
      <c r="Q4365">
        <f>768.8</f>
        <v>768.8</v>
      </c>
      <c r="R4365">
        <f>2071.05</f>
        <v>2071.0500000000002</v>
      </c>
      <c r="S4365">
        <f>1909.62</f>
        <v>1909.62</v>
      </c>
      <c r="T4365" t="e">
        <f>NA()</f>
        <v>#N/A</v>
      </c>
      <c r="U4365">
        <f>22511.61</f>
        <v>22511.61</v>
      </c>
      <c r="V4365" t="e">
        <f>NA()</f>
        <v>#N/A</v>
      </c>
    </row>
    <row r="4366" spans="1:22" x14ac:dyDescent="0.2">
      <c r="A4366" s="1">
        <v>38995</v>
      </c>
      <c r="B4366">
        <f>3659.2</f>
        <v>3659.2</v>
      </c>
      <c r="C4366">
        <f>4362.74</f>
        <v>4362.74</v>
      </c>
      <c r="D4366">
        <f>3354.26</f>
        <v>3354.26</v>
      </c>
      <c r="E4366">
        <f>1265.886</f>
        <v>1265.886</v>
      </c>
      <c r="F4366">
        <f>2255.84</f>
        <v>2255.84</v>
      </c>
      <c r="G4366">
        <f>6429.506</f>
        <v>6429.5060000000003</v>
      </c>
      <c r="H4366">
        <f>1784.66</f>
        <v>1784.66</v>
      </c>
      <c r="I4366">
        <f>6553.919</f>
        <v>6553.9189999999999</v>
      </c>
      <c r="J4366">
        <f>1420.55</f>
        <v>1420.55</v>
      </c>
      <c r="K4366">
        <f>4278.4</f>
        <v>4278.3999999999996</v>
      </c>
      <c r="L4366">
        <f>1089.44</f>
        <v>1089.44</v>
      </c>
      <c r="M4366">
        <f>4170.33</f>
        <v>4170.33</v>
      </c>
      <c r="N4366">
        <f>175.518</f>
        <v>175.518</v>
      </c>
      <c r="O4366">
        <f>1787.81</f>
        <v>1787.81</v>
      </c>
      <c r="P4366">
        <f>104.3</f>
        <v>104.3</v>
      </c>
      <c r="Q4366">
        <f>771.47</f>
        <v>771.47</v>
      </c>
      <c r="R4366">
        <f>2076.63</f>
        <v>2076.63</v>
      </c>
      <c r="S4366">
        <f>1908.43</f>
        <v>1908.43</v>
      </c>
      <c r="T4366" t="e">
        <f>NA()</f>
        <v>#N/A</v>
      </c>
      <c r="U4366">
        <f>22475.14</f>
        <v>22475.14</v>
      </c>
      <c r="V4366" t="e">
        <f>NA()</f>
        <v>#N/A</v>
      </c>
    </row>
    <row r="4367" spans="1:22" x14ac:dyDescent="0.2">
      <c r="A4367" s="1">
        <v>38994</v>
      </c>
      <c r="B4367">
        <f>3638.82</f>
        <v>3638.82</v>
      </c>
      <c r="C4367">
        <f>4301.72</f>
        <v>4301.72</v>
      </c>
      <c r="D4367">
        <f>3333.02</f>
        <v>3333.02</v>
      </c>
      <c r="E4367">
        <f>1248.939</f>
        <v>1248.9390000000001</v>
      </c>
      <c r="F4367">
        <f>2249.07</f>
        <v>2249.0700000000002</v>
      </c>
      <c r="G4367">
        <f>6412.876</f>
        <v>6412.8760000000002</v>
      </c>
      <c r="H4367">
        <f>1741.52</f>
        <v>1741.52</v>
      </c>
      <c r="I4367">
        <f>6505.208</f>
        <v>6505.2079999999996</v>
      </c>
      <c r="J4367">
        <f>1419.99</f>
        <v>1419.99</v>
      </c>
      <c r="K4367">
        <f>4265.14</f>
        <v>4265.1400000000003</v>
      </c>
      <c r="L4367">
        <f>1086.26</f>
        <v>1086.26</v>
      </c>
      <c r="M4367">
        <f>4141.73</f>
        <v>4141.7299999999996</v>
      </c>
      <c r="N4367">
        <f>175.26</f>
        <v>175.26</v>
      </c>
      <c r="O4367">
        <f>1778.04</f>
        <v>1778.04</v>
      </c>
      <c r="P4367">
        <f>102.71</f>
        <v>102.71</v>
      </c>
      <c r="Q4367">
        <f>770.13</f>
        <v>770.13</v>
      </c>
      <c r="R4367">
        <f>2071.45</f>
        <v>2071.4499999999998</v>
      </c>
      <c r="S4367">
        <f>1871.96</f>
        <v>1871.96</v>
      </c>
      <c r="T4367" t="e">
        <f>NA()</f>
        <v>#N/A</v>
      </c>
      <c r="U4367">
        <f>22367.15</f>
        <v>22367.15</v>
      </c>
      <c r="V4367" t="e">
        <f>NA()</f>
        <v>#N/A</v>
      </c>
    </row>
    <row r="4368" spans="1:22" x14ac:dyDescent="0.2">
      <c r="A4368" s="1">
        <v>38993</v>
      </c>
      <c r="B4368">
        <f>3615.08</f>
        <v>3615.08</v>
      </c>
      <c r="C4368">
        <f>4325.91</f>
        <v>4325.91</v>
      </c>
      <c r="D4368">
        <f>3316.16</f>
        <v>3316.16</v>
      </c>
      <c r="E4368">
        <f>1251.119</f>
        <v>1251.1189999999999</v>
      </c>
      <c r="F4368">
        <f>2228.47</f>
        <v>2228.4699999999998</v>
      </c>
      <c r="G4368">
        <f>6394.319</f>
        <v>6394.3190000000004</v>
      </c>
      <c r="H4368">
        <f>1754.4</f>
        <v>1754.4</v>
      </c>
      <c r="I4368">
        <f>6484.256</f>
        <v>6484.2560000000003</v>
      </c>
      <c r="J4368">
        <f>1407.18</f>
        <v>1407.18</v>
      </c>
      <c r="K4368">
        <f>4212.77</f>
        <v>4212.7700000000004</v>
      </c>
      <c r="L4368">
        <f>1080.4</f>
        <v>1080.4000000000001</v>
      </c>
      <c r="M4368">
        <f>4117.24</f>
        <v>4117.24</v>
      </c>
      <c r="N4368">
        <f>174.347</f>
        <v>174.34700000000001</v>
      </c>
      <c r="O4368">
        <f>1765.34</f>
        <v>1765.34</v>
      </c>
      <c r="P4368">
        <f>103.62</f>
        <v>103.62</v>
      </c>
      <c r="Q4368">
        <f>762.18</f>
        <v>762.18</v>
      </c>
      <c r="R4368">
        <f>2046.28</f>
        <v>2046.28</v>
      </c>
      <c r="S4368">
        <f>1890.48</f>
        <v>1890.48</v>
      </c>
      <c r="T4368" t="e">
        <f>NA()</f>
        <v>#N/A</v>
      </c>
      <c r="U4368">
        <f>22274.14</f>
        <v>22274.14</v>
      </c>
      <c r="V4368" t="e">
        <f>NA()</f>
        <v>#N/A</v>
      </c>
    </row>
    <row r="4369" spans="1:22" x14ac:dyDescent="0.2">
      <c r="A4369" s="1">
        <v>38992</v>
      </c>
      <c r="B4369">
        <f>3626.34</f>
        <v>3626.34</v>
      </c>
      <c r="C4369">
        <f>4350.41</f>
        <v>4350.41</v>
      </c>
      <c r="D4369">
        <f>3327.74</f>
        <v>3327.74</v>
      </c>
      <c r="E4369">
        <f>1259.689</f>
        <v>1259.6890000000001</v>
      </c>
      <c r="F4369">
        <f>2222.76</f>
        <v>2222.7600000000002</v>
      </c>
      <c r="G4369">
        <f>6402.735</f>
        <v>6402.7349999999997</v>
      </c>
      <c r="H4369">
        <f>1764.29</f>
        <v>1764.29</v>
      </c>
      <c r="I4369">
        <f>6509.713</f>
        <v>6509.7129999999997</v>
      </c>
      <c r="J4369">
        <f>1404.58</f>
        <v>1404.58</v>
      </c>
      <c r="K4369">
        <f>4204.98</f>
        <v>4204.9799999999996</v>
      </c>
      <c r="L4369">
        <f>1080.04</f>
        <v>1080.04</v>
      </c>
      <c r="M4369">
        <f>4124.09</f>
        <v>4124.09</v>
      </c>
      <c r="N4369">
        <f>174.128</f>
        <v>174.12799999999999</v>
      </c>
      <c r="O4369">
        <f>1769.48</f>
        <v>1769.48</v>
      </c>
      <c r="P4369">
        <f>104.39</f>
        <v>104.39</v>
      </c>
      <c r="Q4369">
        <f>758.42</f>
        <v>758.42</v>
      </c>
      <c r="R4369">
        <f>2041.99</f>
        <v>2041.99</v>
      </c>
      <c r="S4369">
        <f>1898.99</f>
        <v>1898.99</v>
      </c>
      <c r="T4369" t="e">
        <f>NA()</f>
        <v>#N/A</v>
      </c>
      <c r="U4369">
        <f>22552.86</f>
        <v>22552.86</v>
      </c>
      <c r="V4369" t="e">
        <f>NA()</f>
        <v>#N/A</v>
      </c>
    </row>
    <row r="4370" spans="1:22" x14ac:dyDescent="0.2">
      <c r="A4370" s="1">
        <v>38989</v>
      </c>
      <c r="B4370">
        <f>3611.48</f>
        <v>3611.48</v>
      </c>
      <c r="C4370">
        <f>4327.01</f>
        <v>4327.01</v>
      </c>
      <c r="D4370">
        <f>3329.41</f>
        <v>3329.41</v>
      </c>
      <c r="E4370">
        <f>1254.925</f>
        <v>1254.925</v>
      </c>
      <c r="F4370">
        <f>2200.68</f>
        <v>2200.6799999999998</v>
      </c>
      <c r="G4370">
        <f>6349.198</f>
        <v>6349.1980000000003</v>
      </c>
      <c r="H4370">
        <f>1743.72</f>
        <v>1743.72</v>
      </c>
      <c r="I4370">
        <f>6483.491</f>
        <v>6483.491</v>
      </c>
      <c r="J4370">
        <f>1405.14</f>
        <v>1405.14</v>
      </c>
      <c r="K4370">
        <f>4219.91</f>
        <v>4219.91</v>
      </c>
      <c r="L4370">
        <f>1076.21</f>
        <v>1076.21</v>
      </c>
      <c r="M4370">
        <f>4117.43</f>
        <v>4117.43</v>
      </c>
      <c r="N4370">
        <f>175.012</f>
        <v>175.012</v>
      </c>
      <c r="O4370">
        <f>1769.97</f>
        <v>1769.97</v>
      </c>
      <c r="P4370">
        <f>103.92</f>
        <v>103.92</v>
      </c>
      <c r="Q4370">
        <f>760.55</f>
        <v>760.55</v>
      </c>
      <c r="R4370">
        <f>2048.89</f>
        <v>2048.89</v>
      </c>
      <c r="S4370">
        <f>1882.18</f>
        <v>1882.18</v>
      </c>
      <c r="T4370" t="e">
        <f>NA()</f>
        <v>#N/A</v>
      </c>
      <c r="U4370">
        <f>22374.58</f>
        <v>22374.58</v>
      </c>
      <c r="V4370" t="e">
        <f>NA()</f>
        <v>#N/A</v>
      </c>
    </row>
    <row r="4371" spans="1:22" x14ac:dyDescent="0.2">
      <c r="A4371" s="1">
        <v>38988</v>
      </c>
      <c r="B4371">
        <f>3606.93</f>
        <v>3606.93</v>
      </c>
      <c r="C4371">
        <f>4343.25</f>
        <v>4343.25</v>
      </c>
      <c r="D4371">
        <f>3335.29</f>
        <v>3335.29</v>
      </c>
      <c r="E4371">
        <f>1258.77</f>
        <v>1258.77</v>
      </c>
      <c r="F4371">
        <f>2203.09</f>
        <v>2203.09</v>
      </c>
      <c r="G4371">
        <f>6375.076</f>
        <v>6375.076</v>
      </c>
      <c r="H4371">
        <f>1741.05</f>
        <v>1741.05</v>
      </c>
      <c r="I4371">
        <f>6491.108</f>
        <v>6491.1080000000002</v>
      </c>
      <c r="J4371">
        <f>1409.65</f>
        <v>1409.65</v>
      </c>
      <c r="K4371">
        <f>4230.65</f>
        <v>4230.6499999999996</v>
      </c>
      <c r="L4371">
        <f>1078.89</f>
        <v>1078.8900000000001</v>
      </c>
      <c r="M4371">
        <f>4124.69</f>
        <v>4124.6899999999996</v>
      </c>
      <c r="N4371">
        <f>175.443</f>
        <v>175.44300000000001</v>
      </c>
      <c r="O4371">
        <f>1771.16</f>
        <v>1771.16</v>
      </c>
      <c r="P4371">
        <f>103.47</f>
        <v>103.47</v>
      </c>
      <c r="Q4371">
        <f>764.5</f>
        <v>764.5</v>
      </c>
      <c r="R4371">
        <f>2053.93</f>
        <v>2053.9299999999998</v>
      </c>
      <c r="S4371">
        <f>1872.64</f>
        <v>1872.64</v>
      </c>
      <c r="T4371" t="e">
        <f>NA()</f>
        <v>#N/A</v>
      </c>
      <c r="U4371">
        <f>22491.3</f>
        <v>22491.3</v>
      </c>
      <c r="V4371" t="e">
        <f>NA()</f>
        <v>#N/A</v>
      </c>
    </row>
    <row r="4372" spans="1:22" x14ac:dyDescent="0.2">
      <c r="A4372" s="1">
        <v>38987</v>
      </c>
      <c r="B4372">
        <f>3584.23</f>
        <v>3584.23</v>
      </c>
      <c r="C4372">
        <f>4333.3</f>
        <v>4333.3</v>
      </c>
      <c r="D4372">
        <f>3312.28</f>
        <v>3312.28</v>
      </c>
      <c r="E4372">
        <f>1251.439</f>
        <v>1251.4390000000001</v>
      </c>
      <c r="F4372">
        <f>2209.57</f>
        <v>2209.5700000000002</v>
      </c>
      <c r="G4372">
        <f>6381.298</f>
        <v>6381.2979999999998</v>
      </c>
      <c r="H4372">
        <f>1737.45</f>
        <v>1737.45</v>
      </c>
      <c r="I4372">
        <f>6495.106</f>
        <v>6495.1059999999998</v>
      </c>
      <c r="J4372">
        <f>1407.18</f>
        <v>1407.18</v>
      </c>
      <c r="K4372">
        <f>4222.08</f>
        <v>4222.08</v>
      </c>
      <c r="L4372">
        <f>1078.93</f>
        <v>1078.93</v>
      </c>
      <c r="M4372">
        <f>4118.68</f>
        <v>4118.68</v>
      </c>
      <c r="N4372">
        <f>176.358</f>
        <v>176.358</v>
      </c>
      <c r="O4372">
        <f>1770.48</f>
        <v>1770.48</v>
      </c>
      <c r="P4372">
        <f>102.96</f>
        <v>102.96</v>
      </c>
      <c r="Q4372">
        <f>763.54</f>
        <v>763.54</v>
      </c>
      <c r="R4372">
        <f>2049.97</f>
        <v>2049.9699999999998</v>
      </c>
      <c r="S4372">
        <f>1859.16</f>
        <v>1859.16</v>
      </c>
      <c r="T4372" t="e">
        <f>NA()</f>
        <v>#N/A</v>
      </c>
      <c r="U4372">
        <f>22249.72</f>
        <v>22249.72</v>
      </c>
      <c r="V4372" t="e">
        <f>NA()</f>
        <v>#N/A</v>
      </c>
    </row>
    <row r="4373" spans="1:22" x14ac:dyDescent="0.2">
      <c r="A4373" s="1">
        <v>38986</v>
      </c>
      <c r="B4373">
        <f>3559.29</f>
        <v>3559.29</v>
      </c>
      <c r="C4373">
        <f>4299.01</f>
        <v>4299.01</v>
      </c>
      <c r="D4373">
        <f>3280.17</f>
        <v>3280.17</v>
      </c>
      <c r="E4373">
        <f>1238.617</f>
        <v>1238.617</v>
      </c>
      <c r="F4373">
        <f>2200.09</f>
        <v>2200.09</v>
      </c>
      <c r="G4373">
        <f>6342.064</f>
        <v>6342.0640000000003</v>
      </c>
      <c r="H4373">
        <f>1698.87</f>
        <v>1698.87</v>
      </c>
      <c r="I4373">
        <f>6430.243</f>
        <v>6430.2430000000004</v>
      </c>
      <c r="J4373">
        <f>1406.12</f>
        <v>1406.12</v>
      </c>
      <c r="K4373">
        <f>4218.84</f>
        <v>4218.84</v>
      </c>
      <c r="L4373">
        <f>1073.44</f>
        <v>1073.44</v>
      </c>
      <c r="M4373">
        <f>4090.85</f>
        <v>4090.85</v>
      </c>
      <c r="N4373">
        <f>173.923</f>
        <v>173.923</v>
      </c>
      <c r="O4373">
        <f>1759.58</f>
        <v>1759.58</v>
      </c>
      <c r="P4373">
        <f>100.83</f>
        <v>100.83</v>
      </c>
      <c r="Q4373">
        <f>763.03</f>
        <v>763.03</v>
      </c>
      <c r="R4373">
        <f>2049.2</f>
        <v>2049.1999999999998</v>
      </c>
      <c r="S4373">
        <f>1810.52</f>
        <v>1810.52</v>
      </c>
      <c r="T4373" t="e">
        <f>NA()</f>
        <v>#N/A</v>
      </c>
      <c r="U4373">
        <f>22162.65</f>
        <v>22162.65</v>
      </c>
      <c r="V4373" t="e">
        <f>NA()</f>
        <v>#N/A</v>
      </c>
    </row>
    <row r="4374" spans="1:22" x14ac:dyDescent="0.2">
      <c r="A4374" s="1">
        <v>38985</v>
      </c>
      <c r="B4374">
        <f>3551.79</f>
        <v>3551.79</v>
      </c>
      <c r="C4374">
        <f>4272.68</f>
        <v>4272.68</v>
      </c>
      <c r="D4374">
        <f>3238.15</f>
        <v>3238.15</v>
      </c>
      <c r="E4374">
        <f>1230.093</f>
        <v>1230.0930000000001</v>
      </c>
      <c r="F4374">
        <f>2187.07</f>
        <v>2187.0700000000002</v>
      </c>
      <c r="G4374">
        <f>6276.496</f>
        <v>6276.4960000000001</v>
      </c>
      <c r="H4374">
        <f>1710.75</f>
        <v>1710.75</v>
      </c>
      <c r="I4374">
        <f>6382.235</f>
        <v>6382.2349999999997</v>
      </c>
      <c r="J4374">
        <f>1397.8</f>
        <v>1397.8</v>
      </c>
      <c r="K4374">
        <f>4187.06</f>
        <v>4187.0600000000004</v>
      </c>
      <c r="L4374">
        <f>1067.43</f>
        <v>1067.43</v>
      </c>
      <c r="M4374">
        <f>4066.32</f>
        <v>4066.32</v>
      </c>
      <c r="N4374">
        <f>171.428</f>
        <v>171.428</v>
      </c>
      <c r="O4374">
        <f>1735.86</f>
        <v>1735.86</v>
      </c>
      <c r="P4374">
        <f>100.58</f>
        <v>100.58</v>
      </c>
      <c r="Q4374">
        <f>758.24</f>
        <v>758.24</v>
      </c>
      <c r="R4374">
        <f>2033.87</f>
        <v>2033.87</v>
      </c>
      <c r="S4374">
        <f>1814.75</f>
        <v>1814.75</v>
      </c>
      <c r="T4374" t="e">
        <f>NA()</f>
        <v>#N/A</v>
      </c>
      <c r="U4374" t="e">
        <f>NA()</f>
        <v>#N/A</v>
      </c>
      <c r="V4374" t="e">
        <f>NA()</f>
        <v>#N/A</v>
      </c>
    </row>
    <row r="4375" spans="1:22" x14ac:dyDescent="0.2">
      <c r="A4375" s="1">
        <v>38982</v>
      </c>
      <c r="B4375">
        <f>3540.05</f>
        <v>3540.05</v>
      </c>
      <c r="C4375">
        <f>4273.08</f>
        <v>4273.08</v>
      </c>
      <c r="D4375">
        <f>3251.54</f>
        <v>3251.54</v>
      </c>
      <c r="E4375">
        <f>1233.353</f>
        <v>1233.3530000000001</v>
      </c>
      <c r="F4375">
        <f>2186.05</f>
        <v>2186.0500000000002</v>
      </c>
      <c r="G4375">
        <f>6312.239</f>
        <v>6312.2389999999996</v>
      </c>
      <c r="H4375">
        <f>1716.92</f>
        <v>1716.92</v>
      </c>
      <c r="I4375">
        <f>6419.843</f>
        <v>6419.8429999999998</v>
      </c>
      <c r="J4375">
        <f>1389.46</f>
        <v>1389.46</v>
      </c>
      <c r="K4375">
        <f>4150.2</f>
        <v>4150.2</v>
      </c>
      <c r="L4375">
        <f>1067.97</f>
        <v>1067.97</v>
      </c>
      <c r="M4375">
        <f>4057.8</f>
        <v>4057.8</v>
      </c>
      <c r="N4375">
        <f>171.336</f>
        <v>171.33600000000001</v>
      </c>
      <c r="O4375">
        <f>1736.57</f>
        <v>1736.57</v>
      </c>
      <c r="P4375">
        <f>100.4</f>
        <v>100.4</v>
      </c>
      <c r="Q4375">
        <f>752.24</f>
        <v>752.24</v>
      </c>
      <c r="R4375">
        <f>2016.09</f>
        <v>2016.09</v>
      </c>
      <c r="S4375">
        <f>1819.2</f>
        <v>1819.2</v>
      </c>
      <c r="T4375" t="e">
        <f>NA()</f>
        <v>#N/A</v>
      </c>
      <c r="U4375">
        <f>22008.98</f>
        <v>22008.98</v>
      </c>
      <c r="V4375" t="e">
        <f>NA()</f>
        <v>#N/A</v>
      </c>
    </row>
    <row r="4376" spans="1:22" x14ac:dyDescent="0.2">
      <c r="A4376" s="1">
        <v>38981</v>
      </c>
      <c r="B4376">
        <f>3564.2</f>
        <v>3564.2</v>
      </c>
      <c r="C4376">
        <f>4327.11</f>
        <v>4327.1099999999997</v>
      </c>
      <c r="D4376">
        <f>3293.11</f>
        <v>3293.11</v>
      </c>
      <c r="E4376">
        <f>1248.842</f>
        <v>1248.8420000000001</v>
      </c>
      <c r="F4376">
        <f>2205.39</f>
        <v>2205.39</v>
      </c>
      <c r="G4376">
        <f>6369.264</f>
        <v>6369.2640000000001</v>
      </c>
      <c r="H4376">
        <f>1730.08</f>
        <v>1730.08</v>
      </c>
      <c r="I4376">
        <f>6441.098</f>
        <v>6441.098</v>
      </c>
      <c r="J4376">
        <f>1388.96</f>
        <v>1388.96</v>
      </c>
      <c r="K4376">
        <f>4161.21</f>
        <v>4161.21</v>
      </c>
      <c r="L4376">
        <f>1071.57</f>
        <v>1071.57</v>
      </c>
      <c r="M4376">
        <f>4074.74</f>
        <v>4074.74</v>
      </c>
      <c r="N4376">
        <f>173.45</f>
        <v>173.45</v>
      </c>
      <c r="O4376">
        <f>1756.84</f>
        <v>1756.84</v>
      </c>
      <c r="P4376">
        <f>101.35</f>
        <v>101.35</v>
      </c>
      <c r="Q4376">
        <f>754.26</f>
        <v>754.26</v>
      </c>
      <c r="R4376">
        <f>2021.08</f>
        <v>2021.08</v>
      </c>
      <c r="S4376">
        <f>1838.37</f>
        <v>1838.37</v>
      </c>
      <c r="T4376" t="e">
        <f>NA()</f>
        <v>#N/A</v>
      </c>
      <c r="U4376">
        <f>21886.4</f>
        <v>21886.400000000001</v>
      </c>
      <c r="V4376" t="e">
        <f>NA()</f>
        <v>#N/A</v>
      </c>
    </row>
    <row r="4377" spans="1:22" x14ac:dyDescent="0.2">
      <c r="A4377" s="1">
        <v>38980</v>
      </c>
      <c r="B4377">
        <f>3549.21</f>
        <v>3549.21</v>
      </c>
      <c r="C4377">
        <f>4339.93</f>
        <v>4339.93</v>
      </c>
      <c r="D4377">
        <f>3276.08</f>
        <v>3276.08</v>
      </c>
      <c r="E4377">
        <f>1254.059</f>
        <v>1254.059</v>
      </c>
      <c r="F4377">
        <f>2191.61</f>
        <v>2191.61</v>
      </c>
      <c r="G4377">
        <f>6311.925</f>
        <v>6311.9250000000002</v>
      </c>
      <c r="H4377">
        <f>1710.46</f>
        <v>1710.46</v>
      </c>
      <c r="I4377">
        <f>6417.269</f>
        <v>6417.2690000000002</v>
      </c>
      <c r="J4377">
        <f>1392.26</f>
        <v>1392.26</v>
      </c>
      <c r="K4377">
        <f>4183.38</f>
        <v>4183.38</v>
      </c>
      <c r="L4377">
        <f>1069.25</f>
        <v>1069.25</v>
      </c>
      <c r="M4377">
        <f>4072.26</f>
        <v>4072.26</v>
      </c>
      <c r="N4377">
        <f>172.715</f>
        <v>172.715</v>
      </c>
      <c r="O4377">
        <f>1750.4</f>
        <v>1750.4</v>
      </c>
      <c r="P4377">
        <f>100.8</f>
        <v>100.8</v>
      </c>
      <c r="Q4377">
        <f>759.35</f>
        <v>759.35</v>
      </c>
      <c r="R4377">
        <f>2031.59</f>
        <v>2031.59</v>
      </c>
      <c r="S4377">
        <f>1826.85</f>
        <v>1826.85</v>
      </c>
      <c r="T4377" t="e">
        <f>NA()</f>
        <v>#N/A</v>
      </c>
      <c r="U4377">
        <f>21627.42</f>
        <v>21627.42</v>
      </c>
      <c r="V4377" t="e">
        <f>NA()</f>
        <v>#N/A</v>
      </c>
    </row>
    <row r="4378" spans="1:22" x14ac:dyDescent="0.2">
      <c r="A4378" s="1">
        <v>38979</v>
      </c>
      <c r="B4378">
        <f>3523.42</f>
        <v>3523.42</v>
      </c>
      <c r="C4378">
        <f>4368.43</f>
        <v>4368.43</v>
      </c>
      <c r="D4378">
        <f>3255.97</f>
        <v>3255.97</v>
      </c>
      <c r="E4378">
        <f>1260.298</f>
        <v>1260.298</v>
      </c>
      <c r="F4378">
        <f>2165.79</f>
        <v>2165.79</v>
      </c>
      <c r="G4378">
        <f>6266.627</f>
        <v>6266.6270000000004</v>
      </c>
      <c r="H4378">
        <f>1729.43</f>
        <v>1729.43</v>
      </c>
      <c r="I4378">
        <f>6340.959</f>
        <v>6340.9589999999998</v>
      </c>
      <c r="J4378">
        <f>1387.66</f>
        <v>1387.66</v>
      </c>
      <c r="K4378">
        <f>4162.07</f>
        <v>4162.07</v>
      </c>
      <c r="L4378">
        <f>1061.48</f>
        <v>1061.48</v>
      </c>
      <c r="M4378">
        <f>4058.21</f>
        <v>4058.21</v>
      </c>
      <c r="N4378">
        <f>170.889</f>
        <v>170.88900000000001</v>
      </c>
      <c r="O4378">
        <f>1730.4</f>
        <v>1730.4</v>
      </c>
      <c r="P4378">
        <f>101.75</f>
        <v>101.75</v>
      </c>
      <c r="Q4378">
        <f>755.2</f>
        <v>755.2</v>
      </c>
      <c r="R4378">
        <f>2021.01</f>
        <v>2021.01</v>
      </c>
      <c r="S4378">
        <f>1852.22</f>
        <v>1852.22</v>
      </c>
      <c r="T4378" t="e">
        <f>NA()</f>
        <v>#N/A</v>
      </c>
      <c r="U4378">
        <f>21517.4</f>
        <v>21517.4</v>
      </c>
      <c r="V4378" t="e">
        <f>NA()</f>
        <v>#N/A</v>
      </c>
    </row>
    <row r="4379" spans="1:22" x14ac:dyDescent="0.2">
      <c r="A4379" s="1">
        <v>38978</v>
      </c>
      <c r="B4379">
        <f>3548.47</f>
        <v>3548.47</v>
      </c>
      <c r="C4379">
        <f>4367.66</f>
        <v>4367.66</v>
      </c>
      <c r="D4379">
        <f>3288.61</f>
        <v>3288.61</v>
      </c>
      <c r="E4379">
        <f>1261.128</f>
        <v>1261.1279999999999</v>
      </c>
      <c r="F4379">
        <f>2169.05</f>
        <v>2169.0500000000002</v>
      </c>
      <c r="G4379">
        <f>6291.374</f>
        <v>6291.3739999999998</v>
      </c>
      <c r="H4379">
        <f>1724.2</f>
        <v>1724.2</v>
      </c>
      <c r="I4379">
        <f>6365.744</f>
        <v>6365.7439999999997</v>
      </c>
      <c r="J4379">
        <f>1388.6</f>
        <v>1388.6</v>
      </c>
      <c r="K4379">
        <f>4171.71</f>
        <v>4171.71</v>
      </c>
      <c r="L4379">
        <f>1063.51</f>
        <v>1063.51</v>
      </c>
      <c r="M4379">
        <f>4066.48</f>
        <v>4066.48</v>
      </c>
      <c r="N4379">
        <f>171.588</f>
        <v>171.58799999999999</v>
      </c>
      <c r="O4379">
        <f>1741.41</f>
        <v>1741.41</v>
      </c>
      <c r="P4379" t="e">
        <f>NA()</f>
        <v>#N/A</v>
      </c>
      <c r="Q4379">
        <f>755.3</f>
        <v>755.3</v>
      </c>
      <c r="R4379">
        <f>2025.39</f>
        <v>2025.39</v>
      </c>
      <c r="S4379" t="e">
        <f>NA()</f>
        <v>#N/A</v>
      </c>
      <c r="T4379" t="e">
        <f>NA()</f>
        <v>#N/A</v>
      </c>
      <c r="U4379">
        <f>21418.43</f>
        <v>21418.43</v>
      </c>
      <c r="V4379" t="e">
        <f>NA()</f>
        <v>#N/A</v>
      </c>
    </row>
    <row r="4380" spans="1:22" x14ac:dyDescent="0.2">
      <c r="A4380" s="1">
        <v>38975</v>
      </c>
      <c r="B4380">
        <f>3549.71</f>
        <v>3549.71</v>
      </c>
      <c r="C4380">
        <f>4301.34</f>
        <v>4301.34</v>
      </c>
      <c r="D4380">
        <f>3281.22</f>
        <v>3281.22</v>
      </c>
      <c r="E4380">
        <f>1243.533</f>
        <v>1243.5329999999999</v>
      </c>
      <c r="F4380">
        <f>2177.93</f>
        <v>2177.9299999999998</v>
      </c>
      <c r="G4380">
        <f>6285.352</f>
        <v>6285.3519999999999</v>
      </c>
      <c r="H4380">
        <f>1730.36</f>
        <v>1730.36</v>
      </c>
      <c r="I4380">
        <f>6339.247</f>
        <v>6339.2470000000003</v>
      </c>
      <c r="J4380">
        <f>1386.81</f>
        <v>1386.81</v>
      </c>
      <c r="K4380">
        <f>4167.52</f>
        <v>4167.5200000000004</v>
      </c>
      <c r="L4380">
        <f>1062.03</f>
        <v>1062.03</v>
      </c>
      <c r="M4380">
        <f>4058.82</f>
        <v>4058.82</v>
      </c>
      <c r="N4380">
        <f>171.535</f>
        <v>171.535</v>
      </c>
      <c r="O4380">
        <f>1740.36</f>
        <v>1740.36</v>
      </c>
      <c r="P4380">
        <f>102.09</f>
        <v>102.09</v>
      </c>
      <c r="Q4380">
        <f>757.17</f>
        <v>757.17</v>
      </c>
      <c r="R4380">
        <f>2023.35</f>
        <v>2023.35</v>
      </c>
      <c r="S4380">
        <f>1853.9</f>
        <v>1853.9</v>
      </c>
      <c r="T4380" t="e">
        <f>NA()</f>
        <v>#N/A</v>
      </c>
      <c r="U4380">
        <f>21380.78</f>
        <v>21380.78</v>
      </c>
      <c r="V4380" t="e">
        <f>NA()</f>
        <v>#N/A</v>
      </c>
    </row>
    <row r="4381" spans="1:22" x14ac:dyDescent="0.2">
      <c r="A4381" s="1">
        <v>38974</v>
      </c>
      <c r="B4381">
        <f>3523.92</f>
        <v>3523.92</v>
      </c>
      <c r="C4381">
        <f>4283.77</f>
        <v>4283.7700000000004</v>
      </c>
      <c r="D4381">
        <f>3281.34</f>
        <v>3281.34</v>
      </c>
      <c r="E4381">
        <f>1239.691</f>
        <v>1239.691</v>
      </c>
      <c r="F4381">
        <f>2173.61</f>
        <v>2173.61</v>
      </c>
      <c r="G4381">
        <f>6325.53</f>
        <v>6325.53</v>
      </c>
      <c r="H4381">
        <f>1738.66</f>
        <v>1738.66</v>
      </c>
      <c r="I4381">
        <f>6365.47</f>
        <v>6365.47</v>
      </c>
      <c r="J4381">
        <f>1385.19</f>
        <v>1385.19</v>
      </c>
      <c r="K4381">
        <f>4156.56</f>
        <v>4156.5600000000004</v>
      </c>
      <c r="L4381">
        <f>1064.2</f>
        <v>1064.2</v>
      </c>
      <c r="M4381">
        <f>4063.26</f>
        <v>4063.26</v>
      </c>
      <c r="N4381">
        <f>170.338</f>
        <v>170.33799999999999</v>
      </c>
      <c r="O4381">
        <f>1734.47</f>
        <v>1734.47</v>
      </c>
      <c r="P4381">
        <f>102.43</f>
        <v>102.43</v>
      </c>
      <c r="Q4381">
        <f>754.91</f>
        <v>754.91</v>
      </c>
      <c r="R4381">
        <f>2017.86</f>
        <v>2017.86</v>
      </c>
      <c r="S4381">
        <f>1859.37</f>
        <v>1859.37</v>
      </c>
      <c r="T4381" t="e">
        <f>NA()</f>
        <v>#N/A</v>
      </c>
      <c r="U4381">
        <f>21471.2</f>
        <v>21471.200000000001</v>
      </c>
      <c r="V4381" t="e">
        <f>NA()</f>
        <v>#N/A</v>
      </c>
    </row>
    <row r="4382" spans="1:22" x14ac:dyDescent="0.2">
      <c r="A4382" s="1">
        <v>38973</v>
      </c>
      <c r="B4382">
        <f>3507.1</f>
        <v>3507.1</v>
      </c>
      <c r="C4382">
        <f>4290.59</f>
        <v>4290.59</v>
      </c>
      <c r="D4382">
        <f>3289.67</f>
        <v>3289.67</v>
      </c>
      <c r="E4382">
        <f>1236.606</f>
        <v>1236.606</v>
      </c>
      <c r="F4382">
        <f>2153.28</f>
        <v>2153.2800000000002</v>
      </c>
      <c r="G4382">
        <f>6284.176</f>
        <v>6284.1760000000004</v>
      </c>
      <c r="H4382">
        <f>1712.3</f>
        <v>1712.3</v>
      </c>
      <c r="I4382">
        <f>6335.491</f>
        <v>6335.491</v>
      </c>
      <c r="J4382">
        <f>1386.12</f>
        <v>1386.12</v>
      </c>
      <c r="K4382">
        <f>4163.19</f>
        <v>4163.1899999999996</v>
      </c>
      <c r="L4382">
        <f>1060.24</f>
        <v>1060.24</v>
      </c>
      <c r="M4382">
        <f>4053.95</f>
        <v>4053.95</v>
      </c>
      <c r="N4382">
        <f>169.808</f>
        <v>169.80799999999999</v>
      </c>
      <c r="O4382">
        <f>1735.01</f>
        <v>1735.01</v>
      </c>
      <c r="P4382">
        <f>101.1</f>
        <v>101.1</v>
      </c>
      <c r="Q4382">
        <f>754.14</f>
        <v>754.14</v>
      </c>
      <c r="R4382">
        <f>2020.49</f>
        <v>2020.49</v>
      </c>
      <c r="S4382">
        <f>1842.4</f>
        <v>1842.4</v>
      </c>
      <c r="T4382" t="e">
        <f>NA()</f>
        <v>#N/A</v>
      </c>
      <c r="U4382">
        <f>21318.22</f>
        <v>21318.22</v>
      </c>
      <c r="V4382" t="e">
        <f>NA()</f>
        <v>#N/A</v>
      </c>
    </row>
    <row r="4383" spans="1:22" x14ac:dyDescent="0.2">
      <c r="A4383" s="1">
        <v>38972</v>
      </c>
      <c r="B4383">
        <f>3487</f>
        <v>3487</v>
      </c>
      <c r="C4383">
        <f>4248.42</f>
        <v>4248.42</v>
      </c>
      <c r="D4383">
        <f>3290.13</f>
        <v>3290.13</v>
      </c>
      <c r="E4383">
        <f>1224.307</f>
        <v>1224.307</v>
      </c>
      <c r="F4383">
        <f>2154.22</f>
        <v>2154.2199999999998</v>
      </c>
      <c r="G4383">
        <f>6283.679</f>
        <v>6283.6790000000001</v>
      </c>
      <c r="H4383">
        <f>1708.46</f>
        <v>1708.46</v>
      </c>
      <c r="I4383">
        <f>6316.103</f>
        <v>6316.1030000000001</v>
      </c>
      <c r="J4383">
        <f>1382.15</f>
        <v>1382.15</v>
      </c>
      <c r="K4383">
        <f>4145.77</f>
        <v>4145.7700000000004</v>
      </c>
      <c r="L4383">
        <f>1057.4</f>
        <v>1057.4000000000001</v>
      </c>
      <c r="M4383">
        <f>4040.5</f>
        <v>4040.5</v>
      </c>
      <c r="N4383">
        <f>169.483</f>
        <v>169.483</v>
      </c>
      <c r="O4383">
        <f>1730.77</f>
        <v>1730.77</v>
      </c>
      <c r="P4383">
        <f>101.37</f>
        <v>101.37</v>
      </c>
      <c r="Q4383">
        <f>753.02</f>
        <v>753.02</v>
      </c>
      <c r="R4383">
        <f>2012.32</f>
        <v>2012.32</v>
      </c>
      <c r="S4383">
        <f>1845.23</f>
        <v>1845.23</v>
      </c>
      <c r="T4383" t="e">
        <f>NA()</f>
        <v>#N/A</v>
      </c>
      <c r="U4383">
        <f>21261.7</f>
        <v>21261.7</v>
      </c>
      <c r="V4383" t="e">
        <f>NA()</f>
        <v>#N/A</v>
      </c>
    </row>
    <row r="4384" spans="1:22" x14ac:dyDescent="0.2">
      <c r="A4384" s="1">
        <v>38971</v>
      </c>
      <c r="B4384">
        <f>3464.35</f>
        <v>3464.35</v>
      </c>
      <c r="C4384">
        <f>4224.9</f>
        <v>4224.8999999999996</v>
      </c>
      <c r="D4384">
        <f>3265.18</f>
        <v>3265.18</v>
      </c>
      <c r="E4384">
        <f>1216.157</f>
        <v>1216.1569999999999</v>
      </c>
      <c r="F4384">
        <f>2121.97</f>
        <v>2121.9699999999998</v>
      </c>
      <c r="G4384">
        <f>6192.69</f>
        <v>6192.69</v>
      </c>
      <c r="H4384">
        <f>1717.19</f>
        <v>1717.19</v>
      </c>
      <c r="I4384">
        <f>6245.54</f>
        <v>6245.54</v>
      </c>
      <c r="J4384">
        <f>1374.23</f>
        <v>1374.23</v>
      </c>
      <c r="K4384">
        <f>4101.65</f>
        <v>4101.6499999999996</v>
      </c>
      <c r="L4384">
        <f>1047.47</f>
        <v>1047.47</v>
      </c>
      <c r="M4384">
        <f>4005.72</f>
        <v>4005.72</v>
      </c>
      <c r="N4384">
        <f>167.312</f>
        <v>167.31200000000001</v>
      </c>
      <c r="O4384">
        <f>1708.7</f>
        <v>1708.7</v>
      </c>
      <c r="P4384">
        <f>101.95</f>
        <v>101.95</v>
      </c>
      <c r="Q4384">
        <f>746.38</f>
        <v>746.38</v>
      </c>
      <c r="R4384">
        <f>1991.49</f>
        <v>1991.49</v>
      </c>
      <c r="S4384">
        <f>1857.47</f>
        <v>1857.47</v>
      </c>
      <c r="T4384" t="e">
        <f>NA()</f>
        <v>#N/A</v>
      </c>
      <c r="U4384">
        <f>21054.39</f>
        <v>21054.39</v>
      </c>
      <c r="V4384" t="e">
        <f>NA()</f>
        <v>#N/A</v>
      </c>
    </row>
    <row r="4385" spans="1:22" x14ac:dyDescent="0.2">
      <c r="A4385" s="1">
        <v>38968</v>
      </c>
      <c r="B4385">
        <f>3473.56</f>
        <v>3473.56</v>
      </c>
      <c r="C4385">
        <f>4288.02</f>
        <v>4288.0200000000004</v>
      </c>
      <c r="D4385">
        <f>3281.08</f>
        <v>3281.08</v>
      </c>
      <c r="E4385">
        <f>1240.651</f>
        <v>1240.6510000000001</v>
      </c>
      <c r="F4385">
        <f>2121.07</f>
        <v>2121.0700000000002</v>
      </c>
      <c r="G4385">
        <f>6230.386</f>
        <v>6230.3860000000004</v>
      </c>
      <c r="H4385">
        <f>1754.48</f>
        <v>1754.48</v>
      </c>
      <c r="I4385">
        <f>6260.223</f>
        <v>6260.223</v>
      </c>
      <c r="J4385">
        <f>1376.53</f>
        <v>1376.53</v>
      </c>
      <c r="K4385">
        <f>4100.39</f>
        <v>4100.3900000000003</v>
      </c>
      <c r="L4385">
        <f>1049.67</f>
        <v>1049.67</v>
      </c>
      <c r="M4385">
        <f>4025.79</f>
        <v>4025.79</v>
      </c>
      <c r="N4385">
        <f>168.108</f>
        <v>168.108</v>
      </c>
      <c r="O4385">
        <f>1717.87</f>
        <v>1717.87</v>
      </c>
      <c r="P4385">
        <f>103.14</f>
        <v>103.14</v>
      </c>
      <c r="Q4385">
        <f>745.38</f>
        <v>745.38</v>
      </c>
      <c r="R4385">
        <f>1990.44</f>
        <v>1990.44</v>
      </c>
      <c r="S4385">
        <f>1884.71</f>
        <v>1884.71</v>
      </c>
      <c r="T4385" t="e">
        <f>NA()</f>
        <v>#N/A</v>
      </c>
      <c r="U4385">
        <f>21718.58</f>
        <v>21718.58</v>
      </c>
      <c r="V4385" t="e">
        <f>NA()</f>
        <v>#N/A</v>
      </c>
    </row>
    <row r="4386" spans="1:22" x14ac:dyDescent="0.2">
      <c r="A4386" s="1">
        <v>38967</v>
      </c>
      <c r="B4386">
        <f>3460.48</f>
        <v>3460.48</v>
      </c>
      <c r="C4386">
        <f>4303.87</f>
        <v>4303.87</v>
      </c>
      <c r="D4386">
        <f>3269.28</f>
        <v>3269.28</v>
      </c>
      <c r="E4386">
        <f>1241.592</f>
        <v>1241.5920000000001</v>
      </c>
      <c r="F4386">
        <f>2120.32</f>
        <v>2120.3200000000002</v>
      </c>
      <c r="G4386">
        <f>6235.988</f>
        <v>6235.9880000000003</v>
      </c>
      <c r="H4386">
        <f>1754.29</f>
        <v>1754.29</v>
      </c>
      <c r="I4386">
        <f>6266.054</f>
        <v>6266.0540000000001</v>
      </c>
      <c r="J4386">
        <f>1374.02</f>
        <v>1374.02</v>
      </c>
      <c r="K4386">
        <f>4085.38</f>
        <v>4085.38</v>
      </c>
      <c r="L4386">
        <f>1048.47</f>
        <v>1048.47</v>
      </c>
      <c r="M4386">
        <f>4021.4</f>
        <v>4021.4</v>
      </c>
      <c r="N4386">
        <f>167.263</f>
        <v>167.26300000000001</v>
      </c>
      <c r="O4386">
        <f>1710.67</f>
        <v>1710.67</v>
      </c>
      <c r="P4386">
        <f>102.62</f>
        <v>102.62</v>
      </c>
      <c r="Q4386">
        <f>739.81</f>
        <v>739.81</v>
      </c>
      <c r="R4386">
        <f>1982.93</f>
        <v>1982.93</v>
      </c>
      <c r="S4386">
        <f>1877.2</f>
        <v>1877.2</v>
      </c>
      <c r="T4386" t="e">
        <f>NA()</f>
        <v>#N/A</v>
      </c>
      <c r="U4386">
        <f>21884.88</f>
        <v>21884.880000000001</v>
      </c>
      <c r="V4386" t="e">
        <f>NA()</f>
        <v>#N/A</v>
      </c>
    </row>
    <row r="4387" spans="1:22" x14ac:dyDescent="0.2">
      <c r="A4387" s="1">
        <v>38966</v>
      </c>
      <c r="B4387">
        <f>3503.81</f>
        <v>3503.81</v>
      </c>
      <c r="C4387">
        <f>4344.43</f>
        <v>4344.43</v>
      </c>
      <c r="D4387">
        <f>3308.98</f>
        <v>3308.98</v>
      </c>
      <c r="E4387">
        <f>1257.58</f>
        <v>1257.58</v>
      </c>
      <c r="F4387">
        <f>2148.07</f>
        <v>2148.0700000000002</v>
      </c>
      <c r="G4387">
        <f>6335.994</f>
        <v>6335.9939999999997</v>
      </c>
      <c r="H4387">
        <f>1785.46</f>
        <v>1785.46</v>
      </c>
      <c r="I4387">
        <f>6346.347</f>
        <v>6346.3469999999998</v>
      </c>
      <c r="J4387">
        <f>1379.67</f>
        <v>1379.67</v>
      </c>
      <c r="K4387">
        <f>4104.4</f>
        <v>4104.3999999999996</v>
      </c>
      <c r="L4387">
        <f>1059.76</f>
        <v>1059.76</v>
      </c>
      <c r="M4387">
        <f>4059.73</f>
        <v>4059.73</v>
      </c>
      <c r="N4387">
        <f>168.188</f>
        <v>168.18799999999999</v>
      </c>
      <c r="O4387">
        <f>1727.26</f>
        <v>1727.26</v>
      </c>
      <c r="P4387">
        <f>104.74</f>
        <v>104.74</v>
      </c>
      <c r="Q4387">
        <f>743.26</f>
        <v>743.26</v>
      </c>
      <c r="R4387">
        <f>1992.42</f>
        <v>1992.42</v>
      </c>
      <c r="S4387">
        <f>1911.35</f>
        <v>1911.35</v>
      </c>
      <c r="T4387" t="e">
        <f>NA()</f>
        <v>#N/A</v>
      </c>
      <c r="U4387">
        <f>22375.73</f>
        <v>22375.73</v>
      </c>
      <c r="V4387" t="e">
        <f>NA()</f>
        <v>#N/A</v>
      </c>
    </row>
    <row r="4388" spans="1:22" x14ac:dyDescent="0.2">
      <c r="A4388" s="1">
        <v>38965</v>
      </c>
      <c r="B4388">
        <f>3518.1</f>
        <v>3518.1</v>
      </c>
      <c r="C4388">
        <f>4394.15</f>
        <v>4394.1499999999996</v>
      </c>
      <c r="D4388">
        <f>3337.03</f>
        <v>3337.03</v>
      </c>
      <c r="E4388">
        <f>1271.098</f>
        <v>1271.098</v>
      </c>
      <c r="F4388">
        <f>2177.04</f>
        <v>2177.04</v>
      </c>
      <c r="G4388">
        <f>6428.657</f>
        <v>6428.6570000000002</v>
      </c>
      <c r="H4388">
        <f>1801.28</f>
        <v>1801.28</v>
      </c>
      <c r="I4388">
        <f>6417.139</f>
        <v>6417.1390000000001</v>
      </c>
      <c r="J4388">
        <f>1386.3</f>
        <v>1386.3</v>
      </c>
      <c r="K4388">
        <f>4146.16</f>
        <v>4146.16</v>
      </c>
      <c r="L4388">
        <f>1068.96</f>
        <v>1068.96</v>
      </c>
      <c r="M4388">
        <f>4103.98</f>
        <v>4103.9799999999996</v>
      </c>
      <c r="N4388">
        <f>169.676</f>
        <v>169.67599999999999</v>
      </c>
      <c r="O4388">
        <f>1746.18</f>
        <v>1746.18</v>
      </c>
      <c r="P4388">
        <f>105.26</f>
        <v>105.26</v>
      </c>
      <c r="Q4388">
        <f>748.84</f>
        <v>748.84</v>
      </c>
      <c r="R4388">
        <f>2012</f>
        <v>2012</v>
      </c>
      <c r="S4388">
        <f>1921.28</f>
        <v>1921.28</v>
      </c>
      <c r="T4388" t="e">
        <f>NA()</f>
        <v>#N/A</v>
      </c>
      <c r="U4388">
        <f>22438.48</f>
        <v>22438.48</v>
      </c>
      <c r="V4388" t="e">
        <f>NA()</f>
        <v>#N/A</v>
      </c>
    </row>
    <row r="4389" spans="1:22" x14ac:dyDescent="0.2">
      <c r="A4389" s="1">
        <v>38964</v>
      </c>
      <c r="B4389">
        <f>3520.5</f>
        <v>3520.5</v>
      </c>
      <c r="C4389">
        <f>4398</f>
        <v>4398</v>
      </c>
      <c r="D4389">
        <f>3339.8</f>
        <v>3339.8</v>
      </c>
      <c r="E4389">
        <f>1271.989</f>
        <v>1271.989</v>
      </c>
      <c r="F4389">
        <f>2195.47</f>
        <v>2195.4699999999998</v>
      </c>
      <c r="G4389">
        <f>6475.216</f>
        <v>6475.2160000000003</v>
      </c>
      <c r="H4389">
        <f>1805.53</f>
        <v>1805.53</v>
      </c>
      <c r="I4389">
        <f>6468.233</f>
        <v>6468.2330000000002</v>
      </c>
      <c r="J4389">
        <f>1386.83</f>
        <v>1386.83</v>
      </c>
      <c r="K4389">
        <f>4137.89</f>
        <v>4137.8900000000003</v>
      </c>
      <c r="L4389">
        <f>1073.64</f>
        <v>1073.6400000000001</v>
      </c>
      <c r="M4389">
        <f>4110.42</f>
        <v>4110.42</v>
      </c>
      <c r="N4389">
        <f>170.799</f>
        <v>170.79900000000001</v>
      </c>
      <c r="O4389">
        <f>1752.05</f>
        <v>1752.05</v>
      </c>
      <c r="P4389">
        <f>105.36</f>
        <v>105.36</v>
      </c>
      <c r="Q4389" t="e">
        <f>NA()</f>
        <v>#N/A</v>
      </c>
      <c r="R4389" t="e">
        <f>NA()</f>
        <v>#N/A</v>
      </c>
      <c r="S4389">
        <f>1918.92</f>
        <v>1918.92</v>
      </c>
      <c r="T4389" t="e">
        <f>NA()</f>
        <v>#N/A</v>
      </c>
      <c r="U4389">
        <f>22480.54</f>
        <v>22480.54</v>
      </c>
      <c r="V4389" t="e">
        <f>NA()</f>
        <v>#N/A</v>
      </c>
    </row>
    <row r="4390" spans="1:22" x14ac:dyDescent="0.2">
      <c r="A4390" s="1">
        <v>38961</v>
      </c>
      <c r="B4390">
        <f>3503.83</f>
        <v>3503.83</v>
      </c>
      <c r="C4390">
        <f>4327.54</f>
        <v>4327.54</v>
      </c>
      <c r="D4390">
        <f>3318.88</f>
        <v>3318.88</v>
      </c>
      <c r="E4390">
        <f>1253.286</f>
        <v>1253.2860000000001</v>
      </c>
      <c r="F4390">
        <f>2181.45</f>
        <v>2181.4499999999998</v>
      </c>
      <c r="G4390">
        <f>6431.28</f>
        <v>6431.28</v>
      </c>
      <c r="H4390">
        <f>1768.67</f>
        <v>1768.67</v>
      </c>
      <c r="I4390">
        <f>6403.973</f>
        <v>6403.973</v>
      </c>
      <c r="J4390">
        <f>1386.83</f>
        <v>1386.83</v>
      </c>
      <c r="K4390">
        <f>4137.89</f>
        <v>4137.8900000000003</v>
      </c>
      <c r="L4390">
        <f>1068.03</f>
        <v>1068.03</v>
      </c>
      <c r="M4390">
        <f>4086.7</f>
        <v>4086.7</v>
      </c>
      <c r="N4390">
        <f>169.814</f>
        <v>169.81399999999999</v>
      </c>
      <c r="O4390">
        <f>1744.65</f>
        <v>1744.65</v>
      </c>
      <c r="P4390">
        <f>104.48</f>
        <v>104.48</v>
      </c>
      <c r="Q4390">
        <f>748.7</f>
        <v>748.7</v>
      </c>
      <c r="R4390">
        <f>2008.47</f>
        <v>2008.47</v>
      </c>
      <c r="S4390">
        <f>1900.34</f>
        <v>1900.34</v>
      </c>
      <c r="T4390" t="e">
        <f>NA()</f>
        <v>#N/A</v>
      </c>
      <c r="U4390">
        <f>22212.57</f>
        <v>22212.57</v>
      </c>
      <c r="V4390" t="e">
        <f>NA()</f>
        <v>#N/A</v>
      </c>
    </row>
    <row r="4391" spans="1:22" x14ac:dyDescent="0.2">
      <c r="A4391" s="1">
        <v>38960</v>
      </c>
      <c r="B4391">
        <f>3468.6</f>
        <v>3468.6</v>
      </c>
      <c r="C4391">
        <f>4288.61</f>
        <v>4288.6099999999997</v>
      </c>
      <c r="D4391">
        <f>3294.88</f>
        <v>3294.88</v>
      </c>
      <c r="E4391">
        <f>1244.464</f>
        <v>1244.4639999999999</v>
      </c>
      <c r="F4391">
        <f>2161.11</f>
        <v>2161.11</v>
      </c>
      <c r="G4391">
        <f>6381.202</f>
        <v>6381.2020000000002</v>
      </c>
      <c r="H4391">
        <f>1776.63</f>
        <v>1776.63</v>
      </c>
      <c r="I4391">
        <f>6380.95</f>
        <v>6380.95</v>
      </c>
      <c r="J4391">
        <f>1380.42</f>
        <v>1380.42</v>
      </c>
      <c r="K4391">
        <f>4115.15</f>
        <v>4115.1499999999996</v>
      </c>
      <c r="L4391">
        <f>1062.67</f>
        <v>1062.67</v>
      </c>
      <c r="M4391">
        <f>4067.75</f>
        <v>4067.75</v>
      </c>
      <c r="N4391">
        <f>168.403</f>
        <v>168.40299999999999</v>
      </c>
      <c r="O4391">
        <f>1737.81</f>
        <v>1737.81</v>
      </c>
      <c r="P4391">
        <f>104.5</f>
        <v>104.5</v>
      </c>
      <c r="Q4391">
        <f>744.35</f>
        <v>744.35</v>
      </c>
      <c r="R4391">
        <f>1997.42</f>
        <v>1997.42</v>
      </c>
      <c r="S4391">
        <f>1901.63</f>
        <v>1901.63</v>
      </c>
      <c r="T4391" t="e">
        <f>NA()</f>
        <v>#N/A</v>
      </c>
      <c r="U4391">
        <f>21953.8</f>
        <v>21953.8</v>
      </c>
      <c r="V4391" t="e">
        <f>NA()</f>
        <v>#N/A</v>
      </c>
    </row>
    <row r="4392" spans="1:22" x14ac:dyDescent="0.2">
      <c r="A4392" s="1">
        <v>38959</v>
      </c>
      <c r="B4392">
        <f>3483.75</f>
        <v>3483.75</v>
      </c>
      <c r="C4392">
        <f>4302.44</f>
        <v>4302.4399999999996</v>
      </c>
      <c r="D4392">
        <f>3307.83</f>
        <v>3307.83</v>
      </c>
      <c r="E4392">
        <f>1250.455</f>
        <v>1250.4549999999999</v>
      </c>
      <c r="F4392">
        <f>2175.3</f>
        <v>2175.3000000000002</v>
      </c>
      <c r="G4392">
        <f>6416.696</f>
        <v>6416.6959999999999</v>
      </c>
      <c r="H4392">
        <f>1759.17</f>
        <v>1759.17</v>
      </c>
      <c r="I4392">
        <f>6409.35</f>
        <v>6409.35</v>
      </c>
      <c r="J4392">
        <f>1382.58</f>
        <v>1382.58</v>
      </c>
      <c r="K4392">
        <f>4114.64</f>
        <v>4114.6400000000003</v>
      </c>
      <c r="L4392">
        <f>1065.98</f>
        <v>1065.98</v>
      </c>
      <c r="M4392">
        <f>4067.14</f>
        <v>4067.14</v>
      </c>
      <c r="N4392">
        <f>168.464</f>
        <v>168.464</v>
      </c>
      <c r="O4392">
        <f>1741.92</f>
        <v>1741.92</v>
      </c>
      <c r="P4392">
        <f>103.29</f>
        <v>103.29</v>
      </c>
      <c r="Q4392">
        <f>742.69</f>
        <v>742.69</v>
      </c>
      <c r="R4392">
        <f>1998.08</f>
        <v>1998.08</v>
      </c>
      <c r="S4392">
        <f>1876.27</f>
        <v>1876.27</v>
      </c>
      <c r="T4392" t="e">
        <f>NA()</f>
        <v>#N/A</v>
      </c>
      <c r="U4392">
        <f>22051.38</f>
        <v>22051.38</v>
      </c>
      <c r="V4392" t="e">
        <f>NA()</f>
        <v>#N/A</v>
      </c>
    </row>
    <row r="4393" spans="1:22" x14ac:dyDescent="0.2">
      <c r="A4393" s="1">
        <v>38958</v>
      </c>
      <c r="B4393">
        <f>3473.93</f>
        <v>3473.93</v>
      </c>
      <c r="C4393">
        <f>4265.69</f>
        <v>4265.6899999999996</v>
      </c>
      <c r="D4393">
        <f>3284.75</f>
        <v>3284.75</v>
      </c>
      <c r="E4393">
        <f>1241.048</f>
        <v>1241.048</v>
      </c>
      <c r="F4393">
        <f>2152.75</f>
        <v>2152.75</v>
      </c>
      <c r="G4393">
        <f>6329.276</f>
        <v>6329.2759999999998</v>
      </c>
      <c r="H4393">
        <f>1765.87</f>
        <v>1765.87</v>
      </c>
      <c r="I4393">
        <f>6342.991</f>
        <v>6342.991</v>
      </c>
      <c r="J4393">
        <f>1384.25</f>
        <v>1384.25</v>
      </c>
      <c r="K4393">
        <f>4111.2</f>
        <v>4111.2</v>
      </c>
      <c r="L4393">
        <f>1059.38</f>
        <v>1059.3800000000001</v>
      </c>
      <c r="M4393">
        <f>4050.87</f>
        <v>4050.87</v>
      </c>
      <c r="N4393">
        <f>167.897</f>
        <v>167.89699999999999</v>
      </c>
      <c r="O4393">
        <f>1731.27</f>
        <v>1731.27</v>
      </c>
      <c r="P4393">
        <f>103.11</f>
        <v>103.11</v>
      </c>
      <c r="Q4393">
        <f>742.36</f>
        <v>742.36</v>
      </c>
      <c r="R4393">
        <f>1997.21</f>
        <v>1997.21</v>
      </c>
      <c r="S4393">
        <f>1880.14</f>
        <v>1880.14</v>
      </c>
      <c r="T4393" t="e">
        <f>NA()</f>
        <v>#N/A</v>
      </c>
      <c r="U4393">
        <f>21670.24</f>
        <v>21670.240000000002</v>
      </c>
      <c r="V4393" t="e">
        <f>NA()</f>
        <v>#N/A</v>
      </c>
    </row>
    <row r="4394" spans="1:22" x14ac:dyDescent="0.2">
      <c r="A4394" s="1">
        <v>38957</v>
      </c>
      <c r="B4394" t="e">
        <f>NA()</f>
        <v>#N/A</v>
      </c>
      <c r="C4394">
        <f>4239.38</f>
        <v>4239.38</v>
      </c>
      <c r="D4394" t="e">
        <f>NA()</f>
        <v>#N/A</v>
      </c>
      <c r="E4394">
        <f>1232.281</f>
        <v>1232.2809999999999</v>
      </c>
      <c r="F4394">
        <f>2141.82</f>
        <v>2141.8200000000002</v>
      </c>
      <c r="G4394">
        <f>6331.813</f>
        <v>6331.8130000000001</v>
      </c>
      <c r="H4394">
        <f>1744.74</f>
        <v>1744.74</v>
      </c>
      <c r="I4394">
        <f>6347.923</f>
        <v>6347.9229999999998</v>
      </c>
      <c r="J4394">
        <f>1382.82</f>
        <v>1382.82</v>
      </c>
      <c r="K4394">
        <f>4101.77</f>
        <v>4101.7700000000004</v>
      </c>
      <c r="L4394">
        <f>1059.28</f>
        <v>1059.28</v>
      </c>
      <c r="M4394">
        <f>4041.28</f>
        <v>4041.28</v>
      </c>
      <c r="N4394">
        <f>166.927</f>
        <v>166.92699999999999</v>
      </c>
      <c r="O4394">
        <f>1729.01</f>
        <v>1729.01</v>
      </c>
      <c r="P4394">
        <f>102.19</f>
        <v>102.19</v>
      </c>
      <c r="Q4394">
        <f>740.09</f>
        <v>740.09</v>
      </c>
      <c r="R4394">
        <f>1993.06</f>
        <v>1993.06</v>
      </c>
      <c r="S4394">
        <f>1861.83</f>
        <v>1861.83</v>
      </c>
      <c r="T4394" t="e">
        <f>NA()</f>
        <v>#N/A</v>
      </c>
      <c r="U4394">
        <f>21945.34</f>
        <v>21945.34</v>
      </c>
      <c r="V4394" t="e">
        <f>NA()</f>
        <v>#N/A</v>
      </c>
    </row>
    <row r="4395" spans="1:22" x14ac:dyDescent="0.2">
      <c r="A4395" s="1">
        <v>38954</v>
      </c>
      <c r="B4395">
        <f>3462.12</f>
        <v>3462.12</v>
      </c>
      <c r="C4395">
        <f>4248.92</f>
        <v>4248.92</v>
      </c>
      <c r="D4395">
        <f>3279.34</f>
        <v>3279.34</v>
      </c>
      <c r="E4395">
        <f>1232.849</f>
        <v>1232.8489999999999</v>
      </c>
      <c r="F4395">
        <f>2129.4</f>
        <v>2129.4</v>
      </c>
      <c r="G4395">
        <f>6295.099</f>
        <v>6295.0990000000002</v>
      </c>
      <c r="H4395">
        <f>1754.46</f>
        <v>1754.46</v>
      </c>
      <c r="I4395">
        <f>6293.684</f>
        <v>6293.6840000000002</v>
      </c>
      <c r="J4395">
        <f>1376.65</f>
        <v>1376.65</v>
      </c>
      <c r="K4395">
        <f>4079.89</f>
        <v>4079.89</v>
      </c>
      <c r="L4395">
        <f>1052.64</f>
        <v>1052.6400000000001</v>
      </c>
      <c r="M4395">
        <f>4024.79</f>
        <v>4024.79</v>
      </c>
      <c r="N4395">
        <f>166.463</f>
        <v>166.46299999999999</v>
      </c>
      <c r="O4395">
        <f>1721.06</f>
        <v>1721.06</v>
      </c>
      <c r="P4395">
        <f>103.16</f>
        <v>103.16</v>
      </c>
      <c r="Q4395">
        <f>734.98</f>
        <v>734.98</v>
      </c>
      <c r="R4395">
        <f>1982.81</f>
        <v>1982.81</v>
      </c>
      <c r="S4395">
        <f>1884.38</f>
        <v>1884.38</v>
      </c>
      <c r="T4395" t="e">
        <f>NA()</f>
        <v>#N/A</v>
      </c>
      <c r="U4395">
        <f>21767.62</f>
        <v>21767.62</v>
      </c>
      <c r="V4395" t="e">
        <f>NA()</f>
        <v>#N/A</v>
      </c>
    </row>
    <row r="4396" spans="1:22" x14ac:dyDescent="0.2">
      <c r="A4396" s="1">
        <v>38953</v>
      </c>
      <c r="B4396">
        <f>3439.29</f>
        <v>3439.29</v>
      </c>
      <c r="C4396">
        <f>4243.68</f>
        <v>4243.68</v>
      </c>
      <c r="D4396">
        <f>3274.04</f>
        <v>3274.04</v>
      </c>
      <c r="E4396">
        <f>1230.921</f>
        <v>1230.921</v>
      </c>
      <c r="F4396">
        <f>2127.04</f>
        <v>2127.04</v>
      </c>
      <c r="G4396">
        <f>6303.797</f>
        <v>6303.7969999999996</v>
      </c>
      <c r="H4396">
        <f>1772.39</f>
        <v>1772.39</v>
      </c>
      <c r="I4396">
        <f>6316.751</f>
        <v>6316.7510000000002</v>
      </c>
      <c r="J4396">
        <f>1380.21</f>
        <v>1380.21</v>
      </c>
      <c r="K4396">
        <f>4082.49</f>
        <v>4082.49</v>
      </c>
      <c r="L4396">
        <f>1055.27</f>
        <v>1055.27</v>
      </c>
      <c r="M4396">
        <f>4034.91</f>
        <v>4034.91</v>
      </c>
      <c r="N4396">
        <f>165.988</f>
        <v>165.988</v>
      </c>
      <c r="O4396">
        <f>1720.01</f>
        <v>1720.01</v>
      </c>
      <c r="P4396">
        <f>103.36</f>
        <v>103.36</v>
      </c>
      <c r="Q4396">
        <f>736.77</f>
        <v>736.77</v>
      </c>
      <c r="R4396">
        <f>1984.09</f>
        <v>1984.09</v>
      </c>
      <c r="S4396">
        <f>1888.12</f>
        <v>1888.12</v>
      </c>
      <c r="T4396" t="e">
        <f>NA()</f>
        <v>#N/A</v>
      </c>
      <c r="U4396">
        <f>21664.66</f>
        <v>21664.66</v>
      </c>
      <c r="V4396" t="e">
        <f>NA()</f>
        <v>#N/A</v>
      </c>
    </row>
    <row r="4397" spans="1:22" x14ac:dyDescent="0.2">
      <c r="A4397" s="1">
        <v>38952</v>
      </c>
      <c r="B4397">
        <f>3424.61</f>
        <v>3424.61</v>
      </c>
      <c r="C4397">
        <f>4274.07</f>
        <v>4274.07</v>
      </c>
      <c r="D4397">
        <f>3269</f>
        <v>3269</v>
      </c>
      <c r="E4397">
        <f>1238.966</f>
        <v>1238.9659999999999</v>
      </c>
      <c r="F4397">
        <f>2121.77</f>
        <v>2121.77</v>
      </c>
      <c r="G4397">
        <f>6301.749</f>
        <v>6301.7489999999998</v>
      </c>
      <c r="H4397">
        <f>1786.51</f>
        <v>1786.51</v>
      </c>
      <c r="I4397">
        <f>6291.396</f>
        <v>6291.3959999999997</v>
      </c>
      <c r="J4397">
        <f>1374.21</f>
        <v>1374.21</v>
      </c>
      <c r="K4397">
        <f>4072.6</f>
        <v>4072.6</v>
      </c>
      <c r="L4397">
        <f>1052.9</f>
        <v>1052.9000000000001</v>
      </c>
      <c r="M4397">
        <f>4034.77</f>
        <v>4034.77</v>
      </c>
      <c r="N4397">
        <f>165.697</f>
        <v>165.697</v>
      </c>
      <c r="O4397">
        <f>1713.66</f>
        <v>1713.66</v>
      </c>
      <c r="P4397">
        <f>104.17</f>
        <v>104.17</v>
      </c>
      <c r="Q4397">
        <f>736.34</f>
        <v>736.34</v>
      </c>
      <c r="R4397">
        <f>1979.35</f>
        <v>1979.35</v>
      </c>
      <c r="S4397">
        <f>1908.19</f>
        <v>1908.19</v>
      </c>
      <c r="T4397" t="e">
        <f>NA()</f>
        <v>#N/A</v>
      </c>
      <c r="U4397">
        <f>21657.09</f>
        <v>21657.09</v>
      </c>
      <c r="V4397" t="e">
        <f>NA()</f>
        <v>#N/A</v>
      </c>
    </row>
    <row r="4398" spans="1:22" x14ac:dyDescent="0.2">
      <c r="A4398" s="1">
        <v>38951</v>
      </c>
      <c r="B4398">
        <f>3440.07</f>
        <v>3440.07</v>
      </c>
      <c r="C4398">
        <f>4313.33</f>
        <v>4313.33</v>
      </c>
      <c r="D4398">
        <f>3290.79</f>
        <v>3290.79</v>
      </c>
      <c r="E4398">
        <f>1249.533</f>
        <v>1249.5329999999999</v>
      </c>
      <c r="F4398">
        <f>2124.53</f>
        <v>2124.5300000000002</v>
      </c>
      <c r="G4398">
        <f>6323.971</f>
        <v>6323.9709999999995</v>
      </c>
      <c r="H4398">
        <f>1789.39</f>
        <v>1789.39</v>
      </c>
      <c r="I4398">
        <f>6335.566</f>
        <v>6335.5659999999998</v>
      </c>
      <c r="J4398">
        <f>1377.84</f>
        <v>1377.84</v>
      </c>
      <c r="K4398">
        <f>4091.73</f>
        <v>4091.73</v>
      </c>
      <c r="L4398">
        <f>1056.84</f>
        <v>1056.8399999999999</v>
      </c>
      <c r="M4398">
        <f>4051.17</f>
        <v>4051.17</v>
      </c>
      <c r="N4398">
        <f>166.047</f>
        <v>166.047</v>
      </c>
      <c r="O4398">
        <f>1722.64</f>
        <v>1722.64</v>
      </c>
      <c r="P4398">
        <f>104.33</f>
        <v>104.33</v>
      </c>
      <c r="Q4398">
        <f>739.5</f>
        <v>739.5</v>
      </c>
      <c r="R4398">
        <f>1988.1</f>
        <v>1988.1</v>
      </c>
      <c r="S4398">
        <f>1909.93</f>
        <v>1909.93</v>
      </c>
      <c r="T4398" t="e">
        <f>NA()</f>
        <v>#N/A</v>
      </c>
      <c r="U4398">
        <f>21990.14</f>
        <v>21990.14</v>
      </c>
      <c r="V4398" t="e">
        <f>NA()</f>
        <v>#N/A</v>
      </c>
    </row>
    <row r="4399" spans="1:22" x14ac:dyDescent="0.2">
      <c r="A4399" s="1">
        <v>38950</v>
      </c>
      <c r="B4399">
        <f>3443.93</f>
        <v>3443.93</v>
      </c>
      <c r="C4399">
        <f>4292.62</f>
        <v>4292.62</v>
      </c>
      <c r="D4399">
        <f>3297.81</f>
        <v>3297.81</v>
      </c>
      <c r="E4399">
        <f>1242.197</f>
        <v>1242.1969999999999</v>
      </c>
      <c r="F4399">
        <f>2134.85</f>
        <v>2134.85</v>
      </c>
      <c r="G4399">
        <f>6365.33</f>
        <v>6365.33</v>
      </c>
      <c r="H4399">
        <f>1775.84</f>
        <v>1775.84</v>
      </c>
      <c r="I4399">
        <f>6364.413</f>
        <v>6364.4129999999996</v>
      </c>
      <c r="J4399">
        <f>1374.44</f>
        <v>1374.44</v>
      </c>
      <c r="K4399">
        <f>4088.15</f>
        <v>4088.15</v>
      </c>
      <c r="L4399">
        <f>1059.22</f>
        <v>1059.22</v>
      </c>
      <c r="M4399">
        <f>4051.66</f>
        <v>4051.66</v>
      </c>
      <c r="N4399">
        <f>165.601</f>
        <v>165.601</v>
      </c>
      <c r="O4399">
        <f>1717.35</f>
        <v>1717.35</v>
      </c>
      <c r="P4399">
        <f>103.43</f>
        <v>103.43</v>
      </c>
      <c r="Q4399">
        <f>739.51</f>
        <v>739.51</v>
      </c>
      <c r="R4399">
        <f>1986.11</f>
        <v>1986.11</v>
      </c>
      <c r="S4399">
        <f>1889.49</f>
        <v>1889.49</v>
      </c>
      <c r="T4399" t="e">
        <f>NA()</f>
        <v>#N/A</v>
      </c>
      <c r="U4399">
        <f>21733.98</f>
        <v>21733.98</v>
      </c>
      <c r="V4399" t="e">
        <f>NA()</f>
        <v>#N/A</v>
      </c>
    </row>
    <row r="4400" spans="1:22" x14ac:dyDescent="0.2">
      <c r="A4400" s="1">
        <v>38947</v>
      </c>
      <c r="B4400">
        <f>3446.82</f>
        <v>3446.82</v>
      </c>
      <c r="C4400">
        <f>4335.15</f>
        <v>4335.1499999999996</v>
      </c>
      <c r="D4400">
        <f>3291.19</f>
        <v>3291.19</v>
      </c>
      <c r="E4400">
        <f>1250.268</f>
        <v>1250.268</v>
      </c>
      <c r="F4400">
        <f>2121.94</f>
        <v>2121.94</v>
      </c>
      <c r="G4400">
        <f>6294.975</f>
        <v>6294.9750000000004</v>
      </c>
      <c r="H4400">
        <f>1797.05</f>
        <v>1797.05</v>
      </c>
      <c r="I4400">
        <f>6333.336</f>
        <v>6333.3360000000002</v>
      </c>
      <c r="J4400">
        <f>1377.03</f>
        <v>1377.03</v>
      </c>
      <c r="K4400">
        <f>4104.08</f>
        <v>4104.08</v>
      </c>
      <c r="L4400">
        <f>1055.61</f>
        <v>1055.6099999999999</v>
      </c>
      <c r="M4400">
        <f>4053.13</f>
        <v>4053.13</v>
      </c>
      <c r="N4400">
        <f>165.886</f>
        <v>165.886</v>
      </c>
      <c r="O4400">
        <f>1719.3</f>
        <v>1719.3</v>
      </c>
      <c r="P4400">
        <f>104.27</f>
        <v>104.27</v>
      </c>
      <c r="Q4400">
        <f>742.78</f>
        <v>742.78</v>
      </c>
      <c r="R4400">
        <f>1993.43</f>
        <v>1993.43</v>
      </c>
      <c r="S4400">
        <f>1909.55</f>
        <v>1909.55</v>
      </c>
      <c r="T4400" t="e">
        <f>NA()</f>
        <v>#N/A</v>
      </c>
      <c r="U4400">
        <f>21279.32</f>
        <v>21279.32</v>
      </c>
      <c r="V4400" t="e">
        <f>NA()</f>
        <v>#N/A</v>
      </c>
    </row>
    <row r="4401" spans="1:22" x14ac:dyDescent="0.2">
      <c r="A4401" s="1">
        <v>38946</v>
      </c>
      <c r="B4401">
        <f>3423.73</f>
        <v>3423.73</v>
      </c>
      <c r="C4401">
        <f>4356.52</f>
        <v>4356.5200000000004</v>
      </c>
      <c r="D4401">
        <f>3289.55</f>
        <v>3289.55</v>
      </c>
      <c r="E4401">
        <f>1260.325</f>
        <v>1260.325</v>
      </c>
      <c r="F4401">
        <f>2132.84</f>
        <v>2132.84</v>
      </c>
      <c r="G4401">
        <f>6334.469</f>
        <v>6334.4690000000001</v>
      </c>
      <c r="H4401">
        <f>1791.23</f>
        <v>1791.23</v>
      </c>
      <c r="I4401">
        <f>6366.315</f>
        <v>6366.3149999999996</v>
      </c>
      <c r="J4401">
        <f>1369.49</f>
        <v>1369.49</v>
      </c>
      <c r="K4401">
        <f>4088.75</f>
        <v>4088.75</v>
      </c>
      <c r="L4401">
        <f>1056.54</f>
        <v>1056.54</v>
      </c>
      <c r="M4401">
        <f>4052.6</f>
        <v>4052.6</v>
      </c>
      <c r="N4401">
        <f>166.405</f>
        <v>166.405</v>
      </c>
      <c r="O4401">
        <f>1723.03</f>
        <v>1723.03</v>
      </c>
      <c r="P4401">
        <f>103.65</f>
        <v>103.65</v>
      </c>
      <c r="Q4401">
        <f>742.26</f>
        <v>742.26</v>
      </c>
      <c r="R4401">
        <f>1986.04</f>
        <v>1986.04</v>
      </c>
      <c r="S4401">
        <f>1897.93</f>
        <v>1897.93</v>
      </c>
      <c r="T4401" t="e">
        <f>NA()</f>
        <v>#N/A</v>
      </c>
      <c r="U4401">
        <f>21385.14</f>
        <v>21385.14</v>
      </c>
      <c r="V4401" t="e">
        <f>NA()</f>
        <v>#N/A</v>
      </c>
    </row>
    <row r="4402" spans="1:22" x14ac:dyDescent="0.2">
      <c r="A4402" s="1">
        <v>38945</v>
      </c>
      <c r="B4402">
        <f>3417.05</f>
        <v>3417.05</v>
      </c>
      <c r="C4402">
        <f>4348.26</f>
        <v>4348.26</v>
      </c>
      <c r="D4402">
        <f>3287.42</f>
        <v>3287.42</v>
      </c>
      <c r="E4402">
        <f>1255.118</f>
        <v>1255.1179999999999</v>
      </c>
      <c r="F4402">
        <f>2141.09</f>
        <v>2141.09</v>
      </c>
      <c r="G4402">
        <f>6349.853</f>
        <v>6349.8530000000001</v>
      </c>
      <c r="H4402">
        <f>1780.97</f>
        <v>1780.97</v>
      </c>
      <c r="I4402">
        <f>6339.173</f>
        <v>6339.1729999999998</v>
      </c>
      <c r="J4402">
        <f>1368.28</f>
        <v>1368.28</v>
      </c>
      <c r="K4402">
        <f>4082.21</f>
        <v>4082.21</v>
      </c>
      <c r="L4402">
        <f>1055.26</f>
        <v>1055.26</v>
      </c>
      <c r="M4402">
        <f>4043.71</f>
        <v>4043.71</v>
      </c>
      <c r="N4402">
        <f>166.502</f>
        <v>166.50200000000001</v>
      </c>
      <c r="O4402">
        <f>1720.66</f>
        <v>1720.66</v>
      </c>
      <c r="P4402">
        <f>103.94</f>
        <v>103.94</v>
      </c>
      <c r="Q4402">
        <f>743.54</f>
        <v>743.54</v>
      </c>
      <c r="R4402">
        <f>1982.81</f>
        <v>1982.81</v>
      </c>
      <c r="S4402">
        <f>1895.91</f>
        <v>1895.91</v>
      </c>
      <c r="T4402" t="e">
        <f>NA()</f>
        <v>#N/A</v>
      </c>
      <c r="U4402">
        <f>21080.52</f>
        <v>21080.52</v>
      </c>
      <c r="V4402" t="e">
        <f>NA()</f>
        <v>#N/A</v>
      </c>
    </row>
    <row r="4403" spans="1:22" x14ac:dyDescent="0.2">
      <c r="A4403" s="1">
        <v>38944</v>
      </c>
      <c r="B4403">
        <f>3424.74</f>
        <v>3424.74</v>
      </c>
      <c r="C4403">
        <f>4292.65</f>
        <v>4292.6499999999996</v>
      </c>
      <c r="D4403">
        <f>3279.8</f>
        <v>3279.8</v>
      </c>
      <c r="E4403">
        <f>1236.965</f>
        <v>1236.9649999999999</v>
      </c>
      <c r="F4403">
        <f>2132</f>
        <v>2132</v>
      </c>
      <c r="G4403">
        <f>6317.015</f>
        <v>6317.0150000000003</v>
      </c>
      <c r="H4403">
        <f>1751.34</f>
        <v>1751.34</v>
      </c>
      <c r="I4403">
        <f>6263.12</f>
        <v>6263.12</v>
      </c>
      <c r="J4403">
        <f>1364.93</f>
        <v>1364.93</v>
      </c>
      <c r="K4403">
        <f>4047.73</f>
        <v>4047.73</v>
      </c>
      <c r="L4403">
        <f>1048.3</f>
        <v>1048.3</v>
      </c>
      <c r="M4403">
        <f>4003.29</f>
        <v>4003.29</v>
      </c>
      <c r="N4403">
        <f>166.333</f>
        <v>166.333</v>
      </c>
      <c r="O4403">
        <f>1714.19</f>
        <v>1714.19</v>
      </c>
      <c r="P4403">
        <f>102.61</f>
        <v>102.61</v>
      </c>
      <c r="Q4403">
        <f>737.74</f>
        <v>737.74</v>
      </c>
      <c r="R4403">
        <f>1967.26</f>
        <v>1967.26</v>
      </c>
      <c r="S4403">
        <f>1867.29</f>
        <v>1867.29</v>
      </c>
      <c r="T4403" t="e">
        <f>NA()</f>
        <v>#N/A</v>
      </c>
      <c r="U4403">
        <f>20950.18</f>
        <v>20950.18</v>
      </c>
      <c r="V4403" t="e">
        <f>NA()</f>
        <v>#N/A</v>
      </c>
    </row>
    <row r="4404" spans="1:22" x14ac:dyDescent="0.2">
      <c r="A4404" s="1">
        <v>38943</v>
      </c>
      <c r="B4404">
        <f>3405.34</f>
        <v>3405.34</v>
      </c>
      <c r="C4404">
        <f>4275.62</f>
        <v>4275.62</v>
      </c>
      <c r="D4404">
        <f>3264.78</f>
        <v>3264.78</v>
      </c>
      <c r="E4404">
        <f>1232.491</f>
        <v>1232.491</v>
      </c>
      <c r="F4404">
        <f>2116.55</f>
        <v>2116.5500000000002</v>
      </c>
      <c r="G4404">
        <f>6274.575</f>
        <v>6274.5749999999998</v>
      </c>
      <c r="H4404">
        <f>1745.83</f>
        <v>1745.83</v>
      </c>
      <c r="I4404">
        <f>6170.761</f>
        <v>6170.7610000000004</v>
      </c>
      <c r="J4404">
        <f>1350.83</f>
        <v>1350.83</v>
      </c>
      <c r="K4404">
        <f>3991.09</f>
        <v>3991.09</v>
      </c>
      <c r="L4404">
        <f>1036.9</f>
        <v>1036.9000000000001</v>
      </c>
      <c r="M4404">
        <f>3956.19</f>
        <v>3956.19</v>
      </c>
      <c r="N4404">
        <f>164.707</f>
        <v>164.70699999999999</v>
      </c>
      <c r="O4404">
        <f>1699.2</f>
        <v>1699.2</v>
      </c>
      <c r="P4404">
        <f>102.28</f>
        <v>102.28</v>
      </c>
      <c r="Q4404">
        <f>728.61</f>
        <v>728.61</v>
      </c>
      <c r="R4404">
        <f>1940.5</f>
        <v>1940.5</v>
      </c>
      <c r="S4404">
        <f>1862.5</f>
        <v>1862.5</v>
      </c>
      <c r="T4404" t="e">
        <f>NA()</f>
        <v>#N/A</v>
      </c>
      <c r="U4404">
        <f>20770.57</f>
        <v>20770.57</v>
      </c>
      <c r="V4404" t="e">
        <f>NA()</f>
        <v>#N/A</v>
      </c>
    </row>
    <row r="4405" spans="1:22" x14ac:dyDescent="0.2">
      <c r="A4405" s="1">
        <v>38940</v>
      </c>
      <c r="B4405">
        <f>3387.01</f>
        <v>3387.01</v>
      </c>
      <c r="C4405">
        <f>4286.46</f>
        <v>4286.46</v>
      </c>
      <c r="D4405">
        <f>3236.57</f>
        <v>3236.57</v>
      </c>
      <c r="E4405">
        <f>1235.351</f>
        <v>1235.3510000000001</v>
      </c>
      <c r="F4405">
        <f>2097.15</f>
        <v>2097.15</v>
      </c>
      <c r="G4405">
        <f>6237.389</f>
        <v>6237.3890000000001</v>
      </c>
      <c r="H4405">
        <f>1733.37</f>
        <v>1733.37</v>
      </c>
      <c r="I4405">
        <f>6123.393</f>
        <v>6123.393</v>
      </c>
      <c r="J4405">
        <f>1350.12</f>
        <v>1350.12</v>
      </c>
      <c r="K4405">
        <f>3985.97</f>
        <v>3985.97</v>
      </c>
      <c r="L4405">
        <f>1032.6</f>
        <v>1032.5999999999999</v>
      </c>
      <c r="M4405">
        <f>3941.88</f>
        <v>3941.88</v>
      </c>
      <c r="N4405">
        <f>163.377</f>
        <v>163.37700000000001</v>
      </c>
      <c r="O4405">
        <f>1683.48</f>
        <v>1683.48</v>
      </c>
      <c r="P4405">
        <f>100.9</f>
        <v>100.9</v>
      </c>
      <c r="Q4405">
        <f>726.87</f>
        <v>726.87</v>
      </c>
      <c r="R4405">
        <f>1938.13</f>
        <v>1938.13</v>
      </c>
      <c r="S4405">
        <f>1835.62</f>
        <v>1835.62</v>
      </c>
      <c r="T4405" t="e">
        <f>NA()</f>
        <v>#N/A</v>
      </c>
      <c r="U4405">
        <f>20700.59</f>
        <v>20700.59</v>
      </c>
      <c r="V4405" t="e">
        <f>NA()</f>
        <v>#N/A</v>
      </c>
    </row>
    <row r="4406" spans="1:22" x14ac:dyDescent="0.2">
      <c r="A4406" s="1">
        <v>38939</v>
      </c>
      <c r="B4406">
        <f>3378.44</f>
        <v>3378.44</v>
      </c>
      <c r="C4406">
        <f>4287.59</f>
        <v>4287.59</v>
      </c>
      <c r="D4406">
        <f>3238.38</f>
        <v>3238.38</v>
      </c>
      <c r="E4406">
        <f>1234.51</f>
        <v>1234.51</v>
      </c>
      <c r="F4406">
        <f>2096.39</f>
        <v>2096.39</v>
      </c>
      <c r="G4406">
        <f>6227.419</f>
        <v>6227.4189999999999</v>
      </c>
      <c r="H4406">
        <f>1750.59</f>
        <v>1750.59</v>
      </c>
      <c r="I4406">
        <f>6122.121</f>
        <v>6122.1210000000001</v>
      </c>
      <c r="J4406">
        <f>1353.56</f>
        <v>1353.56</v>
      </c>
      <c r="K4406">
        <f>4002.65</f>
        <v>4002.65</v>
      </c>
      <c r="L4406">
        <f>1033.38</f>
        <v>1033.3800000000001</v>
      </c>
      <c r="M4406">
        <f>3952.52</f>
        <v>3952.52</v>
      </c>
      <c r="N4406">
        <f>162.851</f>
        <v>162.851</v>
      </c>
      <c r="O4406">
        <f>1681.08</f>
        <v>1681.08</v>
      </c>
      <c r="P4406">
        <f>101.14</f>
        <v>101.14</v>
      </c>
      <c r="Q4406">
        <f>729.15</f>
        <v>729.15</v>
      </c>
      <c r="R4406">
        <f>1945.61</f>
        <v>1945.61</v>
      </c>
      <c r="S4406">
        <f>1841.39</f>
        <v>1841.39</v>
      </c>
      <c r="T4406" t="e">
        <f>NA()</f>
        <v>#N/A</v>
      </c>
      <c r="U4406">
        <f>20540.08</f>
        <v>20540.080000000002</v>
      </c>
      <c r="V4406" t="e">
        <f>NA()</f>
        <v>#N/A</v>
      </c>
    </row>
    <row r="4407" spans="1:22" x14ac:dyDescent="0.2">
      <c r="A4407" s="1">
        <v>38938</v>
      </c>
      <c r="B4407">
        <f>3398.47</f>
        <v>3398.47</v>
      </c>
      <c r="C4407">
        <f>4294.48</f>
        <v>4294.4799999999996</v>
      </c>
      <c r="D4407">
        <f>3259</f>
        <v>3259</v>
      </c>
      <c r="E4407">
        <f>1240.815</f>
        <v>1240.8150000000001</v>
      </c>
      <c r="F4407">
        <f>2131.78</f>
        <v>2131.7800000000002</v>
      </c>
      <c r="G4407">
        <f>6324.942</f>
        <v>6324.942</v>
      </c>
      <c r="H4407">
        <f>1751.65</f>
        <v>1751.65</v>
      </c>
      <c r="I4407">
        <f>6228.632</f>
        <v>6228.6319999999996</v>
      </c>
      <c r="J4407">
        <f>1349.23</f>
        <v>1349.23</v>
      </c>
      <c r="K4407">
        <f>3983.77</f>
        <v>3983.77</v>
      </c>
      <c r="L4407">
        <f>1042.26</f>
        <v>1042.26</v>
      </c>
      <c r="M4407">
        <f>3966.13</f>
        <v>3966.13</v>
      </c>
      <c r="N4407">
        <f>163.827</f>
        <v>163.827</v>
      </c>
      <c r="O4407">
        <f>1694.38</f>
        <v>1694.38</v>
      </c>
      <c r="P4407">
        <f>101.18</f>
        <v>101.18</v>
      </c>
      <c r="Q4407">
        <f>723.72</f>
        <v>723.72</v>
      </c>
      <c r="R4407">
        <f>1936.3</f>
        <v>1936.3</v>
      </c>
      <c r="S4407">
        <f>1836.21</f>
        <v>1836.21</v>
      </c>
      <c r="T4407" t="e">
        <f>NA()</f>
        <v>#N/A</v>
      </c>
      <c r="U4407" t="e">
        <f>NA()</f>
        <v>#N/A</v>
      </c>
      <c r="V4407" t="e">
        <f>NA()</f>
        <v>#N/A</v>
      </c>
    </row>
    <row r="4408" spans="1:22" x14ac:dyDescent="0.2">
      <c r="A4408" s="1">
        <v>38937</v>
      </c>
      <c r="B4408">
        <f>3380.66</f>
        <v>3380.66</v>
      </c>
      <c r="C4408">
        <f>4257.92</f>
        <v>4257.92</v>
      </c>
      <c r="D4408">
        <f>3228.45</f>
        <v>3228.45</v>
      </c>
      <c r="E4408">
        <f>1228.939</f>
        <v>1228.9390000000001</v>
      </c>
      <c r="F4408">
        <f>2102.36</f>
        <v>2102.36</v>
      </c>
      <c r="G4408">
        <f>6263.414</f>
        <v>6263.4139999999998</v>
      </c>
      <c r="H4408">
        <f>1731.07</f>
        <v>1731.07</v>
      </c>
      <c r="I4408">
        <f>6155.808</f>
        <v>6155.808</v>
      </c>
      <c r="J4408">
        <f>1354.93</f>
        <v>1354.93</v>
      </c>
      <c r="K4408">
        <f>4001.24</f>
        <v>4001.24</v>
      </c>
      <c r="L4408">
        <f>1037.16</f>
        <v>1037.1600000000001</v>
      </c>
      <c r="M4408">
        <f>3956.31</f>
        <v>3956.31</v>
      </c>
      <c r="N4408">
        <f>162.857</f>
        <v>162.857</v>
      </c>
      <c r="O4408">
        <f>1681.1</f>
        <v>1681.1</v>
      </c>
      <c r="P4408">
        <f>100.19</f>
        <v>100.19</v>
      </c>
      <c r="Q4408">
        <f>729.3</f>
        <v>729.3</v>
      </c>
      <c r="R4408">
        <f>1944.22</f>
        <v>1944.22</v>
      </c>
      <c r="S4408">
        <f>1817.95</f>
        <v>1817.95</v>
      </c>
      <c r="T4408" t="e">
        <f>NA()</f>
        <v>#N/A</v>
      </c>
      <c r="U4408">
        <f>20793.45</f>
        <v>20793.45</v>
      </c>
      <c r="V4408" t="e">
        <f>NA()</f>
        <v>#N/A</v>
      </c>
    </row>
    <row r="4409" spans="1:22" x14ac:dyDescent="0.2">
      <c r="A4409" s="1">
        <v>38936</v>
      </c>
      <c r="B4409">
        <f>3373.47</f>
        <v>3373.47</v>
      </c>
      <c r="C4409">
        <f>4237.2</f>
        <v>4237.2</v>
      </c>
      <c r="D4409">
        <f>3234.39</f>
        <v>3234.39</v>
      </c>
      <c r="E4409">
        <f>1222.386</f>
        <v>1222.386</v>
      </c>
      <c r="F4409">
        <f>2104.1</f>
        <v>2104.1</v>
      </c>
      <c r="G4409">
        <f>6280.613</f>
        <v>6280.6130000000003</v>
      </c>
      <c r="H4409">
        <f>1702.99</f>
        <v>1702.99</v>
      </c>
      <c r="I4409">
        <f>6156.529</f>
        <v>6156.5290000000005</v>
      </c>
      <c r="J4409">
        <f>1356.33</f>
        <v>1356.33</v>
      </c>
      <c r="K4409">
        <f>4016.43</f>
        <v>4016.43</v>
      </c>
      <c r="L4409">
        <f>1037.84</f>
        <v>1037.8399999999999</v>
      </c>
      <c r="M4409">
        <f>3956.62</f>
        <v>3956.62</v>
      </c>
      <c r="N4409">
        <f>162.87</f>
        <v>162.87</v>
      </c>
      <c r="O4409">
        <f>1680.18</f>
        <v>1680.18</v>
      </c>
      <c r="P4409">
        <f>98.99</f>
        <v>98.99</v>
      </c>
      <c r="Q4409">
        <f>731.48</f>
        <v>731.48</v>
      </c>
      <c r="R4409">
        <f>1950.63</f>
        <v>1950.63</v>
      </c>
      <c r="S4409">
        <f>1791.65</f>
        <v>1791.65</v>
      </c>
      <c r="T4409" t="e">
        <f>NA()</f>
        <v>#N/A</v>
      </c>
      <c r="U4409">
        <f>20683.39</f>
        <v>20683.39</v>
      </c>
      <c r="V4409" t="e">
        <f>NA()</f>
        <v>#N/A</v>
      </c>
    </row>
    <row r="4410" spans="1:22" x14ac:dyDescent="0.2">
      <c r="A4410" s="1">
        <v>38933</v>
      </c>
      <c r="B4410">
        <f>3404.64</f>
        <v>3404.64</v>
      </c>
      <c r="C4410">
        <f>4243.91</f>
        <v>4243.91</v>
      </c>
      <c r="D4410">
        <f>3268.02</f>
        <v>3268.02</v>
      </c>
      <c r="E4410">
        <f>1226.346</f>
        <v>1226.346</v>
      </c>
      <c r="F4410">
        <f>2119.71</f>
        <v>2119.71</v>
      </c>
      <c r="G4410">
        <f>6347.625</f>
        <v>6347.625</v>
      </c>
      <c r="H4410">
        <f>1742.57</f>
        <v>1742.57</v>
      </c>
      <c r="I4410">
        <f>6252.665</f>
        <v>6252.665</v>
      </c>
      <c r="J4410">
        <f>1358.85</f>
        <v>1358.85</v>
      </c>
      <c r="K4410">
        <f>4027.28</f>
        <v>4027.28</v>
      </c>
      <c r="L4410">
        <f>1046.13</f>
        <v>1046.1300000000001</v>
      </c>
      <c r="M4410">
        <f>3990.26</f>
        <v>3990.26</v>
      </c>
      <c r="N4410">
        <f>164.246</f>
        <v>164.24600000000001</v>
      </c>
      <c r="O4410">
        <f>1699.25</f>
        <v>1699.25</v>
      </c>
      <c r="P4410">
        <f>100.67</f>
        <v>100.67</v>
      </c>
      <c r="Q4410">
        <f>733.81</f>
        <v>733.81</v>
      </c>
      <c r="R4410">
        <f>1956.05</f>
        <v>1956.05</v>
      </c>
      <c r="S4410">
        <f>1828.38</f>
        <v>1828.38</v>
      </c>
      <c r="T4410" t="e">
        <f>NA()</f>
        <v>#N/A</v>
      </c>
      <c r="U4410">
        <f>21001.68</f>
        <v>21001.68</v>
      </c>
      <c r="V4410" t="e">
        <f>NA()</f>
        <v>#N/A</v>
      </c>
    </row>
    <row r="4411" spans="1:22" x14ac:dyDescent="0.2">
      <c r="A4411" s="1">
        <v>38932</v>
      </c>
      <c r="B4411">
        <f>3375.89</f>
        <v>3375.89</v>
      </c>
      <c r="C4411">
        <f>4215.04</f>
        <v>4215.04</v>
      </c>
      <c r="D4411">
        <f>3239.7</f>
        <v>3239.7</v>
      </c>
      <c r="E4411">
        <f>1215.566</f>
        <v>1215.566</v>
      </c>
      <c r="F4411">
        <f>2073.49</f>
        <v>2073.4899999999998</v>
      </c>
      <c r="G4411">
        <f>6220.381</f>
        <v>6220.3810000000003</v>
      </c>
      <c r="H4411">
        <f>1728.41</f>
        <v>1728.41</v>
      </c>
      <c r="I4411">
        <f>6137.234</f>
        <v>6137.2340000000004</v>
      </c>
      <c r="J4411">
        <f>1356.59</f>
        <v>1356.59</v>
      </c>
      <c r="K4411">
        <f>4030.83</f>
        <v>4030.83</v>
      </c>
      <c r="L4411">
        <f>1034.3</f>
        <v>1034.3</v>
      </c>
      <c r="M4411">
        <f>3964.53</f>
        <v>3964.53</v>
      </c>
      <c r="N4411">
        <f>162.326</f>
        <v>162.32599999999999</v>
      </c>
      <c r="O4411">
        <f>1679.04</f>
        <v>1679.04</v>
      </c>
      <c r="P4411">
        <f>100.68</f>
        <v>100.68</v>
      </c>
      <c r="Q4411">
        <f>733.05</f>
        <v>733.05</v>
      </c>
      <c r="R4411">
        <f>1957.41</f>
        <v>1957.41</v>
      </c>
      <c r="S4411">
        <f>1825.86</f>
        <v>1825.86</v>
      </c>
      <c r="T4411" t="e">
        <f>NA()</f>
        <v>#N/A</v>
      </c>
      <c r="U4411">
        <f>20703.01</f>
        <v>20703.009999999998</v>
      </c>
      <c r="V4411" t="e">
        <f>NA()</f>
        <v>#N/A</v>
      </c>
    </row>
    <row r="4412" spans="1:22" x14ac:dyDescent="0.2">
      <c r="A4412" s="1">
        <v>38931</v>
      </c>
      <c r="B4412">
        <f>3418.35</f>
        <v>3418.35</v>
      </c>
      <c r="C4412">
        <f>4217.73</f>
        <v>4217.7299999999996</v>
      </c>
      <c r="D4412">
        <f>3291.72</f>
        <v>3291.72</v>
      </c>
      <c r="E4412">
        <f>1214.366</f>
        <v>1214.366</v>
      </c>
      <c r="F4412">
        <f>2091.43</f>
        <v>2091.4299999999998</v>
      </c>
      <c r="G4412">
        <f>6282.815</f>
        <v>6282.8149999999996</v>
      </c>
      <c r="H4412">
        <f>1729.66</f>
        <v>1729.66</v>
      </c>
      <c r="I4412">
        <f>6196.932</f>
        <v>6196.9319999999998</v>
      </c>
      <c r="J4412">
        <f>1353.15</f>
        <v>1353.15</v>
      </c>
      <c r="K4412">
        <f>4023.6</f>
        <v>4023.6</v>
      </c>
      <c r="L4412">
        <f>1037.68</f>
        <v>1037.68</v>
      </c>
      <c r="M4412">
        <f>3974.59</f>
        <v>3974.59</v>
      </c>
      <c r="N4412">
        <f>163.454</f>
        <v>163.45400000000001</v>
      </c>
      <c r="O4412">
        <f>1694.51</f>
        <v>1694.51</v>
      </c>
      <c r="P4412">
        <f>100.98</f>
        <v>100.98</v>
      </c>
      <c r="Q4412">
        <f>728.9</f>
        <v>728.9</v>
      </c>
      <c r="R4412">
        <f>1954.18</f>
        <v>1954.18</v>
      </c>
      <c r="S4412">
        <f>1826</f>
        <v>1826</v>
      </c>
      <c r="T4412" t="e">
        <f>NA()</f>
        <v>#N/A</v>
      </c>
      <c r="U4412">
        <f>20778.06</f>
        <v>20778.060000000001</v>
      </c>
      <c r="V4412" t="e">
        <f>NA()</f>
        <v>#N/A</v>
      </c>
    </row>
    <row r="4413" spans="1:22" x14ac:dyDescent="0.2">
      <c r="A4413" s="1">
        <v>38930</v>
      </c>
      <c r="B4413">
        <f>3405.93</f>
        <v>3405.93</v>
      </c>
      <c r="C4413">
        <f>4190.71</f>
        <v>4190.71</v>
      </c>
      <c r="D4413">
        <f>3258.51</f>
        <v>3258.51</v>
      </c>
      <c r="E4413">
        <f>1201.962</f>
        <v>1201.962</v>
      </c>
      <c r="F4413">
        <f>2064.18</f>
        <v>2064.1799999999998</v>
      </c>
      <c r="G4413">
        <f>6184.5</f>
        <v>6184.5</v>
      </c>
      <c r="H4413">
        <f>1718.47</f>
        <v>1718.47</v>
      </c>
      <c r="I4413">
        <f>6098.846</f>
        <v>6098.8459999999995</v>
      </c>
      <c r="J4413">
        <f>1347.76</f>
        <v>1347.76</v>
      </c>
      <c r="K4413">
        <f>3998.56</f>
        <v>3998.56</v>
      </c>
      <c r="L4413">
        <f>1027.3</f>
        <v>1027.3</v>
      </c>
      <c r="M4413">
        <f>3937.63</f>
        <v>3937.63</v>
      </c>
      <c r="N4413">
        <f>161.825</f>
        <v>161.82499999999999</v>
      </c>
      <c r="O4413">
        <f>1675.67</f>
        <v>1675.67</v>
      </c>
      <c r="P4413">
        <f>100.33</f>
        <v>100.33</v>
      </c>
      <c r="Q4413">
        <f>724.53</f>
        <v>724.53</v>
      </c>
      <c r="R4413">
        <f>1942.22</f>
        <v>1942.22</v>
      </c>
      <c r="S4413">
        <f>1822.93</f>
        <v>1822.93</v>
      </c>
      <c r="T4413" t="e">
        <f>NA()</f>
        <v>#N/A</v>
      </c>
      <c r="U4413">
        <f>20616.98</f>
        <v>20616.98</v>
      </c>
      <c r="V4413" t="e">
        <f>NA()</f>
        <v>#N/A</v>
      </c>
    </row>
    <row r="4414" spans="1:22" x14ac:dyDescent="0.2">
      <c r="A4414" s="1">
        <v>38929</v>
      </c>
      <c r="B4414">
        <f>3427.51</f>
        <v>3427.51</v>
      </c>
      <c r="C4414">
        <f>4224.04</f>
        <v>4224.04</v>
      </c>
      <c r="D4414">
        <f>3284.82</f>
        <v>3284.82</v>
      </c>
      <c r="E4414">
        <f>1212.953</f>
        <v>1212.953</v>
      </c>
      <c r="F4414">
        <f>2079.06</f>
        <v>2079.06</v>
      </c>
      <c r="G4414">
        <f>6229.628</f>
        <v>6229.6279999999997</v>
      </c>
      <c r="H4414">
        <f>1726.16</f>
        <v>1726.16</v>
      </c>
      <c r="I4414">
        <f>6159.429</f>
        <v>6159.4290000000001</v>
      </c>
      <c r="J4414">
        <f>1348.19</f>
        <v>1348.19</v>
      </c>
      <c r="K4414">
        <f>4018.08</f>
        <v>4018.08</v>
      </c>
      <c r="L4414">
        <f>1032.54</f>
        <v>1032.54</v>
      </c>
      <c r="M4414">
        <f>3962.86</f>
        <v>3962.86</v>
      </c>
      <c r="N4414">
        <f>162.765</f>
        <v>162.76499999999999</v>
      </c>
      <c r="O4414">
        <f>1690.14</f>
        <v>1690.14</v>
      </c>
      <c r="P4414">
        <f>100</f>
        <v>100</v>
      </c>
      <c r="Q4414">
        <f>728.27</f>
        <v>728.27</v>
      </c>
      <c r="R4414">
        <f>1951</f>
        <v>1951</v>
      </c>
      <c r="S4414">
        <f>1828.74</f>
        <v>1828.74</v>
      </c>
      <c r="T4414" t="e">
        <f>NA()</f>
        <v>#N/A</v>
      </c>
      <c r="U4414">
        <f>20885.57</f>
        <v>20885.57</v>
      </c>
      <c r="V4414" t="e">
        <f>NA()</f>
        <v>#N/A</v>
      </c>
    </row>
    <row r="4415" spans="1:22" x14ac:dyDescent="0.2">
      <c r="A4415" s="1">
        <v>38926</v>
      </c>
      <c r="B4415">
        <f>3437.74</f>
        <v>3437.74</v>
      </c>
      <c r="C4415">
        <f>4221.88</f>
        <v>4221.88</v>
      </c>
      <c r="D4415">
        <f>3310.41</f>
        <v>3310.41</v>
      </c>
      <c r="E4415">
        <f>1212.135</f>
        <v>1212.135</v>
      </c>
      <c r="F4415">
        <f>2088.88</f>
        <v>2088.88</v>
      </c>
      <c r="G4415">
        <f>6268.916</f>
        <v>6268.9160000000002</v>
      </c>
      <c r="H4415">
        <f>1721.53</f>
        <v>1721.53</v>
      </c>
      <c r="I4415">
        <f>6177.113</f>
        <v>6177.1130000000003</v>
      </c>
      <c r="J4415">
        <f>1352.4</f>
        <v>1352.4</v>
      </c>
      <c r="K4415">
        <f>4022.31</f>
        <v>4022.31</v>
      </c>
      <c r="L4415">
        <f>1037.05</f>
        <v>1037.05</v>
      </c>
      <c r="M4415">
        <f>3965.57</f>
        <v>3965.57</v>
      </c>
      <c r="N4415">
        <f>163.22</f>
        <v>163.22</v>
      </c>
      <c r="O4415">
        <f>1697.46</f>
        <v>1697.46</v>
      </c>
      <c r="P4415" t="e">
        <f>NA()</f>
        <v>#N/A</v>
      </c>
      <c r="Q4415">
        <f>729.65</f>
        <v>729.65</v>
      </c>
      <c r="R4415">
        <f>1953.86</f>
        <v>1953.86</v>
      </c>
      <c r="S4415">
        <f>1814.09</f>
        <v>1814.09</v>
      </c>
      <c r="T4415" t="e">
        <f>NA()</f>
        <v>#N/A</v>
      </c>
      <c r="U4415">
        <f>20732.41</f>
        <v>20732.41</v>
      </c>
      <c r="V4415" t="e">
        <f>NA()</f>
        <v>#N/A</v>
      </c>
    </row>
    <row r="4416" spans="1:22" x14ac:dyDescent="0.2">
      <c r="A4416" s="1">
        <v>38925</v>
      </c>
      <c r="B4416">
        <f>3429.22</f>
        <v>3429.22</v>
      </c>
      <c r="C4416">
        <f>4219.61</f>
        <v>4219.6099999999997</v>
      </c>
      <c r="D4416">
        <f>3285.24</f>
        <v>3285.24</v>
      </c>
      <c r="E4416">
        <f>1212.855</f>
        <v>1212.855</v>
      </c>
      <c r="F4416">
        <f>2076.42</f>
        <v>2076.42</v>
      </c>
      <c r="G4416">
        <f>6221.795</f>
        <v>6221.7950000000001</v>
      </c>
      <c r="H4416">
        <f>1700.99</f>
        <v>1700.99</v>
      </c>
      <c r="I4416">
        <f>6121.132</f>
        <v>6121.1319999999996</v>
      </c>
      <c r="J4416">
        <f>1337.01</f>
        <v>1337.01</v>
      </c>
      <c r="K4416">
        <f>3972.61</f>
        <v>3972.61</v>
      </c>
      <c r="L4416">
        <f>1027.02</f>
        <v>1027.02</v>
      </c>
      <c r="M4416">
        <f>3922.06</f>
        <v>3922.06</v>
      </c>
      <c r="N4416">
        <f>162.174</f>
        <v>162.17400000000001</v>
      </c>
      <c r="O4416">
        <f>1685.91</f>
        <v>1685.91</v>
      </c>
      <c r="P4416" t="e">
        <f>NA()</f>
        <v>#N/A</v>
      </c>
      <c r="Q4416">
        <f>719.23</f>
        <v>719.23</v>
      </c>
      <c r="R4416">
        <f>1930.32</f>
        <v>1930.32</v>
      </c>
      <c r="S4416">
        <f>1793.62</f>
        <v>1793.62</v>
      </c>
      <c r="T4416" t="e">
        <f>NA()</f>
        <v>#N/A</v>
      </c>
      <c r="U4416">
        <f>20827.37</f>
        <v>20827.37</v>
      </c>
      <c r="V4416" t="e">
        <f>NA()</f>
        <v>#N/A</v>
      </c>
    </row>
    <row r="4417" spans="1:22" x14ac:dyDescent="0.2">
      <c r="A4417" s="1">
        <v>38924</v>
      </c>
      <c r="B4417">
        <f>3401.17</f>
        <v>3401.17</v>
      </c>
      <c r="C4417">
        <f>4140.45</f>
        <v>4140.45</v>
      </c>
      <c r="D4417">
        <f>3256.22</f>
        <v>3256.22</v>
      </c>
      <c r="E4417">
        <f>1188.055</f>
        <v>1188.0550000000001</v>
      </c>
      <c r="F4417">
        <f>2042.05</f>
        <v>2042.05</v>
      </c>
      <c r="G4417">
        <f>6109.491</f>
        <v>6109.491</v>
      </c>
      <c r="H4417">
        <f>1657.57</f>
        <v>1657.57</v>
      </c>
      <c r="I4417">
        <f>5998.094</f>
        <v>5998.0940000000001</v>
      </c>
      <c r="J4417">
        <f>1342.19</f>
        <v>1342.19</v>
      </c>
      <c r="K4417">
        <f>3990.94</f>
        <v>3990.94</v>
      </c>
      <c r="L4417">
        <f>1015.43</f>
        <v>1015.43</v>
      </c>
      <c r="M4417">
        <f>3893.05</f>
        <v>3893.05</v>
      </c>
      <c r="N4417">
        <f>161.49</f>
        <v>161.49</v>
      </c>
      <c r="O4417">
        <f>1668.19</f>
        <v>1668.19</v>
      </c>
      <c r="P4417" t="e">
        <f>NA()</f>
        <v>#N/A</v>
      </c>
      <c r="Q4417">
        <f>721.7</f>
        <v>721.7</v>
      </c>
      <c r="R4417">
        <f>1937.96</f>
        <v>1937.96</v>
      </c>
      <c r="S4417">
        <f>1768.75</f>
        <v>1768.75</v>
      </c>
      <c r="T4417" t="e">
        <f>NA()</f>
        <v>#N/A</v>
      </c>
      <c r="U4417">
        <f>20553.85</f>
        <v>20553.849999999999</v>
      </c>
      <c r="V4417" t="e">
        <f>NA()</f>
        <v>#N/A</v>
      </c>
    </row>
    <row r="4418" spans="1:22" x14ac:dyDescent="0.2">
      <c r="A4418" s="1">
        <v>38923</v>
      </c>
      <c r="B4418">
        <f>3383.46</f>
        <v>3383.46</v>
      </c>
      <c r="C4418">
        <f>4136.03</f>
        <v>4136.03</v>
      </c>
      <c r="D4418">
        <f>3241.59</f>
        <v>3241.59</v>
      </c>
      <c r="E4418">
        <f>1185.689</f>
        <v>1185.6890000000001</v>
      </c>
      <c r="F4418">
        <f>2036.98</f>
        <v>2036.98</v>
      </c>
      <c r="G4418">
        <f>6084.98</f>
        <v>6084.98</v>
      </c>
      <c r="H4418">
        <f>1667.39</f>
        <v>1667.39</v>
      </c>
      <c r="I4418">
        <f>5984.116</f>
        <v>5984.116</v>
      </c>
      <c r="J4418">
        <f>1339.19</f>
        <v>1339.19</v>
      </c>
      <c r="K4418">
        <f>3992.77</f>
        <v>3992.77</v>
      </c>
      <c r="L4418">
        <f>1012.56</f>
        <v>1012.56</v>
      </c>
      <c r="M4418">
        <f>3892.77</f>
        <v>3892.77</v>
      </c>
      <c r="N4418">
        <f>160.96</f>
        <v>160.96</v>
      </c>
      <c r="O4418">
        <f>1661.81</f>
        <v>1661.81</v>
      </c>
      <c r="P4418" t="e">
        <f>NA()</f>
        <v>#N/A</v>
      </c>
      <c r="Q4418">
        <f>723.84</f>
        <v>723.84</v>
      </c>
      <c r="R4418">
        <f>1938.68</f>
        <v>1938.68</v>
      </c>
      <c r="S4418">
        <f>1785.44</f>
        <v>1785.44</v>
      </c>
      <c r="T4418" t="e">
        <f>NA()</f>
        <v>#N/A</v>
      </c>
      <c r="U4418">
        <f>20413</f>
        <v>20413</v>
      </c>
      <c r="V4418" t="e">
        <f>NA()</f>
        <v>#N/A</v>
      </c>
    </row>
    <row r="4419" spans="1:22" x14ac:dyDescent="0.2">
      <c r="A4419" s="1">
        <v>38922</v>
      </c>
      <c r="B4419">
        <f>3375.36</f>
        <v>3375.36</v>
      </c>
      <c r="C4419">
        <f>4098.84</f>
        <v>4098.84</v>
      </c>
      <c r="D4419">
        <f>3232</f>
        <v>3232</v>
      </c>
      <c r="E4419">
        <f>1172.437</f>
        <v>1172.4369999999999</v>
      </c>
      <c r="F4419">
        <f>2039.32</f>
        <v>2039.32</v>
      </c>
      <c r="G4419">
        <f>6079.014</f>
        <v>6079.0140000000001</v>
      </c>
      <c r="H4419">
        <f>1641.45</f>
        <v>1641.45</v>
      </c>
      <c r="I4419">
        <f>5978.263</f>
        <v>5978.2629999999999</v>
      </c>
      <c r="J4419">
        <f>1331.85</f>
        <v>1331.85</v>
      </c>
      <c r="K4419">
        <f>3964.57</f>
        <v>3964.57</v>
      </c>
      <c r="L4419">
        <f>1009.18</f>
        <v>1009.18</v>
      </c>
      <c r="M4419">
        <f>3868.39</f>
        <v>3868.39</v>
      </c>
      <c r="N4419">
        <f>160.209</f>
        <v>160.209</v>
      </c>
      <c r="O4419">
        <f>1659.8</f>
        <v>1659.8</v>
      </c>
      <c r="P4419" t="e">
        <f>NA()</f>
        <v>#N/A</v>
      </c>
      <c r="Q4419">
        <f>719.85</f>
        <v>719.85</v>
      </c>
      <c r="R4419">
        <f>1926.5</f>
        <v>1926.5</v>
      </c>
      <c r="S4419">
        <f>1761.48</f>
        <v>1761.48</v>
      </c>
      <c r="T4419" t="e">
        <f>NA()</f>
        <v>#N/A</v>
      </c>
      <c r="U4419">
        <f>20358.87</f>
        <v>20358.87</v>
      </c>
      <c r="V4419" t="e">
        <f>NA()</f>
        <v>#N/A</v>
      </c>
    </row>
    <row r="4420" spans="1:22" x14ac:dyDescent="0.2">
      <c r="A4420" s="1">
        <v>38919</v>
      </c>
      <c r="B4420">
        <f>3334.18</f>
        <v>3334.18</v>
      </c>
      <c r="C4420">
        <f>4091.33</f>
        <v>4091.33</v>
      </c>
      <c r="D4420">
        <f>3168.78</f>
        <v>3168.78</v>
      </c>
      <c r="E4420">
        <f>1169.389</f>
        <v>1169.3889999999999</v>
      </c>
      <c r="F4420">
        <f>2008.56</f>
        <v>2008.56</v>
      </c>
      <c r="G4420">
        <f>5991.802</f>
        <v>5991.8019999999997</v>
      </c>
      <c r="H4420">
        <f>1648.38</f>
        <v>1648.38</v>
      </c>
      <c r="I4420">
        <f>5899.789</f>
        <v>5899.7889999999998</v>
      </c>
      <c r="J4420">
        <f>1312.72</f>
        <v>1312.72</v>
      </c>
      <c r="K4420">
        <f>3898.95</f>
        <v>3898.95</v>
      </c>
      <c r="L4420">
        <f>996.48</f>
        <v>996.48</v>
      </c>
      <c r="M4420">
        <f>3820.77</f>
        <v>3820.77</v>
      </c>
      <c r="N4420">
        <f>158.125</f>
        <v>158.125</v>
      </c>
      <c r="O4420">
        <f>1629.02</f>
        <v>1629.02</v>
      </c>
      <c r="P4420" t="e">
        <f>NA()</f>
        <v>#N/A</v>
      </c>
      <c r="Q4420">
        <f>710.26</f>
        <v>710.26</v>
      </c>
      <c r="R4420">
        <f>1894.94</f>
        <v>1894.94</v>
      </c>
      <c r="S4420">
        <f>1763.01</f>
        <v>1763.01</v>
      </c>
      <c r="T4420" t="e">
        <f>NA()</f>
        <v>#N/A</v>
      </c>
      <c r="U4420">
        <f>20179.65</f>
        <v>20179.650000000001</v>
      </c>
      <c r="V4420" t="e">
        <f>NA()</f>
        <v>#N/A</v>
      </c>
    </row>
    <row r="4421" spans="1:22" x14ac:dyDescent="0.2">
      <c r="A4421" s="1">
        <v>38918</v>
      </c>
      <c r="B4421">
        <f>3354.01</f>
        <v>3354.01</v>
      </c>
      <c r="C4421">
        <f>4117.17</f>
        <v>4117.17</v>
      </c>
      <c r="D4421">
        <f>3197.11</f>
        <v>3197.11</v>
      </c>
      <c r="E4421">
        <f>1177.533</f>
        <v>1177.5329999999999</v>
      </c>
      <c r="F4421">
        <f>2015.81</f>
        <v>2015.81</v>
      </c>
      <c r="G4421">
        <f>6018.971</f>
        <v>6018.9709999999995</v>
      </c>
      <c r="H4421">
        <f>1657.83</f>
        <v>1657.83</v>
      </c>
      <c r="I4421">
        <f>5941</f>
        <v>5941</v>
      </c>
      <c r="J4421">
        <f>1316.89</f>
        <v>1316.89</v>
      </c>
      <c r="K4421">
        <f>3929.64</f>
        <v>3929.64</v>
      </c>
      <c r="L4421">
        <f>999.99</f>
        <v>999.99</v>
      </c>
      <c r="M4421">
        <f>3845.74</f>
        <v>3845.74</v>
      </c>
      <c r="N4421">
        <f>158.79</f>
        <v>158.79</v>
      </c>
      <c r="O4421">
        <f>1643.58</f>
        <v>1643.58</v>
      </c>
      <c r="P4421" t="e">
        <f>NA()</f>
        <v>#N/A</v>
      </c>
      <c r="Q4421">
        <f>712.72</f>
        <v>712.72</v>
      </c>
      <c r="R4421">
        <f>1908.42</f>
        <v>1908.42</v>
      </c>
      <c r="S4421">
        <f>1778.2</f>
        <v>1778.2</v>
      </c>
      <c r="T4421" t="e">
        <f>NA()</f>
        <v>#N/A</v>
      </c>
      <c r="U4421">
        <f>20520.86</f>
        <v>20520.86</v>
      </c>
      <c r="V4421" t="e">
        <f>NA()</f>
        <v>#N/A</v>
      </c>
    </row>
    <row r="4422" spans="1:22" x14ac:dyDescent="0.2">
      <c r="A4422" s="1">
        <v>38917</v>
      </c>
      <c r="B4422">
        <f>3356.2</f>
        <v>3356.2</v>
      </c>
      <c r="C4422">
        <f>4047.25</f>
        <v>4047.25</v>
      </c>
      <c r="D4422">
        <f>3201.03</f>
        <v>3201.03</v>
      </c>
      <c r="E4422">
        <f>1156.611</f>
        <v>1156.6110000000001</v>
      </c>
      <c r="F4422">
        <f>2007.27</f>
        <v>2007.27</v>
      </c>
      <c r="G4422">
        <f>5985.981</f>
        <v>5985.9809999999998</v>
      </c>
      <c r="H4422">
        <f>1600.14</f>
        <v>1600.14</v>
      </c>
      <c r="I4422">
        <f>5880.352</f>
        <v>5880.3519999999999</v>
      </c>
      <c r="J4422">
        <f>1320.98</f>
        <v>1320.98</v>
      </c>
      <c r="K4422">
        <f>3966.57</f>
        <v>3966.57</v>
      </c>
      <c r="L4422">
        <f>996.02</f>
        <v>996.02</v>
      </c>
      <c r="M4422">
        <f>3836.42</f>
        <v>3836.42</v>
      </c>
      <c r="N4422">
        <f>157.557</f>
        <v>157.55699999999999</v>
      </c>
      <c r="O4422">
        <f>1640.46</f>
        <v>1640.46</v>
      </c>
      <c r="P4422" t="e">
        <f>NA()</f>
        <v>#N/A</v>
      </c>
      <c r="Q4422">
        <f>719.41</f>
        <v>719.41</v>
      </c>
      <c r="R4422">
        <f>1924.74</f>
        <v>1924.74</v>
      </c>
      <c r="S4422">
        <f>1716.34</f>
        <v>1716.34</v>
      </c>
      <c r="T4422" t="e">
        <f>NA()</f>
        <v>#N/A</v>
      </c>
      <c r="U4422">
        <f>20795.6</f>
        <v>20795.599999999999</v>
      </c>
      <c r="V4422" t="e">
        <f>NA()</f>
        <v>#N/A</v>
      </c>
    </row>
    <row r="4423" spans="1:22" x14ac:dyDescent="0.2">
      <c r="A4423" s="1">
        <v>38916</v>
      </c>
      <c r="B4423">
        <f>3287.62</f>
        <v>3287.62</v>
      </c>
      <c r="C4423">
        <f>3991.23</f>
        <v>3991.23</v>
      </c>
      <c r="D4423">
        <f>3147.54</f>
        <v>3147.54</v>
      </c>
      <c r="E4423">
        <f>1139.759</f>
        <v>1139.759</v>
      </c>
      <c r="F4423">
        <f>1953.25</f>
        <v>1953.25</v>
      </c>
      <c r="G4423">
        <f>5840.914</f>
        <v>5840.9139999999998</v>
      </c>
      <c r="H4423">
        <f>1590.12</f>
        <v>1590.12</v>
      </c>
      <c r="I4423">
        <f>5709.493</f>
        <v>5709.4930000000004</v>
      </c>
      <c r="J4423">
        <f>1297.01</f>
        <v>1297.01</v>
      </c>
      <c r="K4423">
        <f>3892.59</f>
        <v>3892.59</v>
      </c>
      <c r="L4423">
        <f>974.46</f>
        <v>974.46</v>
      </c>
      <c r="M4423">
        <f>3764.1</f>
        <v>3764.1</v>
      </c>
      <c r="N4423">
        <f>154.959</f>
        <v>154.959</v>
      </c>
      <c r="O4423">
        <f>1605.17</f>
        <v>1605.17</v>
      </c>
      <c r="P4423" t="e">
        <f>NA()</f>
        <v>#N/A</v>
      </c>
      <c r="Q4423">
        <f>705.51</f>
        <v>705.51</v>
      </c>
      <c r="R4423">
        <f>1889.48</f>
        <v>1889.48</v>
      </c>
      <c r="S4423">
        <f>1716.18</f>
        <v>1716.18</v>
      </c>
      <c r="T4423" t="e">
        <f>NA()</f>
        <v>#N/A</v>
      </c>
      <c r="U4423">
        <f>20242.57</f>
        <v>20242.57</v>
      </c>
      <c r="V4423" t="e">
        <f>NA()</f>
        <v>#N/A</v>
      </c>
    </row>
    <row r="4424" spans="1:22" x14ac:dyDescent="0.2">
      <c r="A4424" s="1">
        <v>38915</v>
      </c>
      <c r="B4424">
        <f>3287.53</f>
        <v>3287.53</v>
      </c>
      <c r="C4424">
        <f>3973.54</f>
        <v>3973.54</v>
      </c>
      <c r="D4424">
        <f>3158.21</f>
        <v>3158.21</v>
      </c>
      <c r="E4424">
        <f>1137.579</f>
        <v>1137.579</v>
      </c>
      <c r="F4424">
        <f>1948.74</f>
        <v>1948.74</v>
      </c>
      <c r="G4424">
        <f>5844.206</f>
        <v>5844.2060000000001</v>
      </c>
      <c r="H4424">
        <f>1635.14</f>
        <v>1635.14</v>
      </c>
      <c r="I4424">
        <f>5744.801</f>
        <v>5744.8010000000004</v>
      </c>
      <c r="J4424">
        <f>1291.64</f>
        <v>1291.6400000000001</v>
      </c>
      <c r="K4424">
        <f>3885.74</f>
        <v>3885.74</v>
      </c>
      <c r="L4424">
        <f>974.77</f>
        <v>974.77</v>
      </c>
      <c r="M4424">
        <f>3779.36</f>
        <v>3779.36</v>
      </c>
      <c r="N4424">
        <f>154.78</f>
        <v>154.78</v>
      </c>
      <c r="O4424">
        <f>1607.65</f>
        <v>1607.65</v>
      </c>
      <c r="P4424" t="e">
        <f>NA()</f>
        <v>#N/A</v>
      </c>
      <c r="Q4424">
        <f>705.17</f>
        <v>705.17</v>
      </c>
      <c r="R4424">
        <f>1885.82</f>
        <v>1885.82</v>
      </c>
      <c r="S4424" t="e">
        <f>NA()</f>
        <v>#N/A</v>
      </c>
      <c r="T4424" t="e">
        <f>NA()</f>
        <v>#N/A</v>
      </c>
      <c r="U4424">
        <f>20268.57</f>
        <v>20268.57</v>
      </c>
      <c r="V4424" t="e">
        <f>NA()</f>
        <v>#N/A</v>
      </c>
    </row>
    <row r="4425" spans="1:22" x14ac:dyDescent="0.2">
      <c r="A4425" s="1">
        <v>38912</v>
      </c>
      <c r="B4425">
        <f>3294.09</f>
        <v>3294.09</v>
      </c>
      <c r="C4425">
        <f>4048.46</f>
        <v>4048.46</v>
      </c>
      <c r="D4425">
        <f>3161.9</f>
        <v>3161.9</v>
      </c>
      <c r="E4425">
        <f>1157.318</f>
        <v>1157.318</v>
      </c>
      <c r="F4425">
        <f>1959.62</f>
        <v>1959.62</v>
      </c>
      <c r="G4425">
        <f>5903.293</f>
        <v>5903.2929999999997</v>
      </c>
      <c r="H4425">
        <f>1646.38</f>
        <v>1646.38</v>
      </c>
      <c r="I4425">
        <f>5832.678</f>
        <v>5832.6779999999999</v>
      </c>
      <c r="J4425">
        <f>1293.28</f>
        <v>1293.28</v>
      </c>
      <c r="K4425">
        <f>3891.38</f>
        <v>3891.38</v>
      </c>
      <c r="L4425">
        <f>981.95</f>
        <v>981.95</v>
      </c>
      <c r="M4425">
        <f>3804.97</f>
        <v>3804.97</v>
      </c>
      <c r="N4425">
        <f>155.121</f>
        <v>155.12100000000001</v>
      </c>
      <c r="O4425">
        <f>1612.65</f>
        <v>1612.65</v>
      </c>
      <c r="P4425" t="e">
        <f>NA()</f>
        <v>#N/A</v>
      </c>
      <c r="Q4425">
        <f>703.28</f>
        <v>703.28</v>
      </c>
      <c r="R4425">
        <f>1888.43</f>
        <v>1888.43</v>
      </c>
      <c r="S4425">
        <f>1770.19</f>
        <v>1770.19</v>
      </c>
      <c r="T4425" t="e">
        <f>NA()</f>
        <v>#N/A</v>
      </c>
      <c r="U4425">
        <f>20676.2</f>
        <v>20676.2</v>
      </c>
      <c r="V4425" t="e">
        <f>NA()</f>
        <v>#N/A</v>
      </c>
    </row>
    <row r="4426" spans="1:22" x14ac:dyDescent="0.2">
      <c r="A4426" s="1">
        <v>38911</v>
      </c>
      <c r="B4426">
        <f>3333.71</f>
        <v>3333.71</v>
      </c>
      <c r="C4426">
        <f>4111.22</f>
        <v>4111.22</v>
      </c>
      <c r="D4426">
        <f>3193.7</f>
        <v>3193.7</v>
      </c>
      <c r="E4426">
        <f>1176.335</f>
        <v>1176.335</v>
      </c>
      <c r="F4426">
        <f>1985.67</f>
        <v>1985.67</v>
      </c>
      <c r="G4426">
        <f>5989.947</f>
        <v>5989.9470000000001</v>
      </c>
      <c r="H4426">
        <f>1689.61</f>
        <v>1689.61</v>
      </c>
      <c r="I4426">
        <f>5940.445</f>
        <v>5940.4449999999997</v>
      </c>
      <c r="J4426">
        <f>1296.49</f>
        <v>1296.49</v>
      </c>
      <c r="K4426">
        <f>3912.63</f>
        <v>3912.63</v>
      </c>
      <c r="L4426">
        <f>992.33</f>
        <v>992.33</v>
      </c>
      <c r="M4426">
        <f>3850.38</f>
        <v>3850.38</v>
      </c>
      <c r="N4426">
        <f>156.738</f>
        <v>156.738</v>
      </c>
      <c r="O4426">
        <f>1632.8</f>
        <v>1632.8</v>
      </c>
      <c r="P4426" t="e">
        <f>NA()</f>
        <v>#N/A</v>
      </c>
      <c r="Q4426">
        <f>706.01</f>
        <v>706.01</v>
      </c>
      <c r="R4426">
        <f>1897.73</f>
        <v>1897.73</v>
      </c>
      <c r="S4426">
        <f>1804.29</f>
        <v>1804.29</v>
      </c>
      <c r="T4426" t="e">
        <f>NA()</f>
        <v>#N/A</v>
      </c>
      <c r="U4426">
        <f>20963.97</f>
        <v>20963.97</v>
      </c>
      <c r="V4426" t="e">
        <f>NA()</f>
        <v>#N/A</v>
      </c>
    </row>
    <row r="4427" spans="1:22" x14ac:dyDescent="0.2">
      <c r="A4427" s="1">
        <v>38910</v>
      </c>
      <c r="B4427">
        <f>3386.43</f>
        <v>3386.43</v>
      </c>
      <c r="C4427">
        <f>4196.6</f>
        <v>4196.6000000000004</v>
      </c>
      <c r="D4427">
        <f>3246.62</f>
        <v>3246.62</v>
      </c>
      <c r="E4427">
        <f>1205.247</f>
        <v>1205.2470000000001</v>
      </c>
      <c r="F4427">
        <f>2006.8</f>
        <v>2006.8</v>
      </c>
      <c r="G4427">
        <f>6056.238</f>
        <v>6056.2380000000003</v>
      </c>
      <c r="H4427">
        <f>1694.48</f>
        <v>1694.48</v>
      </c>
      <c r="I4427">
        <f>6036.399</f>
        <v>6036.3990000000003</v>
      </c>
      <c r="J4427">
        <f>1309.66</f>
        <v>1309.6600000000001</v>
      </c>
      <c r="K4427">
        <f>3964.59</f>
        <v>3964.59</v>
      </c>
      <c r="L4427">
        <f>1003.96</f>
        <v>1003.96</v>
      </c>
      <c r="M4427">
        <f>3897.92</f>
        <v>3897.92</v>
      </c>
      <c r="N4427">
        <f>158.845</f>
        <v>158.845</v>
      </c>
      <c r="O4427">
        <f>1656.62</f>
        <v>1656.62</v>
      </c>
      <c r="P4427" t="e">
        <f>NA()</f>
        <v>#N/A</v>
      </c>
      <c r="Q4427">
        <f>716.1</f>
        <v>716.1</v>
      </c>
      <c r="R4427">
        <f>1922.62</f>
        <v>1922.62</v>
      </c>
      <c r="S4427">
        <f>1819.02</f>
        <v>1819.02</v>
      </c>
      <c r="T4427" t="e">
        <f>NA()</f>
        <v>#N/A</v>
      </c>
      <c r="U4427">
        <f>21591.68</f>
        <v>21591.68</v>
      </c>
      <c r="V4427" t="e">
        <f>NA()</f>
        <v>#N/A</v>
      </c>
    </row>
    <row r="4428" spans="1:22" x14ac:dyDescent="0.2">
      <c r="A4428" s="1">
        <v>38909</v>
      </c>
      <c r="B4428">
        <f>3381.74</f>
        <v>3381.74</v>
      </c>
      <c r="C4428">
        <f>4205.16</f>
        <v>4205.16</v>
      </c>
      <c r="D4428">
        <f>3244.65</f>
        <v>3244.65</v>
      </c>
      <c r="E4428">
        <f>1205.349</f>
        <v>1205.3489999999999</v>
      </c>
      <c r="F4428">
        <f>2023.48</f>
        <v>2023.48</v>
      </c>
      <c r="G4428">
        <f>6087.812</f>
        <v>6087.8119999999999</v>
      </c>
      <c r="H4428">
        <f>1732.35</f>
        <v>1732.35</v>
      </c>
      <c r="I4428">
        <f>6042.022</f>
        <v>6042.0219999999999</v>
      </c>
      <c r="J4428">
        <f>1321.04</f>
        <v>1321.04</v>
      </c>
      <c r="K4428">
        <f>4008.39</f>
        <v>4008.39</v>
      </c>
      <c r="L4428">
        <f>1010.33</f>
        <v>1010.33</v>
      </c>
      <c r="M4428">
        <f>3933.94</f>
        <v>3933.94</v>
      </c>
      <c r="N4428">
        <f>158.626</f>
        <v>158.626</v>
      </c>
      <c r="O4428">
        <f>1652.69</f>
        <v>1652.69</v>
      </c>
      <c r="P4428" t="e">
        <f>NA()</f>
        <v>#N/A</v>
      </c>
      <c r="Q4428">
        <f>723.52</f>
        <v>723.52</v>
      </c>
      <c r="R4428">
        <f>1943.66</f>
        <v>1943.66</v>
      </c>
      <c r="S4428">
        <f>1844.8</f>
        <v>1844.8</v>
      </c>
      <c r="T4428" t="e">
        <f>NA()</f>
        <v>#N/A</v>
      </c>
      <c r="U4428">
        <f>21267.97</f>
        <v>21267.97</v>
      </c>
      <c r="V4428" t="e">
        <f>NA()</f>
        <v>#N/A</v>
      </c>
    </row>
    <row r="4429" spans="1:22" x14ac:dyDescent="0.2">
      <c r="A4429" s="1">
        <v>38908</v>
      </c>
      <c r="B4429">
        <f>3396.9</f>
        <v>3396.9</v>
      </c>
      <c r="C4429">
        <f>4223.17</f>
        <v>4223.17</v>
      </c>
      <c r="D4429">
        <f>3266.59</f>
        <v>3266.59</v>
      </c>
      <c r="E4429">
        <f>1210.227</f>
        <v>1210.2270000000001</v>
      </c>
      <c r="F4429">
        <f>2034.76</f>
        <v>2034.76</v>
      </c>
      <c r="G4429">
        <f>6122.845</f>
        <v>6122.8450000000003</v>
      </c>
      <c r="H4429">
        <f>1742.74</f>
        <v>1742.74</v>
      </c>
      <c r="I4429">
        <f>6098.82</f>
        <v>6098.82</v>
      </c>
      <c r="J4429">
        <f>1317.6</f>
        <v>1317.6</v>
      </c>
      <c r="K4429">
        <f>3992.5</f>
        <v>3992.5</v>
      </c>
      <c r="L4429">
        <f>1014.16</f>
        <v>1014.16</v>
      </c>
      <c r="M4429">
        <f>3939.26</f>
        <v>3939.26</v>
      </c>
      <c r="N4429">
        <f>159.637</f>
        <v>159.637</v>
      </c>
      <c r="O4429">
        <f>1667.82</f>
        <v>1667.82</v>
      </c>
      <c r="P4429" t="e">
        <f>NA()</f>
        <v>#N/A</v>
      </c>
      <c r="Q4429">
        <f>723.22</f>
        <v>723.22</v>
      </c>
      <c r="R4429">
        <f>1935.62</f>
        <v>1935.62</v>
      </c>
      <c r="S4429">
        <f>1854.36</f>
        <v>1854.36</v>
      </c>
      <c r="T4429" t="e">
        <f>NA()</f>
        <v>#N/A</v>
      </c>
      <c r="U4429">
        <f>21346.57</f>
        <v>21346.57</v>
      </c>
      <c r="V4429" t="e">
        <f>NA()</f>
        <v>#N/A</v>
      </c>
    </row>
    <row r="4430" spans="1:22" x14ac:dyDescent="0.2">
      <c r="A4430" s="1">
        <v>38905</v>
      </c>
      <c r="B4430">
        <f>3398.82</f>
        <v>3398.82</v>
      </c>
      <c r="C4430">
        <f>4206.43</f>
        <v>4206.43</v>
      </c>
      <c r="D4430">
        <f>3262.13</f>
        <v>3262.13</v>
      </c>
      <c r="E4430">
        <f>1202.951</f>
        <v>1202.951</v>
      </c>
      <c r="F4430">
        <f>2043.23</f>
        <v>2043.23</v>
      </c>
      <c r="G4430">
        <f>6148.288</f>
        <v>6148.2879999999996</v>
      </c>
      <c r="H4430">
        <f>1722.81</f>
        <v>1722.81</v>
      </c>
      <c r="I4430">
        <f>6114.534</f>
        <v>6114.5339999999997</v>
      </c>
      <c r="J4430">
        <f>1312.19</f>
        <v>1312.19</v>
      </c>
      <c r="K4430">
        <f>3988.51</f>
        <v>3988.51</v>
      </c>
      <c r="L4430">
        <f>1014.62</f>
        <v>1014.62</v>
      </c>
      <c r="M4430">
        <f>3936.94</f>
        <v>3936.94</v>
      </c>
      <c r="N4430">
        <f>159.364</f>
        <v>159.364</v>
      </c>
      <c r="O4430">
        <f>1662.11</f>
        <v>1662.11</v>
      </c>
      <c r="P4430" t="e">
        <f>NA()</f>
        <v>#N/A</v>
      </c>
      <c r="Q4430">
        <f>720.12</f>
        <v>720.12</v>
      </c>
      <c r="R4430">
        <f>1932.75</f>
        <v>1932.75</v>
      </c>
      <c r="S4430">
        <f>1830.02</f>
        <v>1830.02</v>
      </c>
      <c r="T4430" t="e">
        <f>NA()</f>
        <v>#N/A</v>
      </c>
      <c r="U4430">
        <f>21358.31</f>
        <v>21358.31</v>
      </c>
      <c r="V4430" t="e">
        <f>NA()</f>
        <v>#N/A</v>
      </c>
    </row>
    <row r="4431" spans="1:22" x14ac:dyDescent="0.2">
      <c r="A4431" s="1">
        <v>38904</v>
      </c>
      <c r="B4431">
        <f>3413.57</f>
        <v>3413.57</v>
      </c>
      <c r="C4431">
        <f>4193.23</f>
        <v>4193.2299999999996</v>
      </c>
      <c r="D4431">
        <f>3262.78</f>
        <v>3262.78</v>
      </c>
      <c r="E4431">
        <f>1199.814</f>
        <v>1199.8140000000001</v>
      </c>
      <c r="F4431">
        <f>2032.21</f>
        <v>2032.21</v>
      </c>
      <c r="G4431">
        <f>6105.202</f>
        <v>6105.2020000000002</v>
      </c>
      <c r="H4431">
        <f>1697.1</f>
        <v>1697.1</v>
      </c>
      <c r="I4431">
        <f>6102.452</f>
        <v>6102.4520000000002</v>
      </c>
      <c r="J4431">
        <f>1315.69</f>
        <v>1315.69</v>
      </c>
      <c r="K4431">
        <f>4016.61</f>
        <v>4016.61</v>
      </c>
      <c r="L4431">
        <f>1011.57</f>
        <v>1011.57</v>
      </c>
      <c r="M4431">
        <f>3939.64</f>
        <v>3939.64</v>
      </c>
      <c r="N4431">
        <f>160.144</f>
        <v>160.14400000000001</v>
      </c>
      <c r="O4431">
        <f>1664.46</f>
        <v>1664.46</v>
      </c>
      <c r="P4431" t="e">
        <f>NA()</f>
        <v>#N/A</v>
      </c>
      <c r="Q4431">
        <f>724.29</f>
        <v>724.29</v>
      </c>
      <c r="R4431">
        <f>1945.9</f>
        <v>1945.9</v>
      </c>
      <c r="S4431">
        <f>1829.02</f>
        <v>1829.02</v>
      </c>
      <c r="T4431" t="e">
        <f>NA()</f>
        <v>#N/A</v>
      </c>
      <c r="U4431">
        <f>21243.83</f>
        <v>21243.83</v>
      </c>
      <c r="V4431" t="e">
        <f>NA()</f>
        <v>#N/A</v>
      </c>
    </row>
    <row r="4432" spans="1:22" x14ac:dyDescent="0.2">
      <c r="A4432" s="1">
        <v>38903</v>
      </c>
      <c r="B4432">
        <f>3394.76</f>
        <v>3394.76</v>
      </c>
      <c r="C4432">
        <f>4176.28</f>
        <v>4176.28</v>
      </c>
      <c r="D4432">
        <f>3227.69</f>
        <v>3227.69</v>
      </c>
      <c r="E4432">
        <f>1193.606</f>
        <v>1193.606</v>
      </c>
      <c r="F4432">
        <f>2005.21</f>
        <v>2005.21</v>
      </c>
      <c r="G4432">
        <f>6033.894</f>
        <v>6033.8940000000002</v>
      </c>
      <c r="H4432">
        <f>1703.07</f>
        <v>1703.07</v>
      </c>
      <c r="I4432">
        <f>6032.555</f>
        <v>6032.5550000000003</v>
      </c>
      <c r="J4432">
        <f>1307.83</f>
        <v>1307.83</v>
      </c>
      <c r="K4432">
        <f>4006.29</f>
        <v>4006.29</v>
      </c>
      <c r="L4432">
        <f>1002.77</f>
        <v>1002.77</v>
      </c>
      <c r="M4432">
        <f>3921.35</f>
        <v>3921.35</v>
      </c>
      <c r="N4432">
        <f>158.907</f>
        <v>158.90700000000001</v>
      </c>
      <c r="O4432">
        <f>1649.03</f>
        <v>1649.03</v>
      </c>
      <c r="P4432" t="e">
        <f>NA()</f>
        <v>#N/A</v>
      </c>
      <c r="Q4432">
        <f>721.8</f>
        <v>721.8</v>
      </c>
      <c r="R4432">
        <f>1940.55</f>
        <v>1940.55</v>
      </c>
      <c r="S4432">
        <f>1849.59</f>
        <v>1849.59</v>
      </c>
      <c r="T4432" t="e">
        <f>NA()</f>
        <v>#N/A</v>
      </c>
      <c r="U4432">
        <f>20935.92</f>
        <v>20935.919999999998</v>
      </c>
      <c r="V4432" t="e">
        <f>NA()</f>
        <v>#N/A</v>
      </c>
    </row>
    <row r="4433" spans="1:22" x14ac:dyDescent="0.2">
      <c r="A4433" s="1">
        <v>38902</v>
      </c>
      <c r="B4433">
        <f>3424.27</f>
        <v>3424.27</v>
      </c>
      <c r="C4433">
        <f>4270.15</f>
        <v>4270.1499999999996</v>
      </c>
      <c r="D4433">
        <f>3257.75</f>
        <v>3257.75</v>
      </c>
      <c r="E4433">
        <f>1220.326</f>
        <v>1220.326</v>
      </c>
      <c r="F4433">
        <f>2035.27</f>
        <v>2035.27</v>
      </c>
      <c r="G4433">
        <f>6131.937</f>
        <v>6131.9369999999999</v>
      </c>
      <c r="H4433">
        <f>1736.48</f>
        <v>1736.48</v>
      </c>
      <c r="I4433">
        <f>6147.322</f>
        <v>6147.3220000000001</v>
      </c>
      <c r="J4433">
        <f>1312.23</f>
        <v>1312.23</v>
      </c>
      <c r="K4433">
        <f>4037.45</f>
        <v>4037.45</v>
      </c>
      <c r="L4433">
        <f>1013.85</f>
        <v>1013.85</v>
      </c>
      <c r="M4433">
        <f>3970.67</f>
        <v>3970.67</v>
      </c>
      <c r="N4433">
        <f>160.116</f>
        <v>160.11600000000001</v>
      </c>
      <c r="O4433">
        <f>1668.33</f>
        <v>1668.33</v>
      </c>
      <c r="P4433" t="e">
        <f>NA()</f>
        <v>#N/A</v>
      </c>
      <c r="Q4433" t="e">
        <f>NA()</f>
        <v>#N/A</v>
      </c>
      <c r="R4433" t="e">
        <f>NA()</f>
        <v>#N/A</v>
      </c>
      <c r="S4433">
        <f>1864.09</f>
        <v>1864.09</v>
      </c>
      <c r="T4433" t="e">
        <f>NA()</f>
        <v>#N/A</v>
      </c>
      <c r="U4433">
        <f>21368.16</f>
        <v>21368.16</v>
      </c>
      <c r="V4433" t="e">
        <f>NA()</f>
        <v>#N/A</v>
      </c>
    </row>
    <row r="4434" spans="1:22" x14ac:dyDescent="0.2">
      <c r="A4434" s="1">
        <v>38901</v>
      </c>
      <c r="B4434">
        <f>3418.99</f>
        <v>3418.99</v>
      </c>
      <c r="C4434">
        <f>4242.5</f>
        <v>4242.5</v>
      </c>
      <c r="D4434">
        <f>3258.26</f>
        <v>3258.26</v>
      </c>
      <c r="E4434">
        <f>1214.149</f>
        <v>1214.1489999999999</v>
      </c>
      <c r="F4434">
        <f>2023.26</f>
        <v>2023.26</v>
      </c>
      <c r="G4434">
        <f>6123.944</f>
        <v>6123.9440000000004</v>
      </c>
      <c r="H4434">
        <f>1726.73</f>
        <v>1726.73</v>
      </c>
      <c r="I4434">
        <f>6135.857</f>
        <v>6135.857</v>
      </c>
      <c r="J4434">
        <f>1312.23</f>
        <v>1312.23</v>
      </c>
      <c r="K4434">
        <f>4037.45</f>
        <v>4037.45</v>
      </c>
      <c r="L4434">
        <f>1012.07</f>
        <v>1012.07</v>
      </c>
      <c r="M4434">
        <f>3962.39</f>
        <v>3962.39</v>
      </c>
      <c r="N4434">
        <f>159.492</f>
        <v>159.49199999999999</v>
      </c>
      <c r="O4434">
        <f>1664.57</f>
        <v>1664.57</v>
      </c>
      <c r="P4434" t="e">
        <f>NA()</f>
        <v>#N/A</v>
      </c>
      <c r="Q4434">
        <f>726.61</f>
        <v>726.61</v>
      </c>
      <c r="R4434">
        <f>1954.49</f>
        <v>1954.49</v>
      </c>
      <c r="S4434">
        <f>1853.37</f>
        <v>1853.37</v>
      </c>
      <c r="T4434" t="e">
        <f>NA()</f>
        <v>#N/A</v>
      </c>
      <c r="U4434">
        <f>21400.43</f>
        <v>21400.43</v>
      </c>
      <c r="V4434" t="e">
        <f>NA()</f>
        <v>#N/A</v>
      </c>
    </row>
    <row r="4435" spans="1:22" x14ac:dyDescent="0.2">
      <c r="A4435" s="1">
        <v>38898</v>
      </c>
      <c r="B4435">
        <f>3384.04</f>
        <v>3384.04</v>
      </c>
      <c r="C4435">
        <f>4182.23</f>
        <v>4182.2299999999996</v>
      </c>
      <c r="D4435">
        <f>3230.01</f>
        <v>3230.01</v>
      </c>
      <c r="E4435">
        <f>1195.374</f>
        <v>1195.374</v>
      </c>
      <c r="F4435">
        <f>2017.8</f>
        <v>2017.8</v>
      </c>
      <c r="G4435">
        <f>6090.126</f>
        <v>6090.1260000000002</v>
      </c>
      <c r="H4435">
        <f>1730.81</f>
        <v>1730.81</v>
      </c>
      <c r="I4435">
        <f>6090.931</f>
        <v>6090.9309999999996</v>
      </c>
      <c r="J4435">
        <f>1300.55</f>
        <v>1300.55</v>
      </c>
      <c r="K4435">
        <f>4004.71</f>
        <v>4004.71</v>
      </c>
      <c r="L4435">
        <f>1005.05</f>
        <v>1005.05</v>
      </c>
      <c r="M4435">
        <f>3937.43</f>
        <v>3937.43</v>
      </c>
      <c r="N4435">
        <f>157.863</f>
        <v>157.863</v>
      </c>
      <c r="O4435">
        <f>1656.94</f>
        <v>1656.94</v>
      </c>
      <c r="P4435" t="e">
        <f>NA()</f>
        <v>#N/A</v>
      </c>
      <c r="Q4435">
        <f>723.14</f>
        <v>723.14</v>
      </c>
      <c r="R4435">
        <f>1939.03</f>
        <v>1939.03</v>
      </c>
      <c r="S4435">
        <f>1846.09</f>
        <v>1846.09</v>
      </c>
      <c r="T4435" t="e">
        <f>NA()</f>
        <v>#N/A</v>
      </c>
      <c r="U4435">
        <f>21237.87</f>
        <v>21237.87</v>
      </c>
      <c r="V4435" t="e">
        <f>NA()</f>
        <v>#N/A</v>
      </c>
    </row>
    <row r="4436" spans="1:22" x14ac:dyDescent="0.2">
      <c r="A4436" s="1">
        <v>38897</v>
      </c>
      <c r="B4436">
        <f>3352.82</f>
        <v>3352.82</v>
      </c>
      <c r="C4436">
        <f>4064.6</f>
        <v>4064.6</v>
      </c>
      <c r="D4436">
        <f>3206.79</f>
        <v>3206.79</v>
      </c>
      <c r="E4436">
        <f>1156.89</f>
        <v>1156.8900000000001</v>
      </c>
      <c r="F4436">
        <f>1973.15</f>
        <v>1973.15</v>
      </c>
      <c r="G4436">
        <f>5924.285</f>
        <v>5924.2849999999999</v>
      </c>
      <c r="H4436">
        <f>1657.17</f>
        <v>1657.17</v>
      </c>
      <c r="I4436">
        <f>5873.028</f>
        <v>5873.0280000000002</v>
      </c>
      <c r="J4436">
        <f>1305.11</f>
        <v>1305.1099999999999</v>
      </c>
      <c r="K4436">
        <f>4011.15</f>
        <v>4011.15</v>
      </c>
      <c r="L4436">
        <f>987.25</f>
        <v>987.25</v>
      </c>
      <c r="M4436">
        <f>3875.45</f>
        <v>3875.45</v>
      </c>
      <c r="N4436">
        <f>156.139</f>
        <v>156.13900000000001</v>
      </c>
      <c r="O4436">
        <f>1634.34</f>
        <v>1634.34</v>
      </c>
      <c r="P4436" t="e">
        <f>NA()</f>
        <v>#N/A</v>
      </c>
      <c r="Q4436">
        <f>723.17</f>
        <v>723.17</v>
      </c>
      <c r="R4436">
        <f>1943.09</f>
        <v>1943.09</v>
      </c>
      <c r="S4436">
        <f>1800.47</f>
        <v>1800.47</v>
      </c>
      <c r="T4436" t="e">
        <f>NA()</f>
        <v>#N/A</v>
      </c>
      <c r="U4436">
        <f>20763.89</f>
        <v>20763.89</v>
      </c>
      <c r="V4436" t="e">
        <f>NA()</f>
        <v>#N/A</v>
      </c>
    </row>
    <row r="4437" spans="1:22" x14ac:dyDescent="0.2">
      <c r="A4437" s="1">
        <v>38896</v>
      </c>
      <c r="B4437">
        <f>3303.2</f>
        <v>3303.2</v>
      </c>
      <c r="C4437">
        <f>3994</f>
        <v>3994</v>
      </c>
      <c r="D4437">
        <f>3144.27</f>
        <v>3144.27</v>
      </c>
      <c r="E4437">
        <f>1132.601</f>
        <v>1132.6010000000001</v>
      </c>
      <c r="F4437">
        <f>1943.7</f>
        <v>1943.7</v>
      </c>
      <c r="G4437">
        <f>5824.151</f>
        <v>5824.1509999999998</v>
      </c>
      <c r="H4437">
        <f>1631.68</f>
        <v>1631.68</v>
      </c>
      <c r="I4437">
        <f>5760.356</f>
        <v>5760.3559999999998</v>
      </c>
      <c r="J4437">
        <f>1282.56</f>
        <v>1282.56</v>
      </c>
      <c r="K4437">
        <f>3924.68</f>
        <v>3924.68</v>
      </c>
      <c r="L4437">
        <f>970.7</f>
        <v>970.7</v>
      </c>
      <c r="M4437">
        <f>3798.33</f>
        <v>3798.33</v>
      </c>
      <c r="N4437">
        <f>153.725</f>
        <v>153.72499999999999</v>
      </c>
      <c r="O4437">
        <f>1605.15</f>
        <v>1605.15</v>
      </c>
      <c r="P4437" t="e">
        <f>NA()</f>
        <v>#N/A</v>
      </c>
      <c r="Q4437">
        <f>709.49</f>
        <v>709.49</v>
      </c>
      <c r="R4437">
        <f>1901.98</f>
        <v>1901.98</v>
      </c>
      <c r="S4437">
        <f>1776.94</f>
        <v>1776.94</v>
      </c>
      <c r="T4437" t="e">
        <f>NA()</f>
        <v>#N/A</v>
      </c>
      <c r="U4437">
        <f>20211.5</f>
        <v>20211.5</v>
      </c>
      <c r="V4437" t="e">
        <f>NA()</f>
        <v>#N/A</v>
      </c>
    </row>
    <row r="4438" spans="1:22" x14ac:dyDescent="0.2">
      <c r="A4438" s="1">
        <v>38895</v>
      </c>
      <c r="B4438">
        <f>3297.5</f>
        <v>3297.5</v>
      </c>
      <c r="C4438">
        <f>3978.67</f>
        <v>3978.67</v>
      </c>
      <c r="D4438">
        <f>3128.71</f>
        <v>3128.71</v>
      </c>
      <c r="E4438">
        <f>1129.602</f>
        <v>1129.6020000000001</v>
      </c>
      <c r="F4438">
        <f>1943.04</f>
        <v>1943.04</v>
      </c>
      <c r="G4438">
        <f>5818.851</f>
        <v>5818.8509999999997</v>
      </c>
      <c r="H4438">
        <f>1661.54</f>
        <v>1661.54</v>
      </c>
      <c r="I4438">
        <f>5793.474</f>
        <v>5793.4740000000002</v>
      </c>
      <c r="J4438">
        <f>1273.91</f>
        <v>1273.9100000000001</v>
      </c>
      <c r="K4438">
        <f>3903.46</f>
        <v>3903.46</v>
      </c>
      <c r="L4438">
        <f>970.14</f>
        <v>970.14</v>
      </c>
      <c r="M4438">
        <f>3800.45</f>
        <v>3800.45</v>
      </c>
      <c r="N4438">
        <f>153.579</f>
        <v>153.57900000000001</v>
      </c>
      <c r="O4438">
        <f>1602.11</f>
        <v>1602.11</v>
      </c>
      <c r="P4438" t="e">
        <f>NA()</f>
        <v>#N/A</v>
      </c>
      <c r="Q4438">
        <f>707</f>
        <v>707</v>
      </c>
      <c r="R4438">
        <f>1891.24</f>
        <v>1891.24</v>
      </c>
      <c r="S4438">
        <f>1802.36</f>
        <v>1802.36</v>
      </c>
      <c r="T4438" t="e">
        <f>NA()</f>
        <v>#N/A</v>
      </c>
      <c r="U4438">
        <f>20229.58</f>
        <v>20229.580000000002</v>
      </c>
      <c r="V4438" t="e">
        <f>NA()</f>
        <v>#N/A</v>
      </c>
    </row>
    <row r="4439" spans="1:22" x14ac:dyDescent="0.2">
      <c r="A4439" s="1">
        <v>38894</v>
      </c>
      <c r="B4439">
        <f>3308.69</f>
        <v>3308.69</v>
      </c>
      <c r="C4439">
        <f>3939.05</f>
        <v>3939.05</v>
      </c>
      <c r="D4439">
        <f>3144.76</f>
        <v>3144.76</v>
      </c>
      <c r="E4439">
        <f>1118.89</f>
        <v>1118.8900000000001</v>
      </c>
      <c r="F4439">
        <f>1950.17</f>
        <v>1950.17</v>
      </c>
      <c r="G4439">
        <f>5827.962</f>
        <v>5827.9620000000004</v>
      </c>
      <c r="H4439">
        <f>1658.37</f>
        <v>1658.37</v>
      </c>
      <c r="I4439">
        <f>5815.875</f>
        <v>5815.875</v>
      </c>
      <c r="J4439">
        <f>1281.23</f>
        <v>1281.23</v>
      </c>
      <c r="K4439">
        <f>3939.69</f>
        <v>3939.69</v>
      </c>
      <c r="L4439">
        <f>974.07</f>
        <v>974.07</v>
      </c>
      <c r="M4439">
        <f>3820.81</f>
        <v>3820.81</v>
      </c>
      <c r="N4439">
        <f>154.512</f>
        <v>154.512</v>
      </c>
      <c r="O4439">
        <f>1613.15</f>
        <v>1613.15</v>
      </c>
      <c r="P4439" t="e">
        <f>NA()</f>
        <v>#N/A</v>
      </c>
      <c r="Q4439">
        <f>713.32</f>
        <v>713.32</v>
      </c>
      <c r="R4439">
        <f>1908.56</f>
        <v>1908.56</v>
      </c>
      <c r="S4439">
        <f>1801.29</f>
        <v>1801.29</v>
      </c>
      <c r="T4439" t="e">
        <f>NA()</f>
        <v>#N/A</v>
      </c>
      <c r="U4439">
        <f>20310.79</f>
        <v>20310.79</v>
      </c>
      <c r="V4439" t="e">
        <f>NA()</f>
        <v>#N/A</v>
      </c>
    </row>
    <row r="4440" spans="1:22" x14ac:dyDescent="0.2">
      <c r="A4440" s="1">
        <v>38891</v>
      </c>
      <c r="B4440">
        <f>3318.26</f>
        <v>3318.26</v>
      </c>
      <c r="C4440">
        <f>3936.56</f>
        <v>3936.56</v>
      </c>
      <c r="D4440">
        <f>3150.79</f>
        <v>3150.79</v>
      </c>
      <c r="E4440">
        <f>1118.697</f>
        <v>1118.6969999999999</v>
      </c>
      <c r="F4440">
        <f>1953.89</f>
        <v>1953.89</v>
      </c>
      <c r="G4440">
        <f>5843.167</f>
        <v>5843.1670000000004</v>
      </c>
      <c r="H4440">
        <f>1654.91</f>
        <v>1654.91</v>
      </c>
      <c r="I4440">
        <f>5811.69</f>
        <v>5811.69</v>
      </c>
      <c r="J4440">
        <f>1272.56</f>
        <v>1272.56</v>
      </c>
      <c r="K4440">
        <f>3920.54</f>
        <v>3920.54</v>
      </c>
      <c r="L4440">
        <f>971.86</f>
        <v>971.86</v>
      </c>
      <c r="M4440">
        <f>3809.3</f>
        <v>3809.3</v>
      </c>
      <c r="N4440">
        <f>154.962</f>
        <v>154.96199999999999</v>
      </c>
      <c r="O4440">
        <f>1618.48</f>
        <v>1618.48</v>
      </c>
      <c r="P4440" t="e">
        <f>NA()</f>
        <v>#N/A</v>
      </c>
      <c r="Q4440">
        <f>709.12</f>
        <v>709.12</v>
      </c>
      <c r="R4440">
        <f>1899.32</f>
        <v>1899.32</v>
      </c>
      <c r="S4440">
        <f>1797.34</f>
        <v>1797.34</v>
      </c>
      <c r="T4440" t="e">
        <f>NA()</f>
        <v>#N/A</v>
      </c>
      <c r="U4440">
        <f>20499.83</f>
        <v>20499.830000000002</v>
      </c>
      <c r="V4440" t="e">
        <f>NA()</f>
        <v>#N/A</v>
      </c>
    </row>
    <row r="4441" spans="1:22" x14ac:dyDescent="0.2">
      <c r="A4441" s="1">
        <v>38890</v>
      </c>
      <c r="B4441">
        <f>3329.63</f>
        <v>3329.63</v>
      </c>
      <c r="C4441">
        <f>3968.95</f>
        <v>3968.95</v>
      </c>
      <c r="D4441">
        <f>3146.33</f>
        <v>3146.33</v>
      </c>
      <c r="E4441">
        <f>1123.514</f>
        <v>1123.5139999999999</v>
      </c>
      <c r="F4441">
        <f>1970.06</f>
        <v>1970.06</v>
      </c>
      <c r="G4441">
        <f>5863.187</f>
        <v>5863.1869999999999</v>
      </c>
      <c r="H4441">
        <f>1676.26</f>
        <v>1676.26</v>
      </c>
      <c r="I4441">
        <f>5826.918</f>
        <v>5826.9179999999997</v>
      </c>
      <c r="J4441">
        <f>1276.19</f>
        <v>1276.19</v>
      </c>
      <c r="K4441">
        <f>3920.95</f>
        <v>3920.95</v>
      </c>
      <c r="L4441">
        <f>975.34</f>
        <v>975.34</v>
      </c>
      <c r="M4441">
        <f>3815.69</f>
        <v>3815.69</v>
      </c>
      <c r="N4441">
        <f>154.287</f>
        <v>154.28700000000001</v>
      </c>
      <c r="O4441">
        <f>1615.95</f>
        <v>1615.95</v>
      </c>
      <c r="P4441" t="e">
        <f>NA()</f>
        <v>#N/A</v>
      </c>
      <c r="Q4441">
        <f>711.04</f>
        <v>711.04</v>
      </c>
      <c r="R4441">
        <f>1900.98</f>
        <v>1900.98</v>
      </c>
      <c r="S4441">
        <f>1801.46</f>
        <v>1801.46</v>
      </c>
      <c r="T4441" t="e">
        <f>NA()</f>
        <v>#N/A</v>
      </c>
      <c r="U4441">
        <f>20696.66</f>
        <v>20696.66</v>
      </c>
      <c r="V4441" t="e">
        <f>NA()</f>
        <v>#N/A</v>
      </c>
    </row>
    <row r="4442" spans="1:22" x14ac:dyDescent="0.2">
      <c r="A4442" s="1">
        <v>38889</v>
      </c>
      <c r="B4442">
        <f>3306.18</f>
        <v>3306.18</v>
      </c>
      <c r="C4442">
        <f>3946.02</f>
        <v>3946.02</v>
      </c>
      <c r="D4442">
        <f>3135.78</f>
        <v>3135.78</v>
      </c>
      <c r="E4442">
        <f>1116.393</f>
        <v>1116.393</v>
      </c>
      <c r="F4442">
        <f>1971.67</f>
        <v>1971.67</v>
      </c>
      <c r="G4442">
        <f>5887.423</f>
        <v>5887.4229999999998</v>
      </c>
      <c r="H4442">
        <f>1646.29</f>
        <v>1646.29</v>
      </c>
      <c r="I4442">
        <f>5823.856</f>
        <v>5823.8559999999998</v>
      </c>
      <c r="J4442">
        <f>1278.94</f>
        <v>1278.94</v>
      </c>
      <c r="K4442">
        <f>3941.88</f>
        <v>3941.88</v>
      </c>
      <c r="L4442">
        <f>976.36</f>
        <v>976.36</v>
      </c>
      <c r="M4442">
        <f>3816.89</f>
        <v>3816.89</v>
      </c>
      <c r="N4442">
        <f>153.218</f>
        <v>153.21799999999999</v>
      </c>
      <c r="O4442">
        <f>1609.39</f>
        <v>1609.39</v>
      </c>
      <c r="P4442" t="e">
        <f>NA()</f>
        <v>#N/A</v>
      </c>
      <c r="Q4442">
        <f>713.87</f>
        <v>713.87</v>
      </c>
      <c r="R4442">
        <f>1910.62</f>
        <v>1910.62</v>
      </c>
      <c r="S4442">
        <f>1750.76</f>
        <v>1750.76</v>
      </c>
      <c r="T4442" t="e">
        <f>NA()</f>
        <v>#N/A</v>
      </c>
      <c r="U4442">
        <f>20676.72</f>
        <v>20676.72</v>
      </c>
      <c r="V4442" t="e">
        <f>NA()</f>
        <v>#N/A</v>
      </c>
    </row>
    <row r="4443" spans="1:22" x14ac:dyDescent="0.2">
      <c r="A4443" s="1">
        <v>38888</v>
      </c>
      <c r="B4443">
        <f>3310.33</f>
        <v>3310.33</v>
      </c>
      <c r="C4443">
        <f>3930.4</f>
        <v>3930.4</v>
      </c>
      <c r="D4443">
        <f>3131.58</f>
        <v>3131.58</v>
      </c>
      <c r="E4443">
        <f>1107.606</f>
        <v>1107.606</v>
      </c>
      <c r="F4443">
        <f>1973.23</f>
        <v>1973.23</v>
      </c>
      <c r="G4443">
        <f>5876.507</f>
        <v>5876.5069999999996</v>
      </c>
      <c r="H4443">
        <f>1650.98</f>
        <v>1650.98</v>
      </c>
      <c r="I4443">
        <f>5778.574</f>
        <v>5778.5739999999996</v>
      </c>
      <c r="J4443">
        <f>1272.54</f>
        <v>1272.54</v>
      </c>
      <c r="K4443">
        <f>3900.79</f>
        <v>3900.79</v>
      </c>
      <c r="L4443">
        <f>972.18</f>
        <v>972.18</v>
      </c>
      <c r="M4443">
        <f>3787.5</f>
        <v>3787.5</v>
      </c>
      <c r="N4443">
        <f>153.694</f>
        <v>153.69399999999999</v>
      </c>
      <c r="O4443">
        <f>1608.9</f>
        <v>1608.9</v>
      </c>
      <c r="P4443" t="e">
        <f>NA()</f>
        <v>#N/A</v>
      </c>
      <c r="Q4443">
        <f>709.01</f>
        <v>709.01</v>
      </c>
      <c r="R4443">
        <f>1892.13</f>
        <v>1892.13</v>
      </c>
      <c r="S4443">
        <f>1756.34</f>
        <v>1756.34</v>
      </c>
      <c r="T4443" t="e">
        <f>NA()</f>
        <v>#N/A</v>
      </c>
      <c r="U4443">
        <f>20282.52</f>
        <v>20282.52</v>
      </c>
      <c r="V4443" t="e">
        <f>NA()</f>
        <v>#N/A</v>
      </c>
    </row>
    <row r="4444" spans="1:22" x14ac:dyDescent="0.2">
      <c r="A4444" s="1">
        <v>38887</v>
      </c>
      <c r="B4444">
        <f>3307.69</f>
        <v>3307.69</v>
      </c>
      <c r="C4444">
        <f>3991.83</f>
        <v>3991.83</v>
      </c>
      <c r="D4444">
        <f>3113.81</f>
        <v>3113.81</v>
      </c>
      <c r="E4444">
        <f>1120.918</f>
        <v>1120.9179999999999</v>
      </c>
      <c r="F4444">
        <f>1969.17</f>
        <v>1969.17</v>
      </c>
      <c r="G4444">
        <f>5832.293</f>
        <v>5832.2929999999997</v>
      </c>
      <c r="H4444">
        <f>1654.64</f>
        <v>1654.64</v>
      </c>
      <c r="I4444">
        <f>5737.905</f>
        <v>5737.9049999999997</v>
      </c>
      <c r="J4444">
        <f>1269.83</f>
        <v>1269.83</v>
      </c>
      <c r="K4444">
        <f>3902.47</f>
        <v>3902.47</v>
      </c>
      <c r="L4444">
        <f>968.14</f>
        <v>968.14</v>
      </c>
      <c r="M4444">
        <f>3782.97</f>
        <v>3782.97</v>
      </c>
      <c r="N4444">
        <f>153.263</f>
        <v>153.26300000000001</v>
      </c>
      <c r="O4444">
        <f>1599.33</f>
        <v>1599.33</v>
      </c>
      <c r="P4444" t="e">
        <f>NA()</f>
        <v>#N/A</v>
      </c>
      <c r="Q4444">
        <f>708.75</f>
        <v>708.75</v>
      </c>
      <c r="R4444">
        <f>1892.12</f>
        <v>1892.12</v>
      </c>
      <c r="S4444">
        <f>1776.51</f>
        <v>1776.51</v>
      </c>
      <c r="T4444" t="e">
        <f>NA()</f>
        <v>#N/A</v>
      </c>
      <c r="U4444">
        <f>19891.03</f>
        <v>19891.03</v>
      </c>
      <c r="V4444" t="e">
        <f>NA()</f>
        <v>#N/A</v>
      </c>
    </row>
    <row r="4445" spans="1:22" x14ac:dyDescent="0.2">
      <c r="A4445" s="1">
        <v>38884</v>
      </c>
      <c r="B4445">
        <f>3297.49</f>
        <v>3297.49</v>
      </c>
      <c r="C4445">
        <f>4013.91</f>
        <v>4013.91</v>
      </c>
      <c r="D4445">
        <f>3097.96</f>
        <v>3097.96</v>
      </c>
      <c r="E4445">
        <f>1128.541</f>
        <v>1128.5409999999999</v>
      </c>
      <c r="F4445">
        <f>1971.99</f>
        <v>1971.99</v>
      </c>
      <c r="G4445">
        <f>5843.392</f>
        <v>5843.3919999999998</v>
      </c>
      <c r="H4445">
        <f>1664.77</f>
        <v>1664.77</v>
      </c>
      <c r="I4445">
        <f>5728.502</f>
        <v>5728.5020000000004</v>
      </c>
      <c r="J4445">
        <f>1280.93</f>
        <v>1280.93</v>
      </c>
      <c r="K4445">
        <f>3939.62</f>
        <v>3939.62</v>
      </c>
      <c r="L4445">
        <f>971.97</f>
        <v>971.97</v>
      </c>
      <c r="M4445">
        <f>3809.75</f>
        <v>3809.75</v>
      </c>
      <c r="N4445">
        <f>152.439</f>
        <v>152.43899999999999</v>
      </c>
      <c r="O4445">
        <f>1587.87</f>
        <v>1587.87</v>
      </c>
      <c r="P4445" t="e">
        <f>NA()</f>
        <v>#N/A</v>
      </c>
      <c r="Q4445">
        <f>715.04</f>
        <v>715.04</v>
      </c>
      <c r="R4445">
        <f>1909.52</f>
        <v>1909.52</v>
      </c>
      <c r="S4445">
        <f>1784.71</f>
        <v>1784.71</v>
      </c>
      <c r="T4445" t="e">
        <f>NA()</f>
        <v>#N/A</v>
      </c>
      <c r="U4445" t="e">
        <f>NA()</f>
        <v>#N/A</v>
      </c>
      <c r="V4445" t="e">
        <f>NA()</f>
        <v>#N/A</v>
      </c>
    </row>
    <row r="4446" spans="1:22" x14ac:dyDescent="0.2">
      <c r="A4446" s="1">
        <v>38883</v>
      </c>
      <c r="B4446">
        <f>3303.22</f>
        <v>3303.22</v>
      </c>
      <c r="C4446">
        <f>3901.64</f>
        <v>3901.64</v>
      </c>
      <c r="D4446">
        <f>3110.05</f>
        <v>3110.05</v>
      </c>
      <c r="E4446">
        <f>1099.845</f>
        <v>1099.845</v>
      </c>
      <c r="F4446">
        <f>1972.5</f>
        <v>1972.5</v>
      </c>
      <c r="G4446">
        <f>5866.581</f>
        <v>5866.5810000000001</v>
      </c>
      <c r="H4446">
        <f>1615.72</f>
        <v>1615.72</v>
      </c>
      <c r="I4446">
        <f>5764.678</f>
        <v>5764.6779999999999</v>
      </c>
      <c r="J4446">
        <f>1285.14</f>
        <v>1285.1400000000001</v>
      </c>
      <c r="K4446">
        <f>3953.88</f>
        <v>3953.88</v>
      </c>
      <c r="L4446">
        <f>975</f>
        <v>975</v>
      </c>
      <c r="M4446">
        <f>3806.65</f>
        <v>3806.65</v>
      </c>
      <c r="N4446">
        <f>153.427</f>
        <v>153.42699999999999</v>
      </c>
      <c r="O4446">
        <f>1597.87</f>
        <v>1597.87</v>
      </c>
      <c r="P4446" t="e">
        <f>NA()</f>
        <v>#N/A</v>
      </c>
      <c r="Q4446">
        <f>717.51</f>
        <v>717.51</v>
      </c>
      <c r="R4446">
        <f>1916.56</f>
        <v>1916.56</v>
      </c>
      <c r="S4446">
        <f>1728.04</f>
        <v>1728.04</v>
      </c>
      <c r="T4446" t="e">
        <f>NA()</f>
        <v>#N/A</v>
      </c>
      <c r="U4446">
        <f>19698.94</f>
        <v>19698.939999999999</v>
      </c>
      <c r="V4446" t="e">
        <f>NA()</f>
        <v>#N/A</v>
      </c>
    </row>
    <row r="4447" spans="1:22" x14ac:dyDescent="0.2">
      <c r="A4447" s="1">
        <v>38882</v>
      </c>
      <c r="B4447">
        <f>3228.63</f>
        <v>3228.63</v>
      </c>
      <c r="C4447">
        <f>3854.8</f>
        <v>3854.8</v>
      </c>
      <c r="D4447">
        <f>3047.8</f>
        <v>3047.8</v>
      </c>
      <c r="E4447">
        <f>1075.013</f>
        <v>1075.0129999999999</v>
      </c>
      <c r="F4447">
        <f>1945.18</f>
        <v>1945.18</v>
      </c>
      <c r="G4447">
        <f>5738.187</f>
        <v>5738.1869999999999</v>
      </c>
      <c r="H4447">
        <f>1608.01</f>
        <v>1608.01</v>
      </c>
      <c r="I4447">
        <f>5619.449</f>
        <v>5619.4489999999996</v>
      </c>
      <c r="J4447">
        <f>1264.91</f>
        <v>1264.9100000000001</v>
      </c>
      <c r="K4447">
        <f>3868.64</f>
        <v>3868.64</v>
      </c>
      <c r="L4447">
        <f>958.2</f>
        <v>958.2</v>
      </c>
      <c r="M4447">
        <f>3728.52</f>
        <v>3728.52</v>
      </c>
      <c r="N4447">
        <f>150.627</f>
        <v>150.62700000000001</v>
      </c>
      <c r="O4447">
        <f>1563.03</f>
        <v>1563.03</v>
      </c>
      <c r="P4447" t="e">
        <f>NA()</f>
        <v>#N/A</v>
      </c>
      <c r="Q4447">
        <f>704.13</f>
        <v>704.13</v>
      </c>
      <c r="R4447">
        <f>1876.67</f>
        <v>1876.67</v>
      </c>
      <c r="S4447">
        <f>1704.96</f>
        <v>1704.96</v>
      </c>
      <c r="T4447" t="e">
        <f>NA()</f>
        <v>#N/A</v>
      </c>
      <c r="U4447">
        <f>18753.72</f>
        <v>18753.72</v>
      </c>
      <c r="V4447" t="e">
        <f>NA()</f>
        <v>#N/A</v>
      </c>
    </row>
    <row r="4448" spans="1:22" x14ac:dyDescent="0.2">
      <c r="A4448" s="1">
        <v>38881</v>
      </c>
      <c r="B4448">
        <f>3206.17</f>
        <v>3206.17</v>
      </c>
      <c r="C4448">
        <f>3812.23</f>
        <v>3812.23</v>
      </c>
      <c r="D4448">
        <f>3054.73</f>
        <v>3054.73</v>
      </c>
      <c r="E4448">
        <f>1062.173</f>
        <v>1062.173</v>
      </c>
      <c r="F4448">
        <f>1925.56</f>
        <v>1925.56</v>
      </c>
      <c r="G4448">
        <f>5717.791</f>
        <v>5717.7910000000002</v>
      </c>
      <c r="H4448">
        <f>1590.7</f>
        <v>1590.7</v>
      </c>
      <c r="I4448">
        <f>5578.673</f>
        <v>5578.6729999999998</v>
      </c>
      <c r="J4448">
        <f>1263.08</f>
        <v>1263.08</v>
      </c>
      <c r="K4448">
        <f>3848.59</f>
        <v>3848.59</v>
      </c>
      <c r="L4448">
        <f>956.37</f>
        <v>956.37</v>
      </c>
      <c r="M4448">
        <f>3707.68</f>
        <v>3707.68</v>
      </c>
      <c r="N4448">
        <f>150.183</f>
        <v>150.18299999999999</v>
      </c>
      <c r="O4448">
        <f>1561.14</f>
        <v>1561.14</v>
      </c>
      <c r="P4448" t="e">
        <f>NA()</f>
        <v>#N/A</v>
      </c>
      <c r="Q4448">
        <f>702.98</f>
        <v>702.98</v>
      </c>
      <c r="R4448">
        <f>1866.92</f>
        <v>1866.92</v>
      </c>
      <c r="S4448">
        <f>1695.85</f>
        <v>1695.85</v>
      </c>
      <c r="T4448" t="e">
        <f>NA()</f>
        <v>#N/A</v>
      </c>
      <c r="U4448">
        <f>18380.06</f>
        <v>18380.060000000001</v>
      </c>
      <c r="V4448" t="e">
        <f>NA()</f>
        <v>#N/A</v>
      </c>
    </row>
    <row r="4449" spans="1:22" x14ac:dyDescent="0.2">
      <c r="A4449" s="1">
        <v>38880</v>
      </c>
      <c r="B4449">
        <f>3276.25</f>
        <v>3276.25</v>
      </c>
      <c r="C4449">
        <f>3943.32</f>
        <v>3943.32</v>
      </c>
      <c r="D4449">
        <f>3110.76</f>
        <v>3110.76</v>
      </c>
      <c r="E4449">
        <f>1109.546</f>
        <v>1109.546</v>
      </c>
      <c r="F4449">
        <f>1963.03</f>
        <v>1963.03</v>
      </c>
      <c r="G4449">
        <f>5840.041</f>
        <v>5840.0410000000002</v>
      </c>
      <c r="H4449">
        <f>1660.52</f>
        <v>1660.52</v>
      </c>
      <c r="I4449">
        <f>5724.779</f>
        <v>5724.7790000000005</v>
      </c>
      <c r="J4449">
        <f>1277.98</f>
        <v>1277.98</v>
      </c>
      <c r="K4449">
        <f>3888.8</f>
        <v>3888.8</v>
      </c>
      <c r="L4449">
        <f>974.21</f>
        <v>974.21</v>
      </c>
      <c r="M4449">
        <f>3783.61</f>
        <v>3783.61</v>
      </c>
      <c r="N4449">
        <f>152.852</f>
        <v>152.852</v>
      </c>
      <c r="O4449">
        <f>1594.91</f>
        <v>1594.91</v>
      </c>
      <c r="P4449" t="e">
        <f>NA()</f>
        <v>#N/A</v>
      </c>
      <c r="Q4449">
        <f>708.21</f>
        <v>708.21</v>
      </c>
      <c r="R4449">
        <f>1885.81</f>
        <v>1885.81</v>
      </c>
      <c r="S4449">
        <f>1757</f>
        <v>1757</v>
      </c>
      <c r="T4449" t="e">
        <f>NA()</f>
        <v>#N/A</v>
      </c>
      <c r="U4449">
        <f>19140.06</f>
        <v>19140.060000000001</v>
      </c>
      <c r="V4449" t="e">
        <f>NA()</f>
        <v>#N/A</v>
      </c>
    </row>
    <row r="4450" spans="1:22" x14ac:dyDescent="0.2">
      <c r="A4450" s="1">
        <v>38877</v>
      </c>
      <c r="B4450">
        <f>3302.54</f>
        <v>3302.54</v>
      </c>
      <c r="C4450">
        <f>4002.94</f>
        <v>4002.94</v>
      </c>
      <c r="D4450">
        <f>3129.76</f>
        <v>3129.76</v>
      </c>
      <c r="E4450">
        <f>1127.058</f>
        <v>1127.058</v>
      </c>
      <c r="F4450">
        <f>1977.33</f>
        <v>1977.33</v>
      </c>
      <c r="G4450">
        <f>5876.97</f>
        <v>5876.97</v>
      </c>
      <c r="H4450">
        <f>1663.8</f>
        <v>1663.8</v>
      </c>
      <c r="I4450">
        <f>5817.41</f>
        <v>5817.41</v>
      </c>
      <c r="J4450">
        <f>1287.25</f>
        <v>1287.25</v>
      </c>
      <c r="K4450">
        <f>3941.77</f>
        <v>3941.77</v>
      </c>
      <c r="L4450">
        <f>982.81</f>
        <v>982.81</v>
      </c>
      <c r="M4450">
        <f>3826.04</f>
        <v>3826.04</v>
      </c>
      <c r="N4450">
        <f>153.875</f>
        <v>153.875</v>
      </c>
      <c r="O4450">
        <f>1607.02</f>
        <v>1607.02</v>
      </c>
      <c r="P4450" t="e">
        <f>NA()</f>
        <v>#N/A</v>
      </c>
      <c r="Q4450">
        <f>714.92</f>
        <v>714.92</v>
      </c>
      <c r="R4450">
        <f>1910.01</f>
        <v>1910.01</v>
      </c>
      <c r="S4450">
        <f>1742.8</f>
        <v>1742.8</v>
      </c>
      <c r="T4450" t="e">
        <f>NA()</f>
        <v>#N/A</v>
      </c>
      <c r="U4450">
        <f>19324.72</f>
        <v>19324.72</v>
      </c>
      <c r="V4450" t="e">
        <f>NA()</f>
        <v>#N/A</v>
      </c>
    </row>
    <row r="4451" spans="1:22" x14ac:dyDescent="0.2">
      <c r="A4451" s="1">
        <v>38876</v>
      </c>
      <c r="B4451">
        <f>3249.39</f>
        <v>3249.39</v>
      </c>
      <c r="C4451">
        <f>3956.97</f>
        <v>3956.97</v>
      </c>
      <c r="D4451">
        <f>3078.7</f>
        <v>3078.7</v>
      </c>
      <c r="E4451">
        <f>1112.992</f>
        <v>1112.992</v>
      </c>
      <c r="F4451">
        <f>1945.1</f>
        <v>1945.1</v>
      </c>
      <c r="G4451">
        <f>5765.616</f>
        <v>5765.616</v>
      </c>
      <c r="H4451">
        <f>1643.17</f>
        <v>1643.17</v>
      </c>
      <c r="I4451">
        <f>5722.508</f>
        <v>5722.5079999999998</v>
      </c>
      <c r="J4451">
        <f>1293.52</f>
        <v>1293.52</v>
      </c>
      <c r="K4451">
        <f>3958.37</f>
        <v>3958.37</v>
      </c>
      <c r="L4451">
        <f>974.21</f>
        <v>974.21</v>
      </c>
      <c r="M4451">
        <f>3802.82</f>
        <v>3802.82</v>
      </c>
      <c r="N4451">
        <f>150.684</f>
        <v>150.684</v>
      </c>
      <c r="O4451">
        <f>1580.81</f>
        <v>1580.81</v>
      </c>
      <c r="P4451" t="e">
        <f>NA()</f>
        <v>#N/A</v>
      </c>
      <c r="Q4451">
        <f>715.52</f>
        <v>715.52</v>
      </c>
      <c r="R4451">
        <f>1918.59</f>
        <v>1918.59</v>
      </c>
      <c r="S4451">
        <f>1723.66</f>
        <v>1723.66</v>
      </c>
      <c r="T4451" t="e">
        <f>NA()</f>
        <v>#N/A</v>
      </c>
      <c r="U4451">
        <f>18414.69</f>
        <v>18414.689999999999</v>
      </c>
      <c r="V4451" t="e">
        <f>NA()</f>
        <v>#N/A</v>
      </c>
    </row>
    <row r="4452" spans="1:22" x14ac:dyDescent="0.2">
      <c r="A4452" s="1">
        <v>38875</v>
      </c>
      <c r="B4452">
        <f>3307.75</f>
        <v>3307.75</v>
      </c>
      <c r="C4452">
        <f>4111.19</f>
        <v>4111.1899999999996</v>
      </c>
      <c r="D4452">
        <f>3158.03</f>
        <v>3158.03</v>
      </c>
      <c r="E4452">
        <f>1159.093</f>
        <v>1159.0930000000001</v>
      </c>
      <c r="F4452">
        <f>1989.34</f>
        <v>1989.34</v>
      </c>
      <c r="G4452">
        <f>5966.279</f>
        <v>5966.2790000000005</v>
      </c>
      <c r="H4452">
        <f>1716.94</f>
        <v>1716.94</v>
      </c>
      <c r="I4452">
        <f>5957.21</f>
        <v>5957.21</v>
      </c>
      <c r="J4452">
        <f>1287.46</f>
        <v>1287.46</v>
      </c>
      <c r="K4452">
        <f>3954.56</f>
        <v>3954.56</v>
      </c>
      <c r="L4452">
        <f>992.96</f>
        <v>992.96</v>
      </c>
      <c r="M4452">
        <f>3868.32</f>
        <v>3868.32</v>
      </c>
      <c r="N4452">
        <f>154.035</f>
        <v>154.035</v>
      </c>
      <c r="O4452">
        <f>1622.2</f>
        <v>1622.2</v>
      </c>
      <c r="P4452" t="e">
        <f>NA()</f>
        <v>#N/A</v>
      </c>
      <c r="Q4452">
        <f>713.44</f>
        <v>713.44</v>
      </c>
      <c r="R4452">
        <f>1915.77</f>
        <v>1915.77</v>
      </c>
      <c r="S4452">
        <f>1783.34</f>
        <v>1783.34</v>
      </c>
      <c r="T4452" t="e">
        <f>NA()</f>
        <v>#N/A</v>
      </c>
      <c r="U4452">
        <f>19690.8</f>
        <v>19690.8</v>
      </c>
      <c r="V4452" t="e">
        <f>NA()</f>
        <v>#N/A</v>
      </c>
    </row>
    <row r="4453" spans="1:22" x14ac:dyDescent="0.2">
      <c r="A4453" s="1">
        <v>38874</v>
      </c>
      <c r="B4453">
        <f>3287.15</f>
        <v>3287.15</v>
      </c>
      <c r="C4453">
        <f>4202.87</f>
        <v>4202.87</v>
      </c>
      <c r="D4453">
        <f>3131.01</f>
        <v>3131.01</v>
      </c>
      <c r="E4453">
        <f>1187.146</f>
        <v>1187.146</v>
      </c>
      <c r="F4453">
        <f>1968.59</f>
        <v>1968.59</v>
      </c>
      <c r="G4453">
        <f>5934.006</f>
        <v>5934.0060000000003</v>
      </c>
      <c r="H4453">
        <f>1752.39</f>
        <v>1752.39</v>
      </c>
      <c r="I4453">
        <f>5945.828</f>
        <v>5945.8280000000004</v>
      </c>
      <c r="J4453">
        <f>1292.51</f>
        <v>1292.51</v>
      </c>
      <c r="K4453">
        <f>3979.68</f>
        <v>3979.68</v>
      </c>
      <c r="L4453">
        <f>991.96</f>
        <v>991.96</v>
      </c>
      <c r="M4453">
        <f>3890.15</f>
        <v>3890.15</v>
      </c>
      <c r="N4453">
        <f>144.951</f>
        <v>144.95099999999999</v>
      </c>
      <c r="O4453">
        <f>1610.23</f>
        <v>1610.23</v>
      </c>
      <c r="P4453" t="e">
        <f>NA()</f>
        <v>#N/A</v>
      </c>
      <c r="Q4453">
        <f>714.28</f>
        <v>714.28</v>
      </c>
      <c r="R4453">
        <f>1927.13</f>
        <v>1927.13</v>
      </c>
      <c r="S4453">
        <f>1822.6</f>
        <v>1822.6</v>
      </c>
      <c r="T4453" t="e">
        <f>NA()</f>
        <v>#N/A</v>
      </c>
      <c r="U4453">
        <f>20007.75</f>
        <v>20007.75</v>
      </c>
      <c r="V4453" t="e">
        <f>NA()</f>
        <v>#N/A</v>
      </c>
    </row>
    <row r="4454" spans="1:22" x14ac:dyDescent="0.2">
      <c r="A4454" s="1">
        <v>38873</v>
      </c>
      <c r="B4454">
        <f>3346.95</f>
        <v>3346.95</v>
      </c>
      <c r="C4454">
        <f>4256.44</f>
        <v>4256.4399999999996</v>
      </c>
      <c r="D4454">
        <f>3182</f>
        <v>3182</v>
      </c>
      <c r="E4454">
        <f>1211.869</f>
        <v>1211.8689999999999</v>
      </c>
      <c r="F4454">
        <f>2007</f>
        <v>2007</v>
      </c>
      <c r="G4454">
        <f>6090.086</f>
        <v>6090.0860000000002</v>
      </c>
      <c r="H4454">
        <f>1801.24</f>
        <v>1801.24</v>
      </c>
      <c r="I4454">
        <f>6137.102</f>
        <v>6137.1019999999999</v>
      </c>
      <c r="J4454">
        <f>1292.95</f>
        <v>1292.95</v>
      </c>
      <c r="K4454">
        <f>3986.4</f>
        <v>3986.4</v>
      </c>
      <c r="L4454">
        <f>1007.4</f>
        <v>1007.4</v>
      </c>
      <c r="M4454">
        <f>3949.7</f>
        <v>3949.7</v>
      </c>
      <c r="N4454">
        <f>147.363</f>
        <v>147.363</v>
      </c>
      <c r="O4454">
        <f>1641.88</f>
        <v>1641.88</v>
      </c>
      <c r="P4454" t="e">
        <f>NA()</f>
        <v>#N/A</v>
      </c>
      <c r="Q4454">
        <f>715.31</f>
        <v>715.31</v>
      </c>
      <c r="R4454">
        <f>1929.23</f>
        <v>1929.23</v>
      </c>
      <c r="S4454">
        <f>1854.72</f>
        <v>1854.72</v>
      </c>
      <c r="T4454" t="e">
        <f>NA()</f>
        <v>#N/A</v>
      </c>
      <c r="U4454">
        <f>20856.42</f>
        <v>20856.419999999998</v>
      </c>
      <c r="V4454" t="e">
        <f>NA()</f>
        <v>#N/A</v>
      </c>
    </row>
    <row r="4455" spans="1:22" x14ac:dyDescent="0.2">
      <c r="A4455" s="1">
        <v>38870</v>
      </c>
      <c r="B4455">
        <f>3371.87</f>
        <v>3371.87</v>
      </c>
      <c r="C4455">
        <f>4316.5</f>
        <v>4316.5</v>
      </c>
      <c r="D4455">
        <f>3183.38</f>
        <v>3183.38</v>
      </c>
      <c r="E4455">
        <f>1223.776</f>
        <v>1223.7760000000001</v>
      </c>
      <c r="F4455">
        <f>2024.04</f>
        <v>2024.04</v>
      </c>
      <c r="G4455">
        <f>6124.56</f>
        <v>6124.56</v>
      </c>
      <c r="H4455">
        <f>1821.71</f>
        <v>1821.71</v>
      </c>
      <c r="I4455">
        <f>6168.179</f>
        <v>6168.1790000000001</v>
      </c>
      <c r="J4455">
        <f>1312.58</f>
        <v>1312.58</v>
      </c>
      <c r="K4455">
        <f>4059.4</f>
        <v>4059.4</v>
      </c>
      <c r="L4455">
        <f>1015.48</f>
        <v>1015.48</v>
      </c>
      <c r="M4455">
        <f>3998.97</f>
        <v>3998.97</v>
      </c>
      <c r="N4455">
        <f>148.04</f>
        <v>148.04</v>
      </c>
      <c r="O4455">
        <f>1651.44</f>
        <v>1651.44</v>
      </c>
      <c r="P4455" t="e">
        <f>NA()</f>
        <v>#N/A</v>
      </c>
      <c r="Q4455">
        <f>727.57</f>
        <v>727.57</v>
      </c>
      <c r="R4455">
        <f>1964.11</f>
        <v>1964.11</v>
      </c>
      <c r="S4455">
        <f>1867.73</f>
        <v>1867.73</v>
      </c>
      <c r="T4455" t="e">
        <f>NA()</f>
        <v>#N/A</v>
      </c>
      <c r="U4455">
        <f>20874.86</f>
        <v>20874.86</v>
      </c>
      <c r="V4455" t="e">
        <f>NA()</f>
        <v>#N/A</v>
      </c>
    </row>
    <row r="4456" spans="1:22" x14ac:dyDescent="0.2">
      <c r="A4456" s="1">
        <v>38869</v>
      </c>
      <c r="B4456">
        <f>3344.78</f>
        <v>3344.78</v>
      </c>
      <c r="C4456">
        <f>4250.96</f>
        <v>4250.96</v>
      </c>
      <c r="D4456">
        <f>3175.13</f>
        <v>3175.13</v>
      </c>
      <c r="E4456">
        <f>1199.452</f>
        <v>1199.452</v>
      </c>
      <c r="F4456">
        <f>1996.82</f>
        <v>1996.82</v>
      </c>
      <c r="G4456">
        <f>6046.081</f>
        <v>6046.0810000000001</v>
      </c>
      <c r="H4456">
        <f>1781.81</f>
        <v>1781.81</v>
      </c>
      <c r="I4456">
        <f>6100.321</f>
        <v>6100.3209999999999</v>
      </c>
      <c r="J4456">
        <f>1307.49</f>
        <v>1307.49</v>
      </c>
      <c r="K4456">
        <f>4050.78</f>
        <v>4050.78</v>
      </c>
      <c r="L4456">
        <f>1006.82</f>
        <v>1006.82</v>
      </c>
      <c r="M4456">
        <f>3966.35</f>
        <v>3966.35</v>
      </c>
      <c r="N4456">
        <f>147.333</f>
        <v>147.333</v>
      </c>
      <c r="O4456">
        <f>1648.24</f>
        <v>1648.24</v>
      </c>
      <c r="P4456" t="e">
        <f>NA()</f>
        <v>#N/A</v>
      </c>
      <c r="Q4456">
        <f>728.39</f>
        <v>728.39</v>
      </c>
      <c r="R4456">
        <f>1960.28</f>
        <v>1960.28</v>
      </c>
      <c r="S4456">
        <f>1842.67</f>
        <v>1842.67</v>
      </c>
      <c r="T4456" t="e">
        <f>NA()</f>
        <v>#N/A</v>
      </c>
      <c r="U4456">
        <f>20358.25</f>
        <v>20358.25</v>
      </c>
      <c r="V4456" t="e">
        <f>NA()</f>
        <v>#N/A</v>
      </c>
    </row>
    <row r="4457" spans="1:22" x14ac:dyDescent="0.2">
      <c r="A4457" s="1">
        <v>38868</v>
      </c>
      <c r="B4457">
        <f>3342.03</f>
        <v>3342.03</v>
      </c>
      <c r="C4457">
        <f>4223.14</f>
        <v>4223.1400000000003</v>
      </c>
      <c r="D4457">
        <f>3160.84</f>
        <v>3160.84</v>
      </c>
      <c r="E4457">
        <f>1197.914</f>
        <v>1197.914</v>
      </c>
      <c r="F4457">
        <f>1991.3</f>
        <v>1991.3</v>
      </c>
      <c r="G4457">
        <f>6029.86</f>
        <v>6029.86</v>
      </c>
      <c r="H4457">
        <f>1775.47</f>
        <v>1775.47</v>
      </c>
      <c r="I4457">
        <f>6089.619</f>
        <v>6089.6189999999997</v>
      </c>
      <c r="J4457">
        <f>1294.21</f>
        <v>1294.21</v>
      </c>
      <c r="K4457">
        <f>4000.22</f>
        <v>4000.22</v>
      </c>
      <c r="L4457">
        <f>1000</f>
        <v>1000</v>
      </c>
      <c r="M4457">
        <f>3936.96</f>
        <v>3936.96</v>
      </c>
      <c r="N4457">
        <f>147.099</f>
        <v>147.09899999999999</v>
      </c>
      <c r="O4457">
        <f>1642.71</f>
        <v>1642.71</v>
      </c>
      <c r="P4457" t="e">
        <f>NA()</f>
        <v>#N/A</v>
      </c>
      <c r="Q4457">
        <f>719.54</f>
        <v>719.54</v>
      </c>
      <c r="R4457">
        <f>1936.41</f>
        <v>1936.41</v>
      </c>
      <c r="S4457">
        <f>1837.3</f>
        <v>1837.3</v>
      </c>
      <c r="T4457" t="e">
        <f>NA()</f>
        <v>#N/A</v>
      </c>
      <c r="U4457">
        <f>20565.46</f>
        <v>20565.46</v>
      </c>
      <c r="V4457" t="e">
        <f>NA()</f>
        <v>#N/A</v>
      </c>
    </row>
    <row r="4458" spans="1:22" x14ac:dyDescent="0.2">
      <c r="A4458" s="1">
        <v>38867</v>
      </c>
      <c r="B4458">
        <f>3306.31</f>
        <v>3306.31</v>
      </c>
      <c r="C4458">
        <f>4249.55</f>
        <v>4249.55</v>
      </c>
      <c r="D4458">
        <f>3120.08</f>
        <v>3120.08</v>
      </c>
      <c r="E4458">
        <f>1207.902</f>
        <v>1207.902</v>
      </c>
      <c r="F4458">
        <f>1969.16</f>
        <v>1969.16</v>
      </c>
      <c r="G4458">
        <f>6003.367</f>
        <v>6003.3670000000002</v>
      </c>
      <c r="H4458">
        <f>1806.96</f>
        <v>1806.96</v>
      </c>
      <c r="I4458">
        <f>6046.928</f>
        <v>6046.9279999999999</v>
      </c>
      <c r="J4458">
        <f>1284.28</f>
        <v>1284.28</v>
      </c>
      <c r="K4458">
        <f>3966.61</f>
        <v>3966.61</v>
      </c>
      <c r="L4458">
        <f>995.45</f>
        <v>995.45</v>
      </c>
      <c r="M4458">
        <f>3928.11</f>
        <v>3928.11</v>
      </c>
      <c r="N4458">
        <f>145.429</f>
        <v>145.429</v>
      </c>
      <c r="O4458">
        <f>1625.59</f>
        <v>1625.59</v>
      </c>
      <c r="P4458" t="e">
        <f>NA()</f>
        <v>#N/A</v>
      </c>
      <c r="Q4458">
        <f>713.99</f>
        <v>713.99</v>
      </c>
      <c r="R4458">
        <f>1920.09</f>
        <v>1920.09</v>
      </c>
      <c r="S4458">
        <f>1875.46</f>
        <v>1875.46</v>
      </c>
      <c r="T4458" t="e">
        <f>NA()</f>
        <v>#N/A</v>
      </c>
      <c r="U4458">
        <f>20473.97</f>
        <v>20473.97</v>
      </c>
      <c r="V4458" t="e">
        <f>NA()</f>
        <v>#N/A</v>
      </c>
    </row>
    <row r="4459" spans="1:22" x14ac:dyDescent="0.2">
      <c r="A4459" s="1">
        <v>38866</v>
      </c>
      <c r="B4459" t="e">
        <f>NA()</f>
        <v>#N/A</v>
      </c>
      <c r="C4459">
        <f>4345.25</f>
        <v>4345.25</v>
      </c>
      <c r="D4459" t="e">
        <f>NA()</f>
        <v>#N/A</v>
      </c>
      <c r="E4459">
        <f>1233.746</f>
        <v>1233.7460000000001</v>
      </c>
      <c r="F4459">
        <f>1994.11</f>
        <v>1994.11</v>
      </c>
      <c r="G4459">
        <f>6063.806</f>
        <v>6063.8059999999996</v>
      </c>
      <c r="H4459">
        <f>1793.78</f>
        <v>1793.78</v>
      </c>
      <c r="I4459">
        <f>6122.756</f>
        <v>6122.7560000000003</v>
      </c>
      <c r="J4459">
        <f>1302.68</f>
        <v>1302.68</v>
      </c>
      <c r="K4459">
        <f>4029.62</f>
        <v>4029.62</v>
      </c>
      <c r="L4459">
        <f>1005.42</f>
        <v>1005.42</v>
      </c>
      <c r="M4459">
        <f>3971.91</f>
        <v>3971.91</v>
      </c>
      <c r="N4459">
        <f>148.89</f>
        <v>148.88999999999999</v>
      </c>
      <c r="O4459">
        <f>1661.98</f>
        <v>1661.98</v>
      </c>
      <c r="P4459" t="e">
        <f>NA()</f>
        <v>#N/A</v>
      </c>
      <c r="Q4459" t="e">
        <f>NA()</f>
        <v>#N/A</v>
      </c>
      <c r="R4459" t="e">
        <f>NA()</f>
        <v>#N/A</v>
      </c>
      <c r="S4459">
        <f>1879.43</f>
        <v>1879.43</v>
      </c>
      <c r="T4459" t="e">
        <f>NA()</f>
        <v>#N/A</v>
      </c>
      <c r="U4459">
        <f>20829.18</f>
        <v>20829.18</v>
      </c>
      <c r="V4459" t="e">
        <f>NA()</f>
        <v>#N/A</v>
      </c>
    </row>
    <row r="4460" spans="1:22" x14ac:dyDescent="0.2">
      <c r="A4460" s="1">
        <v>38863</v>
      </c>
      <c r="B4460">
        <f>3379.51</f>
        <v>3379.51</v>
      </c>
      <c r="C4460">
        <f>4315.75</f>
        <v>4315.75</v>
      </c>
      <c r="D4460">
        <f>3196.8</f>
        <v>3196.8</v>
      </c>
      <c r="E4460">
        <f>1227.108</f>
        <v>1227.1079999999999</v>
      </c>
      <c r="F4460">
        <f>1989.98</f>
        <v>1989.98</v>
      </c>
      <c r="G4460">
        <f>6051.247</f>
        <v>6051.2470000000003</v>
      </c>
      <c r="H4460">
        <f>1788.04</f>
        <v>1788.04</v>
      </c>
      <c r="I4460">
        <f>6108.556</f>
        <v>6108.5559999999996</v>
      </c>
      <c r="J4460">
        <f>1302.68</f>
        <v>1302.68</v>
      </c>
      <c r="K4460">
        <f>4029.62</f>
        <v>4029.62</v>
      </c>
      <c r="L4460">
        <f>1004.34</f>
        <v>1004.34</v>
      </c>
      <c r="M4460">
        <f>3965.06</f>
        <v>3965.06</v>
      </c>
      <c r="N4460">
        <f>148.744</f>
        <v>148.744</v>
      </c>
      <c r="O4460">
        <f>1663</f>
        <v>1663</v>
      </c>
      <c r="P4460" t="e">
        <f>NA()</f>
        <v>#N/A</v>
      </c>
      <c r="Q4460">
        <f>724.91</f>
        <v>724.91</v>
      </c>
      <c r="R4460">
        <f>1950.87</f>
        <v>1950.87</v>
      </c>
      <c r="S4460">
        <f>1876.66</f>
        <v>1876.66</v>
      </c>
      <c r="T4460" t="e">
        <f>NA()</f>
        <v>#N/A</v>
      </c>
      <c r="U4460">
        <f>20696.16</f>
        <v>20696.16</v>
      </c>
      <c r="V4460" t="e">
        <f>NA()</f>
        <v>#N/A</v>
      </c>
    </row>
    <row r="4461" spans="1:22" x14ac:dyDescent="0.2">
      <c r="A4461" s="1">
        <v>38862</v>
      </c>
      <c r="B4461">
        <f>3312.69</f>
        <v>3312.69</v>
      </c>
      <c r="C4461">
        <f>4231.8</f>
        <v>4231.8</v>
      </c>
      <c r="D4461">
        <f>3134.25</f>
        <v>3134.25</v>
      </c>
      <c r="E4461">
        <f>1197.222</f>
        <v>1197.222</v>
      </c>
      <c r="F4461">
        <f>1973.75</f>
        <v>1973.75</v>
      </c>
      <c r="G4461">
        <f>5981.982</f>
        <v>5981.982</v>
      </c>
      <c r="H4461">
        <f>1762.76</f>
        <v>1762.76</v>
      </c>
      <c r="I4461">
        <f>6013.071</f>
        <v>6013.0709999999999</v>
      </c>
      <c r="J4461">
        <f>1296.26</f>
        <v>1296.26</v>
      </c>
      <c r="K4461">
        <f>4006.76</f>
        <v>4006.76</v>
      </c>
      <c r="L4461">
        <f>994.23</f>
        <v>994.23</v>
      </c>
      <c r="M4461">
        <f>3927.02</f>
        <v>3927.02</v>
      </c>
      <c r="N4461">
        <f>145.757</f>
        <v>145.75700000000001</v>
      </c>
      <c r="O4461">
        <f>1633.98</f>
        <v>1633.98</v>
      </c>
      <c r="P4461" t="e">
        <f>NA()</f>
        <v>#N/A</v>
      </c>
      <c r="Q4461">
        <f>721.72</f>
        <v>721.72</v>
      </c>
      <c r="R4461">
        <f>1939.52</f>
        <v>1939.52</v>
      </c>
      <c r="S4461">
        <f>1842.78</f>
        <v>1842.78</v>
      </c>
      <c r="T4461" t="e">
        <f>NA()</f>
        <v>#N/A</v>
      </c>
      <c r="U4461">
        <f>20026.38</f>
        <v>20026.38</v>
      </c>
      <c r="V4461" t="e">
        <f>NA()</f>
        <v>#N/A</v>
      </c>
    </row>
    <row r="4462" spans="1:22" x14ac:dyDescent="0.2">
      <c r="A4462" s="1">
        <v>38861</v>
      </c>
      <c r="B4462">
        <f>3275.33</f>
        <v>3275.33</v>
      </c>
      <c r="C4462">
        <f>4216.38</f>
        <v>4216.38</v>
      </c>
      <c r="D4462">
        <f>3084.22</f>
        <v>3084.22</v>
      </c>
      <c r="E4462">
        <f>1193.358</f>
        <v>1193.3579999999999</v>
      </c>
      <c r="F4462">
        <f>1947.42</f>
        <v>1947.42</v>
      </c>
      <c r="G4462">
        <f>5876.326</f>
        <v>5876.326</v>
      </c>
      <c r="H4462">
        <f>1777.7</f>
        <v>1777.7</v>
      </c>
      <c r="I4462">
        <f>5943.339</f>
        <v>5943.3389999999999</v>
      </c>
      <c r="J4462">
        <f>1283.21</f>
        <v>1283.21</v>
      </c>
      <c r="K4462">
        <f>3960.85</f>
        <v>3960.85</v>
      </c>
      <c r="L4462">
        <f>982.51</f>
        <v>982.51</v>
      </c>
      <c r="M4462">
        <f>3887.74</f>
        <v>3887.74</v>
      </c>
      <c r="N4462">
        <f>144.14</f>
        <v>144.13999999999999</v>
      </c>
      <c r="O4462">
        <f>1613.28</f>
        <v>1613.28</v>
      </c>
      <c r="P4462" t="e">
        <f>NA()</f>
        <v>#N/A</v>
      </c>
      <c r="Q4462">
        <f>717.2</f>
        <v>717.2</v>
      </c>
      <c r="R4462">
        <f>1917.48</f>
        <v>1917.48</v>
      </c>
      <c r="S4462">
        <f>1867.54</f>
        <v>1867.54</v>
      </c>
      <c r="T4462" t="e">
        <f>NA()</f>
        <v>#N/A</v>
      </c>
      <c r="U4462">
        <f>20014.29</f>
        <v>20014.29</v>
      </c>
      <c r="V4462" t="e">
        <f>NA()</f>
        <v>#N/A</v>
      </c>
    </row>
    <row r="4463" spans="1:22" x14ac:dyDescent="0.2">
      <c r="A4463" s="1">
        <v>38860</v>
      </c>
      <c r="B4463">
        <f>3330.51</f>
        <v>3330.51</v>
      </c>
      <c r="C4463">
        <f>4289.25</f>
        <v>4289.25</v>
      </c>
      <c r="D4463">
        <f>3134.33</f>
        <v>3134.33</v>
      </c>
      <c r="E4463">
        <f>1216.402</f>
        <v>1216.402</v>
      </c>
      <c r="F4463">
        <f>1985.33</f>
        <v>1985.33</v>
      </c>
      <c r="G4463">
        <f>6020.606</f>
        <v>6020.6059999999998</v>
      </c>
      <c r="H4463">
        <f>1769.38</f>
        <v>1769.38</v>
      </c>
      <c r="I4463">
        <f>6060.162</f>
        <v>6060.1620000000003</v>
      </c>
      <c r="J4463">
        <f>1282.27</f>
        <v>1282.27</v>
      </c>
      <c r="K4463">
        <f>3954.75</f>
        <v>3954.75</v>
      </c>
      <c r="L4463">
        <f>992.69</f>
        <v>992.69</v>
      </c>
      <c r="M4463">
        <f>3910.2</f>
        <v>3910.2</v>
      </c>
      <c r="N4463">
        <f>146.23</f>
        <v>146.22999999999999</v>
      </c>
      <c r="O4463">
        <f>1634.89</f>
        <v>1634.89</v>
      </c>
      <c r="P4463" t="e">
        <f>NA()</f>
        <v>#N/A</v>
      </c>
      <c r="Q4463">
        <f>714.8</f>
        <v>714.8</v>
      </c>
      <c r="R4463">
        <f>1914.38</f>
        <v>1914.38</v>
      </c>
      <c r="S4463">
        <f>1836.44</f>
        <v>1836.44</v>
      </c>
      <c r="T4463" t="e">
        <f>NA()</f>
        <v>#N/A</v>
      </c>
      <c r="U4463">
        <f>20394.58</f>
        <v>20394.580000000002</v>
      </c>
      <c r="V4463" t="e">
        <f>NA()</f>
        <v>#N/A</v>
      </c>
    </row>
    <row r="4464" spans="1:22" x14ac:dyDescent="0.2">
      <c r="A4464" s="1">
        <v>38859</v>
      </c>
      <c r="B4464">
        <f>3242.48</f>
        <v>3242.48</v>
      </c>
      <c r="C4464">
        <f>4228.88</f>
        <v>4228.88</v>
      </c>
      <c r="D4464">
        <f>3053.75</f>
        <v>3053.75</v>
      </c>
      <c r="E4464">
        <f>1195.298</f>
        <v>1195.298</v>
      </c>
      <c r="F4464">
        <f>1945.26</f>
        <v>1945.26</v>
      </c>
      <c r="G4464">
        <f>5856.966</f>
        <v>5856.9660000000003</v>
      </c>
      <c r="H4464">
        <f>1782.87</f>
        <v>1782.87</v>
      </c>
      <c r="I4464">
        <f>5894.313</f>
        <v>5894.3130000000001</v>
      </c>
      <c r="J4464">
        <f>1286.89</f>
        <v>1286.8900000000001</v>
      </c>
      <c r="K4464">
        <f>3972.78</f>
        <v>3972.78</v>
      </c>
      <c r="L4464">
        <f>980.99</f>
        <v>980.99</v>
      </c>
      <c r="M4464">
        <f>3892.09</f>
        <v>3892.09</v>
      </c>
      <c r="N4464">
        <f>142.396</f>
        <v>142.39599999999999</v>
      </c>
      <c r="O4464">
        <f>1596.08</f>
        <v>1596.08</v>
      </c>
      <c r="P4464" t="e">
        <f>NA()</f>
        <v>#N/A</v>
      </c>
      <c r="Q4464">
        <f>716.56</f>
        <v>716.56</v>
      </c>
      <c r="R4464">
        <f>1922.72</f>
        <v>1922.72</v>
      </c>
      <c r="S4464">
        <f>1879</f>
        <v>1879</v>
      </c>
      <c r="T4464" t="e">
        <f>NA()</f>
        <v>#N/A</v>
      </c>
      <c r="U4464">
        <f>19641.52</f>
        <v>19641.52</v>
      </c>
      <c r="V4464" t="e">
        <f>NA()</f>
        <v>#N/A</v>
      </c>
    </row>
    <row r="4465" spans="1:22" x14ac:dyDescent="0.2">
      <c r="A4465" s="1">
        <v>38856</v>
      </c>
      <c r="B4465">
        <f>3307.68</f>
        <v>3307.68</v>
      </c>
      <c r="C4465">
        <f>4414.33</f>
        <v>4414.33</v>
      </c>
      <c r="D4465">
        <f>3122.55</f>
        <v>3122.55</v>
      </c>
      <c r="E4465">
        <f>1253.42</f>
        <v>1253.42</v>
      </c>
      <c r="F4465">
        <f>1974.18</f>
        <v>1974.18</v>
      </c>
      <c r="G4465">
        <f>5960.651</f>
        <v>5960.6509999999998</v>
      </c>
      <c r="H4465">
        <f>1809.62</f>
        <v>1809.62</v>
      </c>
      <c r="I4465">
        <f>6009.732</f>
        <v>6009.732</v>
      </c>
      <c r="J4465">
        <f>1287.66</f>
        <v>1287.6600000000001</v>
      </c>
      <c r="K4465">
        <f>3989.27</f>
        <v>3989.27</v>
      </c>
      <c r="L4465">
        <f>991.28</f>
        <v>991.28</v>
      </c>
      <c r="M4465">
        <f>3931.88</f>
        <v>3931.88</v>
      </c>
      <c r="N4465">
        <f>146.257</f>
        <v>146.25700000000001</v>
      </c>
      <c r="O4465">
        <f>1637.29</f>
        <v>1637.29</v>
      </c>
      <c r="P4465" t="e">
        <f>NA()</f>
        <v>#N/A</v>
      </c>
      <c r="Q4465">
        <f>718.53</f>
        <v>718.53</v>
      </c>
      <c r="R4465">
        <f>1930.27</f>
        <v>1930.27</v>
      </c>
      <c r="S4465">
        <f>1905.4</f>
        <v>1905.4</v>
      </c>
      <c r="T4465" t="e">
        <f>NA()</f>
        <v>#N/A</v>
      </c>
      <c r="U4465">
        <f>20199.75</f>
        <v>20199.75</v>
      </c>
      <c r="V4465" t="e">
        <f>NA()</f>
        <v>#N/A</v>
      </c>
    </row>
    <row r="4466" spans="1:22" x14ac:dyDescent="0.2">
      <c r="A4466" s="1">
        <v>38855</v>
      </c>
      <c r="B4466">
        <f>3304.76</f>
        <v>3304.76</v>
      </c>
      <c r="C4466">
        <f>4436.48</f>
        <v>4436.4799999999996</v>
      </c>
      <c r="D4466">
        <f>3130.4</f>
        <v>3130.4</v>
      </c>
      <c r="E4466">
        <f>1261.715</f>
        <v>1261.7149999999999</v>
      </c>
      <c r="F4466">
        <f>2000.04</f>
        <v>2000.04</v>
      </c>
      <c r="G4466">
        <f>6033.647</f>
        <v>6033.6469999999999</v>
      </c>
      <c r="H4466">
        <f>1824.15</f>
        <v>1824.15</v>
      </c>
      <c r="I4466">
        <f>6041.683</f>
        <v>6041.683</v>
      </c>
      <c r="J4466">
        <f>1283.79</f>
        <v>1283.79</v>
      </c>
      <c r="K4466">
        <f>3973.19</f>
        <v>3973.19</v>
      </c>
      <c r="L4466">
        <f>994.08</f>
        <v>994.08</v>
      </c>
      <c r="M4466">
        <f>3941</f>
        <v>3941</v>
      </c>
      <c r="N4466">
        <f>146.665</f>
        <v>146.66499999999999</v>
      </c>
      <c r="O4466">
        <f>1637.23</f>
        <v>1637.23</v>
      </c>
      <c r="P4466" t="e">
        <f>NA()</f>
        <v>#N/A</v>
      </c>
      <c r="Q4466">
        <f>715.26</f>
        <v>715.26</v>
      </c>
      <c r="R4466">
        <f>1922.32</f>
        <v>1922.32</v>
      </c>
      <c r="S4466">
        <f>1897.87</f>
        <v>1897.87</v>
      </c>
      <c r="T4466" t="e">
        <f>NA()</f>
        <v>#N/A</v>
      </c>
      <c r="U4466">
        <f>20373.33</f>
        <v>20373.330000000002</v>
      </c>
      <c r="V4466" t="e">
        <f>NA()</f>
        <v>#N/A</v>
      </c>
    </row>
    <row r="4467" spans="1:22" x14ac:dyDescent="0.2">
      <c r="A4467" s="1">
        <v>38854</v>
      </c>
      <c r="B4467">
        <f>3332.55</f>
        <v>3332.55</v>
      </c>
      <c r="C4467">
        <f>4556.2</f>
        <v>4556.2</v>
      </c>
      <c r="D4467">
        <f>3132.56</f>
        <v>3132.56</v>
      </c>
      <c r="E4467">
        <f>1300.468</f>
        <v>1300.4680000000001</v>
      </c>
      <c r="F4467">
        <f>1987.96</f>
        <v>1987.96</v>
      </c>
      <c r="G4467">
        <f>6026.735</f>
        <v>6026.7349999999997</v>
      </c>
      <c r="H4467">
        <f>1868.56</f>
        <v>1868.56</v>
      </c>
      <c r="I4467">
        <f>6060.273</f>
        <v>6060.2730000000001</v>
      </c>
      <c r="J4467">
        <f>1291.7</f>
        <v>1291.7</v>
      </c>
      <c r="K4467">
        <f>4000.3</f>
        <v>4000.3</v>
      </c>
      <c r="L4467">
        <f>998.15</f>
        <v>998.15</v>
      </c>
      <c r="M4467">
        <f>3973.27</f>
        <v>3973.27</v>
      </c>
      <c r="N4467">
        <f>147.619</f>
        <v>147.619</v>
      </c>
      <c r="O4467">
        <f>1642.45</f>
        <v>1642.45</v>
      </c>
      <c r="P4467" t="e">
        <f>NA()</f>
        <v>#N/A</v>
      </c>
      <c r="Q4467">
        <f>718.7</f>
        <v>718.7</v>
      </c>
      <c r="R4467">
        <f>1935.18</f>
        <v>1935.18</v>
      </c>
      <c r="S4467">
        <f>1926.92</f>
        <v>1926.92</v>
      </c>
      <c r="T4467" t="e">
        <f>NA()</f>
        <v>#N/A</v>
      </c>
      <c r="U4467">
        <f>20652.61</f>
        <v>20652.61</v>
      </c>
      <c r="V4467" t="e">
        <f>NA()</f>
        <v>#N/A</v>
      </c>
    </row>
    <row r="4468" spans="1:22" x14ac:dyDescent="0.2">
      <c r="A4468" s="1">
        <v>38853</v>
      </c>
      <c r="B4468">
        <f>3403.54</f>
        <v>3403.54</v>
      </c>
      <c r="C4468">
        <f>4558.67</f>
        <v>4558.67</v>
      </c>
      <c r="D4468">
        <f>3223.78</f>
        <v>3223.78</v>
      </c>
      <c r="E4468">
        <f>1302.106</f>
        <v>1302.106</v>
      </c>
      <c r="F4468">
        <f>2034.32</f>
        <v>2034.32</v>
      </c>
      <c r="G4468">
        <f>6202.176</f>
        <v>6202.1760000000004</v>
      </c>
      <c r="H4468">
        <f>1850.1</f>
        <v>1850.1</v>
      </c>
      <c r="I4468">
        <f>6277.817</f>
        <v>6277.817</v>
      </c>
      <c r="J4468">
        <f>1315.53</f>
        <v>1315.53</v>
      </c>
      <c r="K4468">
        <f>4067.97</f>
        <v>4067.97</v>
      </c>
      <c r="L4468">
        <f>1022.5</f>
        <v>1022.5</v>
      </c>
      <c r="M4468">
        <f>4044.82</f>
        <v>4044.82</v>
      </c>
      <c r="N4468">
        <f>150.998</f>
        <v>150.99799999999999</v>
      </c>
      <c r="O4468">
        <f>1688.12</f>
        <v>1688.12</v>
      </c>
      <c r="P4468" t="e">
        <f>NA()</f>
        <v>#N/A</v>
      </c>
      <c r="Q4468">
        <f>730.3</f>
        <v>730.3</v>
      </c>
      <c r="R4468">
        <f>1967.79</f>
        <v>1967.79</v>
      </c>
      <c r="S4468">
        <f>1912.85</f>
        <v>1912.85</v>
      </c>
      <c r="T4468" t="e">
        <f>NA()</f>
        <v>#N/A</v>
      </c>
      <c r="U4468">
        <f>20812.95</f>
        <v>20812.95</v>
      </c>
      <c r="V4468" t="e">
        <f>NA()</f>
        <v>#N/A</v>
      </c>
    </row>
    <row r="4469" spans="1:22" x14ac:dyDescent="0.2">
      <c r="A4469" s="1">
        <v>38852</v>
      </c>
      <c r="B4469">
        <f>3395.95</f>
        <v>3395.95</v>
      </c>
      <c r="C4469">
        <f>4572.36</f>
        <v>4572.3599999999997</v>
      </c>
      <c r="D4469">
        <f>3221.08</f>
        <v>3221.08</v>
      </c>
      <c r="E4469">
        <f>1306.195</f>
        <v>1306.1949999999999</v>
      </c>
      <c r="F4469">
        <f>2016.95</f>
        <v>2016.95</v>
      </c>
      <c r="G4469">
        <f>6182.827</f>
        <v>6182.8270000000002</v>
      </c>
      <c r="H4469">
        <f>1876.5</f>
        <v>1876.5</v>
      </c>
      <c r="I4469">
        <f>6256.144</f>
        <v>6256.1440000000002</v>
      </c>
      <c r="J4469">
        <f>1314.08</f>
        <v>1314.08</v>
      </c>
      <c r="K4469">
        <f>4075.48</f>
        <v>4075.48</v>
      </c>
      <c r="L4469">
        <f>1020.05</f>
        <v>1020.05</v>
      </c>
      <c r="M4469">
        <f>4053.78</f>
        <v>4053.78</v>
      </c>
      <c r="N4469">
        <f>150.173</f>
        <v>150.173</v>
      </c>
      <c r="O4469">
        <f>1684.69</f>
        <v>1684.69</v>
      </c>
      <c r="P4469" t="e">
        <f>NA()</f>
        <v>#N/A</v>
      </c>
      <c r="Q4469">
        <f>731.38</f>
        <v>731.38</v>
      </c>
      <c r="R4469">
        <f>1971.45</f>
        <v>1971.45</v>
      </c>
      <c r="S4469">
        <f>1955.69</f>
        <v>1955.69</v>
      </c>
      <c r="T4469" t="e">
        <f>NA()</f>
        <v>#N/A</v>
      </c>
      <c r="U4469">
        <f>20974.14</f>
        <v>20974.14</v>
      </c>
      <c r="V4469" t="e">
        <f>NA()</f>
        <v>#N/A</v>
      </c>
    </row>
    <row r="4470" spans="1:22" x14ac:dyDescent="0.2">
      <c r="A4470" s="1">
        <v>38849</v>
      </c>
      <c r="B4470">
        <f>3435.38</f>
        <v>3435.38</v>
      </c>
      <c r="C4470">
        <f>4777.16</f>
        <v>4777.16</v>
      </c>
      <c r="D4470">
        <f>3260.14</f>
        <v>3260.14</v>
      </c>
      <c r="E4470">
        <f>1364.399</f>
        <v>1364.3989999999999</v>
      </c>
      <c r="F4470">
        <f>2027.6</f>
        <v>2027.6</v>
      </c>
      <c r="G4470">
        <f>6282.847</f>
        <v>6282.8469999999998</v>
      </c>
      <c r="H4470">
        <f>1873.53</f>
        <v>1873.53</v>
      </c>
      <c r="I4470">
        <f>6375.418</f>
        <v>6375.4179999999997</v>
      </c>
      <c r="J4470">
        <f>1306.58</f>
        <v>1306.58</v>
      </c>
      <c r="K4470">
        <f>4065.85</f>
        <v>4065.85</v>
      </c>
      <c r="L4470">
        <f>1027.51</f>
        <v>1027.51</v>
      </c>
      <c r="M4470">
        <f>4081.27</f>
        <v>4081.27</v>
      </c>
      <c r="N4470">
        <f>151.949</f>
        <v>151.94900000000001</v>
      </c>
      <c r="O4470">
        <f>1706.3</f>
        <v>1706.3</v>
      </c>
      <c r="P4470" t="e">
        <f>NA()</f>
        <v>#N/A</v>
      </c>
      <c r="Q4470">
        <f>727.77</f>
        <v>727.77</v>
      </c>
      <c r="R4470">
        <f>1966.27</f>
        <v>1966.27</v>
      </c>
      <c r="S4470">
        <f>1963.1</f>
        <v>1963.1</v>
      </c>
      <c r="T4470" t="e">
        <f>NA()</f>
        <v>#N/A</v>
      </c>
      <c r="U4470">
        <f>21781.46</f>
        <v>21781.46</v>
      </c>
      <c r="V4470" t="e">
        <f>NA()</f>
        <v>#N/A</v>
      </c>
    </row>
    <row r="4471" spans="1:22" x14ac:dyDescent="0.2">
      <c r="A4471" s="1">
        <v>38848</v>
      </c>
      <c r="B4471">
        <f>3508.17</f>
        <v>3508.17</v>
      </c>
      <c r="C4471">
        <f>4878.11</f>
        <v>4878.1099999999997</v>
      </c>
      <c r="D4471">
        <f>3331.78</f>
        <v>3331.78</v>
      </c>
      <c r="E4471">
        <f>1390.053</f>
        <v>1390.0530000000001</v>
      </c>
      <c r="F4471">
        <f>2056.53</f>
        <v>2056.5300000000002</v>
      </c>
      <c r="G4471">
        <f>6383.239</f>
        <v>6383.2389999999996</v>
      </c>
      <c r="H4471">
        <f>1885.95</f>
        <v>1885.95</v>
      </c>
      <c r="I4471">
        <f>6474.967</f>
        <v>6474.9669999999996</v>
      </c>
      <c r="J4471">
        <f>1321.39</f>
        <v>1321.39</v>
      </c>
      <c r="K4471">
        <f>4112.87</f>
        <v>4112.87</v>
      </c>
      <c r="L4471">
        <f>1041.13</f>
        <v>1041.1300000000001</v>
      </c>
      <c r="M4471">
        <f>4134.06</f>
        <v>4134.0600000000004</v>
      </c>
      <c r="N4471">
        <f>154.537</f>
        <v>154.53700000000001</v>
      </c>
      <c r="O4471">
        <f>1741.76</f>
        <v>1741.76</v>
      </c>
      <c r="P4471" t="e">
        <f>NA()</f>
        <v>#N/A</v>
      </c>
      <c r="Q4471">
        <f>734.78</f>
        <v>734.78</v>
      </c>
      <c r="R4471">
        <f>1988.56</f>
        <v>1988.56</v>
      </c>
      <c r="S4471">
        <f>1989.98</f>
        <v>1989.98</v>
      </c>
      <c r="T4471" t="e">
        <f>NA()</f>
        <v>#N/A</v>
      </c>
      <c r="U4471">
        <f>22094.12</f>
        <v>22094.12</v>
      </c>
      <c r="V4471" t="e">
        <f>NA()</f>
        <v>#N/A</v>
      </c>
    </row>
    <row r="4472" spans="1:22" x14ac:dyDescent="0.2">
      <c r="A4472" s="1">
        <v>38847</v>
      </c>
      <c r="B4472">
        <f>3523.95</f>
        <v>3523.95</v>
      </c>
      <c r="C4472">
        <f>4913.15</f>
        <v>4913.1499999999996</v>
      </c>
      <c r="D4472">
        <f>3354.59</f>
        <v>3354.59</v>
      </c>
      <c r="E4472">
        <f>1399.525</f>
        <v>1399.5250000000001</v>
      </c>
      <c r="F4472">
        <f>2062.64</f>
        <v>2062.64</v>
      </c>
      <c r="G4472">
        <f>6375.233</f>
        <v>6375.2330000000002</v>
      </c>
      <c r="H4472">
        <f>1895.75</f>
        <v>1895.75</v>
      </c>
      <c r="I4472">
        <f>6494.269</f>
        <v>6494.2690000000002</v>
      </c>
      <c r="J4472">
        <f>1333.58</f>
        <v>1333.58</v>
      </c>
      <c r="K4472">
        <f>4165.07</f>
        <v>4165.07</v>
      </c>
      <c r="L4472">
        <f>1045.71</f>
        <v>1045.71</v>
      </c>
      <c r="M4472">
        <f>4167.26</f>
        <v>4167.26</v>
      </c>
      <c r="N4472">
        <f>155.299</f>
        <v>155.29900000000001</v>
      </c>
      <c r="O4472">
        <f>1747.89</f>
        <v>1747.89</v>
      </c>
      <c r="P4472" t="e">
        <f>NA()</f>
        <v>#N/A</v>
      </c>
      <c r="Q4472">
        <f>741.34</f>
        <v>741.34</v>
      </c>
      <c r="R4472">
        <f>2013.99</f>
        <v>2013.99</v>
      </c>
      <c r="S4472">
        <f>2005.98</f>
        <v>2005.98</v>
      </c>
      <c r="T4472" t="e">
        <f>NA()</f>
        <v>#N/A</v>
      </c>
      <c r="U4472">
        <f>22024.03</f>
        <v>22024.03</v>
      </c>
      <c r="V4472" t="e">
        <f>NA()</f>
        <v>#N/A</v>
      </c>
    </row>
    <row r="4473" spans="1:22" x14ac:dyDescent="0.2">
      <c r="A4473" s="1">
        <v>38846</v>
      </c>
      <c r="B4473">
        <f>3515.86</f>
        <v>3515.86</v>
      </c>
      <c r="C4473">
        <f>4909.65</f>
        <v>4909.6499999999996</v>
      </c>
      <c r="D4473">
        <f>3360.56</f>
        <v>3360.56</v>
      </c>
      <c r="E4473">
        <f>1402.11</f>
        <v>1402.11</v>
      </c>
      <c r="F4473">
        <f>2065.75</f>
        <v>2065.75</v>
      </c>
      <c r="G4473">
        <f>6392.756</f>
        <v>6392.7560000000003</v>
      </c>
      <c r="H4473">
        <f>1906.46</f>
        <v>1906.46</v>
      </c>
      <c r="I4473">
        <f>6501.876</f>
        <v>6501.8760000000002</v>
      </c>
      <c r="J4473">
        <f>1336.25</f>
        <v>1336.25</v>
      </c>
      <c r="K4473">
        <f>4170.72</f>
        <v>4170.72</v>
      </c>
      <c r="L4473">
        <f>1047.61</f>
        <v>1047.6099999999999</v>
      </c>
      <c r="M4473">
        <f>4175.82</f>
        <v>4175.82</v>
      </c>
      <c r="N4473">
        <f>155.943</f>
        <v>155.94300000000001</v>
      </c>
      <c r="O4473">
        <f>1755.68</f>
        <v>1755.68</v>
      </c>
      <c r="P4473" t="e">
        <f>NA()</f>
        <v>#N/A</v>
      </c>
      <c r="Q4473">
        <f>742.58</f>
        <v>742.58</v>
      </c>
      <c r="R4473">
        <f>2016.6</f>
        <v>2016.6</v>
      </c>
      <c r="S4473">
        <f>2032.08</f>
        <v>2032.08</v>
      </c>
      <c r="T4473" t="e">
        <f>NA()</f>
        <v>#N/A</v>
      </c>
      <c r="U4473">
        <f>21913.55</f>
        <v>21913.55</v>
      </c>
      <c r="V4473" t="e">
        <f>NA()</f>
        <v>#N/A</v>
      </c>
    </row>
    <row r="4474" spans="1:22" x14ac:dyDescent="0.2">
      <c r="A4474" s="1">
        <v>38845</v>
      </c>
      <c r="B4474">
        <f>3514.53</f>
        <v>3514.53</v>
      </c>
      <c r="C4474">
        <f>4915.63</f>
        <v>4915.63</v>
      </c>
      <c r="D4474">
        <f>3339.34</f>
        <v>3339.34</v>
      </c>
      <c r="E4474">
        <f>1402.464</f>
        <v>1402.4639999999999</v>
      </c>
      <c r="F4474">
        <f>2054.71</f>
        <v>2054.71</v>
      </c>
      <c r="G4474">
        <f>6331.187</f>
        <v>6331.1869999999999</v>
      </c>
      <c r="H4474">
        <f>1909.46</f>
        <v>1909.46</v>
      </c>
      <c r="I4474">
        <f>6456.396</f>
        <v>6456.3959999999997</v>
      </c>
      <c r="J4474">
        <f>1335.59</f>
        <v>1335.59</v>
      </c>
      <c r="K4474">
        <f>4169.58</f>
        <v>4169.58</v>
      </c>
      <c r="L4474">
        <f>1042.71</f>
        <v>1042.71</v>
      </c>
      <c r="M4474">
        <f>4163.35</f>
        <v>4163.3500000000004</v>
      </c>
      <c r="N4474">
        <f>155.903</f>
        <v>155.90299999999999</v>
      </c>
      <c r="O4474">
        <f>1747.28</f>
        <v>1747.28</v>
      </c>
      <c r="P4474" t="e">
        <f>NA()</f>
        <v>#N/A</v>
      </c>
      <c r="Q4474">
        <f>742.82</f>
        <v>742.82</v>
      </c>
      <c r="R4474">
        <f>2015.84</f>
        <v>2015.84</v>
      </c>
      <c r="S4474">
        <f>2040.82</f>
        <v>2040.82</v>
      </c>
      <c r="T4474" t="e">
        <f>NA()</f>
        <v>#N/A</v>
      </c>
      <c r="U4474">
        <f>21756.9</f>
        <v>21756.9</v>
      </c>
      <c r="V4474" t="e">
        <f>NA()</f>
        <v>#N/A</v>
      </c>
    </row>
    <row r="4475" spans="1:22" x14ac:dyDescent="0.2">
      <c r="A4475" s="1">
        <v>38842</v>
      </c>
      <c r="B4475">
        <f>3508.79</f>
        <v>3508.79</v>
      </c>
      <c r="C4475">
        <f>4851.77</f>
        <v>4851.7700000000004</v>
      </c>
      <c r="D4475">
        <f>3352.91</f>
        <v>3352.91</v>
      </c>
      <c r="E4475">
        <f>1384.519</f>
        <v>1384.519</v>
      </c>
      <c r="F4475">
        <f>2050.1</f>
        <v>2050.1</v>
      </c>
      <c r="G4475">
        <f>6358.894</f>
        <v>6358.8940000000002</v>
      </c>
      <c r="H4475">
        <f>1868.02</f>
        <v>1868.02</v>
      </c>
      <c r="I4475">
        <f>6449.706</f>
        <v>6449.7060000000001</v>
      </c>
      <c r="J4475">
        <f>1339.1</f>
        <v>1339.1</v>
      </c>
      <c r="K4475">
        <f>4171.52</f>
        <v>4171.5200000000004</v>
      </c>
      <c r="L4475">
        <f>1044.57</f>
        <v>1044.57</v>
      </c>
      <c r="M4475">
        <f>4154.95</f>
        <v>4154.95</v>
      </c>
      <c r="N4475">
        <f>156.107</f>
        <v>156.107</v>
      </c>
      <c r="O4475">
        <f>1746.49</f>
        <v>1746.49</v>
      </c>
      <c r="P4475" t="e">
        <f>NA()</f>
        <v>#N/A</v>
      </c>
      <c r="Q4475">
        <f>739.74</f>
        <v>739.74</v>
      </c>
      <c r="R4475">
        <f>2017.34</f>
        <v>2017.34</v>
      </c>
      <c r="S4475" t="e">
        <f>NA()</f>
        <v>#N/A</v>
      </c>
      <c r="T4475" t="e">
        <f>NA()</f>
        <v>#N/A</v>
      </c>
      <c r="U4475">
        <f>21822.24</f>
        <v>21822.240000000002</v>
      </c>
      <c r="V4475" t="e">
        <f>NA()</f>
        <v>#N/A</v>
      </c>
    </row>
    <row r="4476" spans="1:22" x14ac:dyDescent="0.2">
      <c r="A4476" s="1">
        <v>38841</v>
      </c>
      <c r="B4476">
        <f>3472.56</f>
        <v>3472.56</v>
      </c>
      <c r="C4476">
        <f>4816.19</f>
        <v>4816.1899999999996</v>
      </c>
      <c r="D4476">
        <f>3322.72</f>
        <v>3322.72</v>
      </c>
      <c r="E4476">
        <f>1375.064</f>
        <v>1375.0640000000001</v>
      </c>
      <c r="F4476">
        <f>2024.54</f>
        <v>2024.54</v>
      </c>
      <c r="G4476">
        <f>6267.792</f>
        <v>6267.7920000000004</v>
      </c>
      <c r="H4476">
        <f>1848.36</f>
        <v>1848.36</v>
      </c>
      <c r="I4476">
        <f>6360.353</f>
        <v>6360.3530000000001</v>
      </c>
      <c r="J4476">
        <f>1326.17</f>
        <v>1326.17</v>
      </c>
      <c r="K4476">
        <f>4127.72</f>
        <v>4127.72</v>
      </c>
      <c r="L4476">
        <f>1032.16</f>
        <v>1032.1600000000001</v>
      </c>
      <c r="M4476">
        <f>4106.99</f>
        <v>4106.99</v>
      </c>
      <c r="N4476">
        <f>154.136</f>
        <v>154.136</v>
      </c>
      <c r="O4476">
        <f>1728.65</f>
        <v>1728.65</v>
      </c>
      <c r="P4476" t="e">
        <f>NA()</f>
        <v>#N/A</v>
      </c>
      <c r="Q4476">
        <f>733.54</f>
        <v>733.54</v>
      </c>
      <c r="R4476">
        <f>1996.74</f>
        <v>1996.74</v>
      </c>
      <c r="S4476" t="e">
        <f>NA()</f>
        <v>#N/A</v>
      </c>
      <c r="T4476" t="e">
        <f>NA()</f>
        <v>#N/A</v>
      </c>
      <c r="U4476">
        <f>21525.35</f>
        <v>21525.35</v>
      </c>
      <c r="V4476" t="e">
        <f>NA()</f>
        <v>#N/A</v>
      </c>
    </row>
    <row r="4477" spans="1:22" x14ac:dyDescent="0.2">
      <c r="A4477" s="1">
        <v>38840</v>
      </c>
      <c r="B4477">
        <f>3465.6</f>
        <v>3465.6</v>
      </c>
      <c r="C4477">
        <f>4795.62</f>
        <v>4795.62</v>
      </c>
      <c r="D4477">
        <f>3307.93</f>
        <v>3307.93</v>
      </c>
      <c r="E4477">
        <f>1367.872</f>
        <v>1367.8720000000001</v>
      </c>
      <c r="F4477">
        <f>2011.74</f>
        <v>2011.74</v>
      </c>
      <c r="G4477">
        <f>6211.681</f>
        <v>6211.6809999999996</v>
      </c>
      <c r="H4477">
        <f>1846.97</f>
        <v>1846.97</v>
      </c>
      <c r="I4477">
        <f>6279.891</f>
        <v>6279.8909999999996</v>
      </c>
      <c r="J4477">
        <f>1322.28</f>
        <v>1322.28</v>
      </c>
      <c r="K4477">
        <f>4112.75</f>
        <v>4112.75</v>
      </c>
      <c r="L4477">
        <f>1025.64</f>
        <v>1025.6400000000001</v>
      </c>
      <c r="M4477">
        <f>4086.64</f>
        <v>4086.64</v>
      </c>
      <c r="N4477">
        <f>153.252</f>
        <v>153.25200000000001</v>
      </c>
      <c r="O4477">
        <f>1719.4</f>
        <v>1719.4</v>
      </c>
      <c r="P4477" t="e">
        <f>NA()</f>
        <v>#N/A</v>
      </c>
      <c r="Q4477">
        <f>732.77</f>
        <v>732.77</v>
      </c>
      <c r="R4477">
        <f>1989.97</f>
        <v>1989.97</v>
      </c>
      <c r="S4477" t="e">
        <f>NA()</f>
        <v>#N/A</v>
      </c>
      <c r="T4477" t="e">
        <f>NA()</f>
        <v>#N/A</v>
      </c>
      <c r="U4477">
        <f>21362.71</f>
        <v>21362.71</v>
      </c>
      <c r="V4477" t="e">
        <f>NA()</f>
        <v>#N/A</v>
      </c>
    </row>
    <row r="4478" spans="1:22" x14ac:dyDescent="0.2">
      <c r="A4478" s="1">
        <v>38839</v>
      </c>
      <c r="B4478">
        <f>3492.39</f>
        <v>3492.39</v>
      </c>
      <c r="C4478">
        <f>4778.08</f>
        <v>4778.08</v>
      </c>
      <c r="D4478">
        <f>3346.3</f>
        <v>3346.3</v>
      </c>
      <c r="E4478">
        <f>1362.323</f>
        <v>1362.3230000000001</v>
      </c>
      <c r="F4478">
        <f>2030.29</f>
        <v>2030.29</v>
      </c>
      <c r="G4478">
        <f>6277.279</f>
        <v>6277.2790000000005</v>
      </c>
      <c r="H4478">
        <f>1853.83</f>
        <v>1853.83</v>
      </c>
      <c r="I4478">
        <f>6344.782</f>
        <v>6344.7820000000002</v>
      </c>
      <c r="J4478">
        <f>1327.52</f>
        <v>1327.52</v>
      </c>
      <c r="K4478">
        <f>4127.96</f>
        <v>4127.96</v>
      </c>
      <c r="L4478">
        <f>1031.11</f>
        <v>1031.1099999999999</v>
      </c>
      <c r="M4478">
        <f>4109.06</f>
        <v>4109.0600000000004</v>
      </c>
      <c r="N4478">
        <f>153.793</f>
        <v>153.79300000000001</v>
      </c>
      <c r="O4478">
        <f>1734.13</f>
        <v>1734.13</v>
      </c>
      <c r="P4478" t="e">
        <f>NA()</f>
        <v>#N/A</v>
      </c>
      <c r="Q4478">
        <f>732.86</f>
        <v>732.86</v>
      </c>
      <c r="R4478">
        <f>1997.75</f>
        <v>1997.75</v>
      </c>
      <c r="S4478">
        <f>2020.07</f>
        <v>2020.07</v>
      </c>
      <c r="T4478" t="e">
        <f>NA()</f>
        <v>#N/A</v>
      </c>
      <c r="U4478">
        <f>21394.18</f>
        <v>21394.18</v>
      </c>
      <c r="V4478" t="e">
        <f>NA()</f>
        <v>#N/A</v>
      </c>
    </row>
    <row r="4479" spans="1:22" x14ac:dyDescent="0.2">
      <c r="A4479" s="1">
        <v>38838</v>
      </c>
      <c r="B4479" t="e">
        <f>NA()</f>
        <v>#N/A</v>
      </c>
      <c r="C4479">
        <f>4731.67</f>
        <v>4731.67</v>
      </c>
      <c r="D4479" t="e">
        <f>NA()</f>
        <v>#N/A</v>
      </c>
      <c r="E4479">
        <f>1343.272</f>
        <v>1343.2719999999999</v>
      </c>
      <c r="F4479">
        <f>2003.74</f>
        <v>2003.74</v>
      </c>
      <c r="G4479">
        <f>6196.069</f>
        <v>6196.0690000000004</v>
      </c>
      <c r="H4479">
        <f>1839</f>
        <v>1839</v>
      </c>
      <c r="I4479">
        <f>6291.04</f>
        <v>6291.04</v>
      </c>
      <c r="J4479">
        <f>1318.98</f>
        <v>1318.98</v>
      </c>
      <c r="K4479">
        <f>4104.91</f>
        <v>4104.91</v>
      </c>
      <c r="L4479">
        <f>1023.1</f>
        <v>1023.1</v>
      </c>
      <c r="M4479">
        <f>4077.9</f>
        <v>4077.9</v>
      </c>
      <c r="N4479" t="e">
        <f>NA()</f>
        <v>#N/A</v>
      </c>
      <c r="O4479" t="e">
        <f>NA()</f>
        <v>#N/A</v>
      </c>
      <c r="P4479" t="e">
        <f>NA()</f>
        <v>#N/A</v>
      </c>
      <c r="Q4479">
        <f>729.42</f>
        <v>729.42</v>
      </c>
      <c r="R4479">
        <f>1985.55</f>
        <v>1985.55</v>
      </c>
      <c r="S4479">
        <f>1996.8</f>
        <v>1996.8</v>
      </c>
      <c r="T4479" t="e">
        <f>NA()</f>
        <v>#N/A</v>
      </c>
      <c r="U4479" t="e">
        <f>NA()</f>
        <v>#N/A</v>
      </c>
      <c r="V4479" t="e">
        <f>NA()</f>
        <v>#N/A</v>
      </c>
    </row>
    <row r="4480" spans="1:22" x14ac:dyDescent="0.2">
      <c r="A4480" s="1">
        <v>38835</v>
      </c>
      <c r="B4480">
        <f>3470.02</f>
        <v>3470.02</v>
      </c>
      <c r="C4480">
        <f>4714.77</f>
        <v>4714.7700000000004</v>
      </c>
      <c r="D4480">
        <f>3313.89</f>
        <v>3313.89</v>
      </c>
      <c r="E4480">
        <f>1337.8</f>
        <v>1337.8</v>
      </c>
      <c r="F4480">
        <f>1988.21</f>
        <v>1988.21</v>
      </c>
      <c r="G4480">
        <f>6148.039</f>
        <v>6148.0389999999998</v>
      </c>
      <c r="H4480">
        <f>1804.97</f>
        <v>1804.97</v>
      </c>
      <c r="I4480">
        <f>6274.628</f>
        <v>6274.6279999999997</v>
      </c>
      <c r="J4480">
        <f>1325.79</f>
        <v>1325.79</v>
      </c>
      <c r="K4480">
        <f>4122.2</f>
        <v>4122.2</v>
      </c>
      <c r="L4480">
        <f>1022.8</f>
        <v>1022.8</v>
      </c>
      <c r="M4480">
        <f>4072.43</f>
        <v>4072.43</v>
      </c>
      <c r="N4480">
        <f>152.188</f>
        <v>152.18799999999999</v>
      </c>
      <c r="O4480">
        <f>1715.57</f>
        <v>1715.57</v>
      </c>
      <c r="P4480" t="e">
        <f>NA()</f>
        <v>#N/A</v>
      </c>
      <c r="Q4480">
        <f>731.55</f>
        <v>731.55</v>
      </c>
      <c r="R4480">
        <f>1993.79</f>
        <v>1993.79</v>
      </c>
      <c r="S4480">
        <f>1995.95</f>
        <v>1995.95</v>
      </c>
      <c r="T4480" t="e">
        <f>NA()</f>
        <v>#N/A</v>
      </c>
      <c r="U4480">
        <f>21135.51</f>
        <v>21135.51</v>
      </c>
      <c r="V4480" t="e">
        <f>NA()</f>
        <v>#N/A</v>
      </c>
    </row>
    <row r="4481" spans="1:22" x14ac:dyDescent="0.2">
      <c r="A4481" s="1">
        <v>38834</v>
      </c>
      <c r="B4481">
        <f>3487.48</f>
        <v>3487.48</v>
      </c>
      <c r="C4481">
        <f>4695.69</f>
        <v>4695.6899999999996</v>
      </c>
      <c r="D4481">
        <f>3334.18</f>
        <v>3334.18</v>
      </c>
      <c r="E4481">
        <f>1334.388</f>
        <v>1334.3879999999999</v>
      </c>
      <c r="F4481">
        <f>1973.11</f>
        <v>1973.11</v>
      </c>
      <c r="G4481">
        <f>6138.386</f>
        <v>6138.3860000000004</v>
      </c>
      <c r="H4481">
        <f>1823.95</f>
        <v>1823.95</v>
      </c>
      <c r="I4481">
        <f>6275.422</f>
        <v>6275.4219999999996</v>
      </c>
      <c r="J4481">
        <f>1313.14</f>
        <v>1313.14</v>
      </c>
      <c r="K4481">
        <f>4119.29</f>
        <v>4119.29</v>
      </c>
      <c r="L4481">
        <f>1018.04</f>
        <v>1018.04</v>
      </c>
      <c r="M4481">
        <f>4075.35</f>
        <v>4075.35</v>
      </c>
      <c r="N4481">
        <f>152.436</f>
        <v>152.43600000000001</v>
      </c>
      <c r="O4481">
        <f>1722.1</f>
        <v>1722.1</v>
      </c>
      <c r="P4481" t="e">
        <f>NA()</f>
        <v>#N/A</v>
      </c>
      <c r="Q4481">
        <f>728.74</f>
        <v>728.74</v>
      </c>
      <c r="R4481">
        <f>1992.39</f>
        <v>1992.39</v>
      </c>
      <c r="S4481">
        <f>2010.99</f>
        <v>2010.99</v>
      </c>
      <c r="T4481" t="e">
        <f>NA()</f>
        <v>#N/A</v>
      </c>
      <c r="U4481" t="e">
        <f>NA()</f>
        <v>#N/A</v>
      </c>
      <c r="V4481" t="e">
        <f>NA()</f>
        <v>#N/A</v>
      </c>
    </row>
    <row r="4482" spans="1:22" x14ac:dyDescent="0.2">
      <c r="A4482" s="1">
        <v>38833</v>
      </c>
      <c r="B4482">
        <f>3505.77</f>
        <v>3505.77</v>
      </c>
      <c r="C4482">
        <f>4722.35</f>
        <v>4722.3500000000004</v>
      </c>
      <c r="D4482">
        <f>3358.56</f>
        <v>3358.56</v>
      </c>
      <c r="E4482">
        <f>1342.832</f>
        <v>1342.8320000000001</v>
      </c>
      <c r="F4482">
        <f>1969.72</f>
        <v>1969.72</v>
      </c>
      <c r="G4482">
        <f>6127.145</f>
        <v>6127.1450000000004</v>
      </c>
      <c r="H4482">
        <f>1806.83</f>
        <v>1806.83</v>
      </c>
      <c r="I4482">
        <f>6257.35</f>
        <v>6257.35</v>
      </c>
      <c r="J4482">
        <f>1302.13</f>
        <v>1302.1300000000001</v>
      </c>
      <c r="K4482">
        <f>4102.84</f>
        <v>4102.84</v>
      </c>
      <c r="L4482">
        <f>1012.51</f>
        <v>1012.51</v>
      </c>
      <c r="M4482">
        <f>4059.51</f>
        <v>4059.51</v>
      </c>
      <c r="N4482">
        <f>152.756</f>
        <v>152.756</v>
      </c>
      <c r="O4482">
        <f>1730.83</f>
        <v>1730.83</v>
      </c>
      <c r="P4482" t="e">
        <f>NA()</f>
        <v>#N/A</v>
      </c>
      <c r="Q4482">
        <f>725.8</f>
        <v>725.8</v>
      </c>
      <c r="R4482">
        <f>1985.29</f>
        <v>1985.29</v>
      </c>
      <c r="S4482">
        <f>2003.92</f>
        <v>2003.92</v>
      </c>
      <c r="T4482" t="e">
        <f>NA()</f>
        <v>#N/A</v>
      </c>
      <c r="U4482">
        <f>21353.95</f>
        <v>21353.95</v>
      </c>
      <c r="V4482" t="e">
        <f>NA()</f>
        <v>#N/A</v>
      </c>
    </row>
    <row r="4483" spans="1:22" x14ac:dyDescent="0.2">
      <c r="A4483" s="1">
        <v>38832</v>
      </c>
      <c r="B4483">
        <f>3487.66</f>
        <v>3487.66</v>
      </c>
      <c r="C4483">
        <f>4675.49</f>
        <v>4675.49</v>
      </c>
      <c r="D4483">
        <f>3347.19</f>
        <v>3347.19</v>
      </c>
      <c r="E4483">
        <f>1329.327</f>
        <v>1329.327</v>
      </c>
      <c r="F4483">
        <f>1960.56</f>
        <v>1960.56</v>
      </c>
      <c r="G4483">
        <f>6106.172</f>
        <v>6106.1719999999996</v>
      </c>
      <c r="H4483">
        <f>1801.2</f>
        <v>1801.2</v>
      </c>
      <c r="I4483">
        <f>6214.952</f>
        <v>6214.9520000000002</v>
      </c>
      <c r="J4483">
        <f>1297.35</f>
        <v>1297.3499999999999</v>
      </c>
      <c r="K4483">
        <f>4091.46</f>
        <v>4091.46</v>
      </c>
      <c r="L4483">
        <f>1007</f>
        <v>1007</v>
      </c>
      <c r="M4483">
        <f>4043.53</f>
        <v>4043.53</v>
      </c>
      <c r="N4483">
        <f>152.687</f>
        <v>152.68700000000001</v>
      </c>
      <c r="O4483">
        <f>1725.98</f>
        <v>1725.98</v>
      </c>
      <c r="P4483" t="e">
        <f>NA()</f>
        <v>#N/A</v>
      </c>
      <c r="Q4483">
        <f>721.66</f>
        <v>721.66</v>
      </c>
      <c r="R4483">
        <f>1979.51</f>
        <v>1979.51</v>
      </c>
      <c r="S4483">
        <f>1999.78</f>
        <v>1999.78</v>
      </c>
      <c r="T4483" t="e">
        <f>NA()</f>
        <v>#N/A</v>
      </c>
      <c r="U4483">
        <f>21030.74</f>
        <v>21030.74</v>
      </c>
      <c r="V4483" t="e">
        <f>NA()</f>
        <v>#N/A</v>
      </c>
    </row>
    <row r="4484" spans="1:22" x14ac:dyDescent="0.2">
      <c r="A4484" s="1">
        <v>38831</v>
      </c>
      <c r="B4484">
        <f>3480.08</f>
        <v>3480.08</v>
      </c>
      <c r="C4484">
        <f>4687.44</f>
        <v>4687.4399999999996</v>
      </c>
      <c r="D4484">
        <f>3353.84</f>
        <v>3353.84</v>
      </c>
      <c r="E4484">
        <f>1336.09</f>
        <v>1336.09</v>
      </c>
      <c r="F4484">
        <f>1948.9</f>
        <v>1948.9</v>
      </c>
      <c r="G4484">
        <f>6097.245</f>
        <v>6097.2449999999999</v>
      </c>
      <c r="H4484">
        <f>1788.41</f>
        <v>1788.41</v>
      </c>
      <c r="I4484">
        <f>6196.912</f>
        <v>6196.9120000000003</v>
      </c>
      <c r="J4484">
        <f>1301.36</f>
        <v>1301.3599999999999</v>
      </c>
      <c r="K4484">
        <f>4110.28</f>
        <v>4110.28</v>
      </c>
      <c r="L4484">
        <f>1006.55</f>
        <v>1006.55</v>
      </c>
      <c r="M4484">
        <f>4046.46</f>
        <v>4046.46</v>
      </c>
      <c r="N4484">
        <f>153.147</f>
        <v>153.14699999999999</v>
      </c>
      <c r="O4484">
        <f>1727.72</f>
        <v>1727.72</v>
      </c>
      <c r="P4484" t="e">
        <f>NA()</f>
        <v>#N/A</v>
      </c>
      <c r="Q4484">
        <f>725.21</f>
        <v>725.21</v>
      </c>
      <c r="R4484">
        <f>1989.2</f>
        <v>1989.2</v>
      </c>
      <c r="S4484">
        <f>1989.33</f>
        <v>1989.33</v>
      </c>
      <c r="T4484" t="e">
        <f>NA()</f>
        <v>#N/A</v>
      </c>
      <c r="U4484">
        <f>21046.62</f>
        <v>21046.62</v>
      </c>
      <c r="V4484" t="e">
        <f>NA()</f>
        <v>#N/A</v>
      </c>
    </row>
    <row r="4485" spans="1:22" x14ac:dyDescent="0.2">
      <c r="A4485" s="1">
        <v>38828</v>
      </c>
      <c r="B4485">
        <f>3487.07</f>
        <v>3487.07</v>
      </c>
      <c r="C4485">
        <f>4707.24</f>
        <v>4707.24</v>
      </c>
      <c r="D4485">
        <f>3372.55</f>
        <v>3372.55</v>
      </c>
      <c r="E4485">
        <f>1340.273</f>
        <v>1340.2729999999999</v>
      </c>
      <c r="F4485">
        <f>1964.19</f>
        <v>1964.19</v>
      </c>
      <c r="G4485">
        <f>6129.648</f>
        <v>6129.6480000000001</v>
      </c>
      <c r="H4485">
        <f>1799.43</f>
        <v>1799.43</v>
      </c>
      <c r="I4485">
        <f>6202.068</f>
        <v>6202.0680000000002</v>
      </c>
      <c r="J4485">
        <f>1302.71</f>
        <v>1302.71</v>
      </c>
      <c r="K4485">
        <f>4118.62</f>
        <v>4118.62</v>
      </c>
      <c r="L4485">
        <f>1008.11</f>
        <v>1008.11</v>
      </c>
      <c r="M4485">
        <f>4059.06</f>
        <v>4059.06</v>
      </c>
      <c r="N4485">
        <f>153.787</f>
        <v>153.78700000000001</v>
      </c>
      <c r="O4485">
        <f>1736.47</f>
        <v>1736.47</v>
      </c>
      <c r="P4485" t="e">
        <f>NA()</f>
        <v>#N/A</v>
      </c>
      <c r="Q4485">
        <f>725.48</f>
        <v>725.48</v>
      </c>
      <c r="R4485">
        <f>1993.99</f>
        <v>1993.99</v>
      </c>
      <c r="S4485">
        <f>2042.41</f>
        <v>2042.41</v>
      </c>
      <c r="T4485" t="e">
        <f>NA()</f>
        <v>#N/A</v>
      </c>
      <c r="U4485">
        <f>21029.02</f>
        <v>21029.02</v>
      </c>
      <c r="V4485" t="e">
        <f>NA()</f>
        <v>#N/A</v>
      </c>
    </row>
    <row r="4486" spans="1:22" x14ac:dyDescent="0.2">
      <c r="A4486" s="1">
        <v>38827</v>
      </c>
      <c r="B4486">
        <f>3466.91</f>
        <v>3466.91</v>
      </c>
      <c r="C4486">
        <f>4701.61</f>
        <v>4701.6099999999997</v>
      </c>
      <c r="D4486">
        <f>3344.32</f>
        <v>3344.32</v>
      </c>
      <c r="E4486">
        <f>1333.919</f>
        <v>1333.9190000000001</v>
      </c>
      <c r="F4486">
        <f>1954.32</f>
        <v>1954.32</v>
      </c>
      <c r="G4486">
        <f>6062.816</f>
        <v>6062.8159999999998</v>
      </c>
      <c r="H4486">
        <f>1784.49</f>
        <v>1784.49</v>
      </c>
      <c r="I4486">
        <f>6149.185</f>
        <v>6149.1850000000004</v>
      </c>
      <c r="J4486">
        <f>1299.77</f>
        <v>1299.77</v>
      </c>
      <c r="K4486">
        <f>4120.9</f>
        <v>4120.8999999999996</v>
      </c>
      <c r="L4486">
        <f>1001.29</f>
        <v>1001.29</v>
      </c>
      <c r="M4486">
        <f>4040.4</f>
        <v>4040.4</v>
      </c>
      <c r="N4486">
        <f>153.248</f>
        <v>153.24799999999999</v>
      </c>
      <c r="O4486">
        <f>1724.91</f>
        <v>1724.91</v>
      </c>
      <c r="P4486" t="e">
        <f>NA()</f>
        <v>#N/A</v>
      </c>
      <c r="Q4486">
        <f>725.16</f>
        <v>725.16</v>
      </c>
      <c r="R4486">
        <f>1994.23</f>
        <v>1994.23</v>
      </c>
      <c r="S4486">
        <f>2032.48</f>
        <v>2032.48</v>
      </c>
      <c r="T4486" t="e">
        <f>NA()</f>
        <v>#N/A</v>
      </c>
      <c r="U4486">
        <f>20985.48</f>
        <v>20985.48</v>
      </c>
      <c r="V4486" t="e">
        <f>NA()</f>
        <v>#N/A</v>
      </c>
    </row>
    <row r="4487" spans="1:22" x14ac:dyDescent="0.2">
      <c r="A4487" s="1">
        <v>38826</v>
      </c>
      <c r="B4487">
        <f>3451.39</f>
        <v>3451.39</v>
      </c>
      <c r="C4487">
        <f>4692.71</f>
        <v>4692.71</v>
      </c>
      <c r="D4487">
        <f>3348.92</f>
        <v>3348.92</v>
      </c>
      <c r="E4487">
        <f>1331.38</f>
        <v>1331.38</v>
      </c>
      <c r="F4487">
        <f>1962.46</f>
        <v>1962.46</v>
      </c>
      <c r="G4487">
        <f>6107.802</f>
        <v>6107.8019999999997</v>
      </c>
      <c r="H4487">
        <f>1772.75</f>
        <v>1772.75</v>
      </c>
      <c r="I4487">
        <f>6114.27</f>
        <v>6114.27</v>
      </c>
      <c r="J4487">
        <f>1296.23</f>
        <v>1296.23</v>
      </c>
      <c r="K4487">
        <f>4116.06</f>
        <v>4116.0600000000004</v>
      </c>
      <c r="L4487">
        <f>1000.54</f>
        <v>1000.54</v>
      </c>
      <c r="M4487">
        <f>4038.59</f>
        <v>4038.59</v>
      </c>
      <c r="N4487">
        <f>153.232</f>
        <v>153.232</v>
      </c>
      <c r="O4487">
        <f>1719.3</f>
        <v>1719.3</v>
      </c>
      <c r="P4487" t="e">
        <f>NA()</f>
        <v>#N/A</v>
      </c>
      <c r="Q4487">
        <f>724.33</f>
        <v>724.33</v>
      </c>
      <c r="R4487">
        <f>1991.84</f>
        <v>1991.84</v>
      </c>
      <c r="S4487">
        <f>2031.86</f>
        <v>2031.86</v>
      </c>
      <c r="T4487" t="e">
        <f>NA()</f>
        <v>#N/A</v>
      </c>
      <c r="U4487">
        <f>21100.61</f>
        <v>21100.61</v>
      </c>
      <c r="V4487" t="e">
        <f>NA()</f>
        <v>#N/A</v>
      </c>
    </row>
    <row r="4488" spans="1:22" x14ac:dyDescent="0.2">
      <c r="A4488" s="1">
        <v>38825</v>
      </c>
      <c r="B4488">
        <f>3428.08</f>
        <v>3428.08</v>
      </c>
      <c r="C4488">
        <f>4636.87</f>
        <v>4636.87</v>
      </c>
      <c r="D4488">
        <f>3321.66</f>
        <v>3321.66</v>
      </c>
      <c r="E4488">
        <f>1314.715</f>
        <v>1314.7149999999999</v>
      </c>
      <c r="F4488">
        <f>1931.3</f>
        <v>1931.3</v>
      </c>
      <c r="G4488">
        <f>6017.842</f>
        <v>6017.8419999999996</v>
      </c>
      <c r="H4488">
        <f>1771.1</f>
        <v>1771.1</v>
      </c>
      <c r="I4488">
        <f>6015.57</f>
        <v>6015.57</v>
      </c>
      <c r="J4488">
        <f>1295.02</f>
        <v>1295.02</v>
      </c>
      <c r="K4488">
        <f>4107.59</f>
        <v>4107.59</v>
      </c>
      <c r="L4488">
        <f>991.77</f>
        <v>991.77</v>
      </c>
      <c r="M4488">
        <f>4009.81</f>
        <v>4009.81</v>
      </c>
      <c r="N4488">
        <f>151.187</f>
        <v>151.18700000000001</v>
      </c>
      <c r="O4488">
        <f>1699.59</f>
        <v>1699.59</v>
      </c>
      <c r="P4488" t="e">
        <f>NA()</f>
        <v>#N/A</v>
      </c>
      <c r="Q4488">
        <f>722.56</f>
        <v>722.56</v>
      </c>
      <c r="R4488">
        <f>1988.18</f>
        <v>1988.18</v>
      </c>
      <c r="S4488">
        <f>2025.37</f>
        <v>2025.37</v>
      </c>
      <c r="T4488" t="e">
        <f>NA()</f>
        <v>#N/A</v>
      </c>
      <c r="U4488">
        <f>20946.9</f>
        <v>20946.900000000001</v>
      </c>
      <c r="V4488" t="e">
        <f>NA()</f>
        <v>#N/A</v>
      </c>
    </row>
    <row r="4489" spans="1:22" x14ac:dyDescent="0.2">
      <c r="A4489" s="1">
        <v>38824</v>
      </c>
      <c r="B4489" t="e">
        <f>NA()</f>
        <v>#N/A</v>
      </c>
      <c r="C4489">
        <f>4572.34</f>
        <v>4572.34</v>
      </c>
      <c r="D4489" t="e">
        <f>NA()</f>
        <v>#N/A</v>
      </c>
      <c r="E4489">
        <f>1296.556</f>
        <v>1296.556</v>
      </c>
      <c r="F4489">
        <f>1936.09</f>
        <v>1936.09</v>
      </c>
      <c r="G4489">
        <f>5989.423</f>
        <v>5989.4229999999998</v>
      </c>
      <c r="H4489">
        <f>1749.08</f>
        <v>1749.08</v>
      </c>
      <c r="I4489">
        <f>6026.848</f>
        <v>6026.848</v>
      </c>
      <c r="J4489">
        <f>1274.27</f>
        <v>1274.27</v>
      </c>
      <c r="K4489">
        <f>4038.45</f>
        <v>4038.45</v>
      </c>
      <c r="L4489">
        <f>983.99</f>
        <v>983.99</v>
      </c>
      <c r="M4489">
        <f>3966.48</f>
        <v>3966.48</v>
      </c>
      <c r="N4489" t="e">
        <f>NA()</f>
        <v>#N/A</v>
      </c>
      <c r="O4489" t="e">
        <f>NA()</f>
        <v>#N/A</v>
      </c>
      <c r="P4489" t="e">
        <f>NA()</f>
        <v>#N/A</v>
      </c>
      <c r="Q4489">
        <f>710.66</f>
        <v>710.66</v>
      </c>
      <c r="R4489">
        <f>1954.25</f>
        <v>1954.25</v>
      </c>
      <c r="S4489">
        <f>1998.98</f>
        <v>1998.98</v>
      </c>
      <c r="T4489" t="e">
        <f>NA()</f>
        <v>#N/A</v>
      </c>
      <c r="U4489" t="e">
        <f>NA()</f>
        <v>#N/A</v>
      </c>
      <c r="V4489" t="e">
        <f>NA()</f>
        <v>#N/A</v>
      </c>
    </row>
    <row r="4490" spans="1:22" x14ac:dyDescent="0.2">
      <c r="A4490" s="1">
        <v>38821</v>
      </c>
      <c r="B4490" t="e">
        <f>NA()</f>
        <v>#N/A</v>
      </c>
      <c r="C4490">
        <f>4536.45</f>
        <v>4536.45</v>
      </c>
      <c r="D4490" t="e">
        <f>NA()</f>
        <v>#N/A</v>
      </c>
      <c r="E4490">
        <f>1284.901</f>
        <v>1284.9010000000001</v>
      </c>
      <c r="F4490">
        <f>1912.94</f>
        <v>1912.94</v>
      </c>
      <c r="G4490">
        <f>5917.811</f>
        <v>5917.8109999999997</v>
      </c>
      <c r="H4490">
        <f>1756.23</f>
        <v>1756.23</v>
      </c>
      <c r="I4490">
        <f>5929.795</f>
        <v>5929.7950000000001</v>
      </c>
      <c r="J4490">
        <f>1277.42</f>
        <v>1277.42</v>
      </c>
      <c r="K4490">
        <f>4050.34</f>
        <v>4050.34</v>
      </c>
      <c r="L4490">
        <f>977.32</f>
        <v>977.32</v>
      </c>
      <c r="M4490">
        <f>3953.59</f>
        <v>3953.59</v>
      </c>
      <c r="N4490" t="e">
        <f>NA()</f>
        <v>#N/A</v>
      </c>
      <c r="O4490" t="e">
        <f>NA()</f>
        <v>#N/A</v>
      </c>
      <c r="P4490" t="e">
        <f>NA()</f>
        <v>#N/A</v>
      </c>
      <c r="Q4490" t="e">
        <f>NA()</f>
        <v>#N/A</v>
      </c>
      <c r="R4490" t="e">
        <f>NA()</f>
        <v>#N/A</v>
      </c>
      <c r="S4490">
        <f>2028.07</f>
        <v>2028.07</v>
      </c>
      <c r="T4490" t="e">
        <f>NA()</f>
        <v>#N/A</v>
      </c>
      <c r="U4490" t="e">
        <f>NA()</f>
        <v>#N/A</v>
      </c>
      <c r="V4490" t="e">
        <f>NA()</f>
        <v>#N/A</v>
      </c>
    </row>
    <row r="4491" spans="1:22" x14ac:dyDescent="0.2">
      <c r="A4491" s="1">
        <v>38820</v>
      </c>
      <c r="B4491">
        <f>3443.91</f>
        <v>3443.91</v>
      </c>
      <c r="C4491">
        <f>4511.63</f>
        <v>4511.63</v>
      </c>
      <c r="D4491">
        <f>3313.46</f>
        <v>3313.46</v>
      </c>
      <c r="E4491">
        <f>1276.266</f>
        <v>1276.2660000000001</v>
      </c>
      <c r="F4491">
        <f>1912.94</f>
        <v>1912.94</v>
      </c>
      <c r="G4491">
        <f>5917.811</f>
        <v>5917.8109999999997</v>
      </c>
      <c r="H4491">
        <f>1760.07</f>
        <v>1760.07</v>
      </c>
      <c r="I4491">
        <f>5929.795</f>
        <v>5929.7950000000001</v>
      </c>
      <c r="J4491">
        <f>1277.42</f>
        <v>1277.42</v>
      </c>
      <c r="K4491">
        <f>4050.34</f>
        <v>4050.34</v>
      </c>
      <c r="L4491">
        <f>977.41</f>
        <v>977.41</v>
      </c>
      <c r="M4491">
        <f>3953.36</f>
        <v>3953.36</v>
      </c>
      <c r="N4491">
        <f>151.716</f>
        <v>151.71600000000001</v>
      </c>
      <c r="O4491">
        <f>1700.8</f>
        <v>1700.8</v>
      </c>
      <c r="P4491" t="e">
        <f>NA()</f>
        <v>#N/A</v>
      </c>
      <c r="Q4491">
        <f>712</f>
        <v>712</v>
      </c>
      <c r="R4491">
        <f>1960.01</f>
        <v>1960.01</v>
      </c>
      <c r="S4491">
        <f>2027.72</f>
        <v>2027.72</v>
      </c>
      <c r="T4491" t="e">
        <f>NA()</f>
        <v>#N/A</v>
      </c>
      <c r="U4491">
        <f>20666.97</f>
        <v>20666.97</v>
      </c>
      <c r="V4491" t="e">
        <f>NA()</f>
        <v>#N/A</v>
      </c>
    </row>
    <row r="4492" spans="1:22" x14ac:dyDescent="0.2">
      <c r="A4492" s="1">
        <v>38819</v>
      </c>
      <c r="B4492">
        <f>3431.34</f>
        <v>3431.34</v>
      </c>
      <c r="C4492">
        <f>4499.45</f>
        <v>4499.45</v>
      </c>
      <c r="D4492">
        <f>3297.78</f>
        <v>3297.78</v>
      </c>
      <c r="E4492">
        <f>1276.339</f>
        <v>1276.3389999999999</v>
      </c>
      <c r="F4492">
        <f>1904.47</f>
        <v>1904.47</v>
      </c>
      <c r="G4492">
        <f>5886.917</f>
        <v>5886.9170000000004</v>
      </c>
      <c r="H4492">
        <f>1760.18</f>
        <v>1760.18</v>
      </c>
      <c r="I4492">
        <f>5927.034</f>
        <v>5927.0339999999997</v>
      </c>
      <c r="J4492">
        <f>1278.05</f>
        <v>1278.05</v>
      </c>
      <c r="K4492">
        <f>4046.84</f>
        <v>4046.84</v>
      </c>
      <c r="L4492">
        <f>976.8</f>
        <v>976.8</v>
      </c>
      <c r="M4492">
        <f>3948.75</f>
        <v>3948.75</v>
      </c>
      <c r="N4492">
        <f>151.184</f>
        <v>151.184</v>
      </c>
      <c r="O4492">
        <f>1694.41</f>
        <v>1694.41</v>
      </c>
      <c r="P4492" t="e">
        <f>NA()</f>
        <v>#N/A</v>
      </c>
      <c r="Q4492">
        <f>712.09</f>
        <v>712.09</v>
      </c>
      <c r="R4492">
        <f>1958.49</f>
        <v>1958.49</v>
      </c>
      <c r="S4492">
        <f>2026.7</f>
        <v>2026.7</v>
      </c>
      <c r="T4492" t="e">
        <f>NA()</f>
        <v>#N/A</v>
      </c>
      <c r="U4492">
        <f>20722.88</f>
        <v>20722.88</v>
      </c>
      <c r="V4492" t="e">
        <f>NA()</f>
        <v>#N/A</v>
      </c>
    </row>
    <row r="4493" spans="1:22" x14ac:dyDescent="0.2">
      <c r="A4493" s="1">
        <v>38818</v>
      </c>
      <c r="B4493">
        <f>3453.86</f>
        <v>3453.86</v>
      </c>
      <c r="C4493">
        <f>4500.13</f>
        <v>4500.13</v>
      </c>
      <c r="D4493">
        <f>3306.29</f>
        <v>3306.29</v>
      </c>
      <c r="E4493">
        <f>1282.324</f>
        <v>1282.3240000000001</v>
      </c>
      <c r="F4493">
        <f>1906.25</f>
        <v>1906.25</v>
      </c>
      <c r="G4493">
        <f>5888.369</f>
        <v>5888.3689999999997</v>
      </c>
      <c r="H4493">
        <f>1777.68</f>
        <v>1777.68</v>
      </c>
      <c r="I4493">
        <f>5954.55</f>
        <v>5954.55</v>
      </c>
      <c r="J4493">
        <f>1277.19</f>
        <v>1277.19</v>
      </c>
      <c r="K4493">
        <f>4042.71</f>
        <v>4042.71</v>
      </c>
      <c r="L4493">
        <f>978.64</f>
        <v>978.64</v>
      </c>
      <c r="M4493">
        <f>3959.25</f>
        <v>3959.25</v>
      </c>
      <c r="N4493">
        <f>156.945</f>
        <v>156.94499999999999</v>
      </c>
      <c r="O4493">
        <f>1696.75</f>
        <v>1696.75</v>
      </c>
      <c r="P4493" t="e">
        <f>NA()</f>
        <v>#N/A</v>
      </c>
      <c r="Q4493">
        <f>710.87</f>
        <v>710.87</v>
      </c>
      <c r="R4493">
        <f>1956.12</f>
        <v>1956.12</v>
      </c>
      <c r="S4493">
        <f>2058.44</f>
        <v>2058.44</v>
      </c>
      <c r="T4493" t="e">
        <f>NA()</f>
        <v>#N/A</v>
      </c>
      <c r="U4493">
        <f>20865.34</f>
        <v>20865.34</v>
      </c>
      <c r="V4493" t="e">
        <f>NA()</f>
        <v>#N/A</v>
      </c>
    </row>
    <row r="4494" spans="1:22" x14ac:dyDescent="0.2">
      <c r="A4494" s="1">
        <v>38817</v>
      </c>
      <c r="B4494">
        <f>3505.43</f>
        <v>3505.43</v>
      </c>
      <c r="C4494">
        <f>4517.24</f>
        <v>4517.24</v>
      </c>
      <c r="D4494">
        <f>3334.04</f>
        <v>3334.04</v>
      </c>
      <c r="E4494">
        <f>1287.191</f>
        <v>1287.191</v>
      </c>
      <c r="F4494">
        <f>1929.43</f>
        <v>1929.43</v>
      </c>
      <c r="G4494">
        <f>5927.089</f>
        <v>5927.0889999999999</v>
      </c>
      <c r="H4494">
        <f>1784.35</f>
        <v>1784.35</v>
      </c>
      <c r="I4494">
        <f>6018.876</f>
        <v>6018.8760000000002</v>
      </c>
      <c r="J4494">
        <f>1284.52</f>
        <v>1284.52</v>
      </c>
      <c r="K4494">
        <f>4073.39</f>
        <v>4073.39</v>
      </c>
      <c r="L4494">
        <f>985.51</f>
        <v>985.51</v>
      </c>
      <c r="M4494">
        <f>3988.3</f>
        <v>3988.3</v>
      </c>
      <c r="N4494">
        <f>152.85</f>
        <v>152.85</v>
      </c>
      <c r="O4494">
        <f>1715.55</f>
        <v>1715.55</v>
      </c>
      <c r="P4494" t="e">
        <f>NA()</f>
        <v>#N/A</v>
      </c>
      <c r="Q4494">
        <f>715.25</f>
        <v>715.25</v>
      </c>
      <c r="R4494">
        <f>1971.03</f>
        <v>1971.03</v>
      </c>
      <c r="S4494">
        <f>2066.76</f>
        <v>2066.7600000000002</v>
      </c>
      <c r="T4494" t="e">
        <f>NA()</f>
        <v>#N/A</v>
      </c>
      <c r="U4494">
        <f>20725.8</f>
        <v>20725.8</v>
      </c>
      <c r="V4494" t="e">
        <f>NA()</f>
        <v>#N/A</v>
      </c>
    </row>
    <row r="4495" spans="1:22" x14ac:dyDescent="0.2">
      <c r="A4495" s="1">
        <v>38814</v>
      </c>
      <c r="B4495">
        <f>3521.44</f>
        <v>3521.44</v>
      </c>
      <c r="C4495">
        <f>4530.09</f>
        <v>4530.09</v>
      </c>
      <c r="D4495">
        <f>3311.58</f>
        <v>3311.58</v>
      </c>
      <c r="E4495">
        <f>1292.211</f>
        <v>1292.211</v>
      </c>
      <c r="F4495">
        <f>1923.21</f>
        <v>1923.21</v>
      </c>
      <c r="G4495">
        <f>5883.501</f>
        <v>5883.5010000000002</v>
      </c>
      <c r="H4495">
        <f>1793.85</f>
        <v>1793.85</v>
      </c>
      <c r="I4495">
        <f>6003.049</f>
        <v>6003.049</v>
      </c>
      <c r="J4495">
        <f>1282.56</f>
        <v>1282.56</v>
      </c>
      <c r="K4495">
        <f>4070.74</f>
        <v>4070.74</v>
      </c>
      <c r="L4495">
        <f>982.86</f>
        <v>982.86</v>
      </c>
      <c r="M4495">
        <f>3985.29</f>
        <v>3985.29</v>
      </c>
      <c r="N4495">
        <f>152.45</f>
        <v>152.44999999999999</v>
      </c>
      <c r="O4495">
        <f>1706.61</f>
        <v>1706.61</v>
      </c>
      <c r="P4495" t="e">
        <f>NA()</f>
        <v>#N/A</v>
      </c>
      <c r="Q4495">
        <f>714.47</f>
        <v>714.47</v>
      </c>
      <c r="R4495">
        <f>1969.3</f>
        <v>1969.3</v>
      </c>
      <c r="S4495">
        <f>2074.18</f>
        <v>2074.1799999999998</v>
      </c>
      <c r="T4495" t="e">
        <f>NA()</f>
        <v>#N/A</v>
      </c>
      <c r="U4495">
        <f>20599.91</f>
        <v>20599.91</v>
      </c>
      <c r="V4495" t="e">
        <f>NA()</f>
        <v>#N/A</v>
      </c>
    </row>
    <row r="4496" spans="1:22" x14ac:dyDescent="0.2">
      <c r="A4496" s="1">
        <v>38813</v>
      </c>
      <c r="B4496">
        <f>3545.41</f>
        <v>3545.41</v>
      </c>
      <c r="C4496">
        <f>4550.73</f>
        <v>4550.7299999999996</v>
      </c>
      <c r="D4496">
        <f>3322.32</f>
        <v>3322.32</v>
      </c>
      <c r="E4496">
        <f>1296.951</f>
        <v>1296.951</v>
      </c>
      <c r="F4496">
        <f>1946.01</f>
        <v>1946.01</v>
      </c>
      <c r="G4496">
        <f>5934.781</f>
        <v>5934.7809999999999</v>
      </c>
      <c r="H4496">
        <f>1790.51</f>
        <v>1790.51</v>
      </c>
      <c r="I4496">
        <f>6098.154</f>
        <v>6098.1540000000005</v>
      </c>
      <c r="J4496">
        <f>1295.24</f>
        <v>1295.24</v>
      </c>
      <c r="K4496">
        <f>4111.72</f>
        <v>4111.72</v>
      </c>
      <c r="L4496">
        <f>992.88</f>
        <v>992.88</v>
      </c>
      <c r="M4496">
        <f>4021.49</f>
        <v>4021.49</v>
      </c>
      <c r="N4496">
        <f>153.237</f>
        <v>153.23699999999999</v>
      </c>
      <c r="O4496">
        <f>1713.84</f>
        <v>1713.84</v>
      </c>
      <c r="P4496" t="e">
        <f>NA()</f>
        <v>#N/A</v>
      </c>
      <c r="Q4496">
        <f>721.29</f>
        <v>721.29</v>
      </c>
      <c r="R4496">
        <f>1989.87</f>
        <v>1989.87</v>
      </c>
      <c r="S4496">
        <f>2064.82</f>
        <v>2064.8200000000002</v>
      </c>
      <c r="T4496" t="e">
        <f>NA()</f>
        <v>#N/A</v>
      </c>
      <c r="U4496">
        <f>20631.27</f>
        <v>20631.27</v>
      </c>
      <c r="V4496" t="e">
        <f>NA()</f>
        <v>#N/A</v>
      </c>
    </row>
    <row r="4497" spans="1:22" x14ac:dyDescent="0.2">
      <c r="A4497" s="1">
        <v>38812</v>
      </c>
      <c r="B4497">
        <f>3547.12</f>
        <v>3547.12</v>
      </c>
      <c r="C4497">
        <f>4503.43</f>
        <v>4503.43</v>
      </c>
      <c r="D4497">
        <f>3321.46</f>
        <v>3321.46</v>
      </c>
      <c r="E4497">
        <f>1288.43</f>
        <v>1288.43</v>
      </c>
      <c r="F4497">
        <f>1942.51</f>
        <v>1942.51</v>
      </c>
      <c r="G4497">
        <f>5925.486</f>
        <v>5925.4859999999999</v>
      </c>
      <c r="H4497">
        <f>1768.05</f>
        <v>1768.05</v>
      </c>
      <c r="I4497">
        <f>6108.806</f>
        <v>6108.8059999999996</v>
      </c>
      <c r="J4497">
        <f>1300.55</f>
        <v>1300.55</v>
      </c>
      <c r="K4497">
        <f>4118.86</f>
        <v>4118.8599999999997</v>
      </c>
      <c r="L4497">
        <f>994.09</f>
        <v>994.09</v>
      </c>
      <c r="M4497">
        <f>4013.91</f>
        <v>4013.91</v>
      </c>
      <c r="N4497">
        <f>152.987</f>
        <v>152.98699999999999</v>
      </c>
      <c r="O4497">
        <f>1710.04</f>
        <v>1710.04</v>
      </c>
      <c r="P4497" t="e">
        <f>NA()</f>
        <v>#N/A</v>
      </c>
      <c r="Q4497">
        <f>723.44</f>
        <v>723.44</v>
      </c>
      <c r="R4497">
        <f>1993.21</f>
        <v>1993.21</v>
      </c>
      <c r="S4497">
        <f>2030.37</f>
        <v>2030.37</v>
      </c>
      <c r="T4497" t="e">
        <f>NA()</f>
        <v>#N/A</v>
      </c>
      <c r="U4497">
        <f>20685.33</f>
        <v>20685.330000000002</v>
      </c>
      <c r="V4497" t="e">
        <f>NA()</f>
        <v>#N/A</v>
      </c>
    </row>
    <row r="4498" spans="1:22" x14ac:dyDescent="0.2">
      <c r="A4498" s="1">
        <v>38811</v>
      </c>
      <c r="B4498">
        <f>3549.03</f>
        <v>3549.03</v>
      </c>
      <c r="C4498">
        <f>4484.78</f>
        <v>4484.78</v>
      </c>
      <c r="D4498">
        <f>3298.19</f>
        <v>3298.19</v>
      </c>
      <c r="E4498">
        <f>1282.602</f>
        <v>1282.6020000000001</v>
      </c>
      <c r="F4498">
        <f>1941.27</f>
        <v>1941.27</v>
      </c>
      <c r="G4498">
        <f>5906.291</f>
        <v>5906.2910000000002</v>
      </c>
      <c r="H4498">
        <f>1773.79</f>
        <v>1773.79</v>
      </c>
      <c r="I4498">
        <f>6077.721</f>
        <v>6077.7209999999995</v>
      </c>
      <c r="J4498">
        <f>1297.88</f>
        <v>1297.8800000000001</v>
      </c>
      <c r="K4498">
        <f>4100.83</f>
        <v>4100.83</v>
      </c>
      <c r="L4498">
        <f>989.84</f>
        <v>989.84</v>
      </c>
      <c r="M4498">
        <f>3996.59</f>
        <v>3996.59</v>
      </c>
      <c r="N4498">
        <f>153.087</f>
        <v>153.08699999999999</v>
      </c>
      <c r="O4498">
        <f>1703.87</f>
        <v>1703.87</v>
      </c>
      <c r="P4498" t="e">
        <f>NA()</f>
        <v>#N/A</v>
      </c>
      <c r="Q4498">
        <f>719.96</f>
        <v>719.96</v>
      </c>
      <c r="R4498">
        <f>1984.47</f>
        <v>1984.47</v>
      </c>
      <c r="S4498">
        <f>2034.57</f>
        <v>2034.57</v>
      </c>
      <c r="T4498" t="e">
        <f>NA()</f>
        <v>#N/A</v>
      </c>
      <c r="U4498">
        <f>20647.6</f>
        <v>20647.599999999999</v>
      </c>
      <c r="V4498" t="e">
        <f>NA()</f>
        <v>#N/A</v>
      </c>
    </row>
    <row r="4499" spans="1:22" x14ac:dyDescent="0.2">
      <c r="A4499" s="1">
        <v>38810</v>
      </c>
      <c r="B4499">
        <f>3543.05</f>
        <v>3543.05</v>
      </c>
      <c r="C4499">
        <f>4448.82</f>
        <v>4448.82</v>
      </c>
      <c r="D4499">
        <f>3308.96</f>
        <v>3308.96</v>
      </c>
      <c r="E4499">
        <f>1271.195</f>
        <v>1271.1949999999999</v>
      </c>
      <c r="F4499">
        <f>1925.85</f>
        <v>1925.85</v>
      </c>
      <c r="G4499">
        <f>5865.176</f>
        <v>5865.1760000000004</v>
      </c>
      <c r="H4499">
        <f>1765.65</f>
        <v>1765.65</v>
      </c>
      <c r="I4499">
        <f>6035.314</f>
        <v>6035.3140000000003</v>
      </c>
      <c r="J4499">
        <f>1289.68</f>
        <v>1289.68</v>
      </c>
      <c r="K4499">
        <f>4076.13</f>
        <v>4076.13</v>
      </c>
      <c r="L4499">
        <f>983.96</f>
        <v>983.96</v>
      </c>
      <c r="M4499">
        <f>3974.91</f>
        <v>3974.91</v>
      </c>
      <c r="N4499">
        <f>153.228</f>
        <v>153.22800000000001</v>
      </c>
      <c r="O4499">
        <f>1712.67</f>
        <v>1712.67</v>
      </c>
      <c r="P4499" t="e">
        <f>NA()</f>
        <v>#N/A</v>
      </c>
      <c r="Q4499">
        <f>716.99</f>
        <v>716.99</v>
      </c>
      <c r="R4499">
        <f>1971.93</f>
        <v>1971.93</v>
      </c>
      <c r="S4499">
        <f>2040.37</f>
        <v>2040.37</v>
      </c>
      <c r="T4499" t="e">
        <f>NA()</f>
        <v>#N/A</v>
      </c>
      <c r="U4499">
        <f>20711.75</f>
        <v>20711.75</v>
      </c>
      <c r="V4499" t="e">
        <f>NA()</f>
        <v>#N/A</v>
      </c>
    </row>
    <row r="4500" spans="1:22" x14ac:dyDescent="0.2">
      <c r="A4500" s="1">
        <v>38807</v>
      </c>
      <c r="B4500">
        <f>3533.47</f>
        <v>3533.47</v>
      </c>
      <c r="C4500">
        <f>4387.16</f>
        <v>4387.16</v>
      </c>
      <c r="D4500">
        <f>3276.16</f>
        <v>3276.16</v>
      </c>
      <c r="E4500">
        <f>1248.69</f>
        <v>1248.69</v>
      </c>
      <c r="F4500">
        <f>1915.19</f>
        <v>1915.19</v>
      </c>
      <c r="G4500">
        <f>5803.713</f>
        <v>5803.7129999999997</v>
      </c>
      <c r="H4500">
        <f>1749.74</f>
        <v>1749.74</v>
      </c>
      <c r="I4500">
        <f>5985.484</f>
        <v>5985.4840000000004</v>
      </c>
      <c r="J4500">
        <f>1285.54</f>
        <v>1285.54</v>
      </c>
      <c r="K4500">
        <f>4068.57</f>
        <v>4068.57</v>
      </c>
      <c r="L4500">
        <f>977.81</f>
        <v>977.81</v>
      </c>
      <c r="M4500">
        <f>3950.38</f>
        <v>3950.38</v>
      </c>
      <c r="N4500">
        <f>152.876</f>
        <v>152.876</v>
      </c>
      <c r="O4500">
        <f>1698.89</f>
        <v>1698.89</v>
      </c>
      <c r="P4500" t="e">
        <f>NA()</f>
        <v>#N/A</v>
      </c>
      <c r="Q4500">
        <f>714.95</f>
        <v>714.95</v>
      </c>
      <c r="R4500">
        <f>1967.38</f>
        <v>1967.38</v>
      </c>
      <c r="S4500">
        <f>2009.57</f>
        <v>2009.57</v>
      </c>
      <c r="T4500" t="e">
        <f>NA()</f>
        <v>#N/A</v>
      </c>
      <c r="U4500">
        <f>20351.74</f>
        <v>20351.740000000002</v>
      </c>
      <c r="V4500" t="e">
        <f>NA()</f>
        <v>#N/A</v>
      </c>
    </row>
    <row r="4501" spans="1:22" x14ac:dyDescent="0.2">
      <c r="A4501" s="1">
        <v>38806</v>
      </c>
      <c r="B4501">
        <f>3551.99</f>
        <v>3551.99</v>
      </c>
      <c r="C4501">
        <f>4372.94</f>
        <v>4372.9399999999996</v>
      </c>
      <c r="D4501">
        <f>3303.99</f>
        <v>3303.99</v>
      </c>
      <c r="E4501">
        <f>1242.309</f>
        <v>1242.309</v>
      </c>
      <c r="F4501">
        <f>1939.94</f>
        <v>1939.94</v>
      </c>
      <c r="G4501">
        <f>5889.009</f>
        <v>5889.009</v>
      </c>
      <c r="H4501">
        <f>1761.54</f>
        <v>1761.54</v>
      </c>
      <c r="I4501">
        <f>6026.631</f>
        <v>6026.6310000000003</v>
      </c>
      <c r="J4501">
        <f>1289.44</f>
        <v>1289.44</v>
      </c>
      <c r="K4501">
        <f>4083.39</f>
        <v>4083.39</v>
      </c>
      <c r="L4501">
        <f>984.76</f>
        <v>984.76</v>
      </c>
      <c r="M4501">
        <f>3973.01</f>
        <v>3973.01</v>
      </c>
      <c r="N4501">
        <f>153.767</f>
        <v>153.767</v>
      </c>
      <c r="O4501">
        <f>1710.42</f>
        <v>1710.42</v>
      </c>
      <c r="P4501" t="e">
        <f>NA()</f>
        <v>#N/A</v>
      </c>
      <c r="Q4501">
        <f>717.22</f>
        <v>717.22</v>
      </c>
      <c r="R4501">
        <f>1975.6</f>
        <v>1975.6</v>
      </c>
      <c r="S4501">
        <f>2007.77</f>
        <v>2007.77</v>
      </c>
      <c r="T4501" t="e">
        <f>NA()</f>
        <v>#N/A</v>
      </c>
      <c r="U4501">
        <f>20677.96</f>
        <v>20677.96</v>
      </c>
      <c r="V4501" t="e">
        <f>NA()</f>
        <v>#N/A</v>
      </c>
    </row>
    <row r="4502" spans="1:22" x14ac:dyDescent="0.2">
      <c r="A4502" s="1">
        <v>38805</v>
      </c>
      <c r="B4502">
        <f>3535.43</f>
        <v>3535.43</v>
      </c>
      <c r="C4502">
        <f>4306.07</f>
        <v>4306.07</v>
      </c>
      <c r="D4502">
        <f>3273.22</f>
        <v>3273.22</v>
      </c>
      <c r="E4502">
        <f>1223.99</f>
        <v>1223.99</v>
      </c>
      <c r="F4502">
        <f>1911.01</f>
        <v>1911.01</v>
      </c>
      <c r="G4502">
        <f>5799.207</f>
        <v>5799.2070000000003</v>
      </c>
      <c r="H4502">
        <f>1746.42</f>
        <v>1746.42</v>
      </c>
      <c r="I4502">
        <f>5897.532</f>
        <v>5897.5320000000002</v>
      </c>
      <c r="J4502">
        <f>1293.24</f>
        <v>1293.24</v>
      </c>
      <c r="K4502">
        <f>4091.13</f>
        <v>4091.13</v>
      </c>
      <c r="L4502">
        <f>976</f>
        <v>976</v>
      </c>
      <c r="M4502">
        <f>3941.44</f>
        <v>3941.44</v>
      </c>
      <c r="N4502">
        <f>153.343</f>
        <v>153.34299999999999</v>
      </c>
      <c r="O4502">
        <f>1695.2</f>
        <v>1695.2</v>
      </c>
      <c r="P4502" t="e">
        <f>NA()</f>
        <v>#N/A</v>
      </c>
      <c r="Q4502">
        <f>720.82</f>
        <v>720.82</v>
      </c>
      <c r="R4502">
        <f>1979.51</f>
        <v>1979.51</v>
      </c>
      <c r="S4502">
        <f>1990.16</f>
        <v>1990.16</v>
      </c>
      <c r="T4502" t="e">
        <f>NA()</f>
        <v>#N/A</v>
      </c>
      <c r="U4502">
        <f>20327.64</f>
        <v>20327.64</v>
      </c>
      <c r="V4502" t="e">
        <f>NA()</f>
        <v>#N/A</v>
      </c>
    </row>
    <row r="4503" spans="1:22" x14ac:dyDescent="0.2">
      <c r="A4503" s="1">
        <v>38804</v>
      </c>
      <c r="B4503">
        <f>3536.91</f>
        <v>3536.91</v>
      </c>
      <c r="C4503">
        <f>4297.55</f>
        <v>4297.55</v>
      </c>
      <c r="D4503">
        <f>3259.19</f>
        <v>3259.19</v>
      </c>
      <c r="E4503">
        <f>1222.441</f>
        <v>1222.441</v>
      </c>
      <c r="F4503">
        <f>1927.16</f>
        <v>1927.16</v>
      </c>
      <c r="G4503">
        <f>5826.388</f>
        <v>5826.3879999999999</v>
      </c>
      <c r="H4503">
        <f>1761.01</f>
        <v>1761.01</v>
      </c>
      <c r="I4503">
        <f>5922.791</f>
        <v>5922.7910000000002</v>
      </c>
      <c r="J4503">
        <f>1287.25</f>
        <v>1287.25</v>
      </c>
      <c r="K4503">
        <f>4058.55</f>
        <v>4058.55</v>
      </c>
      <c r="L4503">
        <f>976.72</f>
        <v>976.72</v>
      </c>
      <c r="M4503">
        <f>3930.5</f>
        <v>3930.5</v>
      </c>
      <c r="N4503">
        <f>153.476</f>
        <v>153.476</v>
      </c>
      <c r="O4503">
        <f>1691.81</f>
        <v>1691.81</v>
      </c>
      <c r="P4503" t="e">
        <f>NA()</f>
        <v>#N/A</v>
      </c>
      <c r="Q4503">
        <f>717.86</f>
        <v>717.86</v>
      </c>
      <c r="R4503">
        <f>1964.47</f>
        <v>1964.47</v>
      </c>
      <c r="S4503">
        <f>1968.23</f>
        <v>1968.23</v>
      </c>
      <c r="T4503" t="e">
        <f>NA()</f>
        <v>#N/A</v>
      </c>
      <c r="U4503">
        <f>20200.15</f>
        <v>20200.150000000001</v>
      </c>
      <c r="V4503" t="e">
        <f>NA()</f>
        <v>#N/A</v>
      </c>
    </row>
    <row r="4504" spans="1:22" x14ac:dyDescent="0.2">
      <c r="A4504" s="1">
        <v>38803</v>
      </c>
      <c r="B4504">
        <f>3562.34</f>
        <v>3562.34</v>
      </c>
      <c r="C4504">
        <f>4341.57</f>
        <v>4341.57</v>
      </c>
      <c r="D4504">
        <f>3279.23</f>
        <v>3279.23</v>
      </c>
      <c r="E4504">
        <f>1232.729</f>
        <v>1232.729</v>
      </c>
      <c r="F4504">
        <f>1938.68</f>
        <v>1938.68</v>
      </c>
      <c r="G4504">
        <f>5855.408</f>
        <v>5855.4080000000004</v>
      </c>
      <c r="H4504">
        <f>1757.19</f>
        <v>1757.19</v>
      </c>
      <c r="I4504">
        <f>5918.729</f>
        <v>5918.7290000000003</v>
      </c>
      <c r="J4504">
        <f>1297.88</f>
        <v>1297.8800000000001</v>
      </c>
      <c r="K4504">
        <f>4083.66</f>
        <v>4083.66</v>
      </c>
      <c r="L4504">
        <f>981.03</f>
        <v>981.03</v>
      </c>
      <c r="M4504">
        <f>3943.03</f>
        <v>3943.03</v>
      </c>
      <c r="N4504">
        <f>154.741</f>
        <v>154.74100000000001</v>
      </c>
      <c r="O4504">
        <f>1701.52</f>
        <v>1701.52</v>
      </c>
      <c r="P4504" t="e">
        <f>NA()</f>
        <v>#N/A</v>
      </c>
      <c r="Q4504">
        <f>723.99</f>
        <v>723.99</v>
      </c>
      <c r="R4504">
        <f>1977.19</f>
        <v>1977.19</v>
      </c>
      <c r="S4504">
        <f>1959.26</f>
        <v>1959.26</v>
      </c>
      <c r="T4504" t="e">
        <f>NA()</f>
        <v>#N/A</v>
      </c>
      <c r="U4504">
        <f>20438.48</f>
        <v>20438.48</v>
      </c>
      <c r="V4504" t="e">
        <f>NA()</f>
        <v>#N/A</v>
      </c>
    </row>
    <row r="4505" spans="1:22" x14ac:dyDescent="0.2">
      <c r="A4505" s="1">
        <v>38800</v>
      </c>
      <c r="B4505">
        <f>3591.95</f>
        <v>3591.95</v>
      </c>
      <c r="C4505">
        <f>4316.51</f>
        <v>4316.51</v>
      </c>
      <c r="D4505">
        <f>3314.42</f>
        <v>3314.42</v>
      </c>
      <c r="E4505">
        <f>1226.552</f>
        <v>1226.5519999999999</v>
      </c>
      <c r="F4505">
        <f>1950.98</f>
        <v>1950.98</v>
      </c>
      <c r="G4505">
        <f>5892.559</f>
        <v>5892.5590000000002</v>
      </c>
      <c r="H4505">
        <f>1738.77</f>
        <v>1738.77</v>
      </c>
      <c r="I4505">
        <f>5956.985</f>
        <v>5956.9849999999997</v>
      </c>
      <c r="J4505">
        <f>1301.17</f>
        <v>1301.17</v>
      </c>
      <c r="K4505">
        <f>4088.64</f>
        <v>4088.64</v>
      </c>
      <c r="L4505">
        <f>985.57</f>
        <v>985.57</v>
      </c>
      <c r="M4505">
        <f>3947.75</f>
        <v>3947.75</v>
      </c>
      <c r="N4505">
        <f>155.734</f>
        <v>155.73400000000001</v>
      </c>
      <c r="O4505">
        <f>1715.03</f>
        <v>1715.03</v>
      </c>
      <c r="P4505" t="e">
        <f>NA()</f>
        <v>#N/A</v>
      </c>
      <c r="Q4505">
        <f>725.45</f>
        <v>725.45</v>
      </c>
      <c r="R4505">
        <f>1979.24</f>
        <v>1979.24</v>
      </c>
      <c r="S4505">
        <f>1954.05</f>
        <v>1954.05</v>
      </c>
      <c r="T4505" t="e">
        <f>NA()</f>
        <v>#N/A</v>
      </c>
      <c r="U4505">
        <f>20320.49</f>
        <v>20320.490000000002</v>
      </c>
      <c r="V4505" t="e">
        <f>NA()</f>
        <v>#N/A</v>
      </c>
    </row>
    <row r="4506" spans="1:22" x14ac:dyDescent="0.2">
      <c r="A4506" s="1">
        <v>38799</v>
      </c>
      <c r="B4506">
        <f>3573</f>
        <v>3573</v>
      </c>
      <c r="C4506">
        <f>4304.88</f>
        <v>4304.88</v>
      </c>
      <c r="D4506">
        <f>3289.05</f>
        <v>3289.05</v>
      </c>
      <c r="E4506">
        <f>1224.067</f>
        <v>1224.067</v>
      </c>
      <c r="F4506">
        <f>1943.71</f>
        <v>1943.71</v>
      </c>
      <c r="G4506">
        <f>5828.448</f>
        <v>5828.4480000000003</v>
      </c>
      <c r="H4506">
        <f>1729.18</f>
        <v>1729.18</v>
      </c>
      <c r="I4506">
        <f>5922.139</f>
        <v>5922.1390000000001</v>
      </c>
      <c r="J4506">
        <f>1300.42</f>
        <v>1300.42</v>
      </c>
      <c r="K4506">
        <f>4082.82</f>
        <v>4082.82</v>
      </c>
      <c r="L4506">
        <f>981.03</f>
        <v>981.03</v>
      </c>
      <c r="M4506">
        <f>3931.87</f>
        <v>3931.87</v>
      </c>
      <c r="N4506">
        <f>155.257</f>
        <v>155.25700000000001</v>
      </c>
      <c r="O4506">
        <f>1706.84</f>
        <v>1706.84</v>
      </c>
      <c r="P4506" t="e">
        <f>NA()</f>
        <v>#N/A</v>
      </c>
      <c r="Q4506">
        <f>725</f>
        <v>725</v>
      </c>
      <c r="R4506">
        <f>1977.29</f>
        <v>1977.29</v>
      </c>
      <c r="S4506">
        <f>1943.35</f>
        <v>1943.35</v>
      </c>
      <c r="T4506" t="e">
        <f>NA()</f>
        <v>#N/A</v>
      </c>
      <c r="U4506">
        <f>20159.77</f>
        <v>20159.77</v>
      </c>
      <c r="V4506" t="e">
        <f>NA()</f>
        <v>#N/A</v>
      </c>
    </row>
    <row r="4507" spans="1:22" x14ac:dyDescent="0.2">
      <c r="A4507" s="1">
        <v>38798</v>
      </c>
      <c r="B4507">
        <f>3569.42</f>
        <v>3569.42</v>
      </c>
      <c r="C4507">
        <f>4285.8</f>
        <v>4285.8</v>
      </c>
      <c r="D4507">
        <f>3298.6</f>
        <v>3298.6</v>
      </c>
      <c r="E4507">
        <f>1220.721</f>
        <v>1220.721</v>
      </c>
      <c r="F4507">
        <f>1959.37</f>
        <v>1959.37</v>
      </c>
      <c r="G4507">
        <f>5885.509</f>
        <v>5885.509</v>
      </c>
      <c r="H4507">
        <f>1752.93</f>
        <v>1752.93</v>
      </c>
      <c r="I4507">
        <f>5978.763</f>
        <v>5978.7629999999999</v>
      </c>
      <c r="J4507">
        <f>1305.88</f>
        <v>1305.8800000000001</v>
      </c>
      <c r="K4507">
        <f>4091.77</f>
        <v>4091.77</v>
      </c>
      <c r="L4507">
        <f>987.6</f>
        <v>987.6</v>
      </c>
      <c r="M4507">
        <f>3952.84</f>
        <v>3952.84</v>
      </c>
      <c r="N4507">
        <f>155.588</f>
        <v>155.58799999999999</v>
      </c>
      <c r="O4507">
        <f>1708.02</f>
        <v>1708.02</v>
      </c>
      <c r="P4507" t="e">
        <f>NA()</f>
        <v>#N/A</v>
      </c>
      <c r="Q4507">
        <f>727.32</f>
        <v>727.32</v>
      </c>
      <c r="R4507">
        <f>1982.4</f>
        <v>1982.4</v>
      </c>
      <c r="S4507">
        <f>1950.59</f>
        <v>1950.59</v>
      </c>
      <c r="T4507" t="e">
        <f>NA()</f>
        <v>#N/A</v>
      </c>
      <c r="U4507">
        <f>19991.48</f>
        <v>19991.48</v>
      </c>
      <c r="V4507" t="e">
        <f>NA()</f>
        <v>#N/A</v>
      </c>
    </row>
    <row r="4508" spans="1:22" x14ac:dyDescent="0.2">
      <c r="A4508" s="1">
        <v>38797</v>
      </c>
      <c r="B4508">
        <f>3587.41</f>
        <v>3587.41</v>
      </c>
      <c r="C4508">
        <f>4307.21</f>
        <v>4307.21</v>
      </c>
      <c r="D4508">
        <f>3284.48</f>
        <v>3284.48</v>
      </c>
      <c r="E4508">
        <f>1229.94</f>
        <v>1229.94</v>
      </c>
      <c r="F4508">
        <f>1955.03</f>
        <v>1955.03</v>
      </c>
      <c r="G4508">
        <f>5859.428</f>
        <v>5859.4279999999999</v>
      </c>
      <c r="H4508">
        <f>1750.46</f>
        <v>1750.46</v>
      </c>
      <c r="I4508">
        <f>5962.056</f>
        <v>5962.0559999999996</v>
      </c>
      <c r="J4508">
        <f>1295.38</f>
        <v>1295.3800000000001</v>
      </c>
      <c r="K4508">
        <f>4068.25</f>
        <v>4068.25</v>
      </c>
      <c r="L4508">
        <f>982.94</f>
        <v>982.94</v>
      </c>
      <c r="M4508">
        <f>3937.08</f>
        <v>3937.08</v>
      </c>
      <c r="N4508">
        <f>154.537</f>
        <v>154.53700000000001</v>
      </c>
      <c r="O4508">
        <f>1701.69</f>
        <v>1701.69</v>
      </c>
      <c r="P4508" t="e">
        <f>NA()</f>
        <v>#N/A</v>
      </c>
      <c r="Q4508">
        <f>722.96</f>
        <v>722.96</v>
      </c>
      <c r="R4508">
        <f>1970.5</f>
        <v>1970.5</v>
      </c>
      <c r="S4508" t="e">
        <f>NA()</f>
        <v>#N/A</v>
      </c>
      <c r="T4508" t="e">
        <f>NA()</f>
        <v>#N/A</v>
      </c>
      <c r="U4508" t="e">
        <f>NA()</f>
        <v>#N/A</v>
      </c>
      <c r="V4508" t="e">
        <f>NA()</f>
        <v>#N/A</v>
      </c>
    </row>
    <row r="4509" spans="1:22" x14ac:dyDescent="0.2">
      <c r="A4509" s="1">
        <v>38796</v>
      </c>
      <c r="B4509">
        <f>3572.31</f>
        <v>3572.31</v>
      </c>
      <c r="C4509">
        <f>4357.24</f>
        <v>4357.24</v>
      </c>
      <c r="D4509">
        <f>3284.74</f>
        <v>3284.74</v>
      </c>
      <c r="E4509">
        <f>1242.917</f>
        <v>1242.9169999999999</v>
      </c>
      <c r="F4509">
        <f>1957.91</f>
        <v>1957.91</v>
      </c>
      <c r="G4509">
        <f>5886.822</f>
        <v>5886.8220000000001</v>
      </c>
      <c r="H4509">
        <f>1761.9</f>
        <v>1761.9</v>
      </c>
      <c r="I4509">
        <f>5999.873</f>
        <v>5999.8729999999996</v>
      </c>
      <c r="J4509">
        <f>1301.16</f>
        <v>1301.1600000000001</v>
      </c>
      <c r="K4509">
        <f>4093.56</f>
        <v>4093.56</v>
      </c>
      <c r="L4509">
        <f>987.9</f>
        <v>987.9</v>
      </c>
      <c r="M4509">
        <f>3960.34</f>
        <v>3960.34</v>
      </c>
      <c r="N4509">
        <f>154.257</f>
        <v>154.25700000000001</v>
      </c>
      <c r="O4509">
        <f>1700.29</f>
        <v>1700.29</v>
      </c>
      <c r="P4509" t="e">
        <f>NA()</f>
        <v>#N/A</v>
      </c>
      <c r="Q4509">
        <f>726.06</f>
        <v>726.06</v>
      </c>
      <c r="R4509">
        <f>1982.4</f>
        <v>1982.4</v>
      </c>
      <c r="S4509">
        <f>1952.75</f>
        <v>1952.75</v>
      </c>
      <c r="T4509" t="e">
        <f>NA()</f>
        <v>#N/A</v>
      </c>
      <c r="U4509">
        <f>20138.47</f>
        <v>20138.47</v>
      </c>
      <c r="V4509" t="e">
        <f>NA()</f>
        <v>#N/A</v>
      </c>
    </row>
    <row r="4510" spans="1:22" x14ac:dyDescent="0.2">
      <c r="A4510" s="1">
        <v>38793</v>
      </c>
      <c r="B4510">
        <f>3590.2</f>
        <v>3590.2</v>
      </c>
      <c r="C4510">
        <f>4343.53</f>
        <v>4343.53</v>
      </c>
      <c r="D4510">
        <f>3288.95</f>
        <v>3288.95</v>
      </c>
      <c r="E4510">
        <f>1239.302</f>
        <v>1239.3019999999999</v>
      </c>
      <c r="F4510">
        <f>1958.23</f>
        <v>1958.23</v>
      </c>
      <c r="G4510">
        <f>5889.469</f>
        <v>5889.4690000000001</v>
      </c>
      <c r="H4510">
        <f>1738.98</f>
        <v>1738.98</v>
      </c>
      <c r="I4510">
        <f>5977.563</f>
        <v>5977.5630000000001</v>
      </c>
      <c r="J4510">
        <f>1303.74</f>
        <v>1303.74</v>
      </c>
      <c r="K4510">
        <f>4099.9</f>
        <v>4099.8999999999996</v>
      </c>
      <c r="L4510">
        <f>988.47</f>
        <v>988.47</v>
      </c>
      <c r="M4510">
        <f>3955.7</f>
        <v>3955.7</v>
      </c>
      <c r="N4510">
        <f>154.225</f>
        <v>154.22499999999999</v>
      </c>
      <c r="O4510">
        <f>1696.38</f>
        <v>1696.38</v>
      </c>
      <c r="P4510" t="e">
        <f>NA()</f>
        <v>#N/A</v>
      </c>
      <c r="Q4510">
        <f>725.75</f>
        <v>725.75</v>
      </c>
      <c r="R4510">
        <f>1985.69</f>
        <v>1985.69</v>
      </c>
      <c r="S4510">
        <f>1924.72</f>
        <v>1924.72</v>
      </c>
      <c r="T4510" t="e">
        <f>NA()</f>
        <v>#N/A</v>
      </c>
      <c r="U4510">
        <f>19820.67</f>
        <v>19820.669999999998</v>
      </c>
      <c r="V4510" t="e">
        <f>NA()</f>
        <v>#N/A</v>
      </c>
    </row>
    <row r="4511" spans="1:22" x14ac:dyDescent="0.2">
      <c r="A4511" s="1">
        <v>38792</v>
      </c>
      <c r="B4511">
        <f>3576.89</f>
        <v>3576.89</v>
      </c>
      <c r="C4511">
        <f>4332.92</f>
        <v>4332.92</v>
      </c>
      <c r="D4511">
        <f>3285.58</f>
        <v>3285.58</v>
      </c>
      <c r="E4511">
        <f>1233.265</f>
        <v>1233.2650000000001</v>
      </c>
      <c r="F4511">
        <f>1952.32</f>
        <v>1952.32</v>
      </c>
      <c r="G4511">
        <f>5890.382</f>
        <v>5890.3819999999996</v>
      </c>
      <c r="H4511">
        <f>1700.19</f>
        <v>1700.19</v>
      </c>
      <c r="I4511">
        <f>5958.663</f>
        <v>5958.6629999999996</v>
      </c>
      <c r="J4511">
        <f>1303.39</f>
        <v>1303.3900000000001</v>
      </c>
      <c r="K4511">
        <f>4092.57</f>
        <v>4092.57</v>
      </c>
      <c r="L4511">
        <f>988.2</f>
        <v>988.2</v>
      </c>
      <c r="M4511">
        <f>3943.43</f>
        <v>3943.43</v>
      </c>
      <c r="N4511">
        <f>153.628</f>
        <v>153.62799999999999</v>
      </c>
      <c r="O4511">
        <f>1695.99</f>
        <v>1695.99</v>
      </c>
      <c r="P4511" t="e">
        <f>NA()</f>
        <v>#N/A</v>
      </c>
      <c r="Q4511">
        <f>723</f>
        <v>723</v>
      </c>
      <c r="R4511">
        <f>1982.76</f>
        <v>1982.76</v>
      </c>
      <c r="S4511">
        <f>1902.84</f>
        <v>1902.84</v>
      </c>
      <c r="T4511" t="e">
        <f>NA()</f>
        <v>#N/A</v>
      </c>
      <c r="U4511">
        <f>19631.96</f>
        <v>19631.96</v>
      </c>
      <c r="V4511" t="e">
        <f>NA()</f>
        <v>#N/A</v>
      </c>
    </row>
    <row r="4512" spans="1:22" x14ac:dyDescent="0.2">
      <c r="A4512" s="1">
        <v>38791</v>
      </c>
      <c r="B4512">
        <f>3538.58</f>
        <v>3538.58</v>
      </c>
      <c r="C4512">
        <f>4314.13</f>
        <v>4314.13</v>
      </c>
      <c r="D4512">
        <f>3270.12</f>
        <v>3270.12</v>
      </c>
      <c r="E4512">
        <f>1225.545</f>
        <v>1225.5450000000001</v>
      </c>
      <c r="F4512">
        <f>1930.72</f>
        <v>1930.72</v>
      </c>
      <c r="G4512">
        <f>5828.654</f>
        <v>5828.6540000000005</v>
      </c>
      <c r="H4512">
        <f>1711.35</f>
        <v>1711.35</v>
      </c>
      <c r="I4512">
        <f>5897.706</f>
        <v>5897.7060000000001</v>
      </c>
      <c r="J4512">
        <f>1299.02</f>
        <v>1299.02</v>
      </c>
      <c r="K4512">
        <f>4086.78</f>
        <v>4086.78</v>
      </c>
      <c r="L4512">
        <f>981.82</f>
        <v>981.82</v>
      </c>
      <c r="M4512">
        <f>3931.24</f>
        <v>3931.24</v>
      </c>
      <c r="N4512">
        <f>153.104</f>
        <v>153.10400000000001</v>
      </c>
      <c r="O4512">
        <f>1695.49</f>
        <v>1695.49</v>
      </c>
      <c r="P4512" t="e">
        <f>NA()</f>
        <v>#N/A</v>
      </c>
      <c r="Q4512">
        <f>721.09</f>
        <v>721.09</v>
      </c>
      <c r="R4512">
        <f>1979.21</f>
        <v>1979.21</v>
      </c>
      <c r="S4512">
        <f>1927.96</f>
        <v>1927.96</v>
      </c>
      <c r="T4512" t="e">
        <f>NA()</f>
        <v>#N/A</v>
      </c>
      <c r="U4512">
        <f>19692.84</f>
        <v>19692.84</v>
      </c>
      <c r="V4512" t="e">
        <f>NA()</f>
        <v>#N/A</v>
      </c>
    </row>
    <row r="4513" spans="1:22" x14ac:dyDescent="0.2">
      <c r="A4513" s="1">
        <v>38790</v>
      </c>
      <c r="B4513">
        <f>3532.95</f>
        <v>3532.95</v>
      </c>
      <c r="C4513">
        <f>4253.1</f>
        <v>4253.1000000000004</v>
      </c>
      <c r="D4513">
        <f>3259.3</f>
        <v>3259.3</v>
      </c>
      <c r="E4513">
        <f>1209.195</f>
        <v>1209.1949999999999</v>
      </c>
      <c r="F4513">
        <f>1931.5</f>
        <v>1931.5</v>
      </c>
      <c r="G4513">
        <f>5811.591</f>
        <v>5811.5910000000003</v>
      </c>
      <c r="H4513">
        <f>1701.4</f>
        <v>1701.4</v>
      </c>
      <c r="I4513">
        <f>5874.982</f>
        <v>5874.982</v>
      </c>
      <c r="J4513">
        <f>1295.17</f>
        <v>1295.17</v>
      </c>
      <c r="K4513">
        <f>4068.63</f>
        <v>4068.63</v>
      </c>
      <c r="L4513">
        <f>978.37</f>
        <v>978.37</v>
      </c>
      <c r="M4513">
        <f>3915.75</f>
        <v>3915.75</v>
      </c>
      <c r="N4513">
        <f>153.098</f>
        <v>153.09800000000001</v>
      </c>
      <c r="O4513">
        <f>1692.44</f>
        <v>1692.44</v>
      </c>
      <c r="P4513" t="e">
        <f>NA()</f>
        <v>#N/A</v>
      </c>
      <c r="Q4513">
        <f>719.12</f>
        <v>719.12</v>
      </c>
      <c r="R4513">
        <f>1970.66</f>
        <v>1970.66</v>
      </c>
      <c r="S4513">
        <f>1926.8</f>
        <v>1926.8</v>
      </c>
      <c r="T4513" t="e">
        <f>NA()</f>
        <v>#N/A</v>
      </c>
      <c r="U4513">
        <f>19289.68</f>
        <v>19289.68</v>
      </c>
      <c r="V4513" t="e">
        <f>NA()</f>
        <v>#N/A</v>
      </c>
    </row>
    <row r="4514" spans="1:22" x14ac:dyDescent="0.2">
      <c r="A4514" s="1">
        <v>38789</v>
      </c>
      <c r="B4514">
        <f>3511.19</f>
        <v>3511.19</v>
      </c>
      <c r="C4514">
        <f>4236.97</f>
        <v>4236.97</v>
      </c>
      <c r="D4514">
        <f>3260.53</f>
        <v>3260.53</v>
      </c>
      <c r="E4514">
        <f>1206.946</f>
        <v>1206.9459999999999</v>
      </c>
      <c r="F4514">
        <f>1916.44</f>
        <v>1916.44</v>
      </c>
      <c r="G4514">
        <f>5759.198</f>
        <v>5759.1980000000003</v>
      </c>
      <c r="H4514">
        <f>1686.46</f>
        <v>1686.46</v>
      </c>
      <c r="I4514">
        <f>5819.978</f>
        <v>5819.9780000000001</v>
      </c>
      <c r="J4514">
        <f>1286.08</f>
        <v>1286.08</v>
      </c>
      <c r="K4514">
        <f>4025.97</f>
        <v>4025.97</v>
      </c>
      <c r="L4514">
        <f>970.37</f>
        <v>970.37</v>
      </c>
      <c r="M4514">
        <f>3878.64</f>
        <v>3878.64</v>
      </c>
      <c r="N4514">
        <f>153.317</f>
        <v>153.31700000000001</v>
      </c>
      <c r="O4514">
        <f>1688.75</f>
        <v>1688.75</v>
      </c>
      <c r="P4514" t="e">
        <f>NA()</f>
        <v>#N/A</v>
      </c>
      <c r="Q4514">
        <f>712.8</f>
        <v>712.8</v>
      </c>
      <c r="R4514">
        <f>1950.39</f>
        <v>1950.39</v>
      </c>
      <c r="S4514">
        <f>1937.06</f>
        <v>1937.06</v>
      </c>
      <c r="T4514" t="e">
        <f>NA()</f>
        <v>#N/A</v>
      </c>
      <c r="U4514">
        <f>18945.27</f>
        <v>18945.27</v>
      </c>
      <c r="V4514" t="e">
        <f>NA()</f>
        <v>#N/A</v>
      </c>
    </row>
    <row r="4515" spans="1:22" x14ac:dyDescent="0.2">
      <c r="A4515" s="1">
        <v>38786</v>
      </c>
      <c r="B4515">
        <f>3484.33</f>
        <v>3484.33</v>
      </c>
      <c r="C4515">
        <f>4203.94</f>
        <v>4203.9399999999996</v>
      </c>
      <c r="D4515">
        <f>3235.9</f>
        <v>3235.9</v>
      </c>
      <c r="E4515">
        <f>1191.263</f>
        <v>1191.2629999999999</v>
      </c>
      <c r="F4515">
        <f>1899.53</f>
        <v>1899.53</v>
      </c>
      <c r="G4515">
        <f>5697.339</f>
        <v>5697.3389999999999</v>
      </c>
      <c r="H4515">
        <f>1668.44</f>
        <v>1668.44</v>
      </c>
      <c r="I4515">
        <f>5753.905</f>
        <v>5753.9049999999997</v>
      </c>
      <c r="J4515">
        <f>1281.5</f>
        <v>1281.5</v>
      </c>
      <c r="K4515">
        <f>4017</f>
        <v>4017</v>
      </c>
      <c r="L4515">
        <f>962.99</f>
        <v>962.99</v>
      </c>
      <c r="M4515">
        <f>3851.48</f>
        <v>3851.48</v>
      </c>
      <c r="N4515">
        <f>152.258</f>
        <v>152.25800000000001</v>
      </c>
      <c r="O4515">
        <f>1676.33</f>
        <v>1676.33</v>
      </c>
      <c r="P4515" t="e">
        <f>NA()</f>
        <v>#N/A</v>
      </c>
      <c r="Q4515">
        <f>711.2</f>
        <v>711.2</v>
      </c>
      <c r="R4515">
        <f>1945.93</f>
        <v>1945.93</v>
      </c>
      <c r="S4515">
        <f>1905.38</f>
        <v>1905.38</v>
      </c>
      <c r="T4515" t="e">
        <f>NA()</f>
        <v>#N/A</v>
      </c>
      <c r="U4515">
        <f>18753.05</f>
        <v>18753.05</v>
      </c>
      <c r="V4515" t="e">
        <f>NA()</f>
        <v>#N/A</v>
      </c>
    </row>
    <row r="4516" spans="1:22" x14ac:dyDescent="0.2">
      <c r="A4516" s="1">
        <v>38785</v>
      </c>
      <c r="B4516">
        <f>3454.49</f>
        <v>3454.49</v>
      </c>
      <c r="C4516">
        <f>4184.41</f>
        <v>4184.41</v>
      </c>
      <c r="D4516">
        <f>3207.43</f>
        <v>3207.43</v>
      </c>
      <c r="E4516">
        <f>1187.321</f>
        <v>1187.3209999999999</v>
      </c>
      <c r="F4516">
        <f>1898.92</f>
        <v>1898.92</v>
      </c>
      <c r="G4516">
        <f>5687.6</f>
        <v>5687.6</v>
      </c>
      <c r="H4516">
        <f>1686.37</f>
        <v>1686.37</v>
      </c>
      <c r="I4516">
        <f>5720.736</f>
        <v>5720.7359999999999</v>
      </c>
      <c r="J4516">
        <f>1271.85</f>
        <v>1271.8499999999999</v>
      </c>
      <c r="K4516">
        <f>3989.3</f>
        <v>3989.3</v>
      </c>
      <c r="L4516">
        <f>958.82</f>
        <v>958.82</v>
      </c>
      <c r="M4516">
        <f>3837.32</f>
        <v>3837.32</v>
      </c>
      <c r="N4516">
        <f>151.658</f>
        <v>151.65799999999999</v>
      </c>
      <c r="O4516">
        <f>1662.91</f>
        <v>1662.91</v>
      </c>
      <c r="P4516" t="e">
        <f>NA()</f>
        <v>#N/A</v>
      </c>
      <c r="Q4516">
        <f>704.95</f>
        <v>704.95</v>
      </c>
      <c r="R4516">
        <f>1931.73</f>
        <v>1931.73</v>
      </c>
      <c r="S4516">
        <f>1898.14</f>
        <v>1898.14</v>
      </c>
      <c r="T4516" t="e">
        <f>NA()</f>
        <v>#N/A</v>
      </c>
      <c r="U4516">
        <f>18818.92</f>
        <v>18818.919999999998</v>
      </c>
      <c r="V4516" t="e">
        <f>NA()</f>
        <v>#N/A</v>
      </c>
    </row>
    <row r="4517" spans="1:22" x14ac:dyDescent="0.2">
      <c r="A4517" s="1">
        <v>38784</v>
      </c>
      <c r="B4517">
        <f>3430.31</f>
        <v>3430.31</v>
      </c>
      <c r="C4517">
        <f>4166.28</f>
        <v>4166.28</v>
      </c>
      <c r="D4517">
        <f>3183.91</f>
        <v>3183.91</v>
      </c>
      <c r="E4517">
        <f>1186.503</f>
        <v>1186.5029999999999</v>
      </c>
      <c r="F4517">
        <f>1885.92</f>
        <v>1885.92</v>
      </c>
      <c r="G4517">
        <f>5638.465</f>
        <v>5638.4650000000001</v>
      </c>
      <c r="H4517">
        <f>1655.77</f>
        <v>1655.77</v>
      </c>
      <c r="I4517">
        <f>5676.313</f>
        <v>5676.3130000000001</v>
      </c>
      <c r="J4517">
        <f>1277.09</f>
        <v>1277.0899999999999</v>
      </c>
      <c r="K4517">
        <f>4010.01</f>
        <v>4010.01</v>
      </c>
      <c r="L4517">
        <f>957.06</f>
        <v>957.06</v>
      </c>
      <c r="M4517">
        <f>3827.36</f>
        <v>3827.36</v>
      </c>
      <c r="N4517">
        <f>150.579</f>
        <v>150.57900000000001</v>
      </c>
      <c r="O4517">
        <f>1650.68</f>
        <v>1650.68</v>
      </c>
      <c r="P4517" t="e">
        <f>NA()</f>
        <v>#N/A</v>
      </c>
      <c r="Q4517">
        <f>706.21</f>
        <v>706.21</v>
      </c>
      <c r="R4517">
        <f>1941.17</f>
        <v>1941.17</v>
      </c>
      <c r="S4517">
        <f>1857.16</f>
        <v>1857.16</v>
      </c>
      <c r="T4517" t="e">
        <f>NA()</f>
        <v>#N/A</v>
      </c>
      <c r="U4517">
        <f>18540.6</f>
        <v>18540.599999999999</v>
      </c>
      <c r="V4517" t="e">
        <f>NA()</f>
        <v>#N/A</v>
      </c>
    </row>
    <row r="4518" spans="1:22" x14ac:dyDescent="0.2">
      <c r="A4518" s="1">
        <v>38783</v>
      </c>
      <c r="B4518">
        <f>3475.75</f>
        <v>3475.75</v>
      </c>
      <c r="C4518">
        <f>4207.44</f>
        <v>4207.4399999999996</v>
      </c>
      <c r="D4518">
        <f>3196.68</f>
        <v>3196.68</v>
      </c>
      <c r="E4518">
        <f>1200.496</f>
        <v>1200.4960000000001</v>
      </c>
      <c r="F4518">
        <f>1897.69</f>
        <v>1897.69</v>
      </c>
      <c r="G4518">
        <f>5661.304</f>
        <v>5661.3040000000001</v>
      </c>
      <c r="H4518">
        <f>1667.68</f>
        <v>1667.68</v>
      </c>
      <c r="I4518">
        <f>5695.819</f>
        <v>5695.8190000000004</v>
      </c>
      <c r="J4518">
        <f>1273.17</f>
        <v>1273.17</v>
      </c>
      <c r="K4518">
        <f>4002.73</f>
        <v>4002.73</v>
      </c>
      <c r="L4518">
        <f>957.77</f>
        <v>957.77</v>
      </c>
      <c r="M4518">
        <f>3833.68</f>
        <v>3833.68</v>
      </c>
      <c r="N4518">
        <f>151.541</f>
        <v>151.541</v>
      </c>
      <c r="O4518">
        <f>1660.83</f>
        <v>1660.83</v>
      </c>
      <c r="P4518" t="e">
        <f>NA()</f>
        <v>#N/A</v>
      </c>
      <c r="Q4518">
        <f>704.76</f>
        <v>704.76</v>
      </c>
      <c r="R4518">
        <f>1936.68</f>
        <v>1936.68</v>
      </c>
      <c r="S4518">
        <f>1871.37</f>
        <v>1871.37</v>
      </c>
      <c r="T4518" t="e">
        <f>NA()</f>
        <v>#N/A</v>
      </c>
      <c r="U4518">
        <f>18626.23</f>
        <v>18626.23</v>
      </c>
      <c r="V4518" t="e">
        <f>NA()</f>
        <v>#N/A</v>
      </c>
    </row>
    <row r="4519" spans="1:22" x14ac:dyDescent="0.2">
      <c r="A4519" s="1">
        <v>38782</v>
      </c>
      <c r="B4519">
        <f>3497.81</f>
        <v>3497.81</v>
      </c>
      <c r="C4519">
        <f>4326.34</f>
        <v>4326.34</v>
      </c>
      <c r="D4519">
        <f>3218.76</f>
        <v>3218.76</v>
      </c>
      <c r="E4519">
        <f>1237.753</f>
        <v>1237.7529999999999</v>
      </c>
      <c r="F4519">
        <f>1923.67</f>
        <v>1923.67</v>
      </c>
      <c r="G4519">
        <f>5747.751</f>
        <v>5747.7510000000002</v>
      </c>
      <c r="H4519">
        <f>1680.3</f>
        <v>1680.3</v>
      </c>
      <c r="I4519">
        <f>5784.979</f>
        <v>5784.9790000000003</v>
      </c>
      <c r="J4519">
        <f>1270.9</f>
        <v>1270.9000000000001</v>
      </c>
      <c r="K4519">
        <f>4011.53</f>
        <v>4011.53</v>
      </c>
      <c r="L4519">
        <f>965.46</f>
        <v>965.46</v>
      </c>
      <c r="M4519">
        <f>3863.48</f>
        <v>3863.48</v>
      </c>
      <c r="N4519">
        <f>152.212</f>
        <v>152.21199999999999</v>
      </c>
      <c r="O4519">
        <f>1668.85</f>
        <v>1668.85</v>
      </c>
      <c r="P4519" t="e">
        <f>NA()</f>
        <v>#N/A</v>
      </c>
      <c r="Q4519">
        <f>704.09</f>
        <v>704.09</v>
      </c>
      <c r="R4519">
        <f>1940.2</f>
        <v>1940.2</v>
      </c>
      <c r="S4519">
        <f>1881.31</f>
        <v>1881.31</v>
      </c>
      <c r="T4519" t="e">
        <f>NA()</f>
        <v>#N/A</v>
      </c>
      <c r="U4519">
        <f>19369.85</f>
        <v>19369.849999999999</v>
      </c>
      <c r="V4519" t="e">
        <f>NA()</f>
        <v>#N/A</v>
      </c>
    </row>
    <row r="4520" spans="1:22" x14ac:dyDescent="0.2">
      <c r="A4520" s="1">
        <v>38779</v>
      </c>
      <c r="B4520">
        <f>3464.57</f>
        <v>3464.57</v>
      </c>
      <c r="C4520">
        <f>4345.42</f>
        <v>4345.42</v>
      </c>
      <c r="D4520">
        <f>3197.4</f>
        <v>3197.4</v>
      </c>
      <c r="E4520">
        <f>1242.046</f>
        <v>1242.046</v>
      </c>
      <c r="F4520">
        <f>1902.09</f>
        <v>1902.09</v>
      </c>
      <c r="G4520">
        <f>5710.821</f>
        <v>5710.8209999999999</v>
      </c>
      <c r="H4520">
        <f>1680.02</f>
        <v>1680.02</v>
      </c>
      <c r="I4520">
        <f>5758.121</f>
        <v>5758.1210000000001</v>
      </c>
      <c r="J4520">
        <f>1276.86</f>
        <v>1276.8599999999999</v>
      </c>
      <c r="K4520">
        <f>4039.84</f>
        <v>4039.84</v>
      </c>
      <c r="L4520">
        <f>965.31</f>
        <v>965.31</v>
      </c>
      <c r="M4520">
        <f>3872.17</f>
        <v>3872.17</v>
      </c>
      <c r="N4520">
        <f>152.079</f>
        <v>152.07900000000001</v>
      </c>
      <c r="O4520">
        <f>1659.66</f>
        <v>1659.66</v>
      </c>
      <c r="P4520" t="e">
        <f>NA()</f>
        <v>#N/A</v>
      </c>
      <c r="Q4520">
        <f>707.28</f>
        <v>707.28</v>
      </c>
      <c r="R4520">
        <f>1953.74</f>
        <v>1953.74</v>
      </c>
      <c r="S4520">
        <f>1865.69</f>
        <v>1865.69</v>
      </c>
      <c r="T4520" t="e">
        <f>NA()</f>
        <v>#N/A</v>
      </c>
      <c r="U4520">
        <f>19299.56</f>
        <v>19299.560000000001</v>
      </c>
      <c r="V4520" t="e">
        <f>NA()</f>
        <v>#N/A</v>
      </c>
    </row>
    <row r="4521" spans="1:22" x14ac:dyDescent="0.2">
      <c r="A4521" s="1">
        <v>38778</v>
      </c>
      <c r="B4521">
        <f>3473.29</f>
        <v>3473.29</v>
      </c>
      <c r="C4521">
        <f>4378.59</f>
        <v>4378.59</v>
      </c>
      <c r="D4521">
        <f>3183.37</f>
        <v>3183.37</v>
      </c>
      <c r="E4521">
        <f>1253.115</f>
        <v>1253.115</v>
      </c>
      <c r="F4521">
        <f>1899.83</f>
        <v>1899.83</v>
      </c>
      <c r="G4521">
        <f>5667.666</f>
        <v>5667.6660000000002</v>
      </c>
      <c r="H4521">
        <f>1694.34</f>
        <v>1694.34</v>
      </c>
      <c r="I4521">
        <f>5759.556</f>
        <v>5759.5559999999996</v>
      </c>
      <c r="J4521">
        <f>1276.97</f>
        <v>1276.97</v>
      </c>
      <c r="K4521">
        <f>4045.73</f>
        <v>4045.73</v>
      </c>
      <c r="L4521">
        <f>963.85</f>
        <v>963.85</v>
      </c>
      <c r="M4521">
        <f>3879.05</f>
        <v>3879.05</v>
      </c>
      <c r="N4521">
        <f>152.248</f>
        <v>152.24799999999999</v>
      </c>
      <c r="O4521">
        <f>1660.32</f>
        <v>1660.32</v>
      </c>
      <c r="P4521" t="e">
        <f>NA()</f>
        <v>#N/A</v>
      </c>
      <c r="Q4521">
        <f>708.53</f>
        <v>708.53</v>
      </c>
      <c r="R4521">
        <f>1956.6</f>
        <v>1956.6</v>
      </c>
      <c r="S4521">
        <f>1887.99</f>
        <v>1887.99</v>
      </c>
      <c r="T4521" t="e">
        <f>NA()</f>
        <v>#N/A</v>
      </c>
      <c r="U4521">
        <f>19391.13</f>
        <v>19391.13</v>
      </c>
      <c r="V4521" t="e">
        <f>NA()</f>
        <v>#N/A</v>
      </c>
    </row>
    <row r="4522" spans="1:22" x14ac:dyDescent="0.2">
      <c r="A4522" s="1">
        <v>38777</v>
      </c>
      <c r="B4522">
        <f>3500.46</f>
        <v>3500.46</v>
      </c>
      <c r="C4522">
        <f>4342.1</f>
        <v>4342.1000000000004</v>
      </c>
      <c r="D4522">
        <f>3189.42</f>
        <v>3189.42</v>
      </c>
      <c r="E4522">
        <f>1245.725</f>
        <v>1245.7249999999999</v>
      </c>
      <c r="F4522">
        <f>1917.77</f>
        <v>1917.77</v>
      </c>
      <c r="G4522">
        <f>5702.294</f>
        <v>5702.2939999999999</v>
      </c>
      <c r="H4522">
        <f>1696.34</f>
        <v>1696.34</v>
      </c>
      <c r="I4522">
        <f>5783.009</f>
        <v>5783.009</v>
      </c>
      <c r="J4522">
        <f>1281.15</f>
        <v>1281.1500000000001</v>
      </c>
      <c r="K4522">
        <f>4051.27</f>
        <v>4051.27</v>
      </c>
      <c r="L4522">
        <f>967.76</f>
        <v>967.76</v>
      </c>
      <c r="M4522">
        <f>3885.12</f>
        <v>3885.12</v>
      </c>
      <c r="N4522">
        <f>153.108</f>
        <v>153.108</v>
      </c>
      <c r="O4522">
        <f>1675.04</f>
        <v>1675.04</v>
      </c>
      <c r="P4522" t="e">
        <f>NA()</f>
        <v>#N/A</v>
      </c>
      <c r="Q4522">
        <f>710.32</f>
        <v>710.32</v>
      </c>
      <c r="R4522">
        <f>1959.77</f>
        <v>1959.77</v>
      </c>
      <c r="S4522">
        <f>1891.88</f>
        <v>1891.88</v>
      </c>
      <c r="T4522" t="e">
        <f>NA()</f>
        <v>#N/A</v>
      </c>
      <c r="U4522" t="e">
        <f>NA()</f>
        <v>#N/A</v>
      </c>
      <c r="V4522" t="e">
        <f>NA()</f>
        <v>#N/A</v>
      </c>
    </row>
    <row r="4523" spans="1:22" x14ac:dyDescent="0.2">
      <c r="A4523" s="1">
        <v>38776</v>
      </c>
      <c r="B4523">
        <f>3488.71</f>
        <v>3488.71</v>
      </c>
      <c r="C4523">
        <f>4313.44</f>
        <v>4313.4399999999996</v>
      </c>
      <c r="D4523">
        <f>3157.3</f>
        <v>3157.3</v>
      </c>
      <c r="E4523">
        <f>1237.596</f>
        <v>1237.596</v>
      </c>
      <c r="F4523">
        <f>1914.68</f>
        <v>1914.68</v>
      </c>
      <c r="G4523">
        <f>5641.919</f>
        <v>5641.9189999999999</v>
      </c>
      <c r="H4523">
        <f>1718.33</f>
        <v>1718.33</v>
      </c>
      <c r="I4523">
        <f>5726.944</f>
        <v>5726.9440000000004</v>
      </c>
      <c r="J4523">
        <f>1274.68</f>
        <v>1274.68</v>
      </c>
      <c r="K4523">
        <f>4017.04</f>
        <v>4017.04</v>
      </c>
      <c r="L4523">
        <f>962.14</f>
        <v>962.14</v>
      </c>
      <c r="M4523">
        <f>3863.68</f>
        <v>3863.68</v>
      </c>
      <c r="N4523">
        <f>151.498</f>
        <v>151.49799999999999</v>
      </c>
      <c r="O4523">
        <f>1660.81</f>
        <v>1660.81</v>
      </c>
      <c r="P4523" t="e">
        <f>NA()</f>
        <v>#N/A</v>
      </c>
      <c r="Q4523">
        <f>706.81</f>
        <v>706.81</v>
      </c>
      <c r="R4523">
        <f>1943.19</f>
        <v>1943.19</v>
      </c>
      <c r="S4523">
        <f>1920.59</f>
        <v>1920.59</v>
      </c>
      <c r="T4523" t="e">
        <f>NA()</f>
        <v>#N/A</v>
      </c>
      <c r="U4523">
        <f>19085.35</f>
        <v>19085.349999999999</v>
      </c>
      <c r="V4523" t="e">
        <f>NA()</f>
        <v>#N/A</v>
      </c>
    </row>
    <row r="4524" spans="1:22" x14ac:dyDescent="0.2">
      <c r="A4524" s="1">
        <v>38775</v>
      </c>
      <c r="B4524">
        <f>3524.67</f>
        <v>3524.67</v>
      </c>
      <c r="C4524">
        <f>4342.96</f>
        <v>4342.96</v>
      </c>
      <c r="D4524">
        <f>3203.26</f>
        <v>3203.26</v>
      </c>
      <c r="E4524">
        <f>1250.577</f>
        <v>1250.577</v>
      </c>
      <c r="F4524">
        <f>1925.36</f>
        <v>1925.36</v>
      </c>
      <c r="G4524">
        <f>5683.524</f>
        <v>5683.5240000000003</v>
      </c>
      <c r="H4524">
        <f>1706.56</f>
        <v>1706.56</v>
      </c>
      <c r="I4524">
        <f>5781.253</f>
        <v>5781.2529999999997</v>
      </c>
      <c r="J4524">
        <f>1287.88</f>
        <v>1287.8800000000001</v>
      </c>
      <c r="K4524">
        <f>4059</f>
        <v>4059</v>
      </c>
      <c r="L4524">
        <f>969.03</f>
        <v>969.03</v>
      </c>
      <c r="M4524">
        <f>3891.94</f>
        <v>3891.94</v>
      </c>
      <c r="N4524">
        <f>153.385</f>
        <v>153.38499999999999</v>
      </c>
      <c r="O4524">
        <f>1684.81</f>
        <v>1684.81</v>
      </c>
      <c r="P4524" t="e">
        <f>NA()</f>
        <v>#N/A</v>
      </c>
      <c r="Q4524">
        <f>713.29</f>
        <v>713.29</v>
      </c>
      <c r="R4524">
        <f>1963.58</f>
        <v>1963.58</v>
      </c>
      <c r="S4524">
        <f>1916.42</f>
        <v>1916.42</v>
      </c>
      <c r="T4524" t="e">
        <f>NA()</f>
        <v>#N/A</v>
      </c>
      <c r="U4524">
        <f>19657.52</f>
        <v>19657.52</v>
      </c>
      <c r="V4524" t="e">
        <f>NA()</f>
        <v>#N/A</v>
      </c>
    </row>
    <row r="4525" spans="1:22" x14ac:dyDescent="0.2">
      <c r="A4525" s="1">
        <v>38772</v>
      </c>
      <c r="B4525">
        <f>3508.81</f>
        <v>3508.81</v>
      </c>
      <c r="C4525">
        <f>4326.21</f>
        <v>4326.21</v>
      </c>
      <c r="D4525">
        <f>3194.88</f>
        <v>3194.88</v>
      </c>
      <c r="E4525">
        <f>1243.626</f>
        <v>1243.626</v>
      </c>
      <c r="F4525">
        <f>1920.05</f>
        <v>1920.05</v>
      </c>
      <c r="G4525">
        <f>5683.748</f>
        <v>5683.7479999999996</v>
      </c>
      <c r="H4525">
        <f>1675.18</f>
        <v>1675.18</v>
      </c>
      <c r="I4525">
        <f>5765.81</f>
        <v>5765.81</v>
      </c>
      <c r="J4525">
        <f>1285.31</f>
        <v>1285.31</v>
      </c>
      <c r="K4525">
        <f>4042.87</f>
        <v>4042.87</v>
      </c>
      <c r="L4525">
        <f>966.9</f>
        <v>966.9</v>
      </c>
      <c r="M4525">
        <f>3873.91</f>
        <v>3873.91</v>
      </c>
      <c r="N4525">
        <f>152.93</f>
        <v>152.93</v>
      </c>
      <c r="O4525">
        <f>1679.5</f>
        <v>1679.5</v>
      </c>
      <c r="P4525" t="e">
        <f>NA()</f>
        <v>#N/A</v>
      </c>
      <c r="Q4525">
        <f>708.68</f>
        <v>708.68</v>
      </c>
      <c r="R4525">
        <f>1956.14</f>
        <v>1956.14</v>
      </c>
      <c r="S4525">
        <f>1905.91</f>
        <v>1905.91</v>
      </c>
      <c r="T4525" t="e">
        <f>NA()</f>
        <v>#N/A</v>
      </c>
      <c r="U4525">
        <f>19486.12</f>
        <v>19486.12</v>
      </c>
      <c r="V4525" t="e">
        <f>NA()</f>
        <v>#N/A</v>
      </c>
    </row>
    <row r="4526" spans="1:22" x14ac:dyDescent="0.2">
      <c r="A4526" s="1">
        <v>38771</v>
      </c>
      <c r="B4526">
        <f>3496.72</f>
        <v>3496.72</v>
      </c>
      <c r="C4526">
        <f>4319.84</f>
        <v>4319.84</v>
      </c>
      <c r="D4526">
        <f>3181.56</f>
        <v>3181.56</v>
      </c>
      <c r="E4526">
        <f>1241.721</f>
        <v>1241.721</v>
      </c>
      <c r="F4526">
        <f>1903.79</f>
        <v>1903.79</v>
      </c>
      <c r="G4526">
        <f>5682.726</f>
        <v>5682.7259999999997</v>
      </c>
      <c r="H4526">
        <f>1668.87</f>
        <v>1668.87</v>
      </c>
      <c r="I4526">
        <f>5778.361</f>
        <v>5778.3609999999999</v>
      </c>
      <c r="J4526">
        <f>1281.93</f>
        <v>1281.93</v>
      </c>
      <c r="K4526">
        <f>4036.32</f>
        <v>4036.32</v>
      </c>
      <c r="L4526">
        <f>966.1</f>
        <v>966.1</v>
      </c>
      <c r="M4526">
        <f>3869.32</f>
        <v>3869.32</v>
      </c>
      <c r="N4526">
        <f>151.259</f>
        <v>151.25899999999999</v>
      </c>
      <c r="O4526">
        <f>1674.85</f>
        <v>1674.85</v>
      </c>
      <c r="P4526" t="e">
        <f>NA()</f>
        <v>#N/A</v>
      </c>
      <c r="Q4526">
        <f>709.1</f>
        <v>709.1</v>
      </c>
      <c r="R4526">
        <f>1953.37</f>
        <v>1953.37</v>
      </c>
      <c r="S4526">
        <f>1897.51</f>
        <v>1897.51</v>
      </c>
      <c r="T4526" t="e">
        <f>NA()</f>
        <v>#N/A</v>
      </c>
      <c r="U4526">
        <f>19660.2</f>
        <v>19660.2</v>
      </c>
      <c r="V4526" t="e">
        <f>NA()</f>
        <v>#N/A</v>
      </c>
    </row>
    <row r="4527" spans="1:22" x14ac:dyDescent="0.2">
      <c r="A4527" s="1">
        <v>38770</v>
      </c>
      <c r="B4527">
        <f>3506.47</f>
        <v>3506.47</v>
      </c>
      <c r="C4527">
        <f>4306.31</f>
        <v>4306.3100000000004</v>
      </c>
      <c r="D4527">
        <f>3201.37</f>
        <v>3201.37</v>
      </c>
      <c r="E4527">
        <f>1232.515</f>
        <v>1232.5150000000001</v>
      </c>
      <c r="F4527">
        <f>1892.55</f>
        <v>1892.55</v>
      </c>
      <c r="G4527">
        <f>5680.593</f>
        <v>5680.5929999999998</v>
      </c>
      <c r="H4527">
        <f>1622.3</f>
        <v>1622.3</v>
      </c>
      <c r="I4527">
        <f>5765.177</f>
        <v>5765.1769999999997</v>
      </c>
      <c r="J4527">
        <f>1286.03</f>
        <v>1286.03</v>
      </c>
      <c r="K4527">
        <f>4049.1</f>
        <v>4049.1</v>
      </c>
      <c r="L4527">
        <f>965.62</f>
        <v>965.62</v>
      </c>
      <c r="M4527">
        <f>3859.67</f>
        <v>3859.67</v>
      </c>
      <c r="N4527">
        <f>151.013</f>
        <v>151.01300000000001</v>
      </c>
      <c r="O4527">
        <f>1677.92</f>
        <v>1677.92</v>
      </c>
      <c r="P4527" t="e">
        <f>NA()</f>
        <v>#N/A</v>
      </c>
      <c r="Q4527">
        <f>710.81</f>
        <v>710.81</v>
      </c>
      <c r="R4527">
        <f>1960.26</f>
        <v>1960.26</v>
      </c>
      <c r="S4527">
        <f>1861.3</f>
        <v>1861.3</v>
      </c>
      <c r="T4527" t="e">
        <f>NA()</f>
        <v>#N/A</v>
      </c>
      <c r="U4527">
        <f>19684.45</f>
        <v>19684.45</v>
      </c>
      <c r="V4527" t="e">
        <f>NA()</f>
        <v>#N/A</v>
      </c>
    </row>
    <row r="4528" spans="1:22" x14ac:dyDescent="0.2">
      <c r="A4528" s="1">
        <v>38769</v>
      </c>
      <c r="B4528">
        <f>3488.9</f>
        <v>3488.9</v>
      </c>
      <c r="C4528">
        <f>4329.23</f>
        <v>4329.2299999999996</v>
      </c>
      <c r="D4528">
        <f>3190.14</f>
        <v>3190.14</v>
      </c>
      <c r="E4528">
        <f>1237.949</f>
        <v>1237.9490000000001</v>
      </c>
      <c r="F4528">
        <f>1880.91</f>
        <v>1880.91</v>
      </c>
      <c r="G4528">
        <f>5670.219</f>
        <v>5670.2190000000001</v>
      </c>
      <c r="H4528">
        <f>1620.27</f>
        <v>1620.27</v>
      </c>
      <c r="I4528">
        <f>5735.348</f>
        <v>5735.348</v>
      </c>
      <c r="J4528">
        <f>1274.12</f>
        <v>1274.1199999999999</v>
      </c>
      <c r="K4528">
        <f>4019.08</f>
        <v>4019.08</v>
      </c>
      <c r="L4528">
        <f>959.58</f>
        <v>959.58</v>
      </c>
      <c r="M4528">
        <f>3841.35</f>
        <v>3841.35</v>
      </c>
      <c r="N4528">
        <f>149.965</f>
        <v>149.965</v>
      </c>
      <c r="O4528">
        <f>1667.75</f>
        <v>1667.75</v>
      </c>
      <c r="P4528" t="e">
        <f>NA()</f>
        <v>#N/A</v>
      </c>
      <c r="Q4528">
        <f>704.83</f>
        <v>704.83</v>
      </c>
      <c r="R4528">
        <f>1945.45</f>
        <v>1945.45</v>
      </c>
      <c r="S4528">
        <f>1864.89</f>
        <v>1864.89</v>
      </c>
      <c r="T4528" t="e">
        <f>NA()</f>
        <v>#N/A</v>
      </c>
      <c r="U4528">
        <f>19518.46</f>
        <v>19518.46</v>
      </c>
      <c r="V4528" t="e">
        <f>NA()</f>
        <v>#N/A</v>
      </c>
    </row>
    <row r="4529" spans="1:22" x14ac:dyDescent="0.2">
      <c r="A4529" s="1">
        <v>38768</v>
      </c>
      <c r="B4529">
        <f>3483.82</f>
        <v>3483.82</v>
      </c>
      <c r="C4529">
        <f>4356.98</f>
        <v>4356.9799999999996</v>
      </c>
      <c r="D4529">
        <f>3193.03</f>
        <v>3193.03</v>
      </c>
      <c r="E4529">
        <f>1242.279</f>
        <v>1242.279</v>
      </c>
      <c r="F4529">
        <f>1876.45</f>
        <v>1876.45</v>
      </c>
      <c r="G4529">
        <f>5682.328</f>
        <v>5682.3280000000004</v>
      </c>
      <c r="H4529">
        <f>1592.61</f>
        <v>1592.61</v>
      </c>
      <c r="I4529">
        <f>5735.011</f>
        <v>5735.0110000000004</v>
      </c>
      <c r="J4529">
        <f>1277.73</f>
        <v>1277.73</v>
      </c>
      <c r="K4529">
        <f>4032.12</f>
        <v>4032.12</v>
      </c>
      <c r="L4529">
        <f>960.66</f>
        <v>960.66</v>
      </c>
      <c r="M4529">
        <f>3840.45</f>
        <v>3840.45</v>
      </c>
      <c r="N4529">
        <f>148.513</f>
        <v>148.51300000000001</v>
      </c>
      <c r="O4529">
        <f>1662.83</f>
        <v>1662.83</v>
      </c>
      <c r="P4529" t="e">
        <f>NA()</f>
        <v>#N/A</v>
      </c>
      <c r="Q4529" t="e">
        <f>NA()</f>
        <v>#N/A</v>
      </c>
      <c r="R4529" t="e">
        <f>NA()</f>
        <v>#N/A</v>
      </c>
      <c r="S4529">
        <f>1818.1</f>
        <v>1818.1</v>
      </c>
      <c r="T4529" t="e">
        <f>NA()</f>
        <v>#N/A</v>
      </c>
      <c r="U4529">
        <f>19388.64</f>
        <v>19388.64</v>
      </c>
      <c r="V4529" t="e">
        <f>NA()</f>
        <v>#N/A</v>
      </c>
    </row>
    <row r="4530" spans="1:22" x14ac:dyDescent="0.2">
      <c r="A4530" s="1">
        <v>38765</v>
      </c>
      <c r="B4530">
        <f>3487.4</f>
        <v>3487.4</v>
      </c>
      <c r="C4530">
        <f>4330.91</f>
        <v>4330.91</v>
      </c>
      <c r="D4530">
        <f>3183.88</f>
        <v>3183.88</v>
      </c>
      <c r="E4530">
        <f>1231.479</f>
        <v>1231.479</v>
      </c>
      <c r="F4530">
        <f>1874.81</f>
        <v>1874.81</v>
      </c>
      <c r="G4530">
        <f>5654.214</f>
        <v>5654.2139999999999</v>
      </c>
      <c r="H4530">
        <f>1606.68</f>
        <v>1606.68</v>
      </c>
      <c r="I4530">
        <f>5709.772</f>
        <v>5709.7719999999999</v>
      </c>
      <c r="J4530">
        <f>1277.73</f>
        <v>1277.73</v>
      </c>
      <c r="K4530">
        <f>4032.12</f>
        <v>4032.12</v>
      </c>
      <c r="L4530">
        <f>957.53</f>
        <v>957.53</v>
      </c>
      <c r="M4530">
        <f>3838.66</f>
        <v>3838.66</v>
      </c>
      <c r="N4530">
        <f>148.331</f>
        <v>148.33099999999999</v>
      </c>
      <c r="O4530">
        <f>1659.57</f>
        <v>1659.57</v>
      </c>
      <c r="P4530" t="e">
        <f>NA()</f>
        <v>#N/A</v>
      </c>
      <c r="Q4530">
        <f>706.69</f>
        <v>706.69</v>
      </c>
      <c r="R4530">
        <f>1951.83</f>
        <v>1951.83</v>
      </c>
      <c r="S4530">
        <f>1856.52</f>
        <v>1856.52</v>
      </c>
      <c r="T4530" t="e">
        <f>NA()</f>
        <v>#N/A</v>
      </c>
      <c r="U4530">
        <f>19389.32</f>
        <v>19389.32</v>
      </c>
      <c r="V4530" t="e">
        <f>NA()</f>
        <v>#N/A</v>
      </c>
    </row>
    <row r="4531" spans="1:22" x14ac:dyDescent="0.2">
      <c r="A4531" s="1">
        <v>38764</v>
      </c>
      <c r="B4531">
        <f>3468.36</f>
        <v>3468.36</v>
      </c>
      <c r="C4531">
        <f>4273.3</f>
        <v>4273.3</v>
      </c>
      <c r="D4531">
        <f>3174.46</f>
        <v>3174.46</v>
      </c>
      <c r="E4531">
        <f>1215.5</f>
        <v>1215.5</v>
      </c>
      <c r="F4531">
        <f>1873.54</f>
        <v>1873.54</v>
      </c>
      <c r="G4531">
        <f>5622.599</f>
        <v>5622.5990000000002</v>
      </c>
      <c r="H4531">
        <f>1634.49</f>
        <v>1634.49</v>
      </c>
      <c r="I4531">
        <f>5677.162</f>
        <v>5677.1620000000003</v>
      </c>
      <c r="J4531">
        <f>1274.75</f>
        <v>1274.75</v>
      </c>
      <c r="K4531">
        <f>4039.15</f>
        <v>4039.15</v>
      </c>
      <c r="L4531">
        <f>954.04</f>
        <v>954.04</v>
      </c>
      <c r="M4531">
        <f>3842.45</f>
        <v>3842.45</v>
      </c>
      <c r="N4531">
        <f>148.558</f>
        <v>148.55799999999999</v>
      </c>
      <c r="O4531">
        <f>1654.01</f>
        <v>1654.01</v>
      </c>
      <c r="P4531" t="e">
        <f>NA()</f>
        <v>#N/A</v>
      </c>
      <c r="Q4531">
        <f>707.92</f>
        <v>707.92</v>
      </c>
      <c r="R4531">
        <f>1955.06</f>
        <v>1955.06</v>
      </c>
      <c r="S4531">
        <f>1886.66</f>
        <v>1886.66</v>
      </c>
      <c r="T4531" t="e">
        <f>NA()</f>
        <v>#N/A</v>
      </c>
      <c r="U4531">
        <f>18665.13</f>
        <v>18665.13</v>
      </c>
      <c r="V4531" t="e">
        <f>NA()</f>
        <v>#N/A</v>
      </c>
    </row>
    <row r="4532" spans="1:22" x14ac:dyDescent="0.2">
      <c r="A4532" s="1">
        <v>38763</v>
      </c>
      <c r="B4532">
        <f>3455.21</f>
        <v>3455.21</v>
      </c>
      <c r="C4532">
        <f>4233.53</f>
        <v>4233.53</v>
      </c>
      <c r="D4532">
        <f>3154.08</f>
        <v>3154.08</v>
      </c>
      <c r="E4532">
        <f>1205.379</f>
        <v>1205.3789999999999</v>
      </c>
      <c r="F4532">
        <f>1871.32</f>
        <v>1871.32</v>
      </c>
      <c r="G4532">
        <f>5614.744</f>
        <v>5614.7439999999997</v>
      </c>
      <c r="H4532">
        <f>1628.37</f>
        <v>1628.37</v>
      </c>
      <c r="I4532">
        <f>5644.259</f>
        <v>5644.259</v>
      </c>
      <c r="J4532">
        <f>1266.73</f>
        <v>1266.73</v>
      </c>
      <c r="K4532">
        <f>4008.84</f>
        <v>4008.84</v>
      </c>
      <c r="L4532">
        <f>950.21</f>
        <v>950.21</v>
      </c>
      <c r="M4532">
        <f>3820.71</f>
        <v>3820.71</v>
      </c>
      <c r="N4532">
        <f>148.361</f>
        <v>148.36099999999999</v>
      </c>
      <c r="O4532">
        <f>1644.21</f>
        <v>1644.21</v>
      </c>
      <c r="P4532" t="e">
        <f>NA()</f>
        <v>#N/A</v>
      </c>
      <c r="Q4532">
        <f>704.3</f>
        <v>704.3</v>
      </c>
      <c r="R4532">
        <f>1940.69</f>
        <v>1940.69</v>
      </c>
      <c r="S4532">
        <f>1878.44</f>
        <v>1878.44</v>
      </c>
      <c r="T4532" t="e">
        <f>NA()</f>
        <v>#N/A</v>
      </c>
      <c r="U4532">
        <f>18734.36</f>
        <v>18734.36</v>
      </c>
      <c r="V4532" t="e">
        <f>NA()</f>
        <v>#N/A</v>
      </c>
    </row>
    <row r="4533" spans="1:22" x14ac:dyDescent="0.2">
      <c r="A4533" s="1">
        <v>38762</v>
      </c>
      <c r="B4533">
        <f>3456.68</f>
        <v>3456.68</v>
      </c>
      <c r="C4533">
        <f>4197.71</f>
        <v>4197.71</v>
      </c>
      <c r="D4533">
        <f>3152.46</f>
        <v>3152.46</v>
      </c>
      <c r="E4533">
        <f>1204.871</f>
        <v>1204.8710000000001</v>
      </c>
      <c r="F4533">
        <f>1859.8</f>
        <v>1859.8</v>
      </c>
      <c r="G4533">
        <f>5564.675</f>
        <v>5564.6750000000002</v>
      </c>
      <c r="H4533">
        <f>1635.69</f>
        <v>1635.69</v>
      </c>
      <c r="I4533">
        <f>5641.932</f>
        <v>5641.9319999999998</v>
      </c>
      <c r="J4533">
        <f>1260.75</f>
        <v>1260.75</v>
      </c>
      <c r="K4533">
        <f>3993.81</f>
        <v>3993.81</v>
      </c>
      <c r="L4533">
        <f>946.65</f>
        <v>946.65</v>
      </c>
      <c r="M4533">
        <f>3813.46</f>
        <v>3813.46</v>
      </c>
      <c r="N4533">
        <f>147.759</f>
        <v>147.75899999999999</v>
      </c>
      <c r="O4533">
        <f>1643.67</f>
        <v>1643.67</v>
      </c>
      <c r="P4533" t="e">
        <f>NA()</f>
        <v>#N/A</v>
      </c>
      <c r="Q4533">
        <f>701.88</f>
        <v>701.88</v>
      </c>
      <c r="R4533">
        <f>1933.46</f>
        <v>1933.46</v>
      </c>
      <c r="S4533">
        <f>1891.03</f>
        <v>1891.03</v>
      </c>
      <c r="T4533" t="e">
        <f>NA()</f>
        <v>#N/A</v>
      </c>
      <c r="U4533">
        <f>18750.43</f>
        <v>18750.43</v>
      </c>
      <c r="V4533" t="e">
        <f>NA()</f>
        <v>#N/A</v>
      </c>
    </row>
    <row r="4534" spans="1:22" x14ac:dyDescent="0.2">
      <c r="A4534" s="1">
        <v>38761</v>
      </c>
      <c r="B4534">
        <f>3465.93</f>
        <v>3465.93</v>
      </c>
      <c r="C4534">
        <f>4191.75</f>
        <v>4191.75</v>
      </c>
      <c r="D4534">
        <f>3153.13</f>
        <v>3153.13</v>
      </c>
      <c r="E4534">
        <f>1202.822</f>
        <v>1202.8219999999999</v>
      </c>
      <c r="F4534">
        <f>1870.35</f>
        <v>1870.35</v>
      </c>
      <c r="G4534">
        <f>5611.102</f>
        <v>5611.1019999999999</v>
      </c>
      <c r="H4534">
        <f>1614.66</f>
        <v>1614.66</v>
      </c>
      <c r="I4534">
        <f>5655.692</f>
        <v>5655.692</v>
      </c>
      <c r="J4534">
        <f>1250.25</f>
        <v>1250.25</v>
      </c>
      <c r="K4534">
        <f>3954.55</f>
        <v>3954.55</v>
      </c>
      <c r="L4534">
        <f>945.04</f>
        <v>945.04</v>
      </c>
      <c r="M4534">
        <f>3791</f>
        <v>3791</v>
      </c>
      <c r="N4534">
        <f>148.231</f>
        <v>148.23099999999999</v>
      </c>
      <c r="O4534">
        <f>1646.42</f>
        <v>1646.42</v>
      </c>
      <c r="P4534" t="e">
        <f>NA()</f>
        <v>#N/A</v>
      </c>
      <c r="Q4534">
        <f>693.01</f>
        <v>693.01</v>
      </c>
      <c r="R4534">
        <f>1914.02</f>
        <v>1914.02</v>
      </c>
      <c r="S4534">
        <f>1871.11</f>
        <v>1871.11</v>
      </c>
      <c r="T4534" t="e">
        <f>NA()</f>
        <v>#N/A</v>
      </c>
      <c r="U4534">
        <f>18970.15</f>
        <v>18970.150000000001</v>
      </c>
      <c r="V4534" t="e">
        <f>NA()</f>
        <v>#N/A</v>
      </c>
    </row>
    <row r="4535" spans="1:22" x14ac:dyDescent="0.2">
      <c r="A4535" s="1">
        <v>38758</v>
      </c>
      <c r="B4535">
        <f>3454.73</f>
        <v>3454.73</v>
      </c>
      <c r="C4535">
        <f>4247.22</f>
        <v>4247.22</v>
      </c>
      <c r="D4535">
        <f>3137.13</f>
        <v>3137.13</v>
      </c>
      <c r="E4535">
        <f>1219.386</f>
        <v>1219.386</v>
      </c>
      <c r="F4535">
        <f>1861.73</f>
        <v>1861.73</v>
      </c>
      <c r="G4535">
        <f>5591.542</f>
        <v>5591.5420000000004</v>
      </c>
      <c r="H4535">
        <f>1647.44</f>
        <v>1647.44</v>
      </c>
      <c r="I4535">
        <f>5627.511</f>
        <v>5627.5110000000004</v>
      </c>
      <c r="J4535">
        <f>1252.79</f>
        <v>1252.79</v>
      </c>
      <c r="K4535">
        <f>3970.08</f>
        <v>3970.08</v>
      </c>
      <c r="L4535">
        <f>943.84</f>
        <v>943.84</v>
      </c>
      <c r="M4535">
        <f>3805.85</f>
        <v>3805.85</v>
      </c>
      <c r="N4535">
        <f>148.448</f>
        <v>148.44800000000001</v>
      </c>
      <c r="O4535">
        <f>1636.85</f>
        <v>1636.85</v>
      </c>
      <c r="P4535" t="e">
        <f>NA()</f>
        <v>#N/A</v>
      </c>
      <c r="Q4535">
        <f>694.29</f>
        <v>694.29</v>
      </c>
      <c r="R4535">
        <f>1920</f>
        <v>1920</v>
      </c>
      <c r="S4535">
        <f>1919.91</f>
        <v>1919.91</v>
      </c>
      <c r="T4535" t="e">
        <f>NA()</f>
        <v>#N/A</v>
      </c>
      <c r="U4535">
        <f>19395.08</f>
        <v>19395.080000000002</v>
      </c>
      <c r="V4535" t="e">
        <f>NA()</f>
        <v>#N/A</v>
      </c>
    </row>
    <row r="4536" spans="1:22" x14ac:dyDescent="0.2">
      <c r="A4536" s="1">
        <v>38757</v>
      </c>
      <c r="B4536">
        <f>3452.32</f>
        <v>3452.32</v>
      </c>
      <c r="C4536">
        <f>4228.23</f>
        <v>4228.2299999999996</v>
      </c>
      <c r="D4536">
        <f>3161.42</f>
        <v>3161.42</v>
      </c>
      <c r="E4536">
        <f>1215.678</f>
        <v>1215.6780000000001</v>
      </c>
      <c r="F4536">
        <f>1858.96</f>
        <v>1858.96</v>
      </c>
      <c r="G4536">
        <f>5616.797</f>
        <v>5616.7969999999996</v>
      </c>
      <c r="H4536">
        <f>1650.45</f>
        <v>1650.45</v>
      </c>
      <c r="I4536">
        <f>5676.842</f>
        <v>5676.8419999999996</v>
      </c>
      <c r="J4536">
        <f>1250.27</f>
        <v>1250.27</v>
      </c>
      <c r="K4536">
        <f>3960.07</f>
        <v>3960.07</v>
      </c>
      <c r="L4536">
        <f>945.39</f>
        <v>945.39</v>
      </c>
      <c r="M4536">
        <f>3813.44</f>
        <v>3813.44</v>
      </c>
      <c r="N4536">
        <f>148.456</f>
        <v>148.45599999999999</v>
      </c>
      <c r="O4536">
        <f>1643.87</f>
        <v>1643.87</v>
      </c>
      <c r="P4536" t="e">
        <f>NA()</f>
        <v>#N/A</v>
      </c>
      <c r="Q4536">
        <f>692.1</f>
        <v>692.1</v>
      </c>
      <c r="R4536">
        <f>1915.1</f>
        <v>1915.1</v>
      </c>
      <c r="S4536">
        <f>1945.4</f>
        <v>1945.4</v>
      </c>
      <c r="T4536" t="e">
        <f>NA()</f>
        <v>#N/A</v>
      </c>
      <c r="U4536">
        <f>19469.59</f>
        <v>19469.59</v>
      </c>
      <c r="V4536" t="e">
        <f>NA()</f>
        <v>#N/A</v>
      </c>
    </row>
    <row r="4537" spans="1:22" x14ac:dyDescent="0.2">
      <c r="A4537" s="1">
        <v>38756</v>
      </c>
      <c r="B4537">
        <f>3424.55</f>
        <v>3424.55</v>
      </c>
      <c r="C4537">
        <f>4202.22</f>
        <v>4202.22</v>
      </c>
      <c r="D4537">
        <f>3115.89</f>
        <v>3115.89</v>
      </c>
      <c r="E4537">
        <f>1203.385</f>
        <v>1203.385</v>
      </c>
      <c r="F4537">
        <f>1840.57</f>
        <v>1840.57</v>
      </c>
      <c r="G4537">
        <f>5542.851</f>
        <v>5542.8509999999997</v>
      </c>
      <c r="H4537">
        <f>1641.15</f>
        <v>1641.15</v>
      </c>
      <c r="I4537">
        <f>5615.835</f>
        <v>5615.835</v>
      </c>
      <c r="J4537">
        <f>1248.07</f>
        <v>1248.07</v>
      </c>
      <c r="K4537">
        <f>3966.7</f>
        <v>3966.7</v>
      </c>
      <c r="L4537">
        <f>938.08</f>
        <v>938.08</v>
      </c>
      <c r="M4537">
        <f>3797.97</f>
        <v>3797.97</v>
      </c>
      <c r="N4537">
        <f>146.658</f>
        <v>146.65799999999999</v>
      </c>
      <c r="O4537">
        <f>1625.08</f>
        <v>1625.08</v>
      </c>
      <c r="P4537" t="e">
        <f>NA()</f>
        <v>#N/A</v>
      </c>
      <c r="Q4537">
        <f>690.91</f>
        <v>690.91</v>
      </c>
      <c r="R4537">
        <f>1917.84</f>
        <v>1917.84</v>
      </c>
      <c r="S4537">
        <f>1932.84</f>
        <v>1932.84</v>
      </c>
      <c r="T4537" t="e">
        <f>NA()</f>
        <v>#N/A</v>
      </c>
      <c r="U4537">
        <f>19201.3</f>
        <v>19201.3</v>
      </c>
      <c r="V4537" t="e">
        <f>NA()</f>
        <v>#N/A</v>
      </c>
    </row>
    <row r="4538" spans="1:22" x14ac:dyDescent="0.2">
      <c r="A4538" s="1">
        <v>38755</v>
      </c>
      <c r="B4538">
        <f>3416.3</f>
        <v>3416.3</v>
      </c>
      <c r="C4538">
        <f>4285.78</f>
        <v>4285.78</v>
      </c>
      <c r="D4538">
        <f>3123.41</f>
        <v>3123.41</v>
      </c>
      <c r="E4538">
        <f>1222.714</f>
        <v>1222.7139999999999</v>
      </c>
      <c r="F4538">
        <f>1835.74</f>
        <v>1835.74</v>
      </c>
      <c r="G4538">
        <f>5549.083</f>
        <v>5549.0829999999996</v>
      </c>
      <c r="H4538">
        <f>1687.66</f>
        <v>1687.66</v>
      </c>
      <c r="I4538">
        <f>5623.574</f>
        <v>5623.5739999999996</v>
      </c>
      <c r="J4538">
        <f>1237.66</f>
        <v>1237.6600000000001</v>
      </c>
      <c r="K4538">
        <f>3932.52</f>
        <v>3932.52</v>
      </c>
      <c r="L4538">
        <f>936.46</f>
        <v>936.46</v>
      </c>
      <c r="M4538">
        <f>3799.44</f>
        <v>3799.44</v>
      </c>
      <c r="N4538">
        <f>146.483</f>
        <v>146.483</v>
      </c>
      <c r="O4538">
        <f>1627.69</f>
        <v>1627.69</v>
      </c>
      <c r="P4538" t="e">
        <f>NA()</f>
        <v>#N/A</v>
      </c>
      <c r="Q4538">
        <f>684.84</f>
        <v>684.84</v>
      </c>
      <c r="R4538">
        <f>1900.58</f>
        <v>1900.58</v>
      </c>
      <c r="S4538">
        <f>1981.49</f>
        <v>1981.49</v>
      </c>
      <c r="T4538" t="e">
        <f>NA()</f>
        <v>#N/A</v>
      </c>
      <c r="U4538">
        <f>19633.83</f>
        <v>19633.830000000002</v>
      </c>
      <c r="V4538" t="e">
        <f>NA()</f>
        <v>#N/A</v>
      </c>
    </row>
    <row r="4539" spans="1:22" x14ac:dyDescent="0.2">
      <c r="A4539" s="1">
        <v>38754</v>
      </c>
      <c r="B4539">
        <f>3424.36</f>
        <v>3424.36</v>
      </c>
      <c r="C4539">
        <f>4335.54</f>
        <v>4335.54</v>
      </c>
      <c r="D4539">
        <f>3137.31</f>
        <v>3137.31</v>
      </c>
      <c r="E4539">
        <f>1232.518</f>
        <v>1232.518</v>
      </c>
      <c r="F4539">
        <f>1844.76</f>
        <v>1844.76</v>
      </c>
      <c r="G4539">
        <f>5606.64</f>
        <v>5606.64</v>
      </c>
      <c r="H4539">
        <f>1672.37</f>
        <v>1672.37</v>
      </c>
      <c r="I4539">
        <f>5641.938</f>
        <v>5641.9380000000001</v>
      </c>
      <c r="J4539">
        <f>1246.13</f>
        <v>1246.1300000000001</v>
      </c>
      <c r="K4539">
        <f>3965.35</f>
        <v>3965.35</v>
      </c>
      <c r="L4539">
        <f>941.91</f>
        <v>941.91</v>
      </c>
      <c r="M4539">
        <f>3823.64</f>
        <v>3823.64</v>
      </c>
      <c r="N4539">
        <f>147.107</f>
        <v>147.107</v>
      </c>
      <c r="O4539">
        <f>1631.78</f>
        <v>1631.78</v>
      </c>
      <c r="P4539" t="e">
        <f>NA()</f>
        <v>#N/A</v>
      </c>
      <c r="Q4539">
        <f>688.54</f>
        <v>688.54</v>
      </c>
      <c r="R4539">
        <f>1916.04</f>
        <v>1916.04</v>
      </c>
      <c r="S4539">
        <f>1980.14</f>
        <v>1980.14</v>
      </c>
      <c r="T4539" t="e">
        <f>NA()</f>
        <v>#N/A</v>
      </c>
      <c r="U4539">
        <f>19769.18</f>
        <v>19769.18</v>
      </c>
      <c r="V4539" t="e">
        <f>NA()</f>
        <v>#N/A</v>
      </c>
    </row>
    <row r="4540" spans="1:22" x14ac:dyDescent="0.2">
      <c r="A4540" s="1">
        <v>38751</v>
      </c>
      <c r="B4540">
        <f>3414.25</f>
        <v>3414.25</v>
      </c>
      <c r="C4540">
        <f>4250.83</f>
        <v>4250.83</v>
      </c>
      <c r="D4540">
        <f>3130.22</f>
        <v>3130.22</v>
      </c>
      <c r="E4540">
        <f>1213.376</f>
        <v>1213.376</v>
      </c>
      <c r="F4540">
        <f>1846.91</f>
        <v>1846.91</v>
      </c>
      <c r="G4540">
        <f>5624.573</f>
        <v>5624.5730000000003</v>
      </c>
      <c r="H4540">
        <f>1657.91</f>
        <v>1657.91</v>
      </c>
      <c r="I4540">
        <f>5638.005</f>
        <v>5638.0050000000001</v>
      </c>
      <c r="J4540">
        <f>1243.56</f>
        <v>1243.56</v>
      </c>
      <c r="K4540">
        <f>3961.57</f>
        <v>3961.57</v>
      </c>
      <c r="L4540">
        <f>941.25</f>
        <v>941.25</v>
      </c>
      <c r="M4540">
        <f>3818.52</f>
        <v>3818.52</v>
      </c>
      <c r="N4540">
        <f>148.029</f>
        <v>148.029</v>
      </c>
      <c r="O4540">
        <f>1631.16</f>
        <v>1631.16</v>
      </c>
      <c r="P4540" t="e">
        <f>NA()</f>
        <v>#N/A</v>
      </c>
      <c r="Q4540">
        <f>688.42</f>
        <v>688.42</v>
      </c>
      <c r="R4540">
        <f>1914.5</f>
        <v>1914.5</v>
      </c>
      <c r="S4540">
        <f>1975.12</f>
        <v>1975.12</v>
      </c>
      <c r="T4540" t="e">
        <f>NA()</f>
        <v>#N/A</v>
      </c>
      <c r="U4540">
        <f>19505.99</f>
        <v>19505.990000000002</v>
      </c>
      <c r="V4540" t="e">
        <f>NA()</f>
        <v>#N/A</v>
      </c>
    </row>
    <row r="4541" spans="1:22" x14ac:dyDescent="0.2">
      <c r="A4541" s="1">
        <v>38750</v>
      </c>
      <c r="B4541">
        <f>3407.43</f>
        <v>3407.43</v>
      </c>
      <c r="C4541">
        <f>4288.1</f>
        <v>4288.1000000000004</v>
      </c>
      <c r="D4541">
        <f>3123.67</f>
        <v>3123.67</v>
      </c>
      <c r="E4541">
        <f>1231.031</f>
        <v>1231.0309999999999</v>
      </c>
      <c r="F4541">
        <f>1861.04</f>
        <v>1861.04</v>
      </c>
      <c r="G4541">
        <f>5672.946</f>
        <v>5672.9459999999999</v>
      </c>
      <c r="H4541">
        <f>1682.87</f>
        <v>1682.87</v>
      </c>
      <c r="I4541">
        <f>5672.239</f>
        <v>5672.2389999999996</v>
      </c>
      <c r="J4541">
        <f>1250.18</f>
        <v>1250.18</v>
      </c>
      <c r="K4541">
        <f>3982.61</f>
        <v>3982.61</v>
      </c>
      <c r="L4541">
        <f>947.72</f>
        <v>947.72</v>
      </c>
      <c r="M4541">
        <f>3843.1</f>
        <v>3843.1</v>
      </c>
      <c r="N4541">
        <f>147.713</f>
        <v>147.71299999999999</v>
      </c>
      <c r="O4541">
        <f>1630.75</f>
        <v>1630.75</v>
      </c>
      <c r="P4541" t="e">
        <f>NA()</f>
        <v>#N/A</v>
      </c>
      <c r="Q4541">
        <f>692.23</f>
        <v>692.23</v>
      </c>
      <c r="R4541">
        <f>1924.67</f>
        <v>1924.67</v>
      </c>
      <c r="S4541">
        <f>1978.66</f>
        <v>1978.66</v>
      </c>
      <c r="T4541" t="e">
        <f>NA()</f>
        <v>#N/A</v>
      </c>
      <c r="U4541">
        <f>20076.7</f>
        <v>20076.7</v>
      </c>
      <c r="V4541" t="e">
        <f>NA()</f>
        <v>#N/A</v>
      </c>
    </row>
    <row r="4542" spans="1:22" x14ac:dyDescent="0.2">
      <c r="A4542" s="1">
        <v>38749</v>
      </c>
      <c r="B4542">
        <f>3407.09</f>
        <v>3407.09</v>
      </c>
      <c r="C4542">
        <f>4324.85</f>
        <v>4324.8500000000004</v>
      </c>
      <c r="D4542">
        <f>3153.21</f>
        <v>3153.21</v>
      </c>
      <c r="E4542">
        <f>1242.506</f>
        <v>1242.5060000000001</v>
      </c>
      <c r="F4542">
        <f>1873.83</f>
        <v>1873.83</v>
      </c>
      <c r="G4542">
        <f>5727.477</f>
        <v>5727.4769999999999</v>
      </c>
      <c r="H4542">
        <f>1679.43</f>
        <v>1679.43</v>
      </c>
      <c r="I4542">
        <f>5732.348</f>
        <v>5732.348</v>
      </c>
      <c r="J4542">
        <f>1260.85</f>
        <v>1260.8499999999999</v>
      </c>
      <c r="K4542">
        <f>4018.6</f>
        <v>4018.6</v>
      </c>
      <c r="L4542">
        <f>956.89</f>
        <v>956.89</v>
      </c>
      <c r="M4542">
        <f>3872.21</f>
        <v>3872.21</v>
      </c>
      <c r="N4542">
        <f>148.341</f>
        <v>148.34100000000001</v>
      </c>
      <c r="O4542">
        <f>1646.32</f>
        <v>1646.32</v>
      </c>
      <c r="P4542" t="e">
        <f>NA()</f>
        <v>#N/A</v>
      </c>
      <c r="Q4542">
        <f>695.82</f>
        <v>695.82</v>
      </c>
      <c r="R4542">
        <f>1941.75</f>
        <v>1941.75</v>
      </c>
      <c r="S4542">
        <f>1959.26</f>
        <v>1959.26</v>
      </c>
      <c r="T4542" t="e">
        <f>NA()</f>
        <v>#N/A</v>
      </c>
      <c r="U4542">
        <f>20040.95</f>
        <v>20040.95</v>
      </c>
      <c r="V4542" t="e">
        <f>NA()</f>
        <v>#N/A</v>
      </c>
    </row>
    <row r="4543" spans="1:22" x14ac:dyDescent="0.2">
      <c r="A4543" s="1">
        <v>38748</v>
      </c>
      <c r="B4543">
        <f>3379.58</f>
        <v>3379.58</v>
      </c>
      <c r="C4543">
        <f>4301.48</f>
        <v>4301.4799999999996</v>
      </c>
      <c r="D4543">
        <f>3130.73</f>
        <v>3130.73</v>
      </c>
      <c r="E4543">
        <f>1238.782</f>
        <v>1238.7819999999999</v>
      </c>
      <c r="F4543">
        <f>1847.92</f>
        <v>1847.92</v>
      </c>
      <c r="G4543">
        <f>5678.62</f>
        <v>5678.62</v>
      </c>
      <c r="H4543">
        <f>1709.71</f>
        <v>1709.71</v>
      </c>
      <c r="I4543">
        <f>5698.305</f>
        <v>5698.3050000000003</v>
      </c>
      <c r="J4543">
        <f>1258.65</f>
        <v>1258.6500000000001</v>
      </c>
      <c r="K4543">
        <f>4012.97</f>
        <v>4012.97</v>
      </c>
      <c r="L4543">
        <f>952.01</f>
        <v>952.01</v>
      </c>
      <c r="M4543">
        <f>3867.81</f>
        <v>3867.81</v>
      </c>
      <c r="N4543">
        <f>146.578</f>
        <v>146.578</v>
      </c>
      <c r="O4543">
        <f>1630.36</f>
        <v>1630.36</v>
      </c>
      <c r="P4543" t="e">
        <f>NA()</f>
        <v>#N/A</v>
      </c>
      <c r="Q4543">
        <f>694.09</f>
        <v>694.09</v>
      </c>
      <c r="R4543">
        <f>1937.93</f>
        <v>1937.93</v>
      </c>
      <c r="S4543">
        <f>1978.38</f>
        <v>1978.38</v>
      </c>
      <c r="T4543" t="e">
        <f>NA()</f>
        <v>#N/A</v>
      </c>
      <c r="U4543">
        <f>19745.16</f>
        <v>19745.16</v>
      </c>
      <c r="V4543" t="e">
        <f>NA()</f>
        <v>#N/A</v>
      </c>
    </row>
    <row r="4544" spans="1:22" x14ac:dyDescent="0.2">
      <c r="A4544" s="1">
        <v>38747</v>
      </c>
      <c r="B4544">
        <f>3378.95</f>
        <v>3378.95</v>
      </c>
      <c r="C4544">
        <f>4277.94</f>
        <v>4277.9399999999996</v>
      </c>
      <c r="D4544">
        <f>3141.37</f>
        <v>3141.37</v>
      </c>
      <c r="E4544">
        <f>1229.978</f>
        <v>1229.9780000000001</v>
      </c>
      <c r="F4544">
        <f>1839.67</f>
        <v>1839.67</v>
      </c>
      <c r="G4544">
        <f>5669.229</f>
        <v>5669.2290000000003</v>
      </c>
      <c r="H4544">
        <f>1695.58</f>
        <v>1695.58</v>
      </c>
      <c r="I4544">
        <f>5660.824</f>
        <v>5660.8239999999996</v>
      </c>
      <c r="J4544">
        <f>1264.25</f>
        <v>1264.25</v>
      </c>
      <c r="K4544">
        <f>4026.02</f>
        <v>4026.02</v>
      </c>
      <c r="L4544">
        <f>950.43</f>
        <v>950.43</v>
      </c>
      <c r="M4544">
        <f>3863.12</f>
        <v>3863.12</v>
      </c>
      <c r="N4544">
        <f>146.315</f>
        <v>146.315</v>
      </c>
      <c r="O4544">
        <f>1628.89</f>
        <v>1628.89</v>
      </c>
      <c r="P4544" t="e">
        <f>NA()</f>
        <v>#N/A</v>
      </c>
      <c r="Q4544">
        <f>695.2</f>
        <v>695.2</v>
      </c>
      <c r="R4544">
        <f>1945.66</f>
        <v>1945.66</v>
      </c>
      <c r="S4544">
        <f>1970.87</f>
        <v>1970.87</v>
      </c>
      <c r="T4544" t="e">
        <f>NA()</f>
        <v>#N/A</v>
      </c>
      <c r="U4544">
        <f>19589.94</f>
        <v>19589.939999999999</v>
      </c>
      <c r="V4544" t="e">
        <f>NA()</f>
        <v>#N/A</v>
      </c>
    </row>
    <row r="4545" spans="1:22" x14ac:dyDescent="0.2">
      <c r="A4545" s="1">
        <v>38744</v>
      </c>
      <c r="B4545">
        <f>3377.85</f>
        <v>3377.85</v>
      </c>
      <c r="C4545">
        <f>4268.77</f>
        <v>4268.7700000000004</v>
      </c>
      <c r="D4545">
        <f>3145.18</f>
        <v>3145.18</v>
      </c>
      <c r="E4545">
        <f>1231.604</f>
        <v>1231.604</v>
      </c>
      <c r="F4545">
        <f>1856.12</f>
        <v>1856.12</v>
      </c>
      <c r="G4545">
        <f>5691.749</f>
        <v>5691.7489999999998</v>
      </c>
      <c r="H4545">
        <f>1691.11</f>
        <v>1691.11</v>
      </c>
      <c r="I4545">
        <f>5687.021</f>
        <v>5687.0209999999997</v>
      </c>
      <c r="J4545">
        <f>1264.08</f>
        <v>1264.08</v>
      </c>
      <c r="K4545">
        <f>4020.88</f>
        <v>4020.88</v>
      </c>
      <c r="L4545">
        <f>952.79</f>
        <v>952.79</v>
      </c>
      <c r="M4545">
        <f>3863.13</f>
        <v>3863.13</v>
      </c>
      <c r="N4545">
        <f>147.159</f>
        <v>147.15899999999999</v>
      </c>
      <c r="O4545">
        <f>1629.33</f>
        <v>1629.33</v>
      </c>
      <c r="P4545" t="e">
        <f>NA()</f>
        <v>#N/A</v>
      </c>
      <c r="Q4545">
        <f>697.25</f>
        <v>697.25</v>
      </c>
      <c r="R4545">
        <f>1943.34</f>
        <v>1943.34</v>
      </c>
      <c r="S4545">
        <f>1954.73</f>
        <v>1954.73</v>
      </c>
      <c r="T4545" t="e">
        <f>NA()</f>
        <v>#N/A</v>
      </c>
      <c r="U4545">
        <f>19718.47</f>
        <v>19718.47</v>
      </c>
      <c r="V4545" t="e">
        <f>NA()</f>
        <v>#N/A</v>
      </c>
    </row>
    <row r="4546" spans="1:22" x14ac:dyDescent="0.2">
      <c r="A4546" s="1">
        <v>38743</v>
      </c>
      <c r="B4546">
        <f>3350.06</f>
        <v>3350.06</v>
      </c>
      <c r="C4546">
        <f>4242.36</f>
        <v>4242.3599999999997</v>
      </c>
      <c r="D4546">
        <f>3110.26</f>
        <v>3110.26</v>
      </c>
      <c r="E4546">
        <f>1220.442</f>
        <v>1220.442</v>
      </c>
      <c r="F4546">
        <f>1856.32</f>
        <v>1856.32</v>
      </c>
      <c r="G4546">
        <f>5671.04</f>
        <v>5671.04</v>
      </c>
      <c r="H4546">
        <f>1671.68</f>
        <v>1671.68</v>
      </c>
      <c r="I4546">
        <f>5676.303</f>
        <v>5676.3029999999999</v>
      </c>
      <c r="J4546">
        <f>1255.04</f>
        <v>1255.04</v>
      </c>
      <c r="K4546">
        <f>3990.88</f>
        <v>3990.88</v>
      </c>
      <c r="L4546">
        <f>948.09</f>
        <v>948.09</v>
      </c>
      <c r="M4546">
        <f>3832.37</f>
        <v>3832.37</v>
      </c>
      <c r="N4546">
        <f>145.36</f>
        <v>145.36000000000001</v>
      </c>
      <c r="O4546">
        <f>1609.32</f>
        <v>1609.32</v>
      </c>
      <c r="P4546" t="e">
        <f>NA()</f>
        <v>#N/A</v>
      </c>
      <c r="Q4546">
        <f>693.58</f>
        <v>693.58</v>
      </c>
      <c r="R4546">
        <f>1928.17</f>
        <v>1928.17</v>
      </c>
      <c r="S4546">
        <f>1900.34</f>
        <v>1900.34</v>
      </c>
      <c r="T4546" t="e">
        <f>NA()</f>
        <v>#N/A</v>
      </c>
      <c r="U4546">
        <f>19414.12</f>
        <v>19414.12</v>
      </c>
      <c r="V4546" t="e">
        <f>NA()</f>
        <v>#N/A</v>
      </c>
    </row>
    <row r="4547" spans="1:22" x14ac:dyDescent="0.2">
      <c r="A4547" s="1">
        <v>38742</v>
      </c>
      <c r="B4547">
        <f>3346.36</f>
        <v>3346.36</v>
      </c>
      <c r="C4547">
        <f>4238.42</f>
        <v>4238.42</v>
      </c>
      <c r="D4547">
        <f>3100.36</f>
        <v>3100.36</v>
      </c>
      <c r="E4547">
        <f>1216.423</f>
        <v>1216.423</v>
      </c>
      <c r="F4547">
        <f>1846.96</f>
        <v>1846.96</v>
      </c>
      <c r="G4547">
        <f>5653.876</f>
        <v>5653.8760000000002</v>
      </c>
      <c r="H4547">
        <f>1653.82</f>
        <v>1653.82</v>
      </c>
      <c r="I4547">
        <f>5612.43</f>
        <v>5612.43</v>
      </c>
      <c r="J4547">
        <f>1246.01</f>
        <v>1246.01</v>
      </c>
      <c r="K4547">
        <f>3962.12</f>
        <v>3962.12</v>
      </c>
      <c r="L4547">
        <f>941.02</f>
        <v>941.02</v>
      </c>
      <c r="M4547">
        <f>3801.94</f>
        <v>3801.94</v>
      </c>
      <c r="N4547">
        <f>145.462</f>
        <v>145.46199999999999</v>
      </c>
      <c r="O4547">
        <f>1594.41</f>
        <v>1594.41</v>
      </c>
      <c r="P4547" t="e">
        <f>NA()</f>
        <v>#N/A</v>
      </c>
      <c r="Q4547">
        <f>688.95</f>
        <v>688.95</v>
      </c>
      <c r="R4547">
        <f>1914.28</f>
        <v>1914.28</v>
      </c>
      <c r="S4547">
        <f>1871.58</f>
        <v>1871.58</v>
      </c>
      <c r="T4547" t="e">
        <f>NA()</f>
        <v>#N/A</v>
      </c>
      <c r="U4547">
        <f>19262.4</f>
        <v>19262.400000000001</v>
      </c>
      <c r="V4547" t="e">
        <f>NA()</f>
        <v>#N/A</v>
      </c>
    </row>
    <row r="4548" spans="1:22" x14ac:dyDescent="0.2">
      <c r="A4548" s="1">
        <v>38741</v>
      </c>
      <c r="B4548">
        <f>3306.64</f>
        <v>3306.64</v>
      </c>
      <c r="C4548">
        <f>4197.98</f>
        <v>4197.9799999999996</v>
      </c>
      <c r="D4548">
        <f>3061.92</f>
        <v>3061.92</v>
      </c>
      <c r="E4548">
        <f>1203.616</f>
        <v>1203.616</v>
      </c>
      <c r="F4548">
        <f>1825.11</f>
        <v>1825.11</v>
      </c>
      <c r="G4548">
        <f>5575.599</f>
        <v>5575.5990000000002</v>
      </c>
      <c r="H4548">
        <f>1664.49</f>
        <v>1664.49</v>
      </c>
      <c r="I4548">
        <f>5569.011</f>
        <v>5569.0110000000004</v>
      </c>
      <c r="J4548">
        <f>1244.65</f>
        <v>1244.6500000000001</v>
      </c>
      <c r="K4548">
        <f>3971.12</f>
        <v>3971.12</v>
      </c>
      <c r="L4548">
        <f>934.53</f>
        <v>934.53</v>
      </c>
      <c r="M4548">
        <f>3795.86</f>
        <v>3795.86</v>
      </c>
      <c r="N4548">
        <f>144.046</f>
        <v>144.04599999999999</v>
      </c>
      <c r="O4548">
        <f>1576.75</f>
        <v>1576.75</v>
      </c>
      <c r="P4548" t="e">
        <f>NA()</f>
        <v>#N/A</v>
      </c>
      <c r="Q4548">
        <f>688.46</f>
        <v>688.46</v>
      </c>
      <c r="R4548">
        <f>1917.54</f>
        <v>1917.54</v>
      </c>
      <c r="S4548">
        <f>1864.61</f>
        <v>1864.61</v>
      </c>
      <c r="T4548" t="e">
        <f>NA()</f>
        <v>#N/A</v>
      </c>
      <c r="U4548">
        <f>19016.93</f>
        <v>19016.93</v>
      </c>
      <c r="V4548" t="e">
        <f>NA()</f>
        <v>#N/A</v>
      </c>
    </row>
    <row r="4549" spans="1:22" x14ac:dyDescent="0.2">
      <c r="A4549" s="1">
        <v>38740</v>
      </c>
      <c r="B4549">
        <f>3303.68</f>
        <v>3303.68</v>
      </c>
      <c r="C4549">
        <f>4161.9</f>
        <v>4161.8999999999996</v>
      </c>
      <c r="D4549">
        <f>3076.67</f>
        <v>3076.67</v>
      </c>
      <c r="E4549">
        <f>1187.745</f>
        <v>1187.7449999999999</v>
      </c>
      <c r="F4549">
        <f>1831.49</f>
        <v>1831.49</v>
      </c>
      <c r="G4549">
        <f>5602.33</f>
        <v>5602.33</v>
      </c>
      <c r="H4549">
        <f>1647.34</f>
        <v>1647.34</v>
      </c>
      <c r="I4549">
        <f>5579.048</f>
        <v>5579.0479999999998</v>
      </c>
      <c r="J4549">
        <f>1245.42</f>
        <v>1245.42</v>
      </c>
      <c r="K4549">
        <f>3959.04</f>
        <v>3959.04</v>
      </c>
      <c r="L4549">
        <f>936.83</f>
        <v>936.83</v>
      </c>
      <c r="M4549">
        <f>3788.68</f>
        <v>3788.68</v>
      </c>
      <c r="N4549">
        <f>144.047</f>
        <v>144.047</v>
      </c>
      <c r="O4549">
        <f>1580.46</f>
        <v>1580.46</v>
      </c>
      <c r="P4549" t="e">
        <f>NA()</f>
        <v>#N/A</v>
      </c>
      <c r="Q4549">
        <f>685.57</f>
        <v>685.57</v>
      </c>
      <c r="R4549">
        <f>1912.91</f>
        <v>1912.91</v>
      </c>
      <c r="S4549">
        <f>1836.24</f>
        <v>1836.24</v>
      </c>
      <c r="T4549" t="e">
        <f>NA()</f>
        <v>#N/A</v>
      </c>
      <c r="U4549">
        <f>18797.95</f>
        <v>18797.95</v>
      </c>
      <c r="V4549" t="e">
        <f>NA()</f>
        <v>#N/A</v>
      </c>
    </row>
    <row r="4550" spans="1:22" x14ac:dyDescent="0.2">
      <c r="A4550" s="1">
        <v>38737</v>
      </c>
      <c r="B4550">
        <f>3323.12</f>
        <v>3323.12</v>
      </c>
      <c r="C4550">
        <f>4164.75</f>
        <v>4164.75</v>
      </c>
      <c r="D4550">
        <f>3082.88</f>
        <v>3082.88</v>
      </c>
      <c r="E4550">
        <f>1191.069</f>
        <v>1191.069</v>
      </c>
      <c r="F4550">
        <f>1817.89</f>
        <v>1817.89</v>
      </c>
      <c r="G4550">
        <f>5542.766</f>
        <v>5542.7659999999996</v>
      </c>
      <c r="H4550">
        <f>1656.58</f>
        <v>1656.58</v>
      </c>
      <c r="I4550">
        <f>5498.276</f>
        <v>5498.2759999999998</v>
      </c>
      <c r="J4550">
        <f>1241.75</f>
        <v>1241.75</v>
      </c>
      <c r="K4550">
        <f>3950.48</f>
        <v>3950.48</v>
      </c>
      <c r="L4550">
        <f>930.19</f>
        <v>930.19</v>
      </c>
      <c r="M4550">
        <f>3774.21</f>
        <v>3774.21</v>
      </c>
      <c r="N4550">
        <f>144.705</f>
        <v>144.70500000000001</v>
      </c>
      <c r="O4550">
        <f>1584.65</f>
        <v>1584.65</v>
      </c>
      <c r="P4550" t="e">
        <f>NA()</f>
        <v>#N/A</v>
      </c>
      <c r="Q4550">
        <f>681.98</f>
        <v>681.98</v>
      </c>
      <c r="R4550">
        <f>1909.35</f>
        <v>1909.35</v>
      </c>
      <c r="S4550">
        <f>1878.44</f>
        <v>1878.44</v>
      </c>
      <c r="T4550" t="e">
        <f>NA()</f>
        <v>#N/A</v>
      </c>
      <c r="U4550">
        <f>18880.43</f>
        <v>18880.43</v>
      </c>
      <c r="V4550" t="e">
        <f>NA()</f>
        <v>#N/A</v>
      </c>
    </row>
    <row r="4551" spans="1:22" x14ac:dyDescent="0.2">
      <c r="A4551" s="1">
        <v>38736</v>
      </c>
      <c r="B4551">
        <f>3328.62</f>
        <v>3328.62</v>
      </c>
      <c r="C4551">
        <f>4160.38</f>
        <v>4160.38</v>
      </c>
      <c r="D4551">
        <f>3094.2</f>
        <v>3094.2</v>
      </c>
      <c r="E4551">
        <f>1189.973</f>
        <v>1189.973</v>
      </c>
      <c r="F4551">
        <f>1832.83</f>
        <v>1832.83</v>
      </c>
      <c r="G4551">
        <f>5562.104</f>
        <v>5562.1040000000003</v>
      </c>
      <c r="H4551">
        <f>1648.67</f>
        <v>1648.67</v>
      </c>
      <c r="I4551">
        <f>5557.536</f>
        <v>5557.5360000000001</v>
      </c>
      <c r="J4551">
        <f>1265.34</f>
        <v>1265.3399999999999</v>
      </c>
      <c r="K4551">
        <f>4026.31</f>
        <v>4026.31</v>
      </c>
      <c r="L4551">
        <f>940.49</f>
        <v>940.49</v>
      </c>
      <c r="M4551">
        <f>3817.79</f>
        <v>3817.79</v>
      </c>
      <c r="N4551">
        <f>144.97</f>
        <v>144.97</v>
      </c>
      <c r="O4551">
        <f>1594.31</f>
        <v>1594.31</v>
      </c>
      <c r="P4551" t="e">
        <f>NA()</f>
        <v>#N/A</v>
      </c>
      <c r="Q4551">
        <f>693.45</f>
        <v>693.45</v>
      </c>
      <c r="R4551">
        <f>1944.98</f>
        <v>1944.98</v>
      </c>
      <c r="S4551">
        <f>1873.7</f>
        <v>1873.7</v>
      </c>
      <c r="T4551" t="e">
        <f>NA()</f>
        <v>#N/A</v>
      </c>
      <c r="U4551">
        <f>18730.61</f>
        <v>18730.61</v>
      </c>
      <c r="V4551" t="e">
        <f>NA()</f>
        <v>#N/A</v>
      </c>
    </row>
    <row r="4552" spans="1:22" x14ac:dyDescent="0.2">
      <c r="A4552" s="1">
        <v>38735</v>
      </c>
      <c r="B4552">
        <f>3297.85</f>
        <v>3297.85</v>
      </c>
      <c r="C4552">
        <f>4077.92</f>
        <v>4077.92</v>
      </c>
      <c r="D4552">
        <f>3078.14</f>
        <v>3078.14</v>
      </c>
      <c r="E4552">
        <f>1166.542</f>
        <v>1166.5419999999999</v>
      </c>
      <c r="F4552">
        <f>1816.99</f>
        <v>1816.99</v>
      </c>
      <c r="G4552">
        <f>5536.639</f>
        <v>5536.6390000000001</v>
      </c>
      <c r="H4552">
        <f>1613.25</f>
        <v>1613.25</v>
      </c>
      <c r="I4552">
        <f>5514.334</f>
        <v>5514.3339999999998</v>
      </c>
      <c r="J4552">
        <f>1262.45</f>
        <v>1262.45</v>
      </c>
      <c r="K4552">
        <f>4003.7</f>
        <v>4003.7</v>
      </c>
      <c r="L4552">
        <f>936.47</f>
        <v>936.47</v>
      </c>
      <c r="M4552">
        <f>3784.38</f>
        <v>3784.38</v>
      </c>
      <c r="N4552">
        <f>144.542</f>
        <v>144.542</v>
      </c>
      <c r="O4552">
        <f>1586.72</f>
        <v>1586.72</v>
      </c>
      <c r="P4552" t="e">
        <f>NA()</f>
        <v>#N/A</v>
      </c>
      <c r="Q4552">
        <f>692</f>
        <v>692</v>
      </c>
      <c r="R4552">
        <f>1934.21</f>
        <v>1934.21</v>
      </c>
      <c r="S4552">
        <f>1820.95</f>
        <v>1820.95</v>
      </c>
      <c r="T4552" t="e">
        <f>NA()</f>
        <v>#N/A</v>
      </c>
      <c r="U4552">
        <f>18304.08</f>
        <v>18304.080000000002</v>
      </c>
      <c r="V4552" t="e">
        <f>NA()</f>
        <v>#N/A</v>
      </c>
    </row>
    <row r="4553" spans="1:22" x14ac:dyDescent="0.2">
      <c r="A4553" s="1">
        <v>38734</v>
      </c>
      <c r="B4553">
        <f>3303.29</f>
        <v>3303.29</v>
      </c>
      <c r="C4553">
        <f>4144.22</f>
        <v>4144.22</v>
      </c>
      <c r="D4553">
        <f>3096.66</f>
        <v>3096.66</v>
      </c>
      <c r="E4553">
        <f>1186.263</f>
        <v>1186.2629999999999</v>
      </c>
      <c r="F4553">
        <f>1821.93</f>
        <v>1821.93</v>
      </c>
      <c r="G4553">
        <f>5559.774</f>
        <v>5559.7740000000003</v>
      </c>
      <c r="H4553">
        <f>1649.01</f>
        <v>1649.01</v>
      </c>
      <c r="I4553">
        <f>5550.753</f>
        <v>5550.7529999999997</v>
      </c>
      <c r="J4553">
        <f>1266.69</f>
        <v>1266.69</v>
      </c>
      <c r="K4553">
        <f>4019.94</f>
        <v>4019.94</v>
      </c>
      <c r="L4553">
        <f>940.87</f>
        <v>940.87</v>
      </c>
      <c r="M4553">
        <f>3814.37</f>
        <v>3814.37</v>
      </c>
      <c r="N4553">
        <f>145.935</f>
        <v>145.935</v>
      </c>
      <c r="O4553">
        <f>1600.25</f>
        <v>1600.25</v>
      </c>
      <c r="P4553" t="e">
        <f>NA()</f>
        <v>#N/A</v>
      </c>
      <c r="Q4553">
        <f>691.37</f>
        <v>691.37</v>
      </c>
      <c r="R4553">
        <f>1941.57</f>
        <v>1941.57</v>
      </c>
      <c r="S4553">
        <f>1886.79</f>
        <v>1886.79</v>
      </c>
      <c r="T4553" t="e">
        <f>NA()</f>
        <v>#N/A</v>
      </c>
      <c r="U4553">
        <f>18261.01</f>
        <v>18261.009999999998</v>
      </c>
      <c r="V4553" t="e">
        <f>NA()</f>
        <v>#N/A</v>
      </c>
    </row>
    <row r="4554" spans="1:22" x14ac:dyDescent="0.2">
      <c r="A4554" s="1">
        <v>38733</v>
      </c>
      <c r="B4554">
        <f>3325.48</f>
        <v>3325.48</v>
      </c>
      <c r="C4554">
        <f>4189.68</f>
        <v>4189.68</v>
      </c>
      <c r="D4554">
        <f>3119.09</f>
        <v>3119.09</v>
      </c>
      <c r="E4554">
        <f>1201.978</f>
        <v>1201.9780000000001</v>
      </c>
      <c r="F4554">
        <f>1848.07</f>
        <v>1848.07</v>
      </c>
      <c r="G4554">
        <f>5624.418</f>
        <v>5624.4179999999997</v>
      </c>
      <c r="H4554">
        <f>1688.62</f>
        <v>1688.62</v>
      </c>
      <c r="I4554">
        <f>5619.54</f>
        <v>5619.54</v>
      </c>
      <c r="J4554">
        <f>1271.3</f>
        <v>1271.3</v>
      </c>
      <c r="K4554">
        <f>4034.94</f>
        <v>4034.94</v>
      </c>
      <c r="L4554">
        <f>949.05</f>
        <v>949.05</v>
      </c>
      <c r="M4554">
        <f>3849.64</f>
        <v>3849.64</v>
      </c>
      <c r="N4554">
        <f>147.192</f>
        <v>147.19200000000001</v>
      </c>
      <c r="O4554">
        <f>1611.85</f>
        <v>1611.85</v>
      </c>
      <c r="P4554" t="e">
        <f>NA()</f>
        <v>#N/A</v>
      </c>
      <c r="Q4554" t="e">
        <f>NA()</f>
        <v>#N/A</v>
      </c>
      <c r="R4554" t="e">
        <f>NA()</f>
        <v>#N/A</v>
      </c>
      <c r="S4554">
        <f>1931.35</f>
        <v>1931.35</v>
      </c>
      <c r="T4554" t="e">
        <f>NA()</f>
        <v>#N/A</v>
      </c>
      <c r="U4554">
        <f>18328.7</f>
        <v>18328.7</v>
      </c>
      <c r="V4554" t="e">
        <f>NA()</f>
        <v>#N/A</v>
      </c>
    </row>
    <row r="4555" spans="1:22" x14ac:dyDescent="0.2">
      <c r="A4555" s="1">
        <v>38730</v>
      </c>
      <c r="B4555">
        <f>3328.55</f>
        <v>3328.55</v>
      </c>
      <c r="C4555">
        <f>4184.51</f>
        <v>4184.51</v>
      </c>
      <c r="D4555">
        <f>3103.22</f>
        <v>3103.22</v>
      </c>
      <c r="E4555">
        <f>1193.897</f>
        <v>1193.8969999999999</v>
      </c>
      <c r="F4555">
        <f>1846.99</f>
        <v>1846.99</v>
      </c>
      <c r="G4555">
        <f>5611.827</f>
        <v>5611.8270000000002</v>
      </c>
      <c r="H4555">
        <f>1710.58</f>
        <v>1710.58</v>
      </c>
      <c r="I4555">
        <f>5577.625</f>
        <v>5577.625</v>
      </c>
      <c r="J4555">
        <f>1271.3</f>
        <v>1271.3</v>
      </c>
      <c r="K4555">
        <f>4034.94</f>
        <v>4034.94</v>
      </c>
      <c r="L4555">
        <f>946.42</f>
        <v>946.42</v>
      </c>
      <c r="M4555">
        <f>3847.66</f>
        <v>3847.66</v>
      </c>
      <c r="N4555">
        <f>146.997</f>
        <v>146.99700000000001</v>
      </c>
      <c r="O4555">
        <f>1607.57</f>
        <v>1607.57</v>
      </c>
      <c r="P4555" t="e">
        <f>NA()</f>
        <v>#N/A</v>
      </c>
      <c r="Q4555">
        <f>694</f>
        <v>694</v>
      </c>
      <c r="R4555">
        <f>1948.64</f>
        <v>1948.64</v>
      </c>
      <c r="S4555">
        <f>1944.7</f>
        <v>1944.7</v>
      </c>
      <c r="T4555" t="e">
        <f>NA()</f>
        <v>#N/A</v>
      </c>
      <c r="U4555">
        <f>18567.64</f>
        <v>18567.64</v>
      </c>
      <c r="V4555" t="e">
        <f>NA()</f>
        <v>#N/A</v>
      </c>
    </row>
    <row r="4556" spans="1:22" x14ac:dyDescent="0.2">
      <c r="A4556" s="1">
        <v>38729</v>
      </c>
      <c r="B4556">
        <f>3347.81</f>
        <v>3347.81</v>
      </c>
      <c r="C4556">
        <f>4195.02</f>
        <v>4195.0200000000004</v>
      </c>
      <c r="D4556">
        <f>3116.33</f>
        <v>3116.33</v>
      </c>
      <c r="E4556">
        <f>1194.867</f>
        <v>1194.867</v>
      </c>
      <c r="F4556">
        <f>1847.64</f>
        <v>1847.64</v>
      </c>
      <c r="G4556">
        <f>5609.267</f>
        <v>5609.2669999999998</v>
      </c>
      <c r="H4556">
        <f>1725.21</f>
        <v>1725.21</v>
      </c>
      <c r="I4556">
        <f>5603.101</f>
        <v>5603.1009999999997</v>
      </c>
      <c r="J4556">
        <f>1265.2</f>
        <v>1265.2</v>
      </c>
      <c r="K4556">
        <f>4030.42</f>
        <v>4030.42</v>
      </c>
      <c r="L4556">
        <f>946.84</f>
        <v>946.84</v>
      </c>
      <c r="M4556">
        <f>3850.23</f>
        <v>3850.23</v>
      </c>
      <c r="N4556">
        <f>147.505</f>
        <v>147.505</v>
      </c>
      <c r="O4556">
        <f>1618.29</f>
        <v>1618.29</v>
      </c>
      <c r="P4556" t="e">
        <f>NA()</f>
        <v>#N/A</v>
      </c>
      <c r="Q4556">
        <f>692.61</f>
        <v>692.61</v>
      </c>
      <c r="R4556">
        <f>1946.28</f>
        <v>1946.28</v>
      </c>
      <c r="S4556">
        <f>1947.76</f>
        <v>1947.76</v>
      </c>
      <c r="T4556" t="e">
        <f>NA()</f>
        <v>#N/A</v>
      </c>
      <c r="U4556">
        <f>18577</f>
        <v>18577</v>
      </c>
      <c r="V4556" t="e">
        <f>NA()</f>
        <v>#N/A</v>
      </c>
    </row>
    <row r="4557" spans="1:22" x14ac:dyDescent="0.2">
      <c r="A4557" s="1">
        <v>38728</v>
      </c>
      <c r="B4557">
        <f>3348.77</f>
        <v>3348.77</v>
      </c>
      <c r="C4557">
        <f>4176.8</f>
        <v>4176.8</v>
      </c>
      <c r="D4557">
        <f>3114.37</f>
        <v>3114.37</v>
      </c>
      <c r="E4557">
        <f>1188.338</f>
        <v>1188.338</v>
      </c>
      <c r="F4557">
        <f>1843.04</f>
        <v>1843.04</v>
      </c>
      <c r="G4557">
        <f>5603.907</f>
        <v>5603.9070000000002</v>
      </c>
      <c r="H4557">
        <f>1712.57</f>
        <v>1712.57</v>
      </c>
      <c r="I4557">
        <f>5618.683</f>
        <v>5618.683</v>
      </c>
      <c r="J4557">
        <f>1274.05</f>
        <v>1274.05</v>
      </c>
      <c r="K4557">
        <f>4057.02</f>
        <v>4057.02</v>
      </c>
      <c r="L4557">
        <f>949.05</f>
        <v>949.05</v>
      </c>
      <c r="M4557">
        <f>3861.89</f>
        <v>3861.89</v>
      </c>
      <c r="N4557">
        <f>146.937</f>
        <v>146.93700000000001</v>
      </c>
      <c r="O4557">
        <f>1612.21</f>
        <v>1612.21</v>
      </c>
      <c r="P4557" t="e">
        <f>NA()</f>
        <v>#N/A</v>
      </c>
      <c r="Q4557">
        <f>697.63</f>
        <v>697.63</v>
      </c>
      <c r="R4557">
        <f>1958.56</f>
        <v>1958.56</v>
      </c>
      <c r="S4557">
        <f>1934</f>
        <v>1934</v>
      </c>
      <c r="T4557" t="e">
        <f>NA()</f>
        <v>#N/A</v>
      </c>
      <c r="U4557">
        <f>18594.16</f>
        <v>18594.16</v>
      </c>
      <c r="V4557" t="e">
        <f>NA()</f>
        <v>#N/A</v>
      </c>
    </row>
    <row r="4558" spans="1:22" x14ac:dyDescent="0.2">
      <c r="A4558" s="1">
        <v>38727</v>
      </c>
      <c r="B4558">
        <f>3314</f>
        <v>3314</v>
      </c>
      <c r="C4558">
        <f>4141.89</f>
        <v>4141.8900000000003</v>
      </c>
      <c r="D4558">
        <f>3091.16</f>
        <v>3091.16</v>
      </c>
      <c r="E4558">
        <f>1181.793</f>
        <v>1181.7929999999999</v>
      </c>
      <c r="F4558">
        <f>1831.12</f>
        <v>1831.12</v>
      </c>
      <c r="G4558">
        <f>5576.483</f>
        <v>5576.4830000000002</v>
      </c>
      <c r="H4558">
        <f>1697.8</f>
        <v>1697.8</v>
      </c>
      <c r="I4558">
        <f>5565.149</f>
        <v>5565.1490000000003</v>
      </c>
      <c r="J4558">
        <f>1270.8</f>
        <v>1270.8</v>
      </c>
      <c r="K4558">
        <f>4042.85</f>
        <v>4042.85</v>
      </c>
      <c r="L4558">
        <f>943.67</f>
        <v>943.67</v>
      </c>
      <c r="M4558">
        <f>3839.66</f>
        <v>3839.66</v>
      </c>
      <c r="N4558">
        <f>146.397</f>
        <v>146.39699999999999</v>
      </c>
      <c r="O4558">
        <f>1603.79</f>
        <v>1603.79</v>
      </c>
      <c r="P4558" t="e">
        <f>NA()</f>
        <v>#N/A</v>
      </c>
      <c r="Q4558">
        <f>698.38</f>
        <v>698.38</v>
      </c>
      <c r="R4558">
        <f>1951.53</f>
        <v>1951.53</v>
      </c>
      <c r="S4558">
        <f>1918.49</f>
        <v>1918.49</v>
      </c>
      <c r="T4558" t="e">
        <f>NA()</f>
        <v>#N/A</v>
      </c>
      <c r="U4558">
        <f>18473.34</f>
        <v>18473.34</v>
      </c>
      <c r="V4558" t="e">
        <f>NA()</f>
        <v>#N/A</v>
      </c>
    </row>
    <row r="4559" spans="1:22" x14ac:dyDescent="0.2">
      <c r="A4559" s="1">
        <v>38726</v>
      </c>
      <c r="B4559">
        <f>3319.87</f>
        <v>3319.87</v>
      </c>
      <c r="C4559">
        <f>4168.16</f>
        <v>4168.16</v>
      </c>
      <c r="D4559">
        <f>3114.32</f>
        <v>3114.32</v>
      </c>
      <c r="E4559">
        <f>1186.398</f>
        <v>1186.3979999999999</v>
      </c>
      <c r="F4559">
        <f>1844.86</f>
        <v>1844.86</v>
      </c>
      <c r="G4559">
        <f>5611.94</f>
        <v>5611.94</v>
      </c>
      <c r="H4559">
        <f>1719.97</f>
        <v>1719.97</v>
      </c>
      <c r="I4559">
        <f>5601.944</f>
        <v>5601.9440000000004</v>
      </c>
      <c r="J4559">
        <f>1273.05</f>
        <v>1273.05</v>
      </c>
      <c r="K4559">
        <f>4042.97</f>
        <v>4042.97</v>
      </c>
      <c r="L4559">
        <f>946.73</f>
        <v>946.73</v>
      </c>
      <c r="M4559">
        <f>3854.87</f>
        <v>3854.87</v>
      </c>
      <c r="N4559">
        <f>147.023</f>
        <v>147.023</v>
      </c>
      <c r="O4559">
        <f>1614.48</f>
        <v>1614.48</v>
      </c>
      <c r="P4559" t="e">
        <f>NA()</f>
        <v>#N/A</v>
      </c>
      <c r="Q4559">
        <f>700.99</f>
        <v>700.99</v>
      </c>
      <c r="R4559">
        <f>1952.13</f>
        <v>1952.13</v>
      </c>
      <c r="S4559" t="e">
        <f>NA()</f>
        <v>#N/A</v>
      </c>
      <c r="T4559" t="e">
        <f>NA()</f>
        <v>#N/A</v>
      </c>
      <c r="U4559">
        <f>18554.49</f>
        <v>18554.490000000002</v>
      </c>
      <c r="V4559" t="e">
        <f>NA()</f>
        <v>#N/A</v>
      </c>
    </row>
    <row r="4560" spans="1:22" x14ac:dyDescent="0.2">
      <c r="A4560" s="1">
        <v>38723</v>
      </c>
      <c r="B4560">
        <f>3324.66</f>
        <v>3324.66</v>
      </c>
      <c r="C4560">
        <f>4115.82</f>
        <v>4115.82</v>
      </c>
      <c r="D4560">
        <f>3114.49</f>
        <v>3114.49</v>
      </c>
      <c r="E4560">
        <f>1174.603</f>
        <v>1174.6030000000001</v>
      </c>
      <c r="F4560">
        <f>1838.38</f>
        <v>1838.38</v>
      </c>
      <c r="G4560">
        <f>5637.014</f>
        <v>5637.0140000000001</v>
      </c>
      <c r="H4560">
        <f>1715.17</f>
        <v>1715.17</v>
      </c>
      <c r="I4560">
        <f>5624.866</f>
        <v>5624.866</v>
      </c>
      <c r="J4560">
        <f>1270.67</f>
        <v>1270.67</v>
      </c>
      <c r="K4560">
        <f>4027.72</f>
        <v>4027.72</v>
      </c>
      <c r="L4560">
        <f>947.83</f>
        <v>947.83</v>
      </c>
      <c r="M4560">
        <f>3851.12</f>
        <v>3851.12</v>
      </c>
      <c r="N4560">
        <f>147.561</f>
        <v>147.56100000000001</v>
      </c>
      <c r="O4560">
        <f>1610.4</f>
        <v>1610.4</v>
      </c>
      <c r="P4560" t="e">
        <f>NA()</f>
        <v>#N/A</v>
      </c>
      <c r="Q4560">
        <f>697.02</f>
        <v>697.02</v>
      </c>
      <c r="R4560">
        <f>1945.02</f>
        <v>1945.02</v>
      </c>
      <c r="S4560">
        <f>1948.41</f>
        <v>1948.41</v>
      </c>
      <c r="T4560" t="e">
        <f>NA()</f>
        <v>#N/A</v>
      </c>
      <c r="U4560">
        <f>18414.85</f>
        <v>18414.849999999999</v>
      </c>
      <c r="V4560" t="e">
        <f>NA()</f>
        <v>#N/A</v>
      </c>
    </row>
    <row r="4561" spans="1:22" x14ac:dyDescent="0.2">
      <c r="A4561" s="1">
        <v>38722</v>
      </c>
      <c r="B4561">
        <f>3323.81</f>
        <v>3323.81</v>
      </c>
      <c r="C4561">
        <f>4076.92</f>
        <v>4076.92</v>
      </c>
      <c r="D4561">
        <f>3092.43</f>
        <v>3092.43</v>
      </c>
      <c r="E4561">
        <f>1163.951</f>
        <v>1163.951</v>
      </c>
      <c r="F4561">
        <f>1811.81</f>
        <v>1811.81</v>
      </c>
      <c r="G4561">
        <f>5547.692</f>
        <v>5547.692</v>
      </c>
      <c r="H4561">
        <f>1701.61</f>
        <v>1701.61</v>
      </c>
      <c r="I4561">
        <f>5577.107</f>
        <v>5577.107</v>
      </c>
      <c r="J4561">
        <f>1261.12</f>
        <v>1261.1199999999999</v>
      </c>
      <c r="K4561">
        <f>3987.91</f>
        <v>3987.91</v>
      </c>
      <c r="L4561">
        <f>939.15</f>
        <v>939.15</v>
      </c>
      <c r="M4561">
        <f>3813.13</f>
        <v>3813.13</v>
      </c>
      <c r="N4561">
        <f>146.977</f>
        <v>146.977</v>
      </c>
      <c r="O4561">
        <f>1599.76</f>
        <v>1599.76</v>
      </c>
      <c r="P4561" t="e">
        <f>NA()</f>
        <v>#N/A</v>
      </c>
      <c r="Q4561">
        <f>691.41</f>
        <v>691.41</v>
      </c>
      <c r="R4561">
        <f>1926.44</f>
        <v>1926.44</v>
      </c>
      <c r="S4561">
        <f>1948.7</f>
        <v>1948.7</v>
      </c>
      <c r="T4561" t="e">
        <f>NA()</f>
        <v>#N/A</v>
      </c>
      <c r="U4561">
        <f>18244.64</f>
        <v>18244.64</v>
      </c>
      <c r="V4561" t="e">
        <f>NA()</f>
        <v>#N/A</v>
      </c>
    </row>
    <row r="4562" spans="1:22" x14ac:dyDescent="0.2">
      <c r="A4562" s="1">
        <v>38721</v>
      </c>
      <c r="B4562">
        <f>3351.98</f>
        <v>3351.98</v>
      </c>
      <c r="C4562">
        <f>4051.09</f>
        <v>4051.09</v>
      </c>
      <c r="D4562">
        <f>3105.15</f>
        <v>3105.15</v>
      </c>
      <c r="E4562">
        <f>1159.293</f>
        <v>1159.2929999999999</v>
      </c>
      <c r="F4562">
        <f>1821.39</f>
        <v>1821.39</v>
      </c>
      <c r="G4562">
        <f>5583.896</f>
        <v>5583.8959999999997</v>
      </c>
      <c r="H4562">
        <f>1680.62</f>
        <v>1680.62</v>
      </c>
      <c r="I4562">
        <f>5582.027</f>
        <v>5582.027</v>
      </c>
      <c r="J4562">
        <f>1260.97</f>
        <v>1260.97</v>
      </c>
      <c r="K4562">
        <f>3987.24</f>
        <v>3987.24</v>
      </c>
      <c r="L4562">
        <f>940.63</f>
        <v>940.63</v>
      </c>
      <c r="M4562">
        <f>3812.27</f>
        <v>3812.27</v>
      </c>
      <c r="N4562">
        <f>147.679</f>
        <v>147.679</v>
      </c>
      <c r="O4562">
        <f>1605.05</f>
        <v>1605.05</v>
      </c>
      <c r="P4562" t="e">
        <f>NA()</f>
        <v>#N/A</v>
      </c>
      <c r="Q4562">
        <f>692.57</f>
        <v>692.57</v>
      </c>
      <c r="R4562">
        <f>1926.39</f>
        <v>1926.39</v>
      </c>
      <c r="S4562">
        <f>1934.73</f>
        <v>1934.73</v>
      </c>
      <c r="T4562" t="e">
        <f>NA()</f>
        <v>#N/A</v>
      </c>
      <c r="U4562">
        <f>18415.34</f>
        <v>18415.34</v>
      </c>
      <c r="V4562" t="e">
        <f>NA()</f>
        <v>#N/A</v>
      </c>
    </row>
    <row r="4563" spans="1:22" x14ac:dyDescent="0.2">
      <c r="A4563" s="1">
        <v>38720</v>
      </c>
      <c r="B4563">
        <f>3333.63</f>
        <v>3333.63</v>
      </c>
      <c r="C4563">
        <f>3977.13</f>
        <v>3977.13</v>
      </c>
      <c r="D4563">
        <f>3086.79</f>
        <v>3086.79</v>
      </c>
      <c r="E4563">
        <f>1137.476</f>
        <v>1137.4760000000001</v>
      </c>
      <c r="F4563">
        <f>1796.18</f>
        <v>1796.18</v>
      </c>
      <c r="G4563">
        <f>5487.772</f>
        <v>5487.7719999999999</v>
      </c>
      <c r="H4563">
        <f>1647.83</f>
        <v>1647.83</v>
      </c>
      <c r="I4563">
        <f>5473.334</f>
        <v>5473.3339999999998</v>
      </c>
      <c r="J4563">
        <f>1259.93</f>
        <v>1259.93</v>
      </c>
      <c r="K4563">
        <f>3970.75</f>
        <v>3970.75</v>
      </c>
      <c r="L4563">
        <f>931.38</f>
        <v>931.38</v>
      </c>
      <c r="M4563">
        <f>3771.16</f>
        <v>3771.16</v>
      </c>
      <c r="N4563">
        <f>146.293</f>
        <v>146.29300000000001</v>
      </c>
      <c r="O4563">
        <f>1590.28</f>
        <v>1590.28</v>
      </c>
      <c r="P4563" t="e">
        <f>NA()</f>
        <v>#N/A</v>
      </c>
      <c r="Q4563">
        <f>689.41</f>
        <v>689.41</v>
      </c>
      <c r="R4563">
        <f>1918.96</f>
        <v>1918.96</v>
      </c>
      <c r="S4563" t="e">
        <f>NA()</f>
        <v>#N/A</v>
      </c>
      <c r="T4563" t="e">
        <f>NA()</f>
        <v>#N/A</v>
      </c>
      <c r="U4563">
        <f>18355.7</f>
        <v>18355.7</v>
      </c>
      <c r="V4563" t="e">
        <f>NA()</f>
        <v>#N/A</v>
      </c>
    </row>
    <row r="4564" spans="1:22" x14ac:dyDescent="0.2">
      <c r="A4564" s="1">
        <v>38719</v>
      </c>
      <c r="B4564" t="e">
        <f>NA()</f>
        <v>#N/A</v>
      </c>
      <c r="C4564">
        <f>3888</f>
        <v>3888</v>
      </c>
      <c r="D4564" t="e">
        <f>NA()</f>
        <v>#N/A</v>
      </c>
      <c r="E4564">
        <f>1115.147</f>
        <v>1115.1469999999999</v>
      </c>
      <c r="F4564">
        <f>1769.2</f>
        <v>1769.2</v>
      </c>
      <c r="G4564">
        <f>5359.2</f>
        <v>5359.2</v>
      </c>
      <c r="H4564">
        <f>1628.49</f>
        <v>1628.49</v>
      </c>
      <c r="I4564">
        <f>5362.123</f>
        <v>5362.1229999999996</v>
      </c>
      <c r="J4564">
        <f>1239.1</f>
        <v>1239.0999999999999</v>
      </c>
      <c r="K4564">
        <f>3906.35</f>
        <v>3906.35</v>
      </c>
      <c r="L4564">
        <f>914.6</f>
        <v>914.6</v>
      </c>
      <c r="M4564">
        <f>3705.85</f>
        <v>3705.85</v>
      </c>
      <c r="N4564">
        <f>145.725</f>
        <v>145.72499999999999</v>
      </c>
      <c r="O4564">
        <f>1581.08</f>
        <v>1581.08</v>
      </c>
      <c r="P4564" t="e">
        <f>NA()</f>
        <v>#N/A</v>
      </c>
      <c r="Q4564" t="e">
        <f>NA()</f>
        <v>#N/A</v>
      </c>
      <c r="R4564" t="e">
        <f>NA()</f>
        <v>#N/A</v>
      </c>
      <c r="S4564" t="e">
        <f>NA()</f>
        <v>#N/A</v>
      </c>
      <c r="T4564" t="e">
        <f>NA()</f>
        <v>#N/A</v>
      </c>
      <c r="U4564" t="e">
        <f>NA()</f>
        <v>#N/A</v>
      </c>
      <c r="V4564" t="e">
        <f>NA()</f>
        <v>#N/A</v>
      </c>
    </row>
    <row r="4565" spans="1:22" x14ac:dyDescent="0.2">
      <c r="A4565" s="1">
        <v>38716</v>
      </c>
      <c r="B4565">
        <f>3319.03</f>
        <v>3319.03</v>
      </c>
      <c r="C4565">
        <f>3891.59</f>
        <v>3891.59</v>
      </c>
      <c r="D4565">
        <f>3052.73</f>
        <v>3052.73</v>
      </c>
      <c r="E4565">
        <f>1113.707</f>
        <v>1113.7070000000001</v>
      </c>
      <c r="F4565">
        <f>1769.2</f>
        <v>1769.2</v>
      </c>
      <c r="G4565">
        <f>5359.2</f>
        <v>5359.2</v>
      </c>
      <c r="H4565">
        <f>1628.49</f>
        <v>1628.49</v>
      </c>
      <c r="I4565">
        <f>5331.797</f>
        <v>5331.7969999999996</v>
      </c>
      <c r="J4565">
        <f>1239.1</f>
        <v>1239.0999999999999</v>
      </c>
      <c r="K4565">
        <f>3906.35</f>
        <v>3906.35</v>
      </c>
      <c r="L4565">
        <f>913.21</f>
        <v>913.21</v>
      </c>
      <c r="M4565">
        <f>3701.79</f>
        <v>3701.79</v>
      </c>
      <c r="N4565">
        <f>145.205</f>
        <v>145.20500000000001</v>
      </c>
      <c r="O4565">
        <f>1572.45</f>
        <v>1572.45</v>
      </c>
      <c r="P4565" t="e">
        <f>NA()</f>
        <v>#N/A</v>
      </c>
      <c r="Q4565">
        <f>682.13</f>
        <v>682.13</v>
      </c>
      <c r="R4565">
        <f>1887.94</f>
        <v>1887.94</v>
      </c>
      <c r="S4565">
        <f>1907.77</f>
        <v>1907.77</v>
      </c>
      <c r="T4565" t="e">
        <f>NA()</f>
        <v>#N/A</v>
      </c>
      <c r="U4565">
        <f>18096.54</f>
        <v>18096.54</v>
      </c>
      <c r="V4565" t="e">
        <f>NA()</f>
        <v>#N/A</v>
      </c>
    </row>
    <row r="4566" spans="1:22" x14ac:dyDescent="0.2">
      <c r="A4566" s="1">
        <v>38715</v>
      </c>
      <c r="B4566">
        <f>3325.04</f>
        <v>3325.04</v>
      </c>
      <c r="C4566">
        <f>3904.84</f>
        <v>3904.84</v>
      </c>
      <c r="D4566">
        <f>3063.36</f>
        <v>3063.36</v>
      </c>
      <c r="E4566">
        <f>1115.484</f>
        <v>1115.4839999999999</v>
      </c>
      <c r="F4566">
        <f>1783.5</f>
        <v>1783.5</v>
      </c>
      <c r="G4566">
        <f>5407.094</f>
        <v>5407.0940000000001</v>
      </c>
      <c r="H4566">
        <f>1641.84</f>
        <v>1641.84</v>
      </c>
      <c r="I4566">
        <f>5389.337</f>
        <v>5389.3370000000004</v>
      </c>
      <c r="J4566">
        <f>1244.57</f>
        <v>1244.57</v>
      </c>
      <c r="K4566">
        <f>3925.09</f>
        <v>3925.09</v>
      </c>
      <c r="L4566">
        <f>919.81</f>
        <v>919.81</v>
      </c>
      <c r="M4566">
        <f>3727.54</f>
        <v>3727.54</v>
      </c>
      <c r="N4566">
        <f>145.956</f>
        <v>145.95599999999999</v>
      </c>
      <c r="O4566">
        <f>1584.58</f>
        <v>1584.58</v>
      </c>
      <c r="P4566" t="e">
        <f>NA()</f>
        <v>#N/A</v>
      </c>
      <c r="Q4566">
        <f>687.6</f>
        <v>687.6</v>
      </c>
      <c r="R4566">
        <f>1897.2</f>
        <v>1897.2</v>
      </c>
      <c r="S4566">
        <f>1923.5</f>
        <v>1923.5</v>
      </c>
      <c r="T4566" t="e">
        <f>NA()</f>
        <v>#N/A</v>
      </c>
      <c r="U4566">
        <f>18172.45</f>
        <v>18172.45</v>
      </c>
      <c r="V4566" t="e">
        <f>NA()</f>
        <v>#N/A</v>
      </c>
    </row>
    <row r="4567" spans="1:22" x14ac:dyDescent="0.2">
      <c r="A4567" s="1">
        <v>38714</v>
      </c>
      <c r="B4567">
        <f>3316.79</f>
        <v>3316.79</v>
      </c>
      <c r="C4567">
        <f>3878.37</f>
        <v>3878.37</v>
      </c>
      <c r="D4567">
        <f>3054.91</f>
        <v>3054.91</v>
      </c>
      <c r="E4567">
        <f>1106.343</f>
        <v>1106.3430000000001</v>
      </c>
      <c r="F4567">
        <f>1783.33</f>
        <v>1783.33</v>
      </c>
      <c r="G4567">
        <f>5393.235</f>
        <v>5393.2349999999997</v>
      </c>
      <c r="H4567">
        <f>1646.87</f>
        <v>1646.87</v>
      </c>
      <c r="I4567">
        <f>5399.731</f>
        <v>5399.7309999999998</v>
      </c>
      <c r="J4567">
        <f>1246.88</f>
        <v>1246.8800000000001</v>
      </c>
      <c r="K4567">
        <f>3936.81</f>
        <v>3936.81</v>
      </c>
      <c r="L4567">
        <f>920.68</f>
        <v>920.68</v>
      </c>
      <c r="M4567">
        <f>3731.97</f>
        <v>3731.97</v>
      </c>
      <c r="N4567">
        <f>145.212</f>
        <v>145.21199999999999</v>
      </c>
      <c r="O4567">
        <f>1576.22</f>
        <v>1576.22</v>
      </c>
      <c r="P4567" t="e">
        <f>NA()</f>
        <v>#N/A</v>
      </c>
      <c r="Q4567">
        <f>688.63</f>
        <v>688.63</v>
      </c>
      <c r="R4567">
        <f>1902.74</f>
        <v>1902.74</v>
      </c>
      <c r="S4567">
        <f>1912.14</f>
        <v>1912.14</v>
      </c>
      <c r="T4567" t="e">
        <f>NA()</f>
        <v>#N/A</v>
      </c>
      <c r="U4567">
        <f>18078.03</f>
        <v>18078.03</v>
      </c>
      <c r="V4567" t="e">
        <f>NA()</f>
        <v>#N/A</v>
      </c>
    </row>
    <row r="4568" spans="1:22" x14ac:dyDescent="0.2">
      <c r="A4568" s="1">
        <v>38713</v>
      </c>
      <c r="B4568" t="e">
        <f>NA()</f>
        <v>#N/A</v>
      </c>
      <c r="C4568">
        <f>3899.35</f>
        <v>3899.35</v>
      </c>
      <c r="D4568" t="e">
        <f>NA()</f>
        <v>#N/A</v>
      </c>
      <c r="E4568">
        <f>1112.354</f>
        <v>1112.354</v>
      </c>
      <c r="F4568">
        <f>1782.29</f>
        <v>1782.29</v>
      </c>
      <c r="G4568">
        <f>5382.849</f>
        <v>5382.8490000000002</v>
      </c>
      <c r="H4568">
        <f>1633.6</f>
        <v>1633.6</v>
      </c>
      <c r="I4568">
        <f>5379.497</f>
        <v>5379.4970000000003</v>
      </c>
      <c r="J4568">
        <f>1246.51</f>
        <v>1246.51</v>
      </c>
      <c r="K4568">
        <f>3930.51</f>
        <v>3930.51</v>
      </c>
      <c r="L4568">
        <f>918.96</f>
        <v>918.96</v>
      </c>
      <c r="M4568">
        <f>3719.65</f>
        <v>3719.65</v>
      </c>
      <c r="N4568">
        <f>145.303</f>
        <v>145.303</v>
      </c>
      <c r="O4568">
        <f>1577.94</f>
        <v>1577.94</v>
      </c>
      <c r="P4568" t="e">
        <f>NA()</f>
        <v>#N/A</v>
      </c>
      <c r="Q4568">
        <f>687.81</f>
        <v>687.81</v>
      </c>
      <c r="R4568">
        <f>1899.93</f>
        <v>1899.93</v>
      </c>
      <c r="S4568">
        <f>1893.65</f>
        <v>1893.65</v>
      </c>
      <c r="T4568" t="e">
        <f>NA()</f>
        <v>#N/A</v>
      </c>
      <c r="U4568">
        <f>18312.14</f>
        <v>18312.14</v>
      </c>
      <c r="V4568" t="e">
        <f>NA()</f>
        <v>#N/A</v>
      </c>
    </row>
    <row r="4569" spans="1:22" x14ac:dyDescent="0.2">
      <c r="A4569" s="1">
        <v>38712</v>
      </c>
      <c r="B4569" t="e">
        <f>NA()</f>
        <v>#N/A</v>
      </c>
      <c r="C4569">
        <f>3885.82</f>
        <v>3885.82</v>
      </c>
      <c r="D4569" t="e">
        <f>NA()</f>
        <v>#N/A</v>
      </c>
      <c r="E4569">
        <f>1108.075</f>
        <v>1108.075</v>
      </c>
      <c r="F4569">
        <f>1782.8</f>
        <v>1782.8</v>
      </c>
      <c r="G4569">
        <f>5384.403</f>
        <v>5384.4030000000002</v>
      </c>
      <c r="H4569">
        <f>1655.6</f>
        <v>1655.6</v>
      </c>
      <c r="I4569">
        <f>5359.295</f>
        <v>5359.2950000000001</v>
      </c>
      <c r="J4569">
        <f>1257.6</f>
        <v>1257.5999999999999</v>
      </c>
      <c r="K4569">
        <f>3968.4</f>
        <v>3968.4</v>
      </c>
      <c r="L4569">
        <f>921.59</f>
        <v>921.59</v>
      </c>
      <c r="M4569">
        <f>3742.29</f>
        <v>3742.29</v>
      </c>
      <c r="N4569" t="e">
        <f>NA()</f>
        <v>#N/A</v>
      </c>
      <c r="O4569" t="e">
        <f>NA()</f>
        <v>#N/A</v>
      </c>
      <c r="P4569" t="e">
        <f>NA()</f>
        <v>#N/A</v>
      </c>
      <c r="Q4569" t="e">
        <f>NA()</f>
        <v>#N/A</v>
      </c>
      <c r="R4569" t="e">
        <f>NA()</f>
        <v>#N/A</v>
      </c>
      <c r="S4569">
        <f>1905.74</f>
        <v>1905.74</v>
      </c>
      <c r="T4569" t="e">
        <f>NA()</f>
        <v>#N/A</v>
      </c>
      <c r="U4569" t="e">
        <f>NA()</f>
        <v>#N/A</v>
      </c>
      <c r="V4569" t="e">
        <f>NA()</f>
        <v>#N/A</v>
      </c>
    </row>
    <row r="4570" spans="1:22" x14ac:dyDescent="0.2">
      <c r="A4570" s="1">
        <v>38709</v>
      </c>
      <c r="B4570">
        <f>3302.67</f>
        <v>3302.67</v>
      </c>
      <c r="C4570">
        <f>3884.67</f>
        <v>3884.67</v>
      </c>
      <c r="D4570">
        <f>3039.18</f>
        <v>3039.18</v>
      </c>
      <c r="E4570">
        <f>1108.332</f>
        <v>1108.3320000000001</v>
      </c>
      <c r="F4570">
        <f>1782.8</f>
        <v>1782.8</v>
      </c>
      <c r="G4570">
        <f>5384.403</f>
        <v>5384.4030000000002</v>
      </c>
      <c r="H4570">
        <f>1648.28</f>
        <v>1648.28</v>
      </c>
      <c r="I4570">
        <f>5359.295</f>
        <v>5359.2950000000001</v>
      </c>
      <c r="J4570">
        <f>1257.6</f>
        <v>1257.5999999999999</v>
      </c>
      <c r="K4570">
        <f>3968.4</f>
        <v>3968.4</v>
      </c>
      <c r="L4570">
        <f>921.61</f>
        <v>921.61</v>
      </c>
      <c r="M4570">
        <f>3739.77</f>
        <v>3739.77</v>
      </c>
      <c r="N4570">
        <f>144.832</f>
        <v>144.83199999999999</v>
      </c>
      <c r="O4570">
        <f>1574.17</f>
        <v>1574.17</v>
      </c>
      <c r="P4570" t="e">
        <f>NA()</f>
        <v>#N/A</v>
      </c>
      <c r="Q4570">
        <f>692.41</f>
        <v>692.41</v>
      </c>
      <c r="R4570">
        <f>1918.25</f>
        <v>1918.25</v>
      </c>
      <c r="S4570" t="e">
        <f>NA()</f>
        <v>#N/A</v>
      </c>
      <c r="T4570" t="e">
        <f>NA()</f>
        <v>#N/A</v>
      </c>
      <c r="U4570">
        <f>18123.93</f>
        <v>18123.93</v>
      </c>
      <c r="V4570" t="e">
        <f>NA()</f>
        <v>#N/A</v>
      </c>
    </row>
    <row r="4571" spans="1:22" x14ac:dyDescent="0.2">
      <c r="A4571" s="1">
        <v>38708</v>
      </c>
      <c r="B4571">
        <f>3293.06</f>
        <v>3293.06</v>
      </c>
      <c r="C4571">
        <f>3856.66</f>
        <v>3856.66</v>
      </c>
      <c r="D4571">
        <f>3040.01</f>
        <v>3040.01</v>
      </c>
      <c r="E4571">
        <f>1102.981</f>
        <v>1102.981</v>
      </c>
      <c r="F4571">
        <f>1788.72</f>
        <v>1788.72</v>
      </c>
      <c r="G4571">
        <f>5397.849</f>
        <v>5397.8490000000002</v>
      </c>
      <c r="H4571">
        <f>1643.82</f>
        <v>1643.82</v>
      </c>
      <c r="I4571">
        <f>5346.928</f>
        <v>5346.9279999999999</v>
      </c>
      <c r="J4571">
        <f>1256.58</f>
        <v>1256.58</v>
      </c>
      <c r="K4571">
        <f>3966.15</f>
        <v>3966.15</v>
      </c>
      <c r="L4571">
        <f>921.36</f>
        <v>921.36</v>
      </c>
      <c r="M4571">
        <f>3736.63</f>
        <v>3736.63</v>
      </c>
      <c r="N4571">
        <f>144.694</f>
        <v>144.69399999999999</v>
      </c>
      <c r="O4571">
        <f>1573.71</f>
        <v>1573.71</v>
      </c>
      <c r="P4571" t="e">
        <f>NA()</f>
        <v>#N/A</v>
      </c>
      <c r="Q4571">
        <f>691.2</f>
        <v>691.2</v>
      </c>
      <c r="R4571">
        <f>1917.16</f>
        <v>1917.16</v>
      </c>
      <c r="S4571">
        <f>1892.96</f>
        <v>1892.96</v>
      </c>
      <c r="T4571" t="e">
        <f>NA()</f>
        <v>#N/A</v>
      </c>
      <c r="U4571">
        <f>18049.13</f>
        <v>18049.13</v>
      </c>
      <c r="V4571" t="e">
        <f>NA()</f>
        <v>#N/A</v>
      </c>
    </row>
    <row r="4572" spans="1:22" x14ac:dyDescent="0.2">
      <c r="A4572" s="1">
        <v>38707</v>
      </c>
      <c r="B4572">
        <f>3280.65</f>
        <v>3280.65</v>
      </c>
      <c r="C4572">
        <f>3851.96</f>
        <v>3851.96</v>
      </c>
      <c r="D4572">
        <f>3034.8</f>
        <v>3034.8</v>
      </c>
      <c r="E4572">
        <f>1101.273</f>
        <v>1101.2729999999999</v>
      </c>
      <c r="F4572">
        <f>1788.42</f>
        <v>1788.42</v>
      </c>
      <c r="G4572">
        <f>5395.456</f>
        <v>5395.4560000000001</v>
      </c>
      <c r="H4572">
        <f>1634.03</f>
        <v>1634.03</v>
      </c>
      <c r="I4572">
        <f>5328.513</f>
        <v>5328.5129999999999</v>
      </c>
      <c r="J4572">
        <f>1252.08</f>
        <v>1252.08</v>
      </c>
      <c r="K4572">
        <f>3948.59</f>
        <v>3948.59</v>
      </c>
      <c r="L4572">
        <f>918.28</f>
        <v>918.28</v>
      </c>
      <c r="M4572">
        <f>3721.67</f>
        <v>3721.67</v>
      </c>
      <c r="N4572">
        <f>145.083</f>
        <v>145.083</v>
      </c>
      <c r="O4572">
        <f>1576.96</f>
        <v>1576.96</v>
      </c>
      <c r="P4572" t="e">
        <f>NA()</f>
        <v>#N/A</v>
      </c>
      <c r="Q4572">
        <f>689.4</f>
        <v>689.4</v>
      </c>
      <c r="R4572">
        <f>1908.65</f>
        <v>1908.65</v>
      </c>
      <c r="S4572">
        <f>1891.22</f>
        <v>1891.22</v>
      </c>
      <c r="T4572" t="e">
        <f>NA()</f>
        <v>#N/A</v>
      </c>
      <c r="U4572">
        <f>17898.18</f>
        <v>17898.18</v>
      </c>
      <c r="V4572" t="e">
        <f>NA()</f>
        <v>#N/A</v>
      </c>
    </row>
    <row r="4573" spans="1:22" x14ac:dyDescent="0.2">
      <c r="A4573" s="1">
        <v>38706</v>
      </c>
      <c r="B4573">
        <f>3266.16</f>
        <v>3266.16</v>
      </c>
      <c r="C4573">
        <f>3827.56</f>
        <v>3827.56</v>
      </c>
      <c r="D4573">
        <f>3013.11</f>
        <v>3013.11</v>
      </c>
      <c r="E4573">
        <f>1092.158</f>
        <v>1092.1579999999999</v>
      </c>
      <c r="F4573">
        <f>1794.08</f>
        <v>1794.08</v>
      </c>
      <c r="G4573">
        <f>5418.997</f>
        <v>5418.9970000000003</v>
      </c>
      <c r="H4573">
        <f>1624.08</f>
        <v>1624.08</v>
      </c>
      <c r="I4573">
        <f>5325.23</f>
        <v>5325.23</v>
      </c>
      <c r="J4573">
        <f>1250.76</f>
        <v>1250.76</v>
      </c>
      <c r="K4573">
        <f>3938.74</f>
        <v>3938.74</v>
      </c>
      <c r="L4573">
        <f>917.7</f>
        <v>917.7</v>
      </c>
      <c r="M4573">
        <f>3712.78</f>
        <v>3712.78</v>
      </c>
      <c r="N4573">
        <f>144.624</f>
        <v>144.624</v>
      </c>
      <c r="O4573">
        <f>1568.67</f>
        <v>1568.67</v>
      </c>
      <c r="P4573" t="e">
        <f>NA()</f>
        <v>#N/A</v>
      </c>
      <c r="Q4573">
        <f>685.72</f>
        <v>685.72</v>
      </c>
      <c r="R4573">
        <f>1903.81</f>
        <v>1903.81</v>
      </c>
      <c r="S4573">
        <f>1865.35</f>
        <v>1865.35</v>
      </c>
      <c r="T4573" t="e">
        <f>NA()</f>
        <v>#N/A</v>
      </c>
      <c r="U4573">
        <f>17761.64</f>
        <v>17761.64</v>
      </c>
      <c r="V4573" t="e">
        <f>NA()</f>
        <v>#N/A</v>
      </c>
    </row>
    <row r="4574" spans="1:22" x14ac:dyDescent="0.2">
      <c r="A4574" s="1">
        <v>38705</v>
      </c>
      <c r="B4574">
        <f>3258.17</f>
        <v>3258.17</v>
      </c>
      <c r="C4574">
        <f>3822.1</f>
        <v>3822.1</v>
      </c>
      <c r="D4574">
        <f>3008.68</f>
        <v>3008.68</v>
      </c>
      <c r="E4574">
        <f>1092.817</f>
        <v>1092.817</v>
      </c>
      <c r="F4574">
        <f>1789.25</f>
        <v>1789.25</v>
      </c>
      <c r="G4574">
        <f>5420.36</f>
        <v>5420.36</v>
      </c>
      <c r="H4574">
        <f>1614.29</f>
        <v>1614.29</v>
      </c>
      <c r="I4574">
        <f>5369.083</f>
        <v>5369.0829999999996</v>
      </c>
      <c r="J4574">
        <f>1253.52</f>
        <v>1253.52</v>
      </c>
      <c r="K4574">
        <f>3938.57</f>
        <v>3938.57</v>
      </c>
      <c r="L4574">
        <f>920.53</f>
        <v>920.53</v>
      </c>
      <c r="M4574">
        <f>3716.78</f>
        <v>3716.78</v>
      </c>
      <c r="N4574">
        <f>143.141</f>
        <v>143.14099999999999</v>
      </c>
      <c r="O4574">
        <f>1562.92</f>
        <v>1562.92</v>
      </c>
      <c r="P4574" t="e">
        <f>NA()</f>
        <v>#N/A</v>
      </c>
      <c r="Q4574">
        <f>686.82</f>
        <v>686.82</v>
      </c>
      <c r="R4574">
        <f>1904.21</f>
        <v>1904.21</v>
      </c>
      <c r="S4574">
        <f>1836.74</f>
        <v>1836.74</v>
      </c>
      <c r="T4574" t="e">
        <f>NA()</f>
        <v>#N/A</v>
      </c>
      <c r="U4574">
        <f>17869.85</f>
        <v>17869.849999999999</v>
      </c>
      <c r="V4574" t="e">
        <f>NA()</f>
        <v>#N/A</v>
      </c>
    </row>
    <row r="4575" spans="1:22" x14ac:dyDescent="0.2">
      <c r="A4575" s="1">
        <v>38702</v>
      </c>
      <c r="B4575">
        <f>3261.39</f>
        <v>3261.39</v>
      </c>
      <c r="C4575">
        <f>3798.68</f>
        <v>3798.68</v>
      </c>
      <c r="D4575">
        <f>3004.25</f>
        <v>3004.25</v>
      </c>
      <c r="E4575">
        <f>1086.065</f>
        <v>1086.0650000000001</v>
      </c>
      <c r="F4575">
        <f>1798.18</f>
        <v>1798.18</v>
      </c>
      <c r="G4575">
        <f>5442.335</f>
        <v>5442.335</v>
      </c>
      <c r="H4575">
        <f>1609.36</f>
        <v>1609.36</v>
      </c>
      <c r="I4575">
        <f>5374.705</f>
        <v>5374.7049999999999</v>
      </c>
      <c r="J4575">
        <f>1253.26</f>
        <v>1253.26</v>
      </c>
      <c r="K4575">
        <f>3964.03</f>
        <v>3964.03</v>
      </c>
      <c r="L4575">
        <f>922.64</f>
        <v>922.64</v>
      </c>
      <c r="M4575">
        <f>3729.33</f>
        <v>3729.33</v>
      </c>
      <c r="N4575">
        <f>142.592</f>
        <v>142.59200000000001</v>
      </c>
      <c r="O4575">
        <f>1563.83</f>
        <v>1563.83</v>
      </c>
      <c r="P4575" t="e">
        <f>NA()</f>
        <v>#N/A</v>
      </c>
      <c r="Q4575">
        <f>688.63</f>
        <v>688.63</v>
      </c>
      <c r="R4575">
        <f>1915.4</f>
        <v>1915.4</v>
      </c>
      <c r="S4575">
        <f>1826.97</f>
        <v>1826.97</v>
      </c>
      <c r="T4575" t="e">
        <f>NA()</f>
        <v>#N/A</v>
      </c>
      <c r="U4575" t="e">
        <f>NA()</f>
        <v>#N/A</v>
      </c>
      <c r="V4575" t="e">
        <f>NA()</f>
        <v>#N/A</v>
      </c>
    </row>
    <row r="4576" spans="1:22" x14ac:dyDescent="0.2">
      <c r="A4576" s="1">
        <v>38701</v>
      </c>
      <c r="B4576">
        <f>3244.55</f>
        <v>3244.55</v>
      </c>
      <c r="C4576">
        <f>3793.72</f>
        <v>3793.72</v>
      </c>
      <c r="D4576">
        <f>2984.54</f>
        <v>2984.54</v>
      </c>
      <c r="E4576">
        <f>1086.836</f>
        <v>1086.836</v>
      </c>
      <c r="F4576">
        <f>1774.68</f>
        <v>1774.68</v>
      </c>
      <c r="G4576">
        <f>5380.934</f>
        <v>5380.9340000000002</v>
      </c>
      <c r="H4576">
        <f>1603.96</f>
        <v>1603.96</v>
      </c>
      <c r="I4576">
        <f>5313.169</f>
        <v>5313.1689999999999</v>
      </c>
      <c r="J4576">
        <f>1255.86</f>
        <v>1255.8599999999999</v>
      </c>
      <c r="K4576">
        <f>3975.3</f>
        <v>3975.3</v>
      </c>
      <c r="L4576">
        <f>916.85</f>
        <v>916.85</v>
      </c>
      <c r="M4576">
        <f>3719.94</f>
        <v>3719.94</v>
      </c>
      <c r="N4576">
        <f>141.207</f>
        <v>141.20699999999999</v>
      </c>
      <c r="O4576">
        <f>1553.17</f>
        <v>1553.17</v>
      </c>
      <c r="P4576" t="e">
        <f>NA()</f>
        <v>#N/A</v>
      </c>
      <c r="Q4576">
        <f>687.71</f>
        <v>687.71</v>
      </c>
      <c r="R4576">
        <f>1920.85</f>
        <v>1920.85</v>
      </c>
      <c r="S4576">
        <f>1830.3</f>
        <v>1830.3</v>
      </c>
      <c r="T4576" t="e">
        <f>NA()</f>
        <v>#N/A</v>
      </c>
      <c r="U4576">
        <f>17658.29</f>
        <v>17658.29</v>
      </c>
      <c r="V4576" t="e">
        <f>NA()</f>
        <v>#N/A</v>
      </c>
    </row>
    <row r="4577" spans="1:22" x14ac:dyDescent="0.2">
      <c r="A4577" s="1">
        <v>38700</v>
      </c>
      <c r="B4577">
        <f>3246.68</f>
        <v>3246.68</v>
      </c>
      <c r="C4577">
        <f>3806.92</f>
        <v>3806.92</v>
      </c>
      <c r="D4577">
        <f>2998.55</f>
        <v>2998.55</v>
      </c>
      <c r="E4577">
        <f>1089.894</f>
        <v>1089.894</v>
      </c>
      <c r="F4577">
        <f>1783.59</f>
        <v>1783.59</v>
      </c>
      <c r="G4577">
        <f>5436.856</f>
        <v>5436.8559999999998</v>
      </c>
      <c r="H4577">
        <f>1619.18</f>
        <v>1619.18</v>
      </c>
      <c r="I4577">
        <f>5357.573</f>
        <v>5357.5730000000003</v>
      </c>
      <c r="J4577">
        <f>1257.11</f>
        <v>1257.1099999999999</v>
      </c>
      <c r="K4577">
        <f>3980.98</f>
        <v>3980.98</v>
      </c>
      <c r="L4577">
        <f>921.1</f>
        <v>921.1</v>
      </c>
      <c r="M4577">
        <f>3738.31</f>
        <v>3738.31</v>
      </c>
      <c r="N4577">
        <f>141.685</f>
        <v>141.685</v>
      </c>
      <c r="O4577">
        <f>1556.78</f>
        <v>1556.78</v>
      </c>
      <c r="P4577" t="e">
        <f>NA()</f>
        <v>#N/A</v>
      </c>
      <c r="Q4577">
        <f>689.24</f>
        <v>689.24</v>
      </c>
      <c r="R4577">
        <f>1923.44</f>
        <v>1923.44</v>
      </c>
      <c r="S4577">
        <f>1851.73</f>
        <v>1851.73</v>
      </c>
      <c r="T4577" t="e">
        <f>NA()</f>
        <v>#N/A</v>
      </c>
      <c r="U4577">
        <f>17458.77</f>
        <v>17458.77</v>
      </c>
      <c r="V4577" t="e">
        <f>NA()</f>
        <v>#N/A</v>
      </c>
    </row>
    <row r="4578" spans="1:22" x14ac:dyDescent="0.2">
      <c r="A4578" s="1">
        <v>38699</v>
      </c>
      <c r="B4578">
        <f>3261.18</f>
        <v>3261.18</v>
      </c>
      <c r="C4578">
        <f>3803.31</f>
        <v>3803.31</v>
      </c>
      <c r="D4578">
        <f>2990.86</f>
        <v>2990.86</v>
      </c>
      <c r="E4578">
        <f>1088.698</f>
        <v>1088.6980000000001</v>
      </c>
      <c r="F4578">
        <f>1772.71</f>
        <v>1772.71</v>
      </c>
      <c r="G4578">
        <f>5412.126</f>
        <v>5412.1260000000002</v>
      </c>
      <c r="H4578">
        <f>1604.83</f>
        <v>1604.83</v>
      </c>
      <c r="I4578">
        <f>5327.907</f>
        <v>5327.9070000000002</v>
      </c>
      <c r="J4578">
        <f>1247.19</f>
        <v>1247.19</v>
      </c>
      <c r="K4578">
        <f>3964.61</f>
        <v>3964.61</v>
      </c>
      <c r="L4578">
        <f>915.42</f>
        <v>915.42</v>
      </c>
      <c r="M4578">
        <f>3720.28</f>
        <v>3720.28</v>
      </c>
      <c r="N4578">
        <f>142.374</f>
        <v>142.374</v>
      </c>
      <c r="O4578">
        <f>1561.76</f>
        <v>1561.76</v>
      </c>
      <c r="P4578" t="e">
        <f>NA()</f>
        <v>#N/A</v>
      </c>
      <c r="Q4578">
        <f>686.84</f>
        <v>686.84</v>
      </c>
      <c r="R4578">
        <f>1915.3</f>
        <v>1915.3</v>
      </c>
      <c r="S4578">
        <f>1879.4</f>
        <v>1879.4</v>
      </c>
      <c r="T4578" t="e">
        <f>NA()</f>
        <v>#N/A</v>
      </c>
      <c r="U4578">
        <f>17426.37</f>
        <v>17426.37</v>
      </c>
      <c r="V4578" t="e">
        <f>NA()</f>
        <v>#N/A</v>
      </c>
    </row>
    <row r="4579" spans="1:22" x14ac:dyDescent="0.2">
      <c r="A4579" s="1">
        <v>38698</v>
      </c>
      <c r="B4579">
        <f>3245.09</f>
        <v>3245.09</v>
      </c>
      <c r="C4579">
        <f>3787.93</f>
        <v>3787.93</v>
      </c>
      <c r="D4579">
        <f>2987.74</f>
        <v>2987.74</v>
      </c>
      <c r="E4579">
        <f>1084.153</f>
        <v>1084.153</v>
      </c>
      <c r="F4579">
        <f>1771.51</f>
        <v>1771.51</v>
      </c>
      <c r="G4579">
        <f>5414.367</f>
        <v>5414.3670000000002</v>
      </c>
      <c r="H4579">
        <f>1593.16</f>
        <v>1593.16</v>
      </c>
      <c r="I4579">
        <f>5329.647</f>
        <v>5329.6469999999999</v>
      </c>
      <c r="J4579">
        <f>1233.68</f>
        <v>1233.68</v>
      </c>
      <c r="K4579">
        <f>3942.09</f>
        <v>3942.09</v>
      </c>
      <c r="L4579">
        <f>911.46</f>
        <v>911.46</v>
      </c>
      <c r="M4579">
        <f>3707.33</f>
        <v>3707.33</v>
      </c>
      <c r="N4579">
        <f>142.437</f>
        <v>142.43700000000001</v>
      </c>
      <c r="O4579">
        <f>1559.75</f>
        <v>1559.75</v>
      </c>
      <c r="P4579" t="e">
        <f>NA()</f>
        <v>#N/A</v>
      </c>
      <c r="Q4579">
        <f>680.28</f>
        <v>680.28</v>
      </c>
      <c r="R4579">
        <f>1904.59</f>
        <v>1904.59</v>
      </c>
      <c r="S4579">
        <f>1869.42</f>
        <v>1869.42</v>
      </c>
      <c r="T4579" t="e">
        <f>NA()</f>
        <v>#N/A</v>
      </c>
      <c r="U4579">
        <f>17587.36</f>
        <v>17587.36</v>
      </c>
      <c r="V4579" t="e">
        <f>NA()</f>
        <v>#N/A</v>
      </c>
    </row>
    <row r="4580" spans="1:22" x14ac:dyDescent="0.2">
      <c r="A4580" s="1">
        <v>38695</v>
      </c>
      <c r="B4580">
        <f>3243.4</f>
        <v>3243.4</v>
      </c>
      <c r="C4580">
        <f>3765.86</f>
        <v>3765.86</v>
      </c>
      <c r="D4580">
        <f>2996.39</f>
        <v>2996.39</v>
      </c>
      <c r="E4580">
        <f>1076.482</f>
        <v>1076.482</v>
      </c>
      <c r="F4580">
        <f>1756.13</f>
        <v>1756.13</v>
      </c>
      <c r="G4580">
        <f>5377.444</f>
        <v>5377.4440000000004</v>
      </c>
      <c r="H4580">
        <f>1564.65</f>
        <v>1564.65</v>
      </c>
      <c r="I4580">
        <f>5268.667</f>
        <v>5268.6670000000004</v>
      </c>
      <c r="J4580">
        <f>1234.11</f>
        <v>1234.1099999999999</v>
      </c>
      <c r="K4580">
        <f>3936.68</f>
        <v>3936.68</v>
      </c>
      <c r="L4580">
        <f>906.89</f>
        <v>906.89</v>
      </c>
      <c r="M4580">
        <f>3683.85</f>
        <v>3683.85</v>
      </c>
      <c r="N4580">
        <f>142.652</f>
        <v>142.65199999999999</v>
      </c>
      <c r="O4580">
        <f>1560.57</f>
        <v>1560.57</v>
      </c>
      <c r="P4580" t="e">
        <f>NA()</f>
        <v>#N/A</v>
      </c>
      <c r="Q4580">
        <f>680.52</f>
        <v>680.52</v>
      </c>
      <c r="R4580">
        <f>1902.92</f>
        <v>1902.92</v>
      </c>
      <c r="S4580">
        <f>1839.04</f>
        <v>1839.04</v>
      </c>
      <c r="T4580" t="e">
        <f>NA()</f>
        <v>#N/A</v>
      </c>
      <c r="U4580">
        <f>17393.99</f>
        <v>17393.990000000002</v>
      </c>
      <c r="V4580" t="e">
        <f>NA()</f>
        <v>#N/A</v>
      </c>
    </row>
    <row r="4581" spans="1:22" x14ac:dyDescent="0.2">
      <c r="A4581" s="1">
        <v>38694</v>
      </c>
      <c r="B4581">
        <f>3239.93</f>
        <v>3239.93</v>
      </c>
      <c r="C4581">
        <f>3769.65</f>
        <v>3769.65</v>
      </c>
      <c r="D4581">
        <f>3003.83</f>
        <v>3003.83</v>
      </c>
      <c r="E4581">
        <f>1078.06</f>
        <v>1078.06</v>
      </c>
      <c r="F4581">
        <f>1755.13</f>
        <v>1755.13</v>
      </c>
      <c r="G4581">
        <f>5371.985</f>
        <v>5371.9849999999997</v>
      </c>
      <c r="H4581">
        <f>1551.27</f>
        <v>1551.27</v>
      </c>
      <c r="I4581">
        <f>5270.411</f>
        <v>5270.4110000000001</v>
      </c>
      <c r="J4581">
        <f>1231.98</f>
        <v>1231.98</v>
      </c>
      <c r="K4581">
        <f>3925.9</f>
        <v>3925.9</v>
      </c>
      <c r="L4581">
        <f>905.75</f>
        <v>905.75</v>
      </c>
      <c r="M4581">
        <f>3672.33</f>
        <v>3672.33</v>
      </c>
      <c r="N4581">
        <f>141.56</f>
        <v>141.56</v>
      </c>
      <c r="O4581">
        <f>1561.6</f>
        <v>1561.6</v>
      </c>
      <c r="P4581" t="e">
        <f>NA()</f>
        <v>#N/A</v>
      </c>
      <c r="Q4581">
        <f>678.1</f>
        <v>678.1</v>
      </c>
      <c r="R4581">
        <f>1897.57</f>
        <v>1897.57</v>
      </c>
      <c r="S4581">
        <f>1813.04</f>
        <v>1813.04</v>
      </c>
      <c r="T4581" t="e">
        <f>NA()</f>
        <v>#N/A</v>
      </c>
      <c r="U4581">
        <f>17251.82</f>
        <v>17251.82</v>
      </c>
      <c r="V4581" t="e">
        <f>NA()</f>
        <v>#N/A</v>
      </c>
    </row>
    <row r="4582" spans="1:22" x14ac:dyDescent="0.2">
      <c r="A4582" s="1">
        <v>38693</v>
      </c>
      <c r="B4582">
        <f>3241.15</f>
        <v>3241.15</v>
      </c>
      <c r="C4582">
        <f>3800.05</f>
        <v>3800.05</v>
      </c>
      <c r="D4582">
        <f>3002.59</f>
        <v>3002.59</v>
      </c>
      <c r="E4582">
        <f>1084.79</f>
        <v>1084.79</v>
      </c>
      <c r="F4582">
        <f>1745.23</f>
        <v>1745.23</v>
      </c>
      <c r="G4582">
        <f>5321.557</f>
        <v>5321.5569999999998</v>
      </c>
      <c r="H4582">
        <f>1572.1</f>
        <v>1572.1</v>
      </c>
      <c r="I4582">
        <f>5221.289</f>
        <v>5221.2889999999998</v>
      </c>
      <c r="J4582">
        <f>1233.07</f>
        <v>1233.07</v>
      </c>
      <c r="K4582">
        <f>3928.79</f>
        <v>3928.79</v>
      </c>
      <c r="L4582">
        <f>902.93</f>
        <v>902.93</v>
      </c>
      <c r="M4582">
        <f>3670.72</f>
        <v>3670.72</v>
      </c>
      <c r="N4582">
        <f>142.438</f>
        <v>142.43799999999999</v>
      </c>
      <c r="O4582">
        <f>1560.56</f>
        <v>1560.56</v>
      </c>
      <c r="P4582" t="e">
        <f>NA()</f>
        <v>#N/A</v>
      </c>
      <c r="Q4582">
        <f>680.04</f>
        <v>680.04</v>
      </c>
      <c r="R4582">
        <f>1899.69</f>
        <v>1899.69</v>
      </c>
      <c r="S4582">
        <f>1847.54</f>
        <v>1847.54</v>
      </c>
      <c r="T4582" t="e">
        <f>NA()</f>
        <v>#N/A</v>
      </c>
      <c r="U4582">
        <f>17292.38</f>
        <v>17292.38</v>
      </c>
      <c r="V4582" t="e">
        <f>NA()</f>
        <v>#N/A</v>
      </c>
    </row>
    <row r="4583" spans="1:22" x14ac:dyDescent="0.2">
      <c r="A4583" s="1">
        <v>38692</v>
      </c>
      <c r="B4583">
        <f>3230.11</f>
        <v>3230.11</v>
      </c>
      <c r="C4583">
        <f>3785.99</f>
        <v>3785.99</v>
      </c>
      <c r="D4583">
        <f>3007.62</f>
        <v>3007.62</v>
      </c>
      <c r="E4583">
        <f>1082.32</f>
        <v>1082.32</v>
      </c>
      <c r="F4583">
        <f>1745.25</f>
        <v>1745.25</v>
      </c>
      <c r="G4583">
        <f>5345.063</f>
        <v>5345.0630000000001</v>
      </c>
      <c r="H4583">
        <f>1560.67</f>
        <v>1560.67</v>
      </c>
      <c r="I4583">
        <f>5252.043</f>
        <v>5252.0429999999997</v>
      </c>
      <c r="J4583">
        <f>1241.33</f>
        <v>1241.33</v>
      </c>
      <c r="K4583">
        <f>3947.91</f>
        <v>3947.91</v>
      </c>
      <c r="L4583">
        <f>907.58</f>
        <v>907.58</v>
      </c>
      <c r="M4583">
        <f>3683.34</f>
        <v>3683.34</v>
      </c>
      <c r="N4583">
        <f>142.041</f>
        <v>142.041</v>
      </c>
      <c r="O4583">
        <f>1562.32</f>
        <v>1562.32</v>
      </c>
      <c r="P4583" t="e">
        <f>NA()</f>
        <v>#N/A</v>
      </c>
      <c r="Q4583">
        <f>682.97</f>
        <v>682.97</v>
      </c>
      <c r="R4583">
        <f>1908.89</f>
        <v>1908.89</v>
      </c>
      <c r="S4583">
        <f>1839.17</f>
        <v>1839.17</v>
      </c>
      <c r="T4583" t="e">
        <f>NA()</f>
        <v>#N/A</v>
      </c>
      <c r="U4583">
        <f>17016.47</f>
        <v>17016.47</v>
      </c>
      <c r="V4583" t="e">
        <f>NA()</f>
        <v>#N/A</v>
      </c>
    </row>
    <row r="4584" spans="1:22" x14ac:dyDescent="0.2">
      <c r="A4584" s="1">
        <v>38691</v>
      </c>
      <c r="B4584">
        <f>3214.8</f>
        <v>3214.8</v>
      </c>
      <c r="C4584">
        <f>3755.56</f>
        <v>3755.56</v>
      </c>
      <c r="D4584">
        <f>2992.21</f>
        <v>2992.21</v>
      </c>
      <c r="E4584">
        <f>1074.588</f>
        <v>1074.588</v>
      </c>
      <c r="F4584">
        <f>1728.86</f>
        <v>1728.86</v>
      </c>
      <c r="G4584">
        <f>5313.614</f>
        <v>5313.6139999999996</v>
      </c>
      <c r="H4584">
        <f>1563.82</f>
        <v>1563.82</v>
      </c>
      <c r="I4584">
        <f>5213.989</f>
        <v>5213.9889999999996</v>
      </c>
      <c r="J4584">
        <f>1241.58</f>
        <v>1241.58</v>
      </c>
      <c r="K4584">
        <f>3943.81</f>
        <v>3943.81</v>
      </c>
      <c r="L4584">
        <f>904.71</f>
        <v>904.71</v>
      </c>
      <c r="M4584">
        <f>3674.62</f>
        <v>3674.62</v>
      </c>
      <c r="N4584">
        <f>141.18</f>
        <v>141.18</v>
      </c>
      <c r="O4584">
        <f>1553.19</f>
        <v>1553.19</v>
      </c>
      <c r="P4584" t="e">
        <f>NA()</f>
        <v>#N/A</v>
      </c>
      <c r="Q4584">
        <f>683.57</f>
        <v>683.57</v>
      </c>
      <c r="R4584">
        <f>1906.42</f>
        <v>1906.42</v>
      </c>
      <c r="S4584">
        <f>1846.37</f>
        <v>1846.37</v>
      </c>
      <c r="T4584" t="e">
        <f>NA()</f>
        <v>#N/A</v>
      </c>
      <c r="U4584">
        <f>16858.73</f>
        <v>16858.73</v>
      </c>
      <c r="V4584" t="e">
        <f>NA()</f>
        <v>#N/A</v>
      </c>
    </row>
    <row r="4585" spans="1:22" x14ac:dyDescent="0.2">
      <c r="A4585" s="1">
        <v>38688</v>
      </c>
      <c r="B4585">
        <f>3228.29</f>
        <v>3228.29</v>
      </c>
      <c r="C4585">
        <f>3730.13</f>
        <v>3730.13</v>
      </c>
      <c r="D4585">
        <f>3001.82</f>
        <v>3001.82</v>
      </c>
      <c r="E4585">
        <f>1068.961</f>
        <v>1068.961</v>
      </c>
      <c r="F4585">
        <f>1732.15</f>
        <v>1732.15</v>
      </c>
      <c r="G4585">
        <f>5309.089</f>
        <v>5309.0889999999999</v>
      </c>
      <c r="H4585">
        <f>1563.07</f>
        <v>1563.07</v>
      </c>
      <c r="I4585">
        <f>5201.134</f>
        <v>5201.134</v>
      </c>
      <c r="J4585">
        <f>1240.86</f>
        <v>1240.8599999999999</v>
      </c>
      <c r="K4585">
        <f>3954.27</f>
        <v>3954.27</v>
      </c>
      <c r="L4585">
        <f>903.43</f>
        <v>903.43</v>
      </c>
      <c r="M4585">
        <f>3674.48</f>
        <v>3674.48</v>
      </c>
      <c r="N4585">
        <f>141.881</f>
        <v>141.881</v>
      </c>
      <c r="O4585">
        <f>1559.92</f>
        <v>1559.92</v>
      </c>
      <c r="P4585" t="e">
        <f>NA()</f>
        <v>#N/A</v>
      </c>
      <c r="Q4585">
        <f>686.78</f>
        <v>686.78</v>
      </c>
      <c r="R4585">
        <f>1910.86</f>
        <v>1910.86</v>
      </c>
      <c r="S4585">
        <f>1830.36</f>
        <v>1830.36</v>
      </c>
      <c r="T4585" t="e">
        <f>NA()</f>
        <v>#N/A</v>
      </c>
      <c r="U4585">
        <f>16940.83</f>
        <v>16940.830000000002</v>
      </c>
      <c r="V4585" t="e">
        <f>NA()</f>
        <v>#N/A</v>
      </c>
    </row>
    <row r="4586" spans="1:22" x14ac:dyDescent="0.2">
      <c r="A4586" s="1">
        <v>38687</v>
      </c>
      <c r="B4586">
        <f>3205.37</f>
        <v>3205.37</v>
      </c>
      <c r="C4586">
        <f>3689.23</f>
        <v>3689.23</v>
      </c>
      <c r="D4586">
        <f>2979.03</f>
        <v>2979.03</v>
      </c>
      <c r="E4586">
        <f>1058.348</f>
        <v>1058.348</v>
      </c>
      <c r="F4586">
        <f>1727.34</f>
        <v>1727.34</v>
      </c>
      <c r="G4586">
        <f>5268.338</f>
        <v>5268.3379999999997</v>
      </c>
      <c r="H4586">
        <f>1541.29</f>
        <v>1541.29</v>
      </c>
      <c r="I4586">
        <f>5176.357</f>
        <v>5176.357</v>
      </c>
      <c r="J4586">
        <f>1240.76</f>
        <v>1240.76</v>
      </c>
      <c r="K4586">
        <f>3952.48</f>
        <v>3952.48</v>
      </c>
      <c r="L4586">
        <f>900.98</f>
        <v>900.98</v>
      </c>
      <c r="M4586">
        <f>3659.05</f>
        <v>3659.05</v>
      </c>
      <c r="N4586">
        <f>140.012</f>
        <v>140.012</v>
      </c>
      <c r="O4586">
        <f>1548.61</f>
        <v>1548.61</v>
      </c>
      <c r="P4586" t="e">
        <f>NA()</f>
        <v>#N/A</v>
      </c>
      <c r="Q4586">
        <f>686.76</f>
        <v>686.76</v>
      </c>
      <c r="R4586">
        <f>1910.23</f>
        <v>1910.23</v>
      </c>
      <c r="S4586">
        <f>1802.73</f>
        <v>1802.73</v>
      </c>
      <c r="T4586" t="e">
        <f>NA()</f>
        <v>#N/A</v>
      </c>
      <c r="U4586">
        <f>16800.93</f>
        <v>16800.93</v>
      </c>
      <c r="V4586" t="e">
        <f>NA()</f>
        <v>#N/A</v>
      </c>
    </row>
    <row r="4587" spans="1:22" x14ac:dyDescent="0.2">
      <c r="A4587" s="1">
        <v>38686</v>
      </c>
      <c r="B4587">
        <f>3175.84</f>
        <v>3175.84</v>
      </c>
      <c r="C4587">
        <f>3678.57</f>
        <v>3678.57</v>
      </c>
      <c r="D4587">
        <f>2944.85</f>
        <v>2944.85</v>
      </c>
      <c r="E4587">
        <f>1051.423</f>
        <v>1051.423</v>
      </c>
      <c r="F4587">
        <f>1712.26</f>
        <v>1712.26</v>
      </c>
      <c r="G4587">
        <f>5209.15</f>
        <v>5209.1499999999996</v>
      </c>
      <c r="H4587">
        <f>1532.95</f>
        <v>1532.95</v>
      </c>
      <c r="I4587">
        <f>5132.426</f>
        <v>5132.4260000000004</v>
      </c>
      <c r="J4587">
        <f>1229.87</f>
        <v>1229.8699999999999</v>
      </c>
      <c r="K4587">
        <f>3904.16</f>
        <v>3904.16</v>
      </c>
      <c r="L4587">
        <f>894.37</f>
        <v>894.37</v>
      </c>
      <c r="M4587">
        <f>3620.66</f>
        <v>3620.66</v>
      </c>
      <c r="N4587">
        <f>138.068</f>
        <v>138.06800000000001</v>
      </c>
      <c r="O4587">
        <f>1523.16</f>
        <v>1523.16</v>
      </c>
      <c r="P4587" t="e">
        <f>NA()</f>
        <v>#N/A</v>
      </c>
      <c r="Q4587">
        <f>679.51</f>
        <v>679.51</v>
      </c>
      <c r="R4587">
        <f>1887.28</f>
        <v>1887.28</v>
      </c>
      <c r="S4587">
        <f>1775.45</f>
        <v>1775.45</v>
      </c>
      <c r="T4587" t="e">
        <f>NA()</f>
        <v>#N/A</v>
      </c>
      <c r="U4587">
        <f>16774.54</f>
        <v>16774.54</v>
      </c>
      <c r="V4587" t="e">
        <f>NA()</f>
        <v>#N/A</v>
      </c>
    </row>
    <row r="4588" spans="1:22" x14ac:dyDescent="0.2">
      <c r="A4588" s="1">
        <v>38685</v>
      </c>
      <c r="B4588">
        <f>3183.22</f>
        <v>3183.22</v>
      </c>
      <c r="C4588">
        <f>3663.51</f>
        <v>3663.51</v>
      </c>
      <c r="D4588">
        <f>2980.69</f>
        <v>2980.69</v>
      </c>
      <c r="E4588">
        <f>1047.623</f>
        <v>1047.623</v>
      </c>
      <c r="F4588">
        <f>1715.41</f>
        <v>1715.41</v>
      </c>
      <c r="G4588">
        <f>5228.723</f>
        <v>5228.723</v>
      </c>
      <c r="H4588">
        <f>1539.55</f>
        <v>1539.55</v>
      </c>
      <c r="I4588">
        <f>5142.864</f>
        <v>5142.8639999999996</v>
      </c>
      <c r="J4588">
        <f>1241.28</f>
        <v>1241.28</v>
      </c>
      <c r="K4588">
        <f>3926.89</f>
        <v>3926.89</v>
      </c>
      <c r="L4588">
        <f>899.86</f>
        <v>899.86</v>
      </c>
      <c r="M4588">
        <f>3638.88</f>
        <v>3638.88</v>
      </c>
      <c r="N4588">
        <f>137.648</f>
        <v>137.648</v>
      </c>
      <c r="O4588">
        <f>1530.55</f>
        <v>1530.55</v>
      </c>
      <c r="P4588" t="e">
        <f>NA()</f>
        <v>#N/A</v>
      </c>
      <c r="Q4588">
        <f>684.45</f>
        <v>684.45</v>
      </c>
      <c r="R4588">
        <f>1898.74</f>
        <v>1898.74</v>
      </c>
      <c r="S4588">
        <f>1785.11</f>
        <v>1785.11</v>
      </c>
      <c r="T4588" t="e">
        <f>NA()</f>
        <v>#N/A</v>
      </c>
      <c r="U4588">
        <f>17030.53</f>
        <v>17030.53</v>
      </c>
      <c r="V4588" t="e">
        <f>NA()</f>
        <v>#N/A</v>
      </c>
    </row>
    <row r="4589" spans="1:22" x14ac:dyDescent="0.2">
      <c r="A4589" s="1">
        <v>38684</v>
      </c>
      <c r="B4589">
        <f>3158.48</f>
        <v>3158.48</v>
      </c>
      <c r="C4589">
        <f>3661.67</f>
        <v>3661.67</v>
      </c>
      <c r="D4589">
        <f>2973.29</f>
        <v>2973.29</v>
      </c>
      <c r="E4589">
        <f>1051.779</f>
        <v>1051.779</v>
      </c>
      <c r="F4589">
        <f>1721.14</f>
        <v>1721.14</v>
      </c>
      <c r="G4589">
        <f>5223.121</f>
        <v>5223.1210000000001</v>
      </c>
      <c r="H4589">
        <f>1541.87</f>
        <v>1541.87</v>
      </c>
      <c r="I4589">
        <f>5148.636</f>
        <v>5148.6360000000004</v>
      </c>
      <c r="J4589">
        <f>1240.74</f>
        <v>1240.74</v>
      </c>
      <c r="K4589">
        <f>3926.17</f>
        <v>3926.17</v>
      </c>
      <c r="L4589">
        <f>900.04</f>
        <v>900.04</v>
      </c>
      <c r="M4589">
        <f>3641.18</f>
        <v>3641.18</v>
      </c>
      <c r="N4589">
        <f>137.266</f>
        <v>137.26599999999999</v>
      </c>
      <c r="O4589">
        <f>1527.01</f>
        <v>1527.01</v>
      </c>
      <c r="P4589" t="e">
        <f>NA()</f>
        <v>#N/A</v>
      </c>
      <c r="Q4589">
        <f>681.85</f>
        <v>681.85</v>
      </c>
      <c r="R4589">
        <f>1898.37</f>
        <v>1898.37</v>
      </c>
      <c r="S4589">
        <f>1783.79</f>
        <v>1783.79</v>
      </c>
      <c r="T4589" t="e">
        <f>NA()</f>
        <v>#N/A</v>
      </c>
      <c r="U4589">
        <f>17196.69</f>
        <v>17196.689999999999</v>
      </c>
      <c r="V4589" t="e">
        <f>NA()</f>
        <v>#N/A</v>
      </c>
    </row>
    <row r="4590" spans="1:22" x14ac:dyDescent="0.2">
      <c r="A4590" s="1">
        <v>38681</v>
      </c>
      <c r="B4590">
        <f>3160.86</f>
        <v>3160.86</v>
      </c>
      <c r="C4590">
        <f>3667.53</f>
        <v>3667.53</v>
      </c>
      <c r="D4590">
        <f>2998.52</f>
        <v>2998.52</v>
      </c>
      <c r="E4590">
        <f>1050.077</f>
        <v>1050.077</v>
      </c>
      <c r="F4590">
        <f>1722.05</f>
        <v>1722.05</v>
      </c>
      <c r="G4590">
        <f>5254.324</f>
        <v>5254.3239999999996</v>
      </c>
      <c r="H4590">
        <f>1529.35</f>
        <v>1529.35</v>
      </c>
      <c r="I4590">
        <f>5144.905</f>
        <v>5144.9049999999997</v>
      </c>
      <c r="J4590">
        <f>1249.89</f>
        <v>1249.8900000000001</v>
      </c>
      <c r="K4590">
        <f>3960.85</f>
        <v>3960.85</v>
      </c>
      <c r="L4590">
        <f>902.68</f>
        <v>902.68</v>
      </c>
      <c r="M4590">
        <f>3654.41</f>
        <v>3654.41</v>
      </c>
      <c r="N4590">
        <f>138.275</f>
        <v>138.27500000000001</v>
      </c>
      <c r="O4590">
        <f>1537.68</f>
        <v>1537.68</v>
      </c>
      <c r="P4590" t="e">
        <f>NA()</f>
        <v>#N/A</v>
      </c>
      <c r="Q4590">
        <f>684.96</f>
        <v>684.96</v>
      </c>
      <c r="R4590">
        <f>1914.41</f>
        <v>1914.41</v>
      </c>
      <c r="S4590">
        <f>1767.9</f>
        <v>1767.9</v>
      </c>
      <c r="T4590" t="e">
        <f>NA()</f>
        <v>#N/A</v>
      </c>
      <c r="U4590">
        <f>17318.27</f>
        <v>17318.27</v>
      </c>
      <c r="V4590" t="e">
        <f>NA()</f>
        <v>#N/A</v>
      </c>
    </row>
    <row r="4591" spans="1:22" x14ac:dyDescent="0.2">
      <c r="A4591" s="1">
        <v>38680</v>
      </c>
      <c r="B4591">
        <f>3161.96</f>
        <v>3161.96</v>
      </c>
      <c r="C4591">
        <f>3668.66</f>
        <v>3668.66</v>
      </c>
      <c r="D4591">
        <f>2991.56</f>
        <v>2991.56</v>
      </c>
      <c r="E4591">
        <f>1049.156</f>
        <v>1049.1559999999999</v>
      </c>
      <c r="F4591">
        <f>1728.39</f>
        <v>1728.39</v>
      </c>
      <c r="G4591">
        <f>5266.479</f>
        <v>5266.4790000000003</v>
      </c>
      <c r="H4591">
        <f>1530.64</f>
        <v>1530.64</v>
      </c>
      <c r="I4591">
        <f>5152.29</f>
        <v>5152.29</v>
      </c>
      <c r="J4591">
        <f>1246.53</f>
        <v>1246.53</v>
      </c>
      <c r="K4591">
        <f>3952.2</f>
        <v>3952.2</v>
      </c>
      <c r="L4591">
        <f>903.91</f>
        <v>903.91</v>
      </c>
      <c r="M4591">
        <f>3653.19</f>
        <v>3653.19</v>
      </c>
      <c r="N4591">
        <f>137.596</f>
        <v>137.596</v>
      </c>
      <c r="O4591">
        <f>1532.98</f>
        <v>1532.98</v>
      </c>
      <c r="P4591" t="e">
        <f>NA()</f>
        <v>#N/A</v>
      </c>
      <c r="Q4591" t="e">
        <f>NA()</f>
        <v>#N/A</v>
      </c>
      <c r="R4591" t="e">
        <f>NA()</f>
        <v>#N/A</v>
      </c>
      <c r="S4591">
        <f>1753.93</f>
        <v>1753.93</v>
      </c>
      <c r="T4591" t="e">
        <f>NA()</f>
        <v>#N/A</v>
      </c>
      <c r="U4591">
        <f>17450.66</f>
        <v>17450.66</v>
      </c>
      <c r="V4591" t="e">
        <f>NA()</f>
        <v>#N/A</v>
      </c>
    </row>
    <row r="4592" spans="1:22" x14ac:dyDescent="0.2">
      <c r="A4592" s="1">
        <v>38679</v>
      </c>
      <c r="B4592">
        <f>3185.03</f>
        <v>3185.03</v>
      </c>
      <c r="C4592">
        <f>3652.84</f>
        <v>3652.84</v>
      </c>
      <c r="D4592">
        <f>3002.79</f>
        <v>3002.79</v>
      </c>
      <c r="E4592">
        <f>1045.047</f>
        <v>1045.047</v>
      </c>
      <c r="F4592">
        <f>1737.26</f>
        <v>1737.26</v>
      </c>
      <c r="G4592">
        <f>5276.748</f>
        <v>5276.7479999999996</v>
      </c>
      <c r="H4592">
        <f>1543.34</f>
        <v>1543.34</v>
      </c>
      <c r="I4592">
        <f>5166.971</f>
        <v>5166.9709999999995</v>
      </c>
      <c r="J4592">
        <f>1246.53</f>
        <v>1246.53</v>
      </c>
      <c r="K4592">
        <f>3952.2</f>
        <v>3952.2</v>
      </c>
      <c r="L4592">
        <f>903.64</f>
        <v>903.64</v>
      </c>
      <c r="M4592">
        <f>3655.21</f>
        <v>3655.21</v>
      </c>
      <c r="N4592">
        <f>137.679</f>
        <v>137.679</v>
      </c>
      <c r="O4592">
        <f>1536.15</f>
        <v>1536.15</v>
      </c>
      <c r="P4592" t="e">
        <f>NA()</f>
        <v>#N/A</v>
      </c>
      <c r="Q4592">
        <f>684.16</f>
        <v>684.16</v>
      </c>
      <c r="R4592">
        <f>1910.39</f>
        <v>1910.39</v>
      </c>
      <c r="S4592" t="e">
        <f>NA()</f>
        <v>#N/A</v>
      </c>
      <c r="T4592" t="e">
        <f>NA()</f>
        <v>#N/A</v>
      </c>
      <c r="U4592">
        <f>17236.04</f>
        <v>17236.04</v>
      </c>
      <c r="V4592" t="e">
        <f>NA()</f>
        <v>#N/A</v>
      </c>
    </row>
    <row r="4593" spans="1:22" x14ac:dyDescent="0.2">
      <c r="A4593" s="1">
        <v>38678</v>
      </c>
      <c r="B4593">
        <f>3158.75</f>
        <v>3158.75</v>
      </c>
      <c r="C4593">
        <f>3593.61</f>
        <v>3593.61</v>
      </c>
      <c r="D4593">
        <f>2989.71</f>
        <v>2989.71</v>
      </c>
      <c r="E4593">
        <f>1027.925</f>
        <v>1027.925</v>
      </c>
      <c r="F4593">
        <f>1717.63</f>
        <v>1717.63</v>
      </c>
      <c r="G4593">
        <f>5222.146</f>
        <v>5222.1459999999997</v>
      </c>
      <c r="H4593">
        <f>1536.47</f>
        <v>1536.47</v>
      </c>
      <c r="I4593">
        <f>5110.04</f>
        <v>5110.04</v>
      </c>
      <c r="J4593">
        <f>1241.47</f>
        <v>1241.47</v>
      </c>
      <c r="K4593">
        <f>3937.74</f>
        <v>3937.74</v>
      </c>
      <c r="L4593">
        <f>896.15</f>
        <v>896.15</v>
      </c>
      <c r="M4593">
        <f>3632.8</f>
        <v>3632.8</v>
      </c>
      <c r="N4593">
        <f>137.124</f>
        <v>137.124</v>
      </c>
      <c r="O4593">
        <f>1529.38</f>
        <v>1529.38</v>
      </c>
      <c r="P4593" t="e">
        <f>NA()</f>
        <v>#N/A</v>
      </c>
      <c r="Q4593">
        <f>682.69</f>
        <v>682.69</v>
      </c>
      <c r="R4593">
        <f>1903.66</f>
        <v>1903.66</v>
      </c>
      <c r="S4593">
        <f>1764.22</f>
        <v>1764.22</v>
      </c>
      <c r="T4593" t="e">
        <f>NA()</f>
        <v>#N/A</v>
      </c>
      <c r="U4593">
        <f>17287.53</f>
        <v>17287.53</v>
      </c>
      <c r="V4593" t="e">
        <f>NA()</f>
        <v>#N/A</v>
      </c>
    </row>
    <row r="4594" spans="1:22" x14ac:dyDescent="0.2">
      <c r="A4594" s="1">
        <v>38677</v>
      </c>
      <c r="B4594">
        <f>3151.38</f>
        <v>3151.38</v>
      </c>
      <c r="C4594">
        <f>3611.53</f>
        <v>3611.53</v>
      </c>
      <c r="D4594">
        <f>2979.27</f>
        <v>2979.27</v>
      </c>
      <c r="E4594">
        <f>1036.876</f>
        <v>1036.876</v>
      </c>
      <c r="F4594">
        <f>1725.09</f>
        <v>1725.09</v>
      </c>
      <c r="G4594">
        <f>5227.171</f>
        <v>5227.1710000000003</v>
      </c>
      <c r="H4594">
        <f>1542.93</f>
        <v>1542.93</v>
      </c>
      <c r="I4594">
        <f>5115.035</f>
        <v>5115.0349999999999</v>
      </c>
      <c r="J4594">
        <f>1238.17</f>
        <v>1238.17</v>
      </c>
      <c r="K4594">
        <f>3917.04</f>
        <v>3917.04</v>
      </c>
      <c r="L4594">
        <f>894.08</f>
        <v>894.08</v>
      </c>
      <c r="M4594">
        <f>3625.7</f>
        <v>3625.7</v>
      </c>
      <c r="N4594">
        <f>137.344</f>
        <v>137.34399999999999</v>
      </c>
      <c r="O4594">
        <f>1528.03</f>
        <v>1528.03</v>
      </c>
      <c r="P4594" t="e">
        <f>NA()</f>
        <v>#N/A</v>
      </c>
      <c r="Q4594">
        <f>682.81</f>
        <v>682.81</v>
      </c>
      <c r="R4594">
        <f>1893.93</f>
        <v>1893.93</v>
      </c>
      <c r="S4594">
        <f>1765.4</f>
        <v>1765.4</v>
      </c>
      <c r="T4594" t="e">
        <f>NA()</f>
        <v>#N/A</v>
      </c>
      <c r="U4594">
        <f>17439.84</f>
        <v>17439.84</v>
      </c>
      <c r="V4594" t="e">
        <f>NA()</f>
        <v>#N/A</v>
      </c>
    </row>
    <row r="4595" spans="1:22" x14ac:dyDescent="0.2">
      <c r="A4595" s="1">
        <v>38674</v>
      </c>
      <c r="B4595">
        <f>3139.43</f>
        <v>3139.43</v>
      </c>
      <c r="C4595">
        <f>3598.23</f>
        <v>3598.23</v>
      </c>
      <c r="D4595">
        <f>2979.79</f>
        <v>2979.79</v>
      </c>
      <c r="E4595">
        <f>1035.125</f>
        <v>1035.125</v>
      </c>
      <c r="F4595">
        <f>1719.41</f>
        <v>1719.41</v>
      </c>
      <c r="G4595">
        <f>5210.327</f>
        <v>5210.3270000000002</v>
      </c>
      <c r="H4595">
        <f>1537.04</f>
        <v>1537.04</v>
      </c>
      <c r="I4595">
        <f>5077.846</f>
        <v>5077.8459999999995</v>
      </c>
      <c r="J4595">
        <f>1231.46</f>
        <v>1231.46</v>
      </c>
      <c r="K4595">
        <f>3895.85</f>
        <v>3895.85</v>
      </c>
      <c r="L4595">
        <f>889.96</f>
        <v>889.96</v>
      </c>
      <c r="M4595">
        <f>3604.86</f>
        <v>3604.86</v>
      </c>
      <c r="N4595">
        <f>136.695</f>
        <v>136.69499999999999</v>
      </c>
      <c r="O4595">
        <f>1522.39</f>
        <v>1522.39</v>
      </c>
      <c r="P4595" t="e">
        <f>NA()</f>
        <v>#N/A</v>
      </c>
      <c r="Q4595">
        <f>681.06</f>
        <v>681.06</v>
      </c>
      <c r="R4595">
        <f>1883.99</f>
        <v>1883.99</v>
      </c>
      <c r="S4595">
        <f>1770.12</f>
        <v>1770.12</v>
      </c>
      <c r="T4595" t="e">
        <f>NA()</f>
        <v>#N/A</v>
      </c>
      <c r="U4595">
        <f>17468.97</f>
        <v>17468.97</v>
      </c>
      <c r="V4595" t="e">
        <f>NA()</f>
        <v>#N/A</v>
      </c>
    </row>
    <row r="4596" spans="1:22" x14ac:dyDescent="0.2">
      <c r="A4596" s="1">
        <v>38673</v>
      </c>
      <c r="B4596">
        <f>3110.85</f>
        <v>3110.85</v>
      </c>
      <c r="C4596">
        <f>3586.26</f>
        <v>3586.26</v>
      </c>
      <c r="D4596">
        <f>2958.72</f>
        <v>2958.72</v>
      </c>
      <c r="E4596">
        <f>1030.602</f>
        <v>1030.6020000000001</v>
      </c>
      <c r="F4596">
        <f>1710.63</f>
        <v>1710.63</v>
      </c>
      <c r="G4596">
        <f>5195.301</f>
        <v>5195.3010000000004</v>
      </c>
      <c r="H4596">
        <f>1530.52</f>
        <v>1530.52</v>
      </c>
      <c r="I4596">
        <f>5050.572</f>
        <v>5050.5720000000001</v>
      </c>
      <c r="J4596">
        <f>1220.35</f>
        <v>1220.3499999999999</v>
      </c>
      <c r="K4596">
        <f>3878.63</f>
        <v>3878.63</v>
      </c>
      <c r="L4596">
        <f>886.7</f>
        <v>886.7</v>
      </c>
      <c r="M4596">
        <f>3587.54</f>
        <v>3587.54</v>
      </c>
      <c r="N4596">
        <f>135.735</f>
        <v>135.73500000000001</v>
      </c>
      <c r="O4596">
        <f>1514.17</f>
        <v>1514.17</v>
      </c>
      <c r="P4596" t="e">
        <f>NA()</f>
        <v>#N/A</v>
      </c>
      <c r="Q4596">
        <f>678.27</f>
        <v>678.27</v>
      </c>
      <c r="R4596">
        <f>1875.49</f>
        <v>1875.49</v>
      </c>
      <c r="S4596">
        <f>1745.48</f>
        <v>1745.48</v>
      </c>
      <c r="T4596" t="e">
        <f>NA()</f>
        <v>#N/A</v>
      </c>
      <c r="U4596">
        <f>17288.02</f>
        <v>17288.02</v>
      </c>
      <c r="V4596" t="e">
        <f>NA()</f>
        <v>#N/A</v>
      </c>
    </row>
    <row r="4597" spans="1:22" x14ac:dyDescent="0.2">
      <c r="A4597" s="1">
        <v>38672</v>
      </c>
      <c r="B4597">
        <f>3101.36</f>
        <v>3101.36</v>
      </c>
      <c r="C4597">
        <f>3552.83</f>
        <v>3552.83</v>
      </c>
      <c r="D4597">
        <f>2942.43</f>
        <v>2942.43</v>
      </c>
      <c r="E4597">
        <f>1020.91</f>
        <v>1020.91</v>
      </c>
      <c r="F4597">
        <f>1698.32</f>
        <v>1698.32</v>
      </c>
      <c r="G4597">
        <f>5150.808</f>
        <v>5150.808</v>
      </c>
      <c r="H4597">
        <f>1505.51</f>
        <v>1505.51</v>
      </c>
      <c r="I4597">
        <f>4996.085</f>
        <v>4996.085</v>
      </c>
      <c r="J4597">
        <f>1212.71</f>
        <v>1212.71</v>
      </c>
      <c r="K4597">
        <f>3840.46</f>
        <v>3840.46</v>
      </c>
      <c r="L4597">
        <f>879.35</f>
        <v>879.35</v>
      </c>
      <c r="M4597">
        <f>3548.21</f>
        <v>3548.21</v>
      </c>
      <c r="N4597">
        <f>135.96</f>
        <v>135.96</v>
      </c>
      <c r="O4597">
        <f>1507.26</f>
        <v>1507.26</v>
      </c>
      <c r="P4597" t="e">
        <f>NA()</f>
        <v>#N/A</v>
      </c>
      <c r="Q4597">
        <f>671.53</f>
        <v>671.53</v>
      </c>
      <c r="R4597">
        <f>1857.97</f>
        <v>1857.97</v>
      </c>
      <c r="S4597">
        <f>1717.76</f>
        <v>1717.76</v>
      </c>
      <c r="T4597" t="e">
        <f>NA()</f>
        <v>#N/A</v>
      </c>
      <c r="U4597">
        <f>17127.19</f>
        <v>17127.189999999999</v>
      </c>
      <c r="V4597" t="e">
        <f>NA()</f>
        <v>#N/A</v>
      </c>
    </row>
    <row r="4598" spans="1:22" x14ac:dyDescent="0.2">
      <c r="A4598" s="1">
        <v>38671</v>
      </c>
      <c r="B4598">
        <f>3114.67</f>
        <v>3114.67</v>
      </c>
      <c r="C4598">
        <f>3542.85</f>
        <v>3542.85</v>
      </c>
      <c r="D4598">
        <f>2946.64</f>
        <v>2946.64</v>
      </c>
      <c r="E4598">
        <f>1015.729</f>
        <v>1015.729</v>
      </c>
      <c r="F4598">
        <f>1717.82</f>
        <v>1717.82</v>
      </c>
      <c r="G4598">
        <f>5213.205</f>
        <v>5213.2049999999999</v>
      </c>
      <c r="H4598">
        <f>1498.19</f>
        <v>1498.19</v>
      </c>
      <c r="I4598">
        <f>5029.008</f>
        <v>5029.0079999999998</v>
      </c>
      <c r="J4598">
        <f>1213.1</f>
        <v>1213.0999999999999</v>
      </c>
      <c r="K4598">
        <f>3832.31</f>
        <v>3832.31</v>
      </c>
      <c r="L4598">
        <f>883.52</f>
        <v>883.52</v>
      </c>
      <c r="M4598">
        <f>3548.31</f>
        <v>3548.31</v>
      </c>
      <c r="N4598">
        <f>137.281</f>
        <v>137.28100000000001</v>
      </c>
      <c r="O4598">
        <f>1519</f>
        <v>1519</v>
      </c>
      <c r="P4598" t="e">
        <f>NA()</f>
        <v>#N/A</v>
      </c>
      <c r="Q4598">
        <f>672.01</f>
        <v>672.01</v>
      </c>
      <c r="R4598">
        <f>1854.28</f>
        <v>1854.28</v>
      </c>
      <c r="S4598">
        <f>1701.73</f>
        <v>1701.73</v>
      </c>
      <c r="T4598" t="e">
        <f>NA()</f>
        <v>#N/A</v>
      </c>
      <c r="U4598">
        <f>17294.72</f>
        <v>17294.72</v>
      </c>
      <c r="V4598" t="e">
        <f>NA()</f>
        <v>#N/A</v>
      </c>
    </row>
    <row r="4599" spans="1:22" x14ac:dyDescent="0.2">
      <c r="A4599" s="1">
        <v>38670</v>
      </c>
      <c r="B4599">
        <f>3106.47</f>
        <v>3106.47</v>
      </c>
      <c r="C4599">
        <f>3556.74</f>
        <v>3556.74</v>
      </c>
      <c r="D4599">
        <f>2963.11</f>
        <v>2963.11</v>
      </c>
      <c r="E4599">
        <f>1019.426</f>
        <v>1019.426</v>
      </c>
      <c r="F4599">
        <f>1719.15</f>
        <v>1719.15</v>
      </c>
      <c r="G4599">
        <f>5258.497</f>
        <v>5258.4970000000003</v>
      </c>
      <c r="H4599">
        <f>1508.16</f>
        <v>1508.16</v>
      </c>
      <c r="I4599">
        <f>5047.687</f>
        <v>5047.6869999999999</v>
      </c>
      <c r="J4599">
        <f>1218.96</f>
        <v>1218.96</v>
      </c>
      <c r="K4599">
        <f>3846.15</f>
        <v>3846.15</v>
      </c>
      <c r="L4599">
        <f>888.65</f>
        <v>888.65</v>
      </c>
      <c r="M4599">
        <f>3564</f>
        <v>3564</v>
      </c>
      <c r="N4599">
        <f>137.667</f>
        <v>137.667</v>
      </c>
      <c r="O4599">
        <f>1524.05</f>
        <v>1524.05</v>
      </c>
      <c r="P4599" t="e">
        <f>NA()</f>
        <v>#N/A</v>
      </c>
      <c r="Q4599">
        <f>676.32</f>
        <v>676.32</v>
      </c>
      <c r="R4599">
        <f>1861.25</f>
        <v>1861.25</v>
      </c>
      <c r="S4599">
        <f>1710.91</f>
        <v>1710.91</v>
      </c>
      <c r="T4599" t="e">
        <f>NA()</f>
        <v>#N/A</v>
      </c>
      <c r="U4599">
        <f>17394.38</f>
        <v>17394.38</v>
      </c>
      <c r="V4599" t="e">
        <f>NA()</f>
        <v>#N/A</v>
      </c>
    </row>
    <row r="4600" spans="1:22" x14ac:dyDescent="0.2">
      <c r="A4600" s="1">
        <v>38667</v>
      </c>
      <c r="B4600">
        <f>3105.47</f>
        <v>3105.47</v>
      </c>
      <c r="C4600">
        <f>3552.98</f>
        <v>3552.98</v>
      </c>
      <c r="D4600">
        <f>2960.43</f>
        <v>2960.43</v>
      </c>
      <c r="E4600">
        <f>1017.358</f>
        <v>1017.3579999999999</v>
      </c>
      <c r="F4600">
        <f>1721.23</f>
        <v>1721.23</v>
      </c>
      <c r="G4600">
        <f>5258.696</f>
        <v>5258.6959999999999</v>
      </c>
      <c r="H4600">
        <f>1533.68</f>
        <v>1533.68</v>
      </c>
      <c r="I4600">
        <f>5048.516</f>
        <v>5048.5159999999996</v>
      </c>
      <c r="J4600">
        <f>1223.5</f>
        <v>1223.5</v>
      </c>
      <c r="K4600">
        <f>3848.19</f>
        <v>3848.19</v>
      </c>
      <c r="L4600">
        <f>889.22</f>
        <v>889.22</v>
      </c>
      <c r="M4600">
        <f>3571.95</f>
        <v>3571.95</v>
      </c>
      <c r="N4600">
        <f>138.129</f>
        <v>138.12899999999999</v>
      </c>
      <c r="O4600">
        <f>1523.37</f>
        <v>1523.37</v>
      </c>
      <c r="P4600" t="e">
        <f>NA()</f>
        <v>#N/A</v>
      </c>
      <c r="Q4600">
        <f>679.44</f>
        <v>679.44</v>
      </c>
      <c r="R4600">
        <f>1862.56</f>
        <v>1862.56</v>
      </c>
      <c r="S4600">
        <f>1727.26</f>
        <v>1727.26</v>
      </c>
      <c r="T4600" t="e">
        <f>NA()</f>
        <v>#N/A</v>
      </c>
      <c r="U4600">
        <f>17107.54</f>
        <v>17107.54</v>
      </c>
      <c r="V4600" t="e">
        <f>NA()</f>
        <v>#N/A</v>
      </c>
    </row>
    <row r="4601" spans="1:22" x14ac:dyDescent="0.2">
      <c r="A4601" s="1">
        <v>38666</v>
      </c>
      <c r="B4601">
        <f>3097.05</f>
        <v>3097.05</v>
      </c>
      <c r="C4601">
        <f>3536.54</f>
        <v>3536.54</v>
      </c>
      <c r="D4601">
        <f>2937.92</f>
        <v>2937.92</v>
      </c>
      <c r="E4601">
        <f>1009.342</f>
        <v>1009.342</v>
      </c>
      <c r="F4601">
        <f>1711.28</f>
        <v>1711.28</v>
      </c>
      <c r="G4601">
        <f>5240.074</f>
        <v>5240.0739999999996</v>
      </c>
      <c r="H4601">
        <f>1523.58</f>
        <v>1523.58</v>
      </c>
      <c r="I4601">
        <f>5004.859</f>
        <v>5004.8590000000004</v>
      </c>
      <c r="J4601">
        <f>1219.82</f>
        <v>1219.82</v>
      </c>
      <c r="K4601">
        <f>3835.85</f>
        <v>3835.85</v>
      </c>
      <c r="L4601">
        <f>884.48</f>
        <v>884.48</v>
      </c>
      <c r="M4601">
        <f>3554.35</f>
        <v>3554.35</v>
      </c>
      <c r="N4601">
        <f>136.078</f>
        <v>136.078</v>
      </c>
      <c r="O4601">
        <f>1507.02</f>
        <v>1507.02</v>
      </c>
      <c r="P4601" t="e">
        <f>NA()</f>
        <v>#N/A</v>
      </c>
      <c r="Q4601">
        <f>677.91</f>
        <v>677.91</v>
      </c>
      <c r="R4601">
        <f>1856.9</f>
        <v>1856.9</v>
      </c>
      <c r="S4601">
        <f>1715.84</f>
        <v>1715.84</v>
      </c>
      <c r="T4601" t="e">
        <f>NA()</f>
        <v>#N/A</v>
      </c>
      <c r="U4601">
        <f>16999.57</f>
        <v>16999.57</v>
      </c>
      <c r="V4601" t="e">
        <f>NA()</f>
        <v>#N/A</v>
      </c>
    </row>
    <row r="4602" spans="1:22" x14ac:dyDescent="0.2">
      <c r="A4602" s="1">
        <v>38665</v>
      </c>
      <c r="B4602">
        <f>3076.75</f>
        <v>3076.75</v>
      </c>
      <c r="C4602">
        <f>3539.83</f>
        <v>3539.83</v>
      </c>
      <c r="D4602">
        <f>2946.76</f>
        <v>2946.76</v>
      </c>
      <c r="E4602">
        <f>1007.678</f>
        <v>1007.678</v>
      </c>
      <c r="F4602">
        <f>1696.26</f>
        <v>1696.26</v>
      </c>
      <c r="G4602">
        <f>5236.046</f>
        <v>5236.0460000000003</v>
      </c>
      <c r="H4602">
        <f>1531.53</f>
        <v>1531.53</v>
      </c>
      <c r="I4602">
        <f>4996.162</f>
        <v>4996.1620000000003</v>
      </c>
      <c r="J4602">
        <f>1209.91</f>
        <v>1209.9100000000001</v>
      </c>
      <c r="K4602">
        <f>3802.97</f>
        <v>3802.97</v>
      </c>
      <c r="L4602">
        <f>880.18</f>
        <v>880.18</v>
      </c>
      <c r="M4602">
        <f>3540.81</f>
        <v>3540.81</v>
      </c>
      <c r="N4602">
        <f>135.446</f>
        <v>135.446</v>
      </c>
      <c r="O4602">
        <f>1506.1</f>
        <v>1506.1</v>
      </c>
      <c r="P4602" t="e">
        <f>NA()</f>
        <v>#N/A</v>
      </c>
      <c r="Q4602">
        <f>668.51</f>
        <v>668.51</v>
      </c>
      <c r="R4602">
        <f>1841</f>
        <v>1841</v>
      </c>
      <c r="S4602">
        <f>1719.35</f>
        <v>1719.35</v>
      </c>
      <c r="T4602" t="e">
        <f>NA()</f>
        <v>#N/A</v>
      </c>
      <c r="U4602">
        <f>16818.89</f>
        <v>16818.89</v>
      </c>
      <c r="V4602" t="e">
        <f>NA()</f>
        <v>#N/A</v>
      </c>
    </row>
    <row r="4603" spans="1:22" x14ac:dyDescent="0.2">
      <c r="A4603" s="1">
        <v>38664</v>
      </c>
      <c r="B4603">
        <f>3090.19</f>
        <v>3090.19</v>
      </c>
      <c r="C4603">
        <f>3509.18</f>
        <v>3509.18</v>
      </c>
      <c r="D4603">
        <f>2955.35</f>
        <v>2955.35</v>
      </c>
      <c r="E4603">
        <f>1000.231</f>
        <v>1000.231</v>
      </c>
      <c r="F4603">
        <f>1695.31</f>
        <v>1695.31</v>
      </c>
      <c r="G4603">
        <f>5248.784</f>
        <v>5248.7839999999997</v>
      </c>
      <c r="H4603">
        <f>1541.78</f>
        <v>1541.78</v>
      </c>
      <c r="I4603">
        <f>5011.717</f>
        <v>5011.7169999999996</v>
      </c>
      <c r="J4603">
        <f>1205.67</f>
        <v>1205.67</v>
      </c>
      <c r="K4603">
        <f>3797.03</f>
        <v>3797.03</v>
      </c>
      <c r="L4603">
        <f>880.38</f>
        <v>880.38</v>
      </c>
      <c r="M4603">
        <f>3543.18</f>
        <v>3543.18</v>
      </c>
      <c r="N4603">
        <f>135.759</f>
        <v>135.75899999999999</v>
      </c>
      <c r="O4603">
        <f>1507.4</f>
        <v>1507.4</v>
      </c>
      <c r="P4603" t="e">
        <f>NA()</f>
        <v>#N/A</v>
      </c>
      <c r="Q4603">
        <f>666.71</f>
        <v>666.71</v>
      </c>
      <c r="R4603">
        <f>1837.8</f>
        <v>1837.8</v>
      </c>
      <c r="S4603">
        <f>1730.69</f>
        <v>1730.69</v>
      </c>
      <c r="T4603" t="e">
        <f>NA()</f>
        <v>#N/A</v>
      </c>
      <c r="U4603">
        <f>16789.35</f>
        <v>16789.349999999999</v>
      </c>
      <c r="V4603" t="e">
        <f>NA()</f>
        <v>#N/A</v>
      </c>
    </row>
    <row r="4604" spans="1:22" x14ac:dyDescent="0.2">
      <c r="A4604" s="1">
        <v>38663</v>
      </c>
      <c r="B4604">
        <f>3083.56</f>
        <v>3083.56</v>
      </c>
      <c r="C4604">
        <f>3520.59</f>
        <v>3520.59</v>
      </c>
      <c r="D4604">
        <f>2955.29</f>
        <v>2955.29</v>
      </c>
      <c r="E4604">
        <f>1001.915</f>
        <v>1001.915</v>
      </c>
      <c r="F4604">
        <f>1705.55</f>
        <v>1705.55</v>
      </c>
      <c r="G4604">
        <f>5256.742</f>
        <v>5256.7420000000002</v>
      </c>
      <c r="H4604">
        <f>1525.6</f>
        <v>1525.6</v>
      </c>
      <c r="I4604">
        <f>5027.339</f>
        <v>5027.3389999999999</v>
      </c>
      <c r="J4604">
        <f>1206.87</f>
        <v>1206.8699999999999</v>
      </c>
      <c r="K4604">
        <f>3809.13</f>
        <v>3809.13</v>
      </c>
      <c r="L4604">
        <f>881.27</f>
        <v>881.27</v>
      </c>
      <c r="M4604">
        <f>3549.58</f>
        <v>3549.58</v>
      </c>
      <c r="N4604">
        <f>135.729</f>
        <v>135.72900000000001</v>
      </c>
      <c r="O4604">
        <f>1507.08</f>
        <v>1507.08</v>
      </c>
      <c r="P4604" t="e">
        <f>NA()</f>
        <v>#N/A</v>
      </c>
      <c r="Q4604">
        <f>670.3</f>
        <v>670.3</v>
      </c>
      <c r="R4604">
        <f>1843.27</f>
        <v>1843.27</v>
      </c>
      <c r="S4604">
        <f>1732.53</f>
        <v>1732.53</v>
      </c>
      <c r="T4604" t="e">
        <f>NA()</f>
        <v>#N/A</v>
      </c>
      <c r="U4604">
        <f>17057.84</f>
        <v>17057.84</v>
      </c>
      <c r="V4604" t="e">
        <f>NA()</f>
        <v>#N/A</v>
      </c>
    </row>
    <row r="4605" spans="1:22" x14ac:dyDescent="0.2">
      <c r="A4605" s="1">
        <v>38660</v>
      </c>
      <c r="B4605">
        <f>3073.38</f>
        <v>3073.38</v>
      </c>
      <c r="C4605">
        <f>3517.53</f>
        <v>3517.53</v>
      </c>
      <c r="D4605">
        <f>2935.14</f>
        <v>2935.14</v>
      </c>
      <c r="E4605">
        <f>1002.462</f>
        <v>1002.462</v>
      </c>
      <c r="F4605">
        <f>1693.96</f>
        <v>1693.96</v>
      </c>
      <c r="G4605">
        <f>5239.382</f>
        <v>5239.3819999999996</v>
      </c>
      <c r="H4605">
        <f>1521.45</f>
        <v>1521.45</v>
      </c>
      <c r="I4605">
        <f>5017.483</f>
        <v>5017.4830000000002</v>
      </c>
      <c r="J4605">
        <f>1205.44</f>
        <v>1205.44</v>
      </c>
      <c r="K4605">
        <f>3800.65</f>
        <v>3800.65</v>
      </c>
      <c r="L4605">
        <f>879.74</f>
        <v>879.74</v>
      </c>
      <c r="M4605">
        <f>3542.58</f>
        <v>3542.58</v>
      </c>
      <c r="N4605">
        <f>134.697</f>
        <v>134.697</v>
      </c>
      <c r="O4605">
        <f>1500.1</f>
        <v>1500.1</v>
      </c>
      <c r="P4605" t="e">
        <f>NA()</f>
        <v>#N/A</v>
      </c>
      <c r="Q4605">
        <f>666.87</f>
        <v>666.87</v>
      </c>
      <c r="R4605">
        <f>1839.16</f>
        <v>1839.16</v>
      </c>
      <c r="S4605">
        <f>1727.75</f>
        <v>1727.75</v>
      </c>
      <c r="T4605" t="e">
        <f>NA()</f>
        <v>#N/A</v>
      </c>
      <c r="U4605">
        <f>16881.88</f>
        <v>16881.88</v>
      </c>
      <c r="V4605" t="e">
        <f>NA()</f>
        <v>#N/A</v>
      </c>
    </row>
    <row r="4606" spans="1:22" x14ac:dyDescent="0.2">
      <c r="A4606" s="1">
        <v>38659</v>
      </c>
      <c r="B4606">
        <f>3066.39</f>
        <v>3066.39</v>
      </c>
      <c r="C4606">
        <f>3537.57</f>
        <v>3537.57</v>
      </c>
      <c r="D4606">
        <f>2939.66</f>
        <v>2939.66</v>
      </c>
      <c r="E4606">
        <f>1005.553</f>
        <v>1005.553</v>
      </c>
      <c r="F4606">
        <f>1720.21</f>
        <v>1720.21</v>
      </c>
      <c r="G4606">
        <f>5327.259</f>
        <v>5327.259</v>
      </c>
      <c r="H4606">
        <f>1525.53</f>
        <v>1525.53</v>
      </c>
      <c r="I4606">
        <f>5105.451</f>
        <v>5105.451</v>
      </c>
      <c r="J4606">
        <f>1205.27</f>
        <v>1205.27</v>
      </c>
      <c r="K4606">
        <f>3799.39</f>
        <v>3799.39</v>
      </c>
      <c r="L4606">
        <f>888.33</f>
        <v>888.33</v>
      </c>
      <c r="M4606">
        <f>3559.08</f>
        <v>3559.08</v>
      </c>
      <c r="N4606">
        <f>134.6</f>
        <v>134.6</v>
      </c>
      <c r="O4606">
        <f>1502.7</f>
        <v>1502.7</v>
      </c>
      <c r="P4606" t="e">
        <f>NA()</f>
        <v>#N/A</v>
      </c>
      <c r="Q4606">
        <f>665.39</f>
        <v>665.39</v>
      </c>
      <c r="R4606">
        <f>1838.86</f>
        <v>1838.86</v>
      </c>
      <c r="S4606" t="e">
        <f>NA()</f>
        <v>#N/A</v>
      </c>
      <c r="T4606" t="e">
        <f>NA()</f>
        <v>#N/A</v>
      </c>
      <c r="U4606">
        <f>16967.22</f>
        <v>16967.22</v>
      </c>
      <c r="V4606" t="e">
        <f>NA()</f>
        <v>#N/A</v>
      </c>
    </row>
    <row r="4607" spans="1:22" x14ac:dyDescent="0.2">
      <c r="A4607" s="1">
        <v>38658</v>
      </c>
      <c r="B4607">
        <f>3028.77</f>
        <v>3028.77</v>
      </c>
      <c r="C4607">
        <f>3518.13</f>
        <v>3518.13</v>
      </c>
      <c r="D4607">
        <f>2899.99</f>
        <v>2899.99</v>
      </c>
      <c r="E4607">
        <f>998.141</f>
        <v>998.14099999999996</v>
      </c>
      <c r="F4607">
        <f>1700.62</f>
        <v>1700.62</v>
      </c>
      <c r="G4607">
        <f>5253.596</f>
        <v>5253.5959999999995</v>
      </c>
      <c r="H4607">
        <f>1529.45</f>
        <v>1529.45</v>
      </c>
      <c r="I4607">
        <f>5067.436</f>
        <v>5067.4359999999997</v>
      </c>
      <c r="J4607">
        <f>1200.21</f>
        <v>1200.21</v>
      </c>
      <c r="K4607">
        <f>3780.56</f>
        <v>3780.56</v>
      </c>
      <c r="L4607">
        <f>883.11</f>
        <v>883.11</v>
      </c>
      <c r="M4607">
        <f>3537.93</f>
        <v>3537.93</v>
      </c>
      <c r="N4607">
        <f>132.692</f>
        <v>132.69200000000001</v>
      </c>
      <c r="O4607">
        <f>1480.17</f>
        <v>1480.17</v>
      </c>
      <c r="P4607" t="e">
        <f>NA()</f>
        <v>#N/A</v>
      </c>
      <c r="Q4607">
        <f>664.12</f>
        <v>664.12</v>
      </c>
      <c r="R4607">
        <f>1830.43</f>
        <v>1830.43</v>
      </c>
      <c r="S4607">
        <f>1703.79</f>
        <v>1703.79</v>
      </c>
      <c r="T4607" t="e">
        <f>NA()</f>
        <v>#N/A</v>
      </c>
      <c r="U4607">
        <f>16566.94</f>
        <v>16566.939999999999</v>
      </c>
      <c r="V4607" t="e">
        <f>NA()</f>
        <v>#N/A</v>
      </c>
    </row>
    <row r="4608" spans="1:22" x14ac:dyDescent="0.2">
      <c r="A4608" s="1">
        <v>38657</v>
      </c>
      <c r="B4608">
        <f>3013.69</f>
        <v>3013.69</v>
      </c>
      <c r="C4608">
        <f>3479.6</f>
        <v>3479.6</v>
      </c>
      <c r="D4608">
        <f>2888.69</f>
        <v>2888.69</v>
      </c>
      <c r="E4608">
        <f>985.494</f>
        <v>985.49400000000003</v>
      </c>
      <c r="F4608">
        <f>1678.73</f>
        <v>1678.73</v>
      </c>
      <c r="G4608">
        <f>5186.353</f>
        <v>5186.3530000000001</v>
      </c>
      <c r="H4608">
        <f>1527.5</f>
        <v>1527.5</v>
      </c>
      <c r="I4608">
        <f>5020.202</f>
        <v>5020.2020000000002</v>
      </c>
      <c r="J4608">
        <f>1191.11</f>
        <v>1191.1099999999999</v>
      </c>
      <c r="K4608">
        <f>3740.2</f>
        <v>3740.2</v>
      </c>
      <c r="L4608">
        <f>876.48</f>
        <v>876.48</v>
      </c>
      <c r="M4608">
        <f>3504.78</f>
        <v>3504.78</v>
      </c>
      <c r="N4608">
        <f>131.931</f>
        <v>131.93100000000001</v>
      </c>
      <c r="O4608">
        <f>1474.13</f>
        <v>1474.13</v>
      </c>
      <c r="P4608" t="e">
        <f>NA()</f>
        <v>#N/A</v>
      </c>
      <c r="Q4608">
        <f>658.48</f>
        <v>658.48</v>
      </c>
      <c r="R4608">
        <f>1812.11</f>
        <v>1812.11</v>
      </c>
      <c r="S4608">
        <f>1702.37</f>
        <v>1702.37</v>
      </c>
      <c r="T4608" t="e">
        <f>NA()</f>
        <v>#N/A</v>
      </c>
      <c r="U4608">
        <f>16558.07</f>
        <v>16558.07</v>
      </c>
      <c r="V4608" t="e">
        <f>NA()</f>
        <v>#N/A</v>
      </c>
    </row>
    <row r="4609" spans="1:22" x14ac:dyDescent="0.2">
      <c r="A4609" s="1">
        <v>38656</v>
      </c>
      <c r="B4609">
        <f>2995.45</f>
        <v>2995.45</v>
      </c>
      <c r="C4609">
        <f>3428.23</f>
        <v>3428.23</v>
      </c>
      <c r="D4609">
        <f>2874.07</f>
        <v>2874.07</v>
      </c>
      <c r="E4609">
        <f>971.025</f>
        <v>971.02499999999998</v>
      </c>
      <c r="F4609">
        <f>1679.19</f>
        <v>1679.19</v>
      </c>
      <c r="G4609">
        <f>5185.767</f>
        <v>5185.7669999999998</v>
      </c>
      <c r="H4609">
        <f>1512.34</f>
        <v>1512.34</v>
      </c>
      <c r="I4609">
        <f>5009.536</f>
        <v>5009.5360000000001</v>
      </c>
      <c r="J4609">
        <f>1196.19</f>
        <v>1196.19</v>
      </c>
      <c r="K4609">
        <f>3752.53</f>
        <v>3752.53</v>
      </c>
      <c r="L4609">
        <f>877.13</f>
        <v>877.13</v>
      </c>
      <c r="M4609">
        <f>3502.06</f>
        <v>3502.06</v>
      </c>
      <c r="N4609">
        <f>131.698</f>
        <v>131.69800000000001</v>
      </c>
      <c r="O4609">
        <f>1472.12</f>
        <v>1472.12</v>
      </c>
      <c r="P4609" t="e">
        <f>NA()</f>
        <v>#N/A</v>
      </c>
      <c r="Q4609">
        <f>659.26</f>
        <v>659.26</v>
      </c>
      <c r="R4609">
        <f>1818.5</f>
        <v>1818.5</v>
      </c>
      <c r="S4609">
        <f>1669.66</f>
        <v>1669.66</v>
      </c>
      <c r="T4609" t="e">
        <f>NA()</f>
        <v>#N/A</v>
      </c>
      <c r="U4609">
        <f>16433.1</f>
        <v>16433.099999999999</v>
      </c>
      <c r="V4609" t="e">
        <f>NA()</f>
        <v>#N/A</v>
      </c>
    </row>
    <row r="4610" spans="1:22" x14ac:dyDescent="0.2">
      <c r="A4610" s="1">
        <v>38653</v>
      </c>
      <c r="B4610">
        <f>2912.78</f>
        <v>2912.78</v>
      </c>
      <c r="C4610">
        <f>3360.77</f>
        <v>3360.77</v>
      </c>
      <c r="D4610">
        <f>2817.92</f>
        <v>2817.92</v>
      </c>
      <c r="E4610">
        <f>952.551</f>
        <v>952.55100000000004</v>
      </c>
      <c r="F4610">
        <f>1652.01</f>
        <v>1652.01</v>
      </c>
      <c r="G4610">
        <f>5111.412</f>
        <v>5111.4120000000003</v>
      </c>
      <c r="H4610">
        <f>1503.33</f>
        <v>1503.33</v>
      </c>
      <c r="I4610">
        <f>4952.786</f>
        <v>4952.7860000000001</v>
      </c>
      <c r="J4610">
        <f>1194.31</f>
        <v>1194.31</v>
      </c>
      <c r="K4610">
        <f>3724.51</f>
        <v>3724.51</v>
      </c>
      <c r="L4610">
        <f>869.87</f>
        <v>869.87</v>
      </c>
      <c r="M4610">
        <f>3469.13</f>
        <v>3469.13</v>
      </c>
      <c r="N4610">
        <f>129.568</f>
        <v>129.56800000000001</v>
      </c>
      <c r="O4610">
        <f>1439.71</f>
        <v>1439.71</v>
      </c>
      <c r="P4610" t="e">
        <f>NA()</f>
        <v>#N/A</v>
      </c>
      <c r="Q4610">
        <f>654.71</f>
        <v>654.71</v>
      </c>
      <c r="R4610">
        <f>1805.56</f>
        <v>1805.56</v>
      </c>
      <c r="S4610">
        <f>1640.89</f>
        <v>1640.89</v>
      </c>
      <c r="T4610" t="e">
        <f>NA()</f>
        <v>#N/A</v>
      </c>
      <c r="U4610">
        <f>16237.19</f>
        <v>16237.19</v>
      </c>
      <c r="V4610" t="e">
        <f>NA()</f>
        <v>#N/A</v>
      </c>
    </row>
    <row r="4611" spans="1:22" x14ac:dyDescent="0.2">
      <c r="A4611" s="1">
        <v>38652</v>
      </c>
      <c r="B4611">
        <f>2919.81</f>
        <v>2919.81</v>
      </c>
      <c r="C4611">
        <f>3364.07</f>
        <v>3364.07</v>
      </c>
      <c r="D4611">
        <f>2801.35</f>
        <v>2801.35</v>
      </c>
      <c r="E4611">
        <f>956.198</f>
        <v>956.19799999999998</v>
      </c>
      <c r="F4611">
        <f>1657.22</f>
        <v>1657.22</v>
      </c>
      <c r="G4611">
        <f>5104.055</f>
        <v>5104.0550000000003</v>
      </c>
      <c r="H4611">
        <f>1518.56</f>
        <v>1518.56</v>
      </c>
      <c r="I4611">
        <f>4974.292</f>
        <v>4974.2920000000004</v>
      </c>
      <c r="J4611">
        <f>1175.9</f>
        <v>1175.9000000000001</v>
      </c>
      <c r="K4611">
        <f>3664.3</f>
        <v>3664.3</v>
      </c>
      <c r="L4611">
        <f>866.38</f>
        <v>866.38</v>
      </c>
      <c r="M4611">
        <f>3447.62</f>
        <v>3447.62</v>
      </c>
      <c r="N4611">
        <f>129.361</f>
        <v>129.36099999999999</v>
      </c>
      <c r="O4611">
        <f>1436.31</f>
        <v>1436.31</v>
      </c>
      <c r="P4611" t="e">
        <f>NA()</f>
        <v>#N/A</v>
      </c>
      <c r="Q4611">
        <f>643.04</f>
        <v>643.04</v>
      </c>
      <c r="R4611">
        <f>1776.01</f>
        <v>1776.01</v>
      </c>
      <c r="S4611">
        <f>1645.53</f>
        <v>1645.53</v>
      </c>
      <c r="T4611" t="e">
        <f>NA()</f>
        <v>#N/A</v>
      </c>
      <c r="U4611">
        <f>16249.06</f>
        <v>16249.06</v>
      </c>
      <c r="V4611" t="e">
        <f>NA()</f>
        <v>#N/A</v>
      </c>
    </row>
    <row r="4612" spans="1:22" x14ac:dyDescent="0.2">
      <c r="A4612" s="1">
        <v>38651</v>
      </c>
      <c r="B4612">
        <f>2957.47</f>
        <v>2957.47</v>
      </c>
      <c r="C4612">
        <f>3405.79</f>
        <v>3405.79</v>
      </c>
      <c r="D4612">
        <f>2825.71</f>
        <v>2825.71</v>
      </c>
      <c r="E4612">
        <f>968.105</f>
        <v>968.10500000000002</v>
      </c>
      <c r="F4612">
        <f>1668.24</f>
        <v>1668.24</v>
      </c>
      <c r="G4612">
        <f>5126.011</f>
        <v>5126.0110000000004</v>
      </c>
      <c r="H4612">
        <f>1500.43</f>
        <v>1500.43</v>
      </c>
      <c r="I4612">
        <f>5021.296</f>
        <v>5021.2960000000003</v>
      </c>
      <c r="J4612">
        <f>1183.75</f>
        <v>1183.75</v>
      </c>
      <c r="K4612">
        <f>3703.67</f>
        <v>3703.67</v>
      </c>
      <c r="L4612">
        <f>870.71</f>
        <v>870.71</v>
      </c>
      <c r="M4612">
        <f>3469.54</f>
        <v>3469.54</v>
      </c>
      <c r="N4612">
        <f>130.927</f>
        <v>130.92699999999999</v>
      </c>
      <c r="O4612">
        <f>1455.39</f>
        <v>1455.39</v>
      </c>
      <c r="P4612" t="e">
        <f>NA()</f>
        <v>#N/A</v>
      </c>
      <c r="Q4612">
        <f>649.88</f>
        <v>649.88</v>
      </c>
      <c r="R4612">
        <f>1794.56</f>
        <v>1794.56</v>
      </c>
      <c r="S4612">
        <f>1626.87</f>
        <v>1626.87</v>
      </c>
      <c r="T4612" t="e">
        <f>NA()</f>
        <v>#N/A</v>
      </c>
      <c r="U4612">
        <f>16442.68</f>
        <v>16442.68</v>
      </c>
      <c r="V4612" t="e">
        <f>NA()</f>
        <v>#N/A</v>
      </c>
    </row>
    <row r="4613" spans="1:22" x14ac:dyDescent="0.2">
      <c r="A4613" s="1">
        <v>38650</v>
      </c>
      <c r="B4613">
        <f>2929.11</f>
        <v>2929.11</v>
      </c>
      <c r="C4613">
        <f>3396.26</f>
        <v>3396.26</v>
      </c>
      <c r="D4613">
        <f>2800.83</f>
        <v>2800.83</v>
      </c>
      <c r="E4613">
        <f>963.821</f>
        <v>963.82100000000003</v>
      </c>
      <c r="F4613">
        <f>1667.27</f>
        <v>1667.27</v>
      </c>
      <c r="G4613">
        <f>5108.449</f>
        <v>5108.4489999999996</v>
      </c>
      <c r="H4613">
        <f>1500.18</f>
        <v>1500.18</v>
      </c>
      <c r="I4613">
        <f>5013.844</f>
        <v>5013.8440000000001</v>
      </c>
      <c r="J4613">
        <f>1187.52</f>
        <v>1187.52</v>
      </c>
      <c r="K4613">
        <f>3720.95</f>
        <v>3720.95</v>
      </c>
      <c r="L4613">
        <f>868.84</f>
        <v>868.84</v>
      </c>
      <c r="M4613">
        <f>3474.89</f>
        <v>3474.89</v>
      </c>
      <c r="N4613">
        <f>130.391</f>
        <v>130.39099999999999</v>
      </c>
      <c r="O4613">
        <f>1449.23</f>
        <v>1449.23</v>
      </c>
      <c r="P4613" t="e">
        <f>NA()</f>
        <v>#N/A</v>
      </c>
      <c r="Q4613">
        <f>649.33</f>
        <v>649.33000000000004</v>
      </c>
      <c r="R4613">
        <f>1802.3</f>
        <v>1802.3</v>
      </c>
      <c r="S4613">
        <f>1610.57</f>
        <v>1610.57</v>
      </c>
      <c r="T4613" t="e">
        <f>NA()</f>
        <v>#N/A</v>
      </c>
      <c r="U4613">
        <f>16100.26</f>
        <v>16100.26</v>
      </c>
      <c r="V4613" t="e">
        <f>NA()</f>
        <v>#N/A</v>
      </c>
    </row>
    <row r="4614" spans="1:22" x14ac:dyDescent="0.2">
      <c r="A4614" s="1">
        <v>38649</v>
      </c>
      <c r="B4614">
        <f>2942.23</f>
        <v>2942.23</v>
      </c>
      <c r="C4614">
        <f>3401.65</f>
        <v>3401.65</v>
      </c>
      <c r="D4614">
        <f>2814.6</f>
        <v>2814.6</v>
      </c>
      <c r="E4614">
        <f>963.822</f>
        <v>963.822</v>
      </c>
      <c r="F4614">
        <f>1655.01</f>
        <v>1655.01</v>
      </c>
      <c r="G4614">
        <f>5085.982</f>
        <v>5085.982</v>
      </c>
      <c r="H4614">
        <f>1475.04</f>
        <v>1475.04</v>
      </c>
      <c r="I4614">
        <f>4971.446</f>
        <v>4971.4459999999999</v>
      </c>
      <c r="J4614">
        <f>1187.15</f>
        <v>1187.1500000000001</v>
      </c>
      <c r="K4614">
        <f>3730.32</f>
        <v>3730.32</v>
      </c>
      <c r="L4614">
        <f>865.06</f>
        <v>865.06</v>
      </c>
      <c r="M4614">
        <f>3463.11</f>
        <v>3463.11</v>
      </c>
      <c r="N4614">
        <f>130.02</f>
        <v>130.02000000000001</v>
      </c>
      <c r="O4614">
        <f>1453.65</f>
        <v>1453.65</v>
      </c>
      <c r="P4614" t="e">
        <f>NA()</f>
        <v>#N/A</v>
      </c>
      <c r="Q4614">
        <f>653.47</f>
        <v>653.47</v>
      </c>
      <c r="R4614">
        <f>1806.59</f>
        <v>1806.59</v>
      </c>
      <c r="S4614">
        <f>1590.79</f>
        <v>1590.79</v>
      </c>
      <c r="T4614" t="e">
        <f>NA()</f>
        <v>#N/A</v>
      </c>
      <c r="U4614">
        <f>16005.74</f>
        <v>16005.74</v>
      </c>
      <c r="V4614" t="e">
        <f>NA()</f>
        <v>#N/A</v>
      </c>
    </row>
    <row r="4615" spans="1:22" x14ac:dyDescent="0.2">
      <c r="A4615" s="1">
        <v>38646</v>
      </c>
      <c r="B4615">
        <f>2907.16</f>
        <v>2907.16</v>
      </c>
      <c r="C4615">
        <f>3365.96</f>
        <v>3365.96</v>
      </c>
      <c r="D4615">
        <f>2779.21</f>
        <v>2779.21</v>
      </c>
      <c r="E4615">
        <f>955.898</f>
        <v>955.89800000000002</v>
      </c>
      <c r="F4615">
        <f>1645.18</f>
        <v>1645.18</v>
      </c>
      <c r="G4615">
        <f>5039.813</f>
        <v>5039.8130000000001</v>
      </c>
      <c r="H4615">
        <f>1484.35</f>
        <v>1484.35</v>
      </c>
      <c r="I4615">
        <f>4928.844</f>
        <v>4928.8440000000001</v>
      </c>
      <c r="J4615">
        <f>1168.24</f>
        <v>1168.24</v>
      </c>
      <c r="K4615">
        <f>3668.68</f>
        <v>3668.68</v>
      </c>
      <c r="L4615">
        <f>855.36</f>
        <v>855.36</v>
      </c>
      <c r="M4615">
        <f>3425.63</f>
        <v>3425.63</v>
      </c>
      <c r="N4615">
        <f>128.737</f>
        <v>128.73699999999999</v>
      </c>
      <c r="O4615">
        <f>1437.66</f>
        <v>1437.66</v>
      </c>
      <c r="P4615" t="e">
        <f>NA()</f>
        <v>#N/A</v>
      </c>
      <c r="Q4615">
        <f>645.25</f>
        <v>645.25</v>
      </c>
      <c r="R4615">
        <f>1776.73</f>
        <v>1776.73</v>
      </c>
      <c r="S4615">
        <f>1601.05</f>
        <v>1601.05</v>
      </c>
      <c r="T4615" t="e">
        <f>NA()</f>
        <v>#N/A</v>
      </c>
      <c r="U4615">
        <f>15616.02</f>
        <v>15616.02</v>
      </c>
      <c r="V4615" t="e">
        <f>NA()</f>
        <v>#N/A</v>
      </c>
    </row>
    <row r="4616" spans="1:22" x14ac:dyDescent="0.2">
      <c r="A4616" s="1">
        <v>38645</v>
      </c>
      <c r="B4616">
        <f>2918.95</f>
        <v>2918.95</v>
      </c>
      <c r="C4616">
        <f>3353.98</f>
        <v>3353.98</v>
      </c>
      <c r="D4616">
        <f>2791.07</f>
        <v>2791.07</v>
      </c>
      <c r="E4616">
        <f>952.483</f>
        <v>952.48299999999995</v>
      </c>
      <c r="F4616">
        <f>1641.99</f>
        <v>1641.99</v>
      </c>
      <c r="G4616">
        <f>5050.709</f>
        <v>5050.7089999999998</v>
      </c>
      <c r="H4616">
        <f>1486.12</f>
        <v>1486.12</v>
      </c>
      <c r="I4616">
        <f>4936.824</f>
        <v>4936.8239999999996</v>
      </c>
      <c r="J4616">
        <f>1167.62</f>
        <v>1167.6199999999999</v>
      </c>
      <c r="K4616">
        <f>3659.03</f>
        <v>3659.03</v>
      </c>
      <c r="L4616">
        <f>854.98</f>
        <v>854.98</v>
      </c>
      <c r="M4616">
        <f>3423.37</f>
        <v>3423.37</v>
      </c>
      <c r="N4616">
        <f>129.507</f>
        <v>129.50700000000001</v>
      </c>
      <c r="O4616">
        <f>1443.42</f>
        <v>1443.42</v>
      </c>
      <c r="P4616" t="e">
        <f>NA()</f>
        <v>#N/A</v>
      </c>
      <c r="Q4616">
        <f>645.25</f>
        <v>645.25</v>
      </c>
      <c r="R4616">
        <f>1774.02</f>
        <v>1774.02</v>
      </c>
      <c r="S4616">
        <f>1599.4</f>
        <v>1599.4</v>
      </c>
      <c r="T4616" t="e">
        <f>NA()</f>
        <v>#N/A</v>
      </c>
      <c r="U4616">
        <f>15834.22</f>
        <v>15834.22</v>
      </c>
      <c r="V4616" t="e">
        <f>NA()</f>
        <v>#N/A</v>
      </c>
    </row>
    <row r="4617" spans="1:22" x14ac:dyDescent="0.2">
      <c r="A4617" s="1">
        <v>38644</v>
      </c>
      <c r="B4617">
        <f>2913.01</f>
        <v>2913.01</v>
      </c>
      <c r="C4617">
        <f>3349.95</f>
        <v>3349.95</v>
      </c>
      <c r="D4617">
        <f>2793.11</f>
        <v>2793.11</v>
      </c>
      <c r="E4617">
        <f>949.429</f>
        <v>949.42899999999997</v>
      </c>
      <c r="F4617">
        <f>1628.69</f>
        <v>1628.69</v>
      </c>
      <c r="G4617">
        <f>5027.095</f>
        <v>5027.0950000000003</v>
      </c>
      <c r="H4617">
        <f>1481.25</f>
        <v>1481.25</v>
      </c>
      <c r="I4617">
        <f>4919.836</f>
        <v>4919.8360000000002</v>
      </c>
      <c r="J4617">
        <f>1187.99</f>
        <v>1187.99</v>
      </c>
      <c r="K4617">
        <f>3713.39</f>
        <v>3713.39</v>
      </c>
      <c r="L4617">
        <f>856.11</f>
        <v>856.11</v>
      </c>
      <c r="M4617">
        <f>3446.59</f>
        <v>3446.59</v>
      </c>
      <c r="N4617">
        <f>128.373</f>
        <v>128.37299999999999</v>
      </c>
      <c r="O4617">
        <f>1437.66</f>
        <v>1437.66</v>
      </c>
      <c r="P4617" t="e">
        <f>NA()</f>
        <v>#N/A</v>
      </c>
      <c r="Q4617">
        <f>651.57</f>
        <v>651.57000000000005</v>
      </c>
      <c r="R4617">
        <f>1801.01</f>
        <v>1801.01</v>
      </c>
      <c r="S4617">
        <f>1594.58</f>
        <v>1594.58</v>
      </c>
      <c r="T4617" t="e">
        <f>NA()</f>
        <v>#N/A</v>
      </c>
      <c r="U4617">
        <f>15539.6</f>
        <v>15539.6</v>
      </c>
      <c r="V4617" t="e">
        <f>NA()</f>
        <v>#N/A</v>
      </c>
    </row>
    <row r="4618" spans="1:22" x14ac:dyDescent="0.2">
      <c r="A4618" s="1">
        <v>38643</v>
      </c>
      <c r="B4618">
        <f>2971.94</f>
        <v>2971.94</v>
      </c>
      <c r="C4618">
        <f>3412.66</f>
        <v>3412.66</v>
      </c>
      <c r="D4618">
        <f>2844.33</f>
        <v>2844.33</v>
      </c>
      <c r="E4618">
        <f>969.258</f>
        <v>969.25800000000004</v>
      </c>
      <c r="F4618">
        <f>1644.62</f>
        <v>1644.62</v>
      </c>
      <c r="G4618">
        <f>5078.441</f>
        <v>5078.4409999999998</v>
      </c>
      <c r="H4618">
        <f>1490.68</f>
        <v>1490.68</v>
      </c>
      <c r="I4618">
        <f>4986.453</f>
        <v>4986.4530000000004</v>
      </c>
      <c r="J4618">
        <f>1173.6</f>
        <v>1173.5999999999999</v>
      </c>
      <c r="K4618">
        <f>3658.61</f>
        <v>3658.61</v>
      </c>
      <c r="L4618">
        <f>857.98</f>
        <v>857.98</v>
      </c>
      <c r="M4618">
        <f>3435.79</f>
        <v>3435.79</v>
      </c>
      <c r="N4618">
        <f>130.614</f>
        <v>130.614</v>
      </c>
      <c r="O4618">
        <f>1461.33</f>
        <v>1461.33</v>
      </c>
      <c r="P4618" t="e">
        <f>NA()</f>
        <v>#N/A</v>
      </c>
      <c r="Q4618">
        <f>643.02</f>
        <v>643.02</v>
      </c>
      <c r="R4618">
        <f>1774.32</f>
        <v>1774.32</v>
      </c>
      <c r="S4618">
        <f>1609.51</f>
        <v>1609.51</v>
      </c>
      <c r="T4618" t="e">
        <f>NA()</f>
        <v>#N/A</v>
      </c>
      <c r="U4618">
        <f>15827.31</f>
        <v>15827.31</v>
      </c>
      <c r="V4618" t="e">
        <f>NA()</f>
        <v>#N/A</v>
      </c>
    </row>
    <row r="4619" spans="1:22" x14ac:dyDescent="0.2">
      <c r="A4619" s="1">
        <v>38642</v>
      </c>
      <c r="B4619">
        <f>2975.4</f>
        <v>2975.4</v>
      </c>
      <c r="C4619">
        <f>3452.39</f>
        <v>3452.39</v>
      </c>
      <c r="D4619">
        <f>2856.54</f>
        <v>2856.54</v>
      </c>
      <c r="E4619">
        <f>977.196</f>
        <v>977.19600000000003</v>
      </c>
      <c r="F4619">
        <f>1655.11</f>
        <v>1655.11</v>
      </c>
      <c r="G4619">
        <f>5116.846</f>
        <v>5116.8459999999995</v>
      </c>
      <c r="H4619">
        <f>1496.76</f>
        <v>1496.76</v>
      </c>
      <c r="I4619">
        <f>5047.937</f>
        <v>5047.9369999999999</v>
      </c>
      <c r="J4619">
        <f>1189.28</f>
        <v>1189.28</v>
      </c>
      <c r="K4619">
        <f>3696.41</f>
        <v>3696.41</v>
      </c>
      <c r="L4619">
        <f>867.61</f>
        <v>867.61</v>
      </c>
      <c r="M4619">
        <f>3470.93</f>
        <v>3470.93</v>
      </c>
      <c r="N4619">
        <f>130.055</f>
        <v>130.05500000000001</v>
      </c>
      <c r="O4619">
        <f>1464.08</f>
        <v>1464.08</v>
      </c>
      <c r="P4619" t="e">
        <f>NA()</f>
        <v>#N/A</v>
      </c>
      <c r="Q4619">
        <f>647.03</f>
        <v>647.03</v>
      </c>
      <c r="R4619">
        <f>1792.33</f>
        <v>1792.33</v>
      </c>
      <c r="S4619">
        <f>1610.35</f>
        <v>1610.35</v>
      </c>
      <c r="T4619" t="e">
        <f>NA()</f>
        <v>#N/A</v>
      </c>
      <c r="U4619">
        <f>15926.6</f>
        <v>15926.6</v>
      </c>
      <c r="V4619" t="e">
        <f>NA()</f>
        <v>#N/A</v>
      </c>
    </row>
    <row r="4620" spans="1:22" x14ac:dyDescent="0.2">
      <c r="A4620" s="1">
        <v>38639</v>
      </c>
      <c r="B4620">
        <f>2969.55</f>
        <v>2969.55</v>
      </c>
      <c r="C4620">
        <f>3421.01</f>
        <v>3421.01</v>
      </c>
      <c r="D4620">
        <f>2850.31</f>
        <v>2850.31</v>
      </c>
      <c r="E4620">
        <f>971.764</f>
        <v>971.76400000000001</v>
      </c>
      <c r="F4620">
        <f>1669.34</f>
        <v>1669.34</v>
      </c>
      <c r="G4620">
        <f>5143.672</f>
        <v>5143.6719999999996</v>
      </c>
      <c r="H4620">
        <f>1512.31</f>
        <v>1512.31</v>
      </c>
      <c r="I4620">
        <f>5061.489</f>
        <v>5061.4889999999996</v>
      </c>
      <c r="J4620">
        <f>1186.64</f>
        <v>1186.6400000000001</v>
      </c>
      <c r="K4620">
        <f>3685.32</f>
        <v>3685.32</v>
      </c>
      <c r="L4620">
        <f>867.74</f>
        <v>867.74</v>
      </c>
      <c r="M4620">
        <f>3471.48</f>
        <v>3471.48</v>
      </c>
      <c r="N4620">
        <f>130.47</f>
        <v>130.47</v>
      </c>
      <c r="O4620">
        <f>1465.06</f>
        <v>1465.06</v>
      </c>
      <c r="P4620" t="e">
        <f>NA()</f>
        <v>#N/A</v>
      </c>
      <c r="Q4620">
        <f>646.39</f>
        <v>646.39</v>
      </c>
      <c r="R4620">
        <f>1787.01</f>
        <v>1787.01</v>
      </c>
      <c r="S4620">
        <f>1615.56</f>
        <v>1615.56</v>
      </c>
      <c r="T4620" t="e">
        <f>NA()</f>
        <v>#N/A</v>
      </c>
      <c r="U4620">
        <f>15661.79</f>
        <v>15661.79</v>
      </c>
      <c r="V4620" t="e">
        <f>NA()</f>
        <v>#N/A</v>
      </c>
    </row>
    <row r="4621" spans="1:22" x14ac:dyDescent="0.2">
      <c r="A4621" s="1">
        <v>38638</v>
      </c>
      <c r="B4621">
        <f>2958.54</f>
        <v>2958.54</v>
      </c>
      <c r="C4621">
        <f>3441.41</f>
        <v>3441.41</v>
      </c>
      <c r="D4621">
        <f>2845.03</f>
        <v>2845.03</v>
      </c>
      <c r="E4621">
        <f>978.077</f>
        <v>978.077</v>
      </c>
      <c r="F4621">
        <f>1652.65</f>
        <v>1652.65</v>
      </c>
      <c r="G4621">
        <f>5082.779</f>
        <v>5082.7790000000005</v>
      </c>
      <c r="H4621">
        <f>1517.63</f>
        <v>1517.63</v>
      </c>
      <c r="I4621">
        <f>4991.058</f>
        <v>4991.058</v>
      </c>
      <c r="J4621">
        <f>1178.52</f>
        <v>1178.52</v>
      </c>
      <c r="K4621">
        <f>3654.61</f>
        <v>3654.61</v>
      </c>
      <c r="L4621">
        <f>859.47</f>
        <v>859.47</v>
      </c>
      <c r="M4621">
        <f>3442.08</f>
        <v>3442.08</v>
      </c>
      <c r="N4621">
        <f>130.658</f>
        <v>130.65799999999999</v>
      </c>
      <c r="O4621">
        <f>1461.1</f>
        <v>1461.1</v>
      </c>
      <c r="P4621" t="e">
        <f>NA()</f>
        <v>#N/A</v>
      </c>
      <c r="Q4621">
        <f>639.05</f>
        <v>639.04999999999995</v>
      </c>
      <c r="R4621">
        <f>1772.36</f>
        <v>1772.36</v>
      </c>
      <c r="S4621">
        <f>1626.96</f>
        <v>1626.96</v>
      </c>
      <c r="T4621" t="e">
        <f>NA()</f>
        <v>#N/A</v>
      </c>
      <c r="U4621">
        <f>15935.3</f>
        <v>15935.3</v>
      </c>
      <c r="V4621" t="e">
        <f>NA()</f>
        <v>#N/A</v>
      </c>
    </row>
    <row r="4622" spans="1:22" x14ac:dyDescent="0.2">
      <c r="A4622" s="1">
        <v>38637</v>
      </c>
      <c r="B4622">
        <f>3006.24</f>
        <v>3006.24</v>
      </c>
      <c r="C4622">
        <f>3517.98</f>
        <v>3517.98</v>
      </c>
      <c r="D4622">
        <f>2886.6</f>
        <v>2886.6</v>
      </c>
      <c r="E4622">
        <f>1000.716</f>
        <v>1000.716</v>
      </c>
      <c r="F4622">
        <f>1672.56</f>
        <v>1672.56</v>
      </c>
      <c r="G4622">
        <f>5165.449</f>
        <v>5165.4489999999996</v>
      </c>
      <c r="H4622">
        <f>1532.61</f>
        <v>1532.61</v>
      </c>
      <c r="I4622">
        <f>5088.524</f>
        <v>5088.5240000000003</v>
      </c>
      <c r="J4622">
        <f>1181.32</f>
        <v>1181.32</v>
      </c>
      <c r="K4622">
        <f>3656.85</f>
        <v>3656.85</v>
      </c>
      <c r="L4622">
        <f>869.45</f>
        <v>869.45</v>
      </c>
      <c r="M4622">
        <f>3467.55</f>
        <v>3467.55</v>
      </c>
      <c r="N4622">
        <f>131.737</f>
        <v>131.73699999999999</v>
      </c>
      <c r="O4622">
        <f>1475.34</f>
        <v>1475.34</v>
      </c>
      <c r="P4622" t="e">
        <f>NA()</f>
        <v>#N/A</v>
      </c>
      <c r="Q4622">
        <f>637.42</f>
        <v>637.41999999999996</v>
      </c>
      <c r="R4622">
        <f>1773.6</f>
        <v>1773.6</v>
      </c>
      <c r="S4622">
        <f>1625.92</f>
        <v>1625.92</v>
      </c>
      <c r="T4622" t="e">
        <f>NA()</f>
        <v>#N/A</v>
      </c>
      <c r="U4622">
        <f>16332.45</f>
        <v>16332.45</v>
      </c>
      <c r="V4622" t="e">
        <f>NA()</f>
        <v>#N/A</v>
      </c>
    </row>
    <row r="4623" spans="1:22" x14ac:dyDescent="0.2">
      <c r="A4623" s="1">
        <v>38636</v>
      </c>
      <c r="B4623">
        <f>3028.52</f>
        <v>3028.52</v>
      </c>
      <c r="C4623">
        <f>3554.85</f>
        <v>3554.85</v>
      </c>
      <c r="D4623">
        <f>2907</f>
        <v>2907</v>
      </c>
      <c r="E4623">
        <f>1015.762</f>
        <v>1015.7619999999999</v>
      </c>
      <c r="F4623">
        <f>1685.22</f>
        <v>1685.22</v>
      </c>
      <c r="G4623">
        <f>5185.877</f>
        <v>5185.8770000000004</v>
      </c>
      <c r="H4623">
        <f>1537.65</f>
        <v>1537.65</v>
      </c>
      <c r="I4623">
        <f>5113.295</f>
        <v>5113.2950000000001</v>
      </c>
      <c r="J4623">
        <f>1185.66</f>
        <v>1185.6600000000001</v>
      </c>
      <c r="K4623">
        <f>3681.28</f>
        <v>3681.28</v>
      </c>
      <c r="L4623">
        <f>872.91</f>
        <v>872.91</v>
      </c>
      <c r="M4623">
        <f>3485.39</f>
        <v>3485.39</v>
      </c>
      <c r="N4623">
        <f>132.815</f>
        <v>132.815</v>
      </c>
      <c r="O4623">
        <f>1486.09</f>
        <v>1486.09</v>
      </c>
      <c r="P4623" t="e">
        <f>NA()</f>
        <v>#N/A</v>
      </c>
      <c r="Q4623">
        <f>638.33</f>
        <v>638.33000000000004</v>
      </c>
      <c r="R4623">
        <f>1784.22</f>
        <v>1784.22</v>
      </c>
      <c r="S4623">
        <f>1624.88</f>
        <v>1624.88</v>
      </c>
      <c r="T4623" t="e">
        <f>NA()</f>
        <v>#N/A</v>
      </c>
      <c r="U4623">
        <f>16303.9</f>
        <v>16303.9</v>
      </c>
      <c r="V4623" t="e">
        <f>NA()</f>
        <v>#N/A</v>
      </c>
    </row>
    <row r="4624" spans="1:22" x14ac:dyDescent="0.2">
      <c r="A4624" s="1">
        <v>38635</v>
      </c>
      <c r="B4624">
        <f>3026.69</f>
        <v>3026.69</v>
      </c>
      <c r="C4624">
        <f>3530.5</f>
        <v>3530.5</v>
      </c>
      <c r="D4624">
        <f>2903.69</f>
        <v>2903.69</v>
      </c>
      <c r="E4624">
        <f>1009.822</f>
        <v>1009.822</v>
      </c>
      <c r="F4624">
        <f>1688.87</f>
        <v>1688.87</v>
      </c>
      <c r="G4624">
        <f>5195.845</f>
        <v>5195.8450000000003</v>
      </c>
      <c r="H4624">
        <f>1506.72</f>
        <v>1506.72</v>
      </c>
      <c r="I4624">
        <f>5123.761</f>
        <v>5123.7610000000004</v>
      </c>
      <c r="J4624">
        <f>1186.46</f>
        <v>1186.46</v>
      </c>
      <c r="K4624">
        <f>3688.47</f>
        <v>3688.47</v>
      </c>
      <c r="L4624">
        <f>875.16</f>
        <v>875.16</v>
      </c>
      <c r="M4624">
        <f>3483.67</f>
        <v>3483.67</v>
      </c>
      <c r="N4624">
        <f>132.26</f>
        <v>132.26</v>
      </c>
      <c r="O4624">
        <f>1483.06</f>
        <v>1483.06</v>
      </c>
      <c r="P4624" t="e">
        <f>NA()</f>
        <v>#N/A</v>
      </c>
      <c r="Q4624">
        <f>642.26</f>
        <v>642.26</v>
      </c>
      <c r="R4624">
        <f>1787.8</f>
        <v>1787.8</v>
      </c>
      <c r="S4624" t="e">
        <f>NA()</f>
        <v>#N/A</v>
      </c>
      <c r="T4624" t="e">
        <f>NA()</f>
        <v>#N/A</v>
      </c>
      <c r="U4624">
        <f>16132.23</f>
        <v>16132.23</v>
      </c>
      <c r="V4624" t="e">
        <f>NA()</f>
        <v>#N/A</v>
      </c>
    </row>
    <row r="4625" spans="1:22" x14ac:dyDescent="0.2">
      <c r="A4625" s="1">
        <v>38632</v>
      </c>
      <c r="B4625">
        <f>3023.85</f>
        <v>3023.85</v>
      </c>
      <c r="C4625">
        <f>3508.03</f>
        <v>3508.03</v>
      </c>
      <c r="D4625">
        <f>2897.07</f>
        <v>2897.07</v>
      </c>
      <c r="E4625">
        <f>1002.24</f>
        <v>1002.24</v>
      </c>
      <c r="F4625">
        <f>1691.74</f>
        <v>1691.74</v>
      </c>
      <c r="G4625">
        <f>5206.678</f>
        <v>5206.6779999999999</v>
      </c>
      <c r="H4625">
        <f>1512.81</f>
        <v>1512.81</v>
      </c>
      <c r="I4625">
        <f>5143.558</f>
        <v>5143.558</v>
      </c>
      <c r="J4625">
        <f>1196.2</f>
        <v>1196.2</v>
      </c>
      <c r="K4625">
        <f>3714.93</f>
        <v>3714.93</v>
      </c>
      <c r="L4625">
        <f>878.75</f>
        <v>878.75</v>
      </c>
      <c r="M4625">
        <f>3500.51</f>
        <v>3500.51</v>
      </c>
      <c r="N4625">
        <f>131.466</f>
        <v>131.46600000000001</v>
      </c>
      <c r="O4625">
        <f>1478.98</f>
        <v>1478.98</v>
      </c>
      <c r="P4625" t="e">
        <f>NA()</f>
        <v>#N/A</v>
      </c>
      <c r="Q4625">
        <f>645.17</f>
        <v>645.16999999999996</v>
      </c>
      <c r="R4625">
        <f>1800.71</f>
        <v>1800.71</v>
      </c>
      <c r="S4625">
        <f>1586.19</f>
        <v>1586.19</v>
      </c>
      <c r="T4625" t="e">
        <f>NA()</f>
        <v>#N/A</v>
      </c>
      <c r="U4625">
        <f>16136.26</f>
        <v>16136.26</v>
      </c>
      <c r="V4625" t="e">
        <f>NA()</f>
        <v>#N/A</v>
      </c>
    </row>
    <row r="4626" spans="1:22" x14ac:dyDescent="0.2">
      <c r="A4626" s="1">
        <v>38631</v>
      </c>
      <c r="B4626">
        <f>3040.45</f>
        <v>3040.45</v>
      </c>
      <c r="C4626">
        <f>3498.97</f>
        <v>3498.97</v>
      </c>
      <c r="D4626">
        <f>2902.51</f>
        <v>2902.51</v>
      </c>
      <c r="E4626">
        <f>1001.191</f>
        <v>1001.191</v>
      </c>
      <c r="F4626">
        <f>1705.01</f>
        <v>1705.01</v>
      </c>
      <c r="G4626">
        <f>5256.262</f>
        <v>5256.2619999999997</v>
      </c>
      <c r="H4626">
        <f>1510.13</f>
        <v>1510.13</v>
      </c>
      <c r="I4626">
        <f>5163.6</f>
        <v>5163.6000000000004</v>
      </c>
      <c r="J4626">
        <f>1192.34</f>
        <v>1192.3399999999999</v>
      </c>
      <c r="K4626">
        <f>3701.21</f>
        <v>3701.21</v>
      </c>
      <c r="L4626">
        <f>881.19</f>
        <v>881.19</v>
      </c>
      <c r="M4626">
        <f>3499.59</f>
        <v>3499.59</v>
      </c>
      <c r="N4626">
        <f>132.237</f>
        <v>132.23699999999999</v>
      </c>
      <c r="O4626">
        <f>1485.6</f>
        <v>1485.6</v>
      </c>
      <c r="P4626" t="e">
        <f>NA()</f>
        <v>#N/A</v>
      </c>
      <c r="Q4626">
        <f>644.61</f>
        <v>644.61</v>
      </c>
      <c r="R4626">
        <f>1794.04</f>
        <v>1794.04</v>
      </c>
      <c r="S4626">
        <f>1584.86</f>
        <v>1584.86</v>
      </c>
      <c r="T4626" t="e">
        <f>NA()</f>
        <v>#N/A</v>
      </c>
      <c r="U4626">
        <f>16298.13</f>
        <v>16298.13</v>
      </c>
      <c r="V4626" t="e">
        <f>NA()</f>
        <v>#N/A</v>
      </c>
    </row>
    <row r="4627" spans="1:22" x14ac:dyDescent="0.2">
      <c r="A4627" s="1">
        <v>38630</v>
      </c>
      <c r="B4627">
        <f>3081.24</f>
        <v>3081.24</v>
      </c>
      <c r="C4627">
        <f>3583.1</f>
        <v>3583.1</v>
      </c>
      <c r="D4627">
        <f>2932.47</f>
        <v>2932.47</v>
      </c>
      <c r="E4627">
        <f>1025.611</f>
        <v>1025.6110000000001</v>
      </c>
      <c r="F4627">
        <f>1713.96</f>
        <v>1713.96</v>
      </c>
      <c r="G4627">
        <f>5275.105</f>
        <v>5275.1049999999996</v>
      </c>
      <c r="H4627">
        <f>1544.07</f>
        <v>1544.07</v>
      </c>
      <c r="I4627">
        <f>5145.311</f>
        <v>5145.3109999999997</v>
      </c>
      <c r="J4627">
        <f>1194.49</f>
        <v>1194.49</v>
      </c>
      <c r="K4627">
        <f>3717.2</f>
        <v>3717.2</v>
      </c>
      <c r="L4627">
        <f>883.95</f>
        <v>883.95</v>
      </c>
      <c r="M4627">
        <f>3520.46</f>
        <v>3520.46</v>
      </c>
      <c r="N4627">
        <f>134.367</f>
        <v>134.36699999999999</v>
      </c>
      <c r="O4627">
        <f>1506.09</f>
        <v>1506.09</v>
      </c>
      <c r="P4627" t="e">
        <f>NA()</f>
        <v>#N/A</v>
      </c>
      <c r="Q4627">
        <f>644.16</f>
        <v>644.16</v>
      </c>
      <c r="R4627">
        <f>1801.4</f>
        <v>1801.4</v>
      </c>
      <c r="S4627">
        <f>1629.12</f>
        <v>1629.12</v>
      </c>
      <c r="T4627" t="e">
        <f>NA()</f>
        <v>#N/A</v>
      </c>
      <c r="U4627">
        <f>16589.96</f>
        <v>16589.96</v>
      </c>
      <c r="V4627" t="e">
        <f>NA()</f>
        <v>#N/A</v>
      </c>
    </row>
    <row r="4628" spans="1:22" x14ac:dyDescent="0.2">
      <c r="A4628" s="1">
        <v>38629</v>
      </c>
      <c r="B4628">
        <f>3103.28</f>
        <v>3103.28</v>
      </c>
      <c r="C4628">
        <f>3655.64</f>
        <v>3655.64</v>
      </c>
      <c r="D4628">
        <f>2968.11</f>
        <v>2968.11</v>
      </c>
      <c r="E4628">
        <f>1042.794</f>
        <v>1042.7940000000001</v>
      </c>
      <c r="F4628">
        <f>1732.74</f>
        <v>1732.74</v>
      </c>
      <c r="G4628">
        <f>5338.292</f>
        <v>5338.2920000000004</v>
      </c>
      <c r="H4628">
        <f>1552.32</f>
        <v>1552.32</v>
      </c>
      <c r="I4628">
        <f>5183.223</f>
        <v>5183.223</v>
      </c>
      <c r="J4628">
        <f>1209.3</f>
        <v>1209.3</v>
      </c>
      <c r="K4628">
        <f>3772.35</f>
        <v>3772.35</v>
      </c>
      <c r="L4628">
        <f>894.09</f>
        <v>894.09</v>
      </c>
      <c r="M4628">
        <f>3565.65</f>
        <v>3565.65</v>
      </c>
      <c r="N4628">
        <f>134.991</f>
        <v>134.99100000000001</v>
      </c>
      <c r="O4628">
        <f>1522.64</f>
        <v>1522.64</v>
      </c>
      <c r="P4628" t="e">
        <f>NA()</f>
        <v>#N/A</v>
      </c>
      <c r="Q4628">
        <f>652.23</f>
        <v>652.23</v>
      </c>
      <c r="R4628">
        <f>1827.96</f>
        <v>1827.96</v>
      </c>
      <c r="S4628">
        <f>1643.18</f>
        <v>1643.18</v>
      </c>
      <c r="T4628" t="e">
        <f>NA()</f>
        <v>#N/A</v>
      </c>
      <c r="U4628">
        <f>16694.07</f>
        <v>16694.07</v>
      </c>
      <c r="V4628" t="e">
        <f>NA()</f>
        <v>#N/A</v>
      </c>
    </row>
    <row r="4629" spans="1:22" x14ac:dyDescent="0.2">
      <c r="A4629" s="1">
        <v>38628</v>
      </c>
      <c r="B4629">
        <f>3098.37</f>
        <v>3098.37</v>
      </c>
      <c r="C4629">
        <f>3658.96</f>
        <v>3658.96</v>
      </c>
      <c r="D4629">
        <f>2971.96</f>
        <v>2971.96</v>
      </c>
      <c r="E4629">
        <f>1039.267</f>
        <v>1039.2670000000001</v>
      </c>
      <c r="F4629">
        <f>1726.22</f>
        <v>1726.22</v>
      </c>
      <c r="G4629">
        <f>5326.434</f>
        <v>5326.4340000000002</v>
      </c>
      <c r="H4629">
        <f>1553.52</f>
        <v>1553.52</v>
      </c>
      <c r="I4629">
        <f>5151.276</f>
        <v>5151.2759999999998</v>
      </c>
      <c r="J4629">
        <f>1222.6</f>
        <v>1222.5999999999999</v>
      </c>
      <c r="K4629">
        <f>3810.7</f>
        <v>3810.7</v>
      </c>
      <c r="L4629">
        <f>895.39</f>
        <v>895.39</v>
      </c>
      <c r="M4629">
        <f>3578.05</f>
        <v>3578.05</v>
      </c>
      <c r="N4629">
        <f>134.808</f>
        <v>134.80799999999999</v>
      </c>
      <c r="O4629">
        <f>1518.51</f>
        <v>1518.51</v>
      </c>
      <c r="P4629" t="e">
        <f>NA()</f>
        <v>#N/A</v>
      </c>
      <c r="Q4629">
        <f>655.38</f>
        <v>655.38</v>
      </c>
      <c r="R4629">
        <f>1846.17</f>
        <v>1846.17</v>
      </c>
      <c r="S4629">
        <f>1630.99</f>
        <v>1630.99</v>
      </c>
      <c r="T4629" t="e">
        <f>NA()</f>
        <v>#N/A</v>
      </c>
      <c r="U4629">
        <f>16661.66</f>
        <v>16661.66</v>
      </c>
      <c r="V4629" t="e">
        <f>NA()</f>
        <v>#N/A</v>
      </c>
    </row>
    <row r="4630" spans="1:22" x14ac:dyDescent="0.2">
      <c r="A4630" s="1">
        <v>38625</v>
      </c>
      <c r="B4630">
        <f>3092.22</f>
        <v>3092.22</v>
      </c>
      <c r="C4630">
        <f>3655.31</f>
        <v>3655.31</v>
      </c>
      <c r="D4630">
        <f>2959.08</f>
        <v>2959.08</v>
      </c>
      <c r="E4630">
        <f>1038.902</f>
        <v>1038.902</v>
      </c>
      <c r="F4630">
        <f>1725.4</f>
        <v>1725.4</v>
      </c>
      <c r="G4630">
        <f>5348.647</f>
        <v>5348.6469999999999</v>
      </c>
      <c r="H4630">
        <f>1572.21</f>
        <v>1572.21</v>
      </c>
      <c r="I4630">
        <f>5174.929</f>
        <v>5174.9290000000001</v>
      </c>
      <c r="J4630">
        <f>1225.9</f>
        <v>1225.9000000000001</v>
      </c>
      <c r="K4630">
        <f>3815.12</f>
        <v>3815.12</v>
      </c>
      <c r="L4630">
        <f>898.13</f>
        <v>898.13</v>
      </c>
      <c r="M4630">
        <f>3588.41</f>
        <v>3588.41</v>
      </c>
      <c r="N4630">
        <f>133.511</f>
        <v>133.511</v>
      </c>
      <c r="O4630">
        <f>1505.7</f>
        <v>1505.7</v>
      </c>
      <c r="P4630" t="e">
        <f>NA()</f>
        <v>#N/A</v>
      </c>
      <c r="Q4630">
        <f>655.84</f>
        <v>655.84</v>
      </c>
      <c r="R4630">
        <f>1849.33</f>
        <v>1849.33</v>
      </c>
      <c r="S4630">
        <f>1632.15</f>
        <v>1632.15</v>
      </c>
      <c r="T4630" t="e">
        <f>NA()</f>
        <v>#N/A</v>
      </c>
      <c r="U4630">
        <f>16875.65</f>
        <v>16875.650000000001</v>
      </c>
      <c r="V4630" t="e">
        <f>NA()</f>
        <v>#N/A</v>
      </c>
    </row>
    <row r="4631" spans="1:22" x14ac:dyDescent="0.2">
      <c r="A4631" s="1">
        <v>38624</v>
      </c>
      <c r="B4631">
        <f>3087.25</f>
        <v>3087.25</v>
      </c>
      <c r="C4631">
        <f>3612.14</f>
        <v>3612.14</v>
      </c>
      <c r="D4631">
        <f>2959.36</f>
        <v>2959.36</v>
      </c>
      <c r="E4631">
        <f>1030.11</f>
        <v>1030.1099999999999</v>
      </c>
      <c r="F4631">
        <f>1721.08</f>
        <v>1721.08</v>
      </c>
      <c r="G4631">
        <f>5325.16</f>
        <v>5325.16</v>
      </c>
      <c r="H4631">
        <f>1598.4</f>
        <v>1598.4</v>
      </c>
      <c r="I4631">
        <f>5128.242</f>
        <v>5128.2420000000002</v>
      </c>
      <c r="J4631">
        <f>1229.02</f>
        <v>1229.02</v>
      </c>
      <c r="K4631">
        <f>3808.72</f>
        <v>3808.72</v>
      </c>
      <c r="L4631">
        <f>896.16</f>
        <v>896.16</v>
      </c>
      <c r="M4631">
        <f>3581.08</f>
        <v>3581.08</v>
      </c>
      <c r="N4631">
        <f>132.382</f>
        <v>132.38200000000001</v>
      </c>
      <c r="O4631">
        <f>1500.52</f>
        <v>1500.52</v>
      </c>
      <c r="P4631" t="e">
        <f>NA()</f>
        <v>#N/A</v>
      </c>
      <c r="Q4631">
        <f>653.79</f>
        <v>653.79</v>
      </c>
      <c r="R4631">
        <f>1847.62</f>
        <v>1847.62</v>
      </c>
      <c r="S4631">
        <f>1650.44</f>
        <v>1650.44</v>
      </c>
      <c r="T4631" t="e">
        <f>NA()</f>
        <v>#N/A</v>
      </c>
      <c r="U4631">
        <f>16668.51</f>
        <v>16668.509999999998</v>
      </c>
      <c r="V4631" t="e">
        <f>NA()</f>
        <v>#N/A</v>
      </c>
    </row>
    <row r="4632" spans="1:22" x14ac:dyDescent="0.2">
      <c r="A4632" s="1">
        <v>38623</v>
      </c>
      <c r="B4632">
        <f>3106.05</f>
        <v>3106.05</v>
      </c>
      <c r="C4632">
        <f>3583.83</f>
        <v>3583.83</v>
      </c>
      <c r="D4632">
        <f>2968.31</f>
        <v>2968.31</v>
      </c>
      <c r="E4632">
        <f>1021.47</f>
        <v>1021.47</v>
      </c>
      <c r="F4632">
        <f>1727.69</f>
        <v>1727.69</v>
      </c>
      <c r="G4632">
        <f>5341.072</f>
        <v>5341.0720000000001</v>
      </c>
      <c r="H4632">
        <f>1567.16</f>
        <v>1567.16</v>
      </c>
      <c r="I4632">
        <f>5143.203</f>
        <v>5143.2030000000004</v>
      </c>
      <c r="J4632">
        <f>1220.71</f>
        <v>1220.71</v>
      </c>
      <c r="K4632">
        <f>3775.04</f>
        <v>3775.04</v>
      </c>
      <c r="L4632">
        <f>894.36</f>
        <v>894.36</v>
      </c>
      <c r="M4632">
        <f>3556.82</f>
        <v>3556.82</v>
      </c>
      <c r="N4632">
        <f>133.017</f>
        <v>133.017</v>
      </c>
      <c r="O4632">
        <f>1506.52</f>
        <v>1506.52</v>
      </c>
      <c r="P4632" t="e">
        <f>NA()</f>
        <v>#N/A</v>
      </c>
      <c r="Q4632">
        <f>649.1</f>
        <v>649.1</v>
      </c>
      <c r="R4632">
        <f>1831.32</f>
        <v>1831.32</v>
      </c>
      <c r="S4632">
        <f>1619.63</f>
        <v>1619.63</v>
      </c>
      <c r="T4632" t="e">
        <f>NA()</f>
        <v>#N/A</v>
      </c>
      <c r="U4632">
        <f>16638.38</f>
        <v>16638.38</v>
      </c>
      <c r="V4632" t="e">
        <f>NA()</f>
        <v>#N/A</v>
      </c>
    </row>
    <row r="4633" spans="1:22" x14ac:dyDescent="0.2">
      <c r="A4633" s="1">
        <v>38622</v>
      </c>
      <c r="B4633">
        <f>3085.3</f>
        <v>3085.3</v>
      </c>
      <c r="C4633">
        <f>3567.63</f>
        <v>3567.63</v>
      </c>
      <c r="D4633">
        <f>2942.07</f>
        <v>2942.07</v>
      </c>
      <c r="E4633">
        <f>1017.497</f>
        <v>1017.497</v>
      </c>
      <c r="F4633">
        <f>1719.87</f>
        <v>1719.87</v>
      </c>
      <c r="G4633">
        <f>5309.19</f>
        <v>5309.19</v>
      </c>
      <c r="H4633">
        <f>1536.46</f>
        <v>1536.46</v>
      </c>
      <c r="I4633">
        <f>5089.286</f>
        <v>5089.2860000000001</v>
      </c>
      <c r="J4633">
        <f>1219.66</f>
        <v>1219.6600000000001</v>
      </c>
      <c r="K4633">
        <f>3771.63</f>
        <v>3771.63</v>
      </c>
      <c r="L4633">
        <f>889.56</f>
        <v>889.56</v>
      </c>
      <c r="M4633">
        <f>3538.26</f>
        <v>3538.26</v>
      </c>
      <c r="N4633">
        <f>132.004</f>
        <v>132.00399999999999</v>
      </c>
      <c r="O4633">
        <f>1492.82</f>
        <v>1492.82</v>
      </c>
      <c r="P4633" t="e">
        <f>NA()</f>
        <v>#N/A</v>
      </c>
      <c r="Q4633">
        <f>649.45</f>
        <v>649.45000000000005</v>
      </c>
      <c r="R4633">
        <f>1829.13</f>
        <v>1829.13</v>
      </c>
      <c r="S4633">
        <f>1591</f>
        <v>1591</v>
      </c>
      <c r="T4633" t="e">
        <f>NA()</f>
        <v>#N/A</v>
      </c>
      <c r="U4633">
        <f>16453.02</f>
        <v>16453.02</v>
      </c>
      <c r="V4633" t="e">
        <f>NA()</f>
        <v>#N/A</v>
      </c>
    </row>
    <row r="4634" spans="1:22" x14ac:dyDescent="0.2">
      <c r="A4634" s="1">
        <v>38621</v>
      </c>
      <c r="B4634">
        <f>3095.24</f>
        <v>3095.24</v>
      </c>
      <c r="C4634">
        <f>3559.24</f>
        <v>3559.24</v>
      </c>
      <c r="D4634">
        <f>2945.19</f>
        <v>2945.19</v>
      </c>
      <c r="E4634">
        <f>1013.497</f>
        <v>1013.497</v>
      </c>
      <c r="F4634">
        <f>1730.01</f>
        <v>1730.01</v>
      </c>
      <c r="G4634">
        <f>5339.12</f>
        <v>5339.12</v>
      </c>
      <c r="H4634">
        <f>1548.75</f>
        <v>1548.75</v>
      </c>
      <c r="I4634">
        <f>5116.168</f>
        <v>5116.1679999999997</v>
      </c>
      <c r="J4634">
        <f>1218.42</f>
        <v>1218.42</v>
      </c>
      <c r="K4634">
        <f>3772.96</f>
        <v>3772.96</v>
      </c>
      <c r="L4634">
        <f>892.32</f>
        <v>892.32</v>
      </c>
      <c r="M4634">
        <f>3548.56</f>
        <v>3548.56</v>
      </c>
      <c r="N4634">
        <f>132.552</f>
        <v>132.55199999999999</v>
      </c>
      <c r="O4634">
        <f>1497.24</f>
        <v>1497.24</v>
      </c>
      <c r="P4634" t="e">
        <f>NA()</f>
        <v>#N/A</v>
      </c>
      <c r="Q4634">
        <f>648.31</f>
        <v>648.30999999999995</v>
      </c>
      <c r="R4634">
        <f>1829.05</f>
        <v>1829.05</v>
      </c>
      <c r="S4634">
        <f>1596.18</f>
        <v>1596.18</v>
      </c>
      <c r="T4634" t="e">
        <f>NA()</f>
        <v>#N/A</v>
      </c>
      <c r="U4634">
        <f>16392.84</f>
        <v>16392.84</v>
      </c>
      <c r="V4634" t="e">
        <f>NA()</f>
        <v>#N/A</v>
      </c>
    </row>
    <row r="4635" spans="1:22" x14ac:dyDescent="0.2">
      <c r="A4635" s="1">
        <v>38618</v>
      </c>
      <c r="B4635">
        <f>3076.2</f>
        <v>3076.2</v>
      </c>
      <c r="C4635">
        <f>3546.87</f>
        <v>3546.87</v>
      </c>
      <c r="D4635">
        <f>2923.84</f>
        <v>2923.84</v>
      </c>
      <c r="E4635">
        <f>1006.229</f>
        <v>1006.229</v>
      </c>
      <c r="F4635">
        <f>1721.73</f>
        <v>1721.73</v>
      </c>
      <c r="G4635">
        <f>5311.238</f>
        <v>5311.2380000000003</v>
      </c>
      <c r="H4635">
        <f>1521.06</f>
        <v>1521.06</v>
      </c>
      <c r="I4635">
        <f>5060.82</f>
        <v>5060.82</v>
      </c>
      <c r="J4635">
        <f>1218.22</f>
        <v>1218.22</v>
      </c>
      <c r="K4635">
        <f>3770.75</f>
        <v>3770.75</v>
      </c>
      <c r="L4635">
        <f>887.65</f>
        <v>887.65</v>
      </c>
      <c r="M4635">
        <f>3527.93</f>
        <v>3527.93</v>
      </c>
      <c r="N4635">
        <f>130.996</f>
        <v>130.99600000000001</v>
      </c>
      <c r="O4635">
        <f>1479</f>
        <v>1479</v>
      </c>
      <c r="P4635" t="e">
        <f>NA()</f>
        <v>#N/A</v>
      </c>
      <c r="Q4635">
        <f>650.51</f>
        <v>650.51</v>
      </c>
      <c r="R4635">
        <f>1828.54</f>
        <v>1828.54</v>
      </c>
      <c r="S4635" t="e">
        <f>NA()</f>
        <v>#N/A</v>
      </c>
      <c r="T4635" t="e">
        <f>NA()</f>
        <v>#N/A</v>
      </c>
      <c r="U4635">
        <f>16140.45</f>
        <v>16140.45</v>
      </c>
      <c r="V4635" t="e">
        <f>NA()</f>
        <v>#N/A</v>
      </c>
    </row>
    <row r="4636" spans="1:22" x14ac:dyDescent="0.2">
      <c r="A4636" s="1">
        <v>38617</v>
      </c>
      <c r="B4636">
        <f>3072.11</f>
        <v>3072.11</v>
      </c>
      <c r="C4636">
        <f>3563.71</f>
        <v>3563.71</v>
      </c>
      <c r="D4636">
        <f>2908.81</f>
        <v>2908.81</v>
      </c>
      <c r="E4636">
        <f>1013.948</f>
        <v>1013.948</v>
      </c>
      <c r="F4636">
        <f>1721.26</f>
        <v>1721.26</v>
      </c>
      <c r="G4636">
        <f>5323.871</f>
        <v>5323.8710000000001</v>
      </c>
      <c r="H4636">
        <f>1529.65</f>
        <v>1529.65</v>
      </c>
      <c r="I4636">
        <f>5067.891</f>
        <v>5067.8909999999996</v>
      </c>
      <c r="J4636">
        <f>1219.34</f>
        <v>1219.3399999999999</v>
      </c>
      <c r="K4636">
        <f>3768.08</f>
        <v>3768.08</v>
      </c>
      <c r="L4636">
        <f>888.3</f>
        <v>888.3</v>
      </c>
      <c r="M4636">
        <f>3531.49</f>
        <v>3531.49</v>
      </c>
      <c r="N4636">
        <f>130.925</f>
        <v>130.92500000000001</v>
      </c>
      <c r="O4636">
        <f>1471.74</f>
        <v>1471.74</v>
      </c>
      <c r="P4636" t="e">
        <f>NA()</f>
        <v>#N/A</v>
      </c>
      <c r="Q4636">
        <f>648.39</f>
        <v>648.39</v>
      </c>
      <c r="R4636">
        <f>1827.54</f>
        <v>1827.54</v>
      </c>
      <c r="S4636">
        <f>1561.34</f>
        <v>1561.34</v>
      </c>
      <c r="T4636" t="e">
        <f>NA()</f>
        <v>#N/A</v>
      </c>
      <c r="U4636">
        <f>16227.98</f>
        <v>16227.98</v>
      </c>
      <c r="V4636" t="e">
        <f>NA()</f>
        <v>#N/A</v>
      </c>
    </row>
    <row r="4637" spans="1:22" x14ac:dyDescent="0.2">
      <c r="A4637" s="1">
        <v>38616</v>
      </c>
      <c r="B4637">
        <f>3070.9</f>
        <v>3070.9</v>
      </c>
      <c r="C4637">
        <f>3596.81</f>
        <v>3596.81</v>
      </c>
      <c r="D4637">
        <f>2900.14</f>
        <v>2900.14</v>
      </c>
      <c r="E4637">
        <f>1021.813</f>
        <v>1021.813</v>
      </c>
      <c r="F4637">
        <f>1742.96</f>
        <v>1742.96</v>
      </c>
      <c r="G4637">
        <f>5374.953</f>
        <v>5374.9530000000004</v>
      </c>
      <c r="H4637">
        <f>1519.03</f>
        <v>1519.03</v>
      </c>
      <c r="I4637">
        <f>5120.225</f>
        <v>5120.2250000000004</v>
      </c>
      <c r="J4637">
        <f>1217.47</f>
        <v>1217.47</v>
      </c>
      <c r="K4637">
        <f>3754.2</f>
        <v>3754.2</v>
      </c>
      <c r="L4637">
        <f>893.04</f>
        <v>893.04</v>
      </c>
      <c r="M4637">
        <f>3539.54</f>
        <v>3539.54</v>
      </c>
      <c r="N4637">
        <f>131.893</f>
        <v>131.893</v>
      </c>
      <c r="O4637">
        <f>1476.82</f>
        <v>1476.82</v>
      </c>
      <c r="P4637" t="e">
        <f>NA()</f>
        <v>#N/A</v>
      </c>
      <c r="Q4637">
        <f>643.79</f>
        <v>643.79</v>
      </c>
      <c r="R4637">
        <f>1820.49</f>
        <v>1820.49</v>
      </c>
      <c r="S4637">
        <f>1563.05</f>
        <v>1563.05</v>
      </c>
      <c r="T4637" t="e">
        <f>NA()</f>
        <v>#N/A</v>
      </c>
      <c r="U4637">
        <f>16435.15</f>
        <v>16435.150000000001</v>
      </c>
      <c r="V4637" t="e">
        <f>NA()</f>
        <v>#N/A</v>
      </c>
    </row>
    <row r="4638" spans="1:22" x14ac:dyDescent="0.2">
      <c r="A4638" s="1">
        <v>38615</v>
      </c>
      <c r="B4638">
        <f>3101.04</f>
        <v>3101.04</v>
      </c>
      <c r="C4638">
        <f>3575.88</f>
        <v>3575.88</v>
      </c>
      <c r="D4638">
        <f>2924.87</f>
        <v>2924.87</v>
      </c>
      <c r="E4638">
        <f>1016.18</f>
        <v>1016.18</v>
      </c>
      <c r="F4638">
        <f>1751.35</f>
        <v>1751.35</v>
      </c>
      <c r="G4638">
        <f>5396.051</f>
        <v>5396.0510000000004</v>
      </c>
      <c r="H4638">
        <f>1507.84</f>
        <v>1507.84</v>
      </c>
      <c r="I4638">
        <f>5154.413</f>
        <v>5154.4129999999996</v>
      </c>
      <c r="J4638">
        <f>1228.91</f>
        <v>1228.9100000000001</v>
      </c>
      <c r="K4638">
        <f>3789.57</f>
        <v>3789.57</v>
      </c>
      <c r="L4638">
        <f>899.33</f>
        <v>899.33</v>
      </c>
      <c r="M4638">
        <f>3559.82</f>
        <v>3559.82</v>
      </c>
      <c r="N4638">
        <f>133.384</f>
        <v>133.38399999999999</v>
      </c>
      <c r="O4638">
        <f>1491.89</f>
        <v>1491.89</v>
      </c>
      <c r="P4638" t="e">
        <f>NA()</f>
        <v>#N/A</v>
      </c>
      <c r="Q4638">
        <f>651.71</f>
        <v>651.71</v>
      </c>
      <c r="R4638">
        <f>1837.2</f>
        <v>1837.2</v>
      </c>
      <c r="S4638">
        <f>1557.09</f>
        <v>1557.09</v>
      </c>
      <c r="T4638" t="e">
        <f>NA()</f>
        <v>#N/A</v>
      </c>
      <c r="U4638">
        <f>16359.06</f>
        <v>16359.06</v>
      </c>
      <c r="V4638" t="e">
        <f>NA()</f>
        <v>#N/A</v>
      </c>
    </row>
    <row r="4639" spans="1:22" x14ac:dyDescent="0.2">
      <c r="A4639" s="1">
        <v>38614</v>
      </c>
      <c r="B4639">
        <f>3117.91</f>
        <v>3117.91</v>
      </c>
      <c r="C4639">
        <f>3553.26</f>
        <v>3553.26</v>
      </c>
      <c r="D4639">
        <f>2932.06</f>
        <v>2932.06</v>
      </c>
      <c r="E4639">
        <f>1009.093</f>
        <v>1009.093</v>
      </c>
      <c r="F4639">
        <f>1750.33</f>
        <v>1750.33</v>
      </c>
      <c r="G4639">
        <f>5411.883</f>
        <v>5411.8829999999998</v>
      </c>
      <c r="H4639">
        <f>1481.27</f>
        <v>1481.27</v>
      </c>
      <c r="I4639">
        <f>5120.934</f>
        <v>5120.9340000000002</v>
      </c>
      <c r="J4639">
        <f>1235.87</f>
        <v>1235.8699999999999</v>
      </c>
      <c r="K4639">
        <f>3818.35</f>
        <v>3818.35</v>
      </c>
      <c r="L4639">
        <f>899.1</f>
        <v>899.1</v>
      </c>
      <c r="M4639">
        <f>3563.87</f>
        <v>3563.87</v>
      </c>
      <c r="N4639">
        <f>133.69</f>
        <v>133.69</v>
      </c>
      <c r="O4639">
        <f>1490.3</f>
        <v>1490.3</v>
      </c>
      <c r="P4639" t="e">
        <f>NA()</f>
        <v>#N/A</v>
      </c>
      <c r="Q4639">
        <f>659.06</f>
        <v>659.06</v>
      </c>
      <c r="R4639">
        <f>1851.74</f>
        <v>1851.74</v>
      </c>
      <c r="S4639" t="e">
        <f>NA()</f>
        <v>#N/A</v>
      </c>
      <c r="T4639" t="e">
        <f>NA()</f>
        <v>#N/A</v>
      </c>
      <c r="U4639">
        <f>16472.83</f>
        <v>16472.830000000002</v>
      </c>
      <c r="V4639" t="e">
        <f>NA()</f>
        <v>#N/A</v>
      </c>
    </row>
    <row r="4640" spans="1:22" x14ac:dyDescent="0.2">
      <c r="A4640" s="1">
        <v>38611</v>
      </c>
      <c r="B4640">
        <f>3115.03</f>
        <v>3115.03</v>
      </c>
      <c r="C4640">
        <f>3533.77</f>
        <v>3533.77</v>
      </c>
      <c r="D4640">
        <f>2920.3</f>
        <v>2920.3</v>
      </c>
      <c r="E4640">
        <f>1004.955</f>
        <v>1004.955</v>
      </c>
      <c r="F4640">
        <f>1745.36</f>
        <v>1745.36</v>
      </c>
      <c r="G4640">
        <f>5388.943</f>
        <v>5388.9430000000002</v>
      </c>
      <c r="H4640">
        <f>1480.34</f>
        <v>1480.34</v>
      </c>
      <c r="I4640">
        <f>5158.726</f>
        <v>5158.7259999999997</v>
      </c>
      <c r="J4640">
        <f>1242.49</f>
        <v>1242.49</v>
      </c>
      <c r="K4640">
        <f>3839.12</f>
        <v>3839.12</v>
      </c>
      <c r="L4640">
        <f>901.66</f>
        <v>901.66</v>
      </c>
      <c r="M4640">
        <f>3575.44</f>
        <v>3575.44</v>
      </c>
      <c r="N4640">
        <f>133.403</f>
        <v>133.40299999999999</v>
      </c>
      <c r="O4640">
        <f>1486.53</f>
        <v>1486.53</v>
      </c>
      <c r="P4640" t="e">
        <f>NA()</f>
        <v>#N/A</v>
      </c>
      <c r="Q4640">
        <f>665.79</f>
        <v>665.79</v>
      </c>
      <c r="R4640">
        <f>1862.11</f>
        <v>1862.11</v>
      </c>
      <c r="S4640">
        <f>1529.82</f>
        <v>1529.82</v>
      </c>
      <c r="T4640" t="e">
        <f>NA()</f>
        <v>#N/A</v>
      </c>
      <c r="U4640">
        <f>16372.93</f>
        <v>16372.93</v>
      </c>
      <c r="V4640" t="e">
        <f>NA()</f>
        <v>#N/A</v>
      </c>
    </row>
    <row r="4641" spans="1:22" x14ac:dyDescent="0.2">
      <c r="A4641" s="1">
        <v>38610</v>
      </c>
      <c r="B4641">
        <f>3104.53</f>
        <v>3104.53</v>
      </c>
      <c r="C4641">
        <f>3514.06</f>
        <v>3514.06</v>
      </c>
      <c r="D4641">
        <f>2907.1</f>
        <v>2907.1</v>
      </c>
      <c r="E4641">
        <f>1001.258</f>
        <v>1001.258</v>
      </c>
      <c r="F4641">
        <f>1743.48</f>
        <v>1743.48</v>
      </c>
      <c r="G4641">
        <f>5366.03</f>
        <v>5366.03</v>
      </c>
      <c r="H4641">
        <f>1489.82</f>
        <v>1489.82</v>
      </c>
      <c r="I4641">
        <f>5124.384</f>
        <v>5124.384</v>
      </c>
      <c r="J4641">
        <f>1228.08</f>
        <v>1228.08</v>
      </c>
      <c r="K4641">
        <f>3808.23</f>
        <v>3808.23</v>
      </c>
      <c r="L4641">
        <f>894.93</f>
        <v>894.93</v>
      </c>
      <c r="M4641">
        <f>3555.7</f>
        <v>3555.7</v>
      </c>
      <c r="N4641">
        <f>132.647</f>
        <v>132.64699999999999</v>
      </c>
      <c r="O4641">
        <f>1478.21</f>
        <v>1478.21</v>
      </c>
      <c r="P4641" t="e">
        <f>NA()</f>
        <v>#N/A</v>
      </c>
      <c r="Q4641">
        <f>660.63</f>
        <v>660.63</v>
      </c>
      <c r="R4641">
        <f>1846.76</f>
        <v>1846.76</v>
      </c>
      <c r="S4641">
        <f>1528.04</f>
        <v>1528.04</v>
      </c>
      <c r="T4641" t="e">
        <f>NA()</f>
        <v>#N/A</v>
      </c>
      <c r="U4641">
        <f>16148.66</f>
        <v>16148.66</v>
      </c>
      <c r="V4641" t="e">
        <f>NA()</f>
        <v>#N/A</v>
      </c>
    </row>
    <row r="4642" spans="1:22" x14ac:dyDescent="0.2">
      <c r="A4642" s="1">
        <v>38609</v>
      </c>
      <c r="B4642">
        <f>3121.83</f>
        <v>3121.83</v>
      </c>
      <c r="C4642">
        <f>3500.3</f>
        <v>3500.3</v>
      </c>
      <c r="D4642">
        <f>2887.66</f>
        <v>2887.66</v>
      </c>
      <c r="E4642">
        <f>997.62</f>
        <v>997.62</v>
      </c>
      <c r="F4642">
        <f>1769.13</f>
        <v>1769.13</v>
      </c>
      <c r="G4642">
        <f>5398.517</f>
        <v>5398.5169999999998</v>
      </c>
      <c r="H4642">
        <f>1472.92</f>
        <v>1472.92</v>
      </c>
      <c r="I4642">
        <f>5158.459</f>
        <v>5158.4589999999998</v>
      </c>
      <c r="J4642">
        <f>1226.7</f>
        <v>1226.7</v>
      </c>
      <c r="K4642">
        <f>3805.51</f>
        <v>3805.51</v>
      </c>
      <c r="L4642">
        <f>898.06</f>
        <v>898.06</v>
      </c>
      <c r="M4642">
        <f>3559.52</f>
        <v>3559.52</v>
      </c>
      <c r="N4642">
        <f>133.411</f>
        <v>133.411</v>
      </c>
      <c r="O4642">
        <f>1476.74</f>
        <v>1476.74</v>
      </c>
      <c r="P4642" t="e">
        <f>NA()</f>
        <v>#N/A</v>
      </c>
      <c r="Q4642">
        <f>659.93</f>
        <v>659.93</v>
      </c>
      <c r="R4642">
        <f>1845.84</f>
        <v>1845.84</v>
      </c>
      <c r="S4642">
        <f>1510.83</f>
        <v>1510.83</v>
      </c>
      <c r="T4642" t="e">
        <f>NA()</f>
        <v>#N/A</v>
      </c>
      <c r="U4642">
        <f>15984.66</f>
        <v>15984.66</v>
      </c>
      <c r="V4642" t="e">
        <f>NA()</f>
        <v>#N/A</v>
      </c>
    </row>
    <row r="4643" spans="1:22" x14ac:dyDescent="0.2">
      <c r="A4643" s="1">
        <v>38608</v>
      </c>
      <c r="B4643">
        <f>3119.29</f>
        <v>3119.29</v>
      </c>
      <c r="C4643">
        <f>3492.47</f>
        <v>3492.47</v>
      </c>
      <c r="D4643">
        <f>2881.09</f>
        <v>2881.09</v>
      </c>
      <c r="E4643">
        <f>994.386</f>
        <v>994.38599999999997</v>
      </c>
      <c r="F4643">
        <f>1766.82</f>
        <v>1766.82</v>
      </c>
      <c r="G4643">
        <f>5371.623</f>
        <v>5371.6229999999996</v>
      </c>
      <c r="H4643">
        <f>1467.18</f>
        <v>1467.18</v>
      </c>
      <c r="I4643">
        <f>5125.882</f>
        <v>5125.8819999999996</v>
      </c>
      <c r="J4643">
        <f>1228.02</f>
        <v>1228.02</v>
      </c>
      <c r="K4643">
        <f>3818.98</f>
        <v>3818.98</v>
      </c>
      <c r="L4643">
        <f>894.69</f>
        <v>894.69</v>
      </c>
      <c r="M4643">
        <f>3556.39</f>
        <v>3556.39</v>
      </c>
      <c r="N4643">
        <f>132.887</f>
        <v>132.887</v>
      </c>
      <c r="O4643">
        <f>1471.58</f>
        <v>1471.58</v>
      </c>
      <c r="P4643" t="e">
        <f>NA()</f>
        <v>#N/A</v>
      </c>
      <c r="Q4643">
        <f>662.97</f>
        <v>662.97</v>
      </c>
      <c r="R4643">
        <f>1851.87</f>
        <v>1851.87</v>
      </c>
      <c r="S4643">
        <f>1514.76</f>
        <v>1514.76</v>
      </c>
      <c r="T4643" t="e">
        <f>NA()</f>
        <v>#N/A</v>
      </c>
      <c r="U4643">
        <f>15940.18</f>
        <v>15940.18</v>
      </c>
      <c r="V4643" t="e">
        <f>NA()</f>
        <v>#N/A</v>
      </c>
    </row>
    <row r="4644" spans="1:22" x14ac:dyDescent="0.2">
      <c r="A4644" s="1">
        <v>38607</v>
      </c>
      <c r="B4644">
        <f>3130.09</f>
        <v>3130.09</v>
      </c>
      <c r="C4644">
        <f>3513.02</f>
        <v>3513.02</v>
      </c>
      <c r="D4644">
        <f>2901.11</f>
        <v>2901.11</v>
      </c>
      <c r="E4644">
        <f>997.862</f>
        <v>997.86199999999997</v>
      </c>
      <c r="F4644">
        <f>1772.4</f>
        <v>1772.4</v>
      </c>
      <c r="G4644">
        <f>5408.091</f>
        <v>5408.0910000000003</v>
      </c>
      <c r="H4644">
        <f>1473.91</f>
        <v>1473.91</v>
      </c>
      <c r="I4644">
        <f>5166.765</f>
        <v>5166.7650000000003</v>
      </c>
      <c r="J4644">
        <f>1237.88</f>
        <v>1237.8800000000001</v>
      </c>
      <c r="K4644">
        <f>3846.37</f>
        <v>3846.37</v>
      </c>
      <c r="L4644">
        <f>900.21</f>
        <v>900.21</v>
      </c>
      <c r="M4644">
        <f>3579.73</f>
        <v>3579.73</v>
      </c>
      <c r="N4644">
        <f>134.607</f>
        <v>134.607</v>
      </c>
      <c r="O4644">
        <f>1482.09</f>
        <v>1482.09</v>
      </c>
      <c r="P4644" t="e">
        <f>NA()</f>
        <v>#N/A</v>
      </c>
      <c r="Q4644">
        <f>668.86</f>
        <v>668.86</v>
      </c>
      <c r="R4644">
        <f>1865.45</f>
        <v>1865.45</v>
      </c>
      <c r="S4644">
        <f>1507.89</f>
        <v>1507.89</v>
      </c>
      <c r="T4644" t="e">
        <f>NA()</f>
        <v>#N/A</v>
      </c>
      <c r="U4644">
        <f>16047.29</f>
        <v>16047.29</v>
      </c>
      <c r="V4644" t="e">
        <f>NA()</f>
        <v>#N/A</v>
      </c>
    </row>
    <row r="4645" spans="1:22" x14ac:dyDescent="0.2">
      <c r="A4645" s="1">
        <v>38604</v>
      </c>
      <c r="B4645">
        <f>3116.91</f>
        <v>3116.91</v>
      </c>
      <c r="C4645">
        <f>3504.56</f>
        <v>3504.56</v>
      </c>
      <c r="D4645">
        <f>2892.58</f>
        <v>2892.58</v>
      </c>
      <c r="E4645">
        <f>994.07</f>
        <v>994.07</v>
      </c>
      <c r="F4645">
        <f>1785.69</f>
        <v>1785.69</v>
      </c>
      <c r="G4645">
        <f>5443.363</f>
        <v>5443.3630000000003</v>
      </c>
      <c r="H4645">
        <f>1465.67</f>
        <v>1465.67</v>
      </c>
      <c r="I4645">
        <f>5223.289</f>
        <v>5223.2889999999998</v>
      </c>
      <c r="J4645">
        <f>1239.31</f>
        <v>1239.31</v>
      </c>
      <c r="K4645">
        <f>3847.32</f>
        <v>3847.32</v>
      </c>
      <c r="L4645">
        <f>905.75</f>
        <v>905.75</v>
      </c>
      <c r="M4645">
        <f>3587.84</f>
        <v>3587.84</v>
      </c>
      <c r="N4645">
        <f>134.179</f>
        <v>134.179</v>
      </c>
      <c r="O4645">
        <f>1478.54</f>
        <v>1478.54</v>
      </c>
      <c r="P4645" t="e">
        <f>NA()</f>
        <v>#N/A</v>
      </c>
      <c r="Q4645">
        <f>667.67</f>
        <v>667.67</v>
      </c>
      <c r="R4645">
        <f>1866.74</f>
        <v>1866.74</v>
      </c>
      <c r="S4645">
        <f>1488.96</f>
        <v>1488.96</v>
      </c>
      <c r="T4645" t="e">
        <f>NA()</f>
        <v>#N/A</v>
      </c>
      <c r="U4645">
        <f>15890.19</f>
        <v>15890.19</v>
      </c>
      <c r="V4645" t="e">
        <f>NA()</f>
        <v>#N/A</v>
      </c>
    </row>
    <row r="4646" spans="1:22" x14ac:dyDescent="0.2">
      <c r="A4646" s="1">
        <v>38603</v>
      </c>
      <c r="B4646">
        <f>3102.12</f>
        <v>3102.12</v>
      </c>
      <c r="C4646">
        <f>3480.81</f>
        <v>3480.81</v>
      </c>
      <c r="D4646">
        <f>2882.59</f>
        <v>2882.59</v>
      </c>
      <c r="E4646">
        <f>987.789</f>
        <v>987.78899999999999</v>
      </c>
      <c r="F4646">
        <f>1787.21</f>
        <v>1787.21</v>
      </c>
      <c r="G4646">
        <f>5425.957</f>
        <v>5425.9570000000003</v>
      </c>
      <c r="H4646">
        <f>1442.86</f>
        <v>1442.86</v>
      </c>
      <c r="I4646">
        <f>5195.828</f>
        <v>5195.8280000000004</v>
      </c>
      <c r="J4646">
        <f>1229.32</f>
        <v>1229.32</v>
      </c>
      <c r="K4646">
        <f>3817.47</f>
        <v>3817.47</v>
      </c>
      <c r="L4646">
        <f>901.31</f>
        <v>901.31</v>
      </c>
      <c r="M4646">
        <f>3558.6</f>
        <v>3558.6</v>
      </c>
      <c r="N4646">
        <f>133.896</f>
        <v>133.89599999999999</v>
      </c>
      <c r="O4646">
        <f>1473.64</f>
        <v>1473.64</v>
      </c>
      <c r="P4646" t="e">
        <f>NA()</f>
        <v>#N/A</v>
      </c>
      <c r="Q4646">
        <f>663.47</f>
        <v>663.47</v>
      </c>
      <c r="R4646">
        <f>1852</f>
        <v>1852</v>
      </c>
      <c r="S4646">
        <f>1472.33</f>
        <v>1472.33</v>
      </c>
      <c r="T4646" t="e">
        <f>NA()</f>
        <v>#N/A</v>
      </c>
      <c r="U4646">
        <f>15849.37</f>
        <v>15849.37</v>
      </c>
      <c r="V4646" t="e">
        <f>NA()</f>
        <v>#N/A</v>
      </c>
    </row>
    <row r="4647" spans="1:22" x14ac:dyDescent="0.2">
      <c r="A4647" s="1">
        <v>38602</v>
      </c>
      <c r="B4647">
        <f>3124.68</f>
        <v>3124.68</v>
      </c>
      <c r="C4647">
        <f>3479.84</f>
        <v>3479.84</v>
      </c>
      <c r="D4647">
        <f>2896.15</f>
        <v>2896.15</v>
      </c>
      <c r="E4647">
        <f>985.503</f>
        <v>985.50300000000004</v>
      </c>
      <c r="F4647">
        <f>1793.54</f>
        <v>1793.54</v>
      </c>
      <c r="G4647">
        <f>5446.965</f>
        <v>5446.9650000000001</v>
      </c>
      <c r="H4647">
        <f>1453.65</f>
        <v>1453.65</v>
      </c>
      <c r="I4647">
        <f>5215.705</f>
        <v>5215.7049999999999</v>
      </c>
      <c r="J4647">
        <f>1234.12</f>
        <v>1234.1199999999999</v>
      </c>
      <c r="K4647">
        <f>3832.08</f>
        <v>3832.08</v>
      </c>
      <c r="L4647">
        <f>904.6</f>
        <v>904.6</v>
      </c>
      <c r="M4647">
        <f>3573.16</f>
        <v>3573.16</v>
      </c>
      <c r="N4647">
        <f>133.798</f>
        <v>133.798</v>
      </c>
      <c r="O4647">
        <f>1475.7</f>
        <v>1475.7</v>
      </c>
      <c r="P4647" t="e">
        <f>NA()</f>
        <v>#N/A</v>
      </c>
      <c r="Q4647">
        <f>666.53</f>
        <v>666.53</v>
      </c>
      <c r="R4647">
        <f>1859</f>
        <v>1859</v>
      </c>
      <c r="S4647">
        <f>1479.94</f>
        <v>1479.94</v>
      </c>
      <c r="T4647" t="e">
        <f>NA()</f>
        <v>#N/A</v>
      </c>
      <c r="U4647">
        <f>15939.88</f>
        <v>15939.88</v>
      </c>
      <c r="V4647" t="e">
        <f>NA()</f>
        <v>#N/A</v>
      </c>
    </row>
    <row r="4648" spans="1:22" x14ac:dyDescent="0.2">
      <c r="A4648" s="1">
        <v>38601</v>
      </c>
      <c r="B4648">
        <f>3118.28</f>
        <v>3118.28</v>
      </c>
      <c r="C4648">
        <f>3475.87</f>
        <v>3475.87</v>
      </c>
      <c r="D4648">
        <f>2891.39</f>
        <v>2891.39</v>
      </c>
      <c r="E4648">
        <f>982.616</f>
        <v>982.61599999999999</v>
      </c>
      <c r="F4648">
        <f>1788.92</f>
        <v>1788.92</v>
      </c>
      <c r="G4648">
        <f>5445.028</f>
        <v>5445.0280000000002</v>
      </c>
      <c r="H4648">
        <f>1459.4</f>
        <v>1459.4</v>
      </c>
      <c r="I4648">
        <f>5209.086</f>
        <v>5209.0860000000002</v>
      </c>
      <c r="J4648">
        <f>1230.47</f>
        <v>1230.47</v>
      </c>
      <c r="K4648">
        <f>3821.61</f>
        <v>3821.61</v>
      </c>
      <c r="L4648">
        <f>903.82</f>
        <v>903.82</v>
      </c>
      <c r="M4648">
        <f>3567.35</f>
        <v>3567.35</v>
      </c>
      <c r="N4648">
        <f>132.894</f>
        <v>132.89400000000001</v>
      </c>
      <c r="O4648">
        <f>1469.79</f>
        <v>1469.79</v>
      </c>
      <c r="P4648" t="e">
        <f>NA()</f>
        <v>#N/A</v>
      </c>
      <c r="Q4648">
        <f>664.78</f>
        <v>664.78</v>
      </c>
      <c r="R4648">
        <f>1854.23</f>
        <v>1854.23</v>
      </c>
      <c r="S4648">
        <f>1480.83</f>
        <v>1480.83</v>
      </c>
      <c r="T4648" t="e">
        <f>NA()</f>
        <v>#N/A</v>
      </c>
      <c r="U4648">
        <f>15844.5</f>
        <v>15844.5</v>
      </c>
      <c r="V4648" t="e">
        <f>NA()</f>
        <v>#N/A</v>
      </c>
    </row>
    <row r="4649" spans="1:22" x14ac:dyDescent="0.2">
      <c r="A4649" s="1">
        <v>38600</v>
      </c>
      <c r="B4649">
        <f>3100.97</f>
        <v>3100.97</v>
      </c>
      <c r="C4649">
        <f>3459.94</f>
        <v>3459.94</v>
      </c>
      <c r="D4649">
        <f>2879.89</f>
        <v>2879.89</v>
      </c>
      <c r="E4649">
        <f>980.036</f>
        <v>980.03599999999994</v>
      </c>
      <c r="F4649">
        <f>1776.5</f>
        <v>1776.5</v>
      </c>
      <c r="G4649">
        <f>5426.114</f>
        <v>5426.1139999999996</v>
      </c>
      <c r="H4649">
        <f>1472.48</f>
        <v>1472.48</v>
      </c>
      <c r="I4649">
        <f>5175.228</f>
        <v>5175.2280000000001</v>
      </c>
      <c r="J4649">
        <f>1216.99</f>
        <v>1216.99</v>
      </c>
      <c r="K4649">
        <f>3774.83</f>
        <v>3774.83</v>
      </c>
      <c r="L4649">
        <f>897.46</f>
        <v>897.46</v>
      </c>
      <c r="M4649">
        <f>3541.11</f>
        <v>3541.11</v>
      </c>
      <c r="N4649">
        <f>132.079</f>
        <v>132.07900000000001</v>
      </c>
      <c r="O4649">
        <f>1456.71</f>
        <v>1456.71</v>
      </c>
      <c r="P4649" t="e">
        <f>NA()</f>
        <v>#N/A</v>
      </c>
      <c r="Q4649" t="e">
        <f>NA()</f>
        <v>#N/A</v>
      </c>
      <c r="R4649" t="e">
        <f>NA()</f>
        <v>#N/A</v>
      </c>
      <c r="S4649">
        <f>1485.74</f>
        <v>1485.74</v>
      </c>
      <c r="T4649" t="e">
        <f>NA()</f>
        <v>#N/A</v>
      </c>
      <c r="U4649">
        <f>15685.89</f>
        <v>15685.89</v>
      </c>
      <c r="V4649" t="e">
        <f>NA()</f>
        <v>#N/A</v>
      </c>
    </row>
    <row r="4650" spans="1:22" x14ac:dyDescent="0.2">
      <c r="A4650" s="1">
        <v>38597</v>
      </c>
      <c r="B4650">
        <f>3092.99</f>
        <v>3092.99</v>
      </c>
      <c r="C4650">
        <f>3453.08</f>
        <v>3453.08</v>
      </c>
      <c r="D4650">
        <f>2873.96</f>
        <v>2873.96</v>
      </c>
      <c r="E4650">
        <f>978.498</f>
        <v>978.49800000000005</v>
      </c>
      <c r="F4650">
        <f>1761.51</f>
        <v>1761.51</v>
      </c>
      <c r="G4650">
        <f>5409.476</f>
        <v>5409.4759999999997</v>
      </c>
      <c r="H4650">
        <f>1457.62</f>
        <v>1457.62</v>
      </c>
      <c r="I4650">
        <f>5159.906</f>
        <v>5159.9059999999999</v>
      </c>
      <c r="J4650">
        <f>1216.99</f>
        <v>1216.99</v>
      </c>
      <c r="K4650">
        <f>3774.83</f>
        <v>3774.83</v>
      </c>
      <c r="L4650">
        <f>895.43</f>
        <v>895.43</v>
      </c>
      <c r="M4650">
        <f>3533.52</f>
        <v>3533.52</v>
      </c>
      <c r="N4650">
        <f>131.521</f>
        <v>131.52099999999999</v>
      </c>
      <c r="O4650">
        <f>1449.61</f>
        <v>1449.61</v>
      </c>
      <c r="P4650" t="e">
        <f>NA()</f>
        <v>#N/A</v>
      </c>
      <c r="Q4650">
        <f>659.43</f>
        <v>659.43</v>
      </c>
      <c r="R4650">
        <f>1831.06</f>
        <v>1831.06</v>
      </c>
      <c r="S4650">
        <f>1476.8</f>
        <v>1476.8</v>
      </c>
      <c r="T4650" t="e">
        <f>NA()</f>
        <v>#N/A</v>
      </c>
      <c r="U4650">
        <f>15766.35</f>
        <v>15766.35</v>
      </c>
      <c r="V4650" t="e">
        <f>NA()</f>
        <v>#N/A</v>
      </c>
    </row>
    <row r="4651" spans="1:22" x14ac:dyDescent="0.2">
      <c r="A4651" s="1">
        <v>38596</v>
      </c>
      <c r="B4651">
        <f>3087.2</f>
        <v>3087.2</v>
      </c>
      <c r="C4651">
        <f>3411.51</f>
        <v>3411.51</v>
      </c>
      <c r="D4651">
        <f>2874.86</f>
        <v>2874.86</v>
      </c>
      <c r="E4651">
        <f>967.083</f>
        <v>967.08299999999997</v>
      </c>
      <c r="F4651">
        <f>1743.02</f>
        <v>1743.02</v>
      </c>
      <c r="G4651">
        <f>5376.344</f>
        <v>5376.3440000000001</v>
      </c>
      <c r="H4651">
        <f>1443.48</f>
        <v>1443.48</v>
      </c>
      <c r="I4651">
        <f>5132.113</f>
        <v>5132.1130000000003</v>
      </c>
      <c r="J4651">
        <f>1218.98</f>
        <v>1218.98</v>
      </c>
      <c r="K4651">
        <f>3785.53</f>
        <v>3785.53</v>
      </c>
      <c r="L4651">
        <f>892.75</f>
        <v>892.75</v>
      </c>
      <c r="M4651">
        <f>3530.33</f>
        <v>3530.33</v>
      </c>
      <c r="N4651">
        <f>131.204</f>
        <v>131.20400000000001</v>
      </c>
      <c r="O4651">
        <f>1450.82</f>
        <v>1450.82</v>
      </c>
      <c r="P4651" t="e">
        <f>NA()</f>
        <v>#N/A</v>
      </c>
      <c r="Q4651">
        <f>659.48</f>
        <v>659.48</v>
      </c>
      <c r="R4651">
        <f>1836.37</f>
        <v>1836.37</v>
      </c>
      <c r="S4651">
        <f>1470.51</f>
        <v>1470.51</v>
      </c>
      <c r="T4651" t="e">
        <f>NA()</f>
        <v>#N/A</v>
      </c>
      <c r="U4651">
        <f>15678.27</f>
        <v>15678.27</v>
      </c>
      <c r="V4651" t="e">
        <f>NA()</f>
        <v>#N/A</v>
      </c>
    </row>
    <row r="4652" spans="1:22" x14ac:dyDescent="0.2">
      <c r="A4652" s="1">
        <v>38595</v>
      </c>
      <c r="B4652">
        <f>3076.89</f>
        <v>3076.89</v>
      </c>
      <c r="C4652">
        <f>3362.17</f>
        <v>3362.17</v>
      </c>
      <c r="D4652">
        <f>2857.82</f>
        <v>2857.82</v>
      </c>
      <c r="E4652">
        <f>950.291</f>
        <v>950.29100000000005</v>
      </c>
      <c r="F4652">
        <f>1712.16</f>
        <v>1712.16</v>
      </c>
      <c r="G4652">
        <f>5255.77</f>
        <v>5255.77</v>
      </c>
      <c r="H4652">
        <f>1416.82</f>
        <v>1416.82</v>
      </c>
      <c r="I4652">
        <f>5032.957</f>
        <v>5032.9570000000003</v>
      </c>
      <c r="J4652">
        <f>1215.63</f>
        <v>1215.6300000000001</v>
      </c>
      <c r="K4652">
        <f>3782.7</f>
        <v>3782.7</v>
      </c>
      <c r="L4652">
        <f>879.97</f>
        <v>879.97</v>
      </c>
      <c r="M4652">
        <f>3496.58</f>
        <v>3496.58</v>
      </c>
      <c r="N4652">
        <f>129.803</f>
        <v>129.803</v>
      </c>
      <c r="O4652">
        <f>1439.79</f>
        <v>1439.79</v>
      </c>
      <c r="P4652" t="e">
        <f>NA()</f>
        <v>#N/A</v>
      </c>
      <c r="Q4652">
        <f>658.84</f>
        <v>658.84</v>
      </c>
      <c r="R4652">
        <f>1834.48</f>
        <v>1834.48</v>
      </c>
      <c r="S4652">
        <f>1463.56</f>
        <v>1463.56</v>
      </c>
      <c r="T4652" t="e">
        <f>NA()</f>
        <v>#N/A</v>
      </c>
      <c r="U4652">
        <f>15414.01</f>
        <v>15414.01</v>
      </c>
      <c r="V4652" t="e">
        <f>NA()</f>
        <v>#N/A</v>
      </c>
    </row>
    <row r="4653" spans="1:22" x14ac:dyDescent="0.2">
      <c r="A4653" s="1">
        <v>38594</v>
      </c>
      <c r="B4653">
        <f>3068.7</f>
        <v>3068.7</v>
      </c>
      <c r="C4653">
        <f>3322.86</f>
        <v>3322.86</v>
      </c>
      <c r="D4653">
        <f>2835.63</f>
        <v>2835.63</v>
      </c>
      <c r="E4653">
        <f>941.179</f>
        <v>941.17899999999997</v>
      </c>
      <c r="F4653">
        <f>1691.56</f>
        <v>1691.56</v>
      </c>
      <c r="G4653">
        <f>5173.938</f>
        <v>5173.9380000000001</v>
      </c>
      <c r="H4653">
        <f>1409.24</f>
        <v>1409.24</v>
      </c>
      <c r="I4653">
        <f>4943.393</f>
        <v>4943.393</v>
      </c>
      <c r="J4653">
        <f>1202.52</f>
        <v>1202.52</v>
      </c>
      <c r="K4653">
        <f>3743.97</f>
        <v>3743.97</v>
      </c>
      <c r="L4653">
        <f>867.9</f>
        <v>867.9</v>
      </c>
      <c r="M4653">
        <f>3456.72</f>
        <v>3456.72</v>
      </c>
      <c r="N4653">
        <f>129.162</f>
        <v>129.16200000000001</v>
      </c>
      <c r="O4653">
        <f>1427.72</f>
        <v>1427.72</v>
      </c>
      <c r="P4653" t="e">
        <f>NA()</f>
        <v>#N/A</v>
      </c>
      <c r="Q4653">
        <f>652.71</f>
        <v>652.71</v>
      </c>
      <c r="R4653">
        <f>1815.97</f>
        <v>1815.97</v>
      </c>
      <c r="S4653">
        <f>1466.22</f>
        <v>1466.22</v>
      </c>
      <c r="T4653" t="e">
        <f>NA()</f>
        <v>#N/A</v>
      </c>
      <c r="U4653">
        <f>15300.52</f>
        <v>15300.52</v>
      </c>
      <c r="V4653" t="e">
        <f>NA()</f>
        <v>#N/A</v>
      </c>
    </row>
    <row r="4654" spans="1:22" x14ac:dyDescent="0.2">
      <c r="A4654" s="1">
        <v>38593</v>
      </c>
      <c r="B4654">
        <f>3071.09</f>
        <v>3071.09</v>
      </c>
      <c r="C4654">
        <f>3311.41</f>
        <v>3311.41</v>
      </c>
      <c r="D4654" t="e">
        <f>NA()</f>
        <v>#N/A</v>
      </c>
      <c r="E4654">
        <f>939.395</f>
        <v>939.39499999999998</v>
      </c>
      <c r="F4654">
        <f>1705.75</f>
        <v>1705.75</v>
      </c>
      <c r="G4654">
        <f>5197.743</f>
        <v>5197.7430000000004</v>
      </c>
      <c r="H4654">
        <f>1400.92</f>
        <v>1400.92</v>
      </c>
      <c r="I4654">
        <f>4981.072</f>
        <v>4981.0720000000001</v>
      </c>
      <c r="J4654">
        <f>1206.78</f>
        <v>1206.78</v>
      </c>
      <c r="K4654">
        <f>3755.55</f>
        <v>3755.55</v>
      </c>
      <c r="L4654">
        <f>871.38</f>
        <v>871.38</v>
      </c>
      <c r="M4654">
        <f>3466.6</f>
        <v>3466.6</v>
      </c>
      <c r="N4654">
        <f>129.536</f>
        <v>129.536</v>
      </c>
      <c r="O4654">
        <f>1428.85</f>
        <v>1428.85</v>
      </c>
      <c r="P4654" t="e">
        <f>NA()</f>
        <v>#N/A</v>
      </c>
      <c r="Q4654">
        <f>656.81</f>
        <v>656.81</v>
      </c>
      <c r="R4654">
        <f>1821.56</f>
        <v>1821.56</v>
      </c>
      <c r="S4654">
        <f>1448.99</f>
        <v>1448.99</v>
      </c>
      <c r="T4654" t="e">
        <f>NA()</f>
        <v>#N/A</v>
      </c>
      <c r="U4654">
        <f>15266.42</f>
        <v>15266.42</v>
      </c>
      <c r="V4654" t="e">
        <f>NA()</f>
        <v>#N/A</v>
      </c>
    </row>
    <row r="4655" spans="1:22" x14ac:dyDescent="0.2">
      <c r="A4655" s="1">
        <v>38590</v>
      </c>
      <c r="B4655">
        <f>3071.09</f>
        <v>3071.09</v>
      </c>
      <c r="C4655">
        <f>3327.38</f>
        <v>3327.38</v>
      </c>
      <c r="D4655">
        <f>2820.67</f>
        <v>2820.67</v>
      </c>
      <c r="E4655">
        <f>947.572</f>
        <v>947.572</v>
      </c>
      <c r="F4655">
        <f>1711.29</f>
        <v>1711.29</v>
      </c>
      <c r="G4655">
        <f>5214.613</f>
        <v>5214.6130000000003</v>
      </c>
      <c r="H4655">
        <f>1426.28</f>
        <v>1426.28</v>
      </c>
      <c r="I4655">
        <f>4988.921</f>
        <v>4988.9210000000003</v>
      </c>
      <c r="J4655">
        <f>1199.14</f>
        <v>1199.1400000000001</v>
      </c>
      <c r="K4655">
        <f>3732.52</f>
        <v>3732.52</v>
      </c>
      <c r="L4655">
        <f>871.66</f>
        <v>871.66</v>
      </c>
      <c r="M4655">
        <f>3465.8</f>
        <v>3465.8</v>
      </c>
      <c r="N4655">
        <f>129.399</f>
        <v>129.399</v>
      </c>
      <c r="O4655">
        <f>1423.9</f>
        <v>1423.9</v>
      </c>
      <c r="P4655" t="e">
        <f>NA()</f>
        <v>#N/A</v>
      </c>
      <c r="Q4655">
        <f>652.82</f>
        <v>652.82000000000005</v>
      </c>
      <c r="R4655">
        <f>1810.52</f>
        <v>1810.52</v>
      </c>
      <c r="S4655">
        <f>1464.9</f>
        <v>1464.9</v>
      </c>
      <c r="T4655" t="e">
        <f>NA()</f>
        <v>#N/A</v>
      </c>
      <c r="U4655">
        <f>15298.74</f>
        <v>15298.74</v>
      </c>
      <c r="V4655" t="e">
        <f>NA()</f>
        <v>#N/A</v>
      </c>
    </row>
    <row r="4656" spans="1:22" x14ac:dyDescent="0.2">
      <c r="A4656" s="1">
        <v>38589</v>
      </c>
      <c r="B4656">
        <f>3064.69</f>
        <v>3064.69</v>
      </c>
      <c r="C4656">
        <f>3336.02</f>
        <v>3336.02</v>
      </c>
      <c r="D4656">
        <f>2835.56</f>
        <v>2835.56</v>
      </c>
      <c r="E4656">
        <f>948.608</f>
        <v>948.60799999999995</v>
      </c>
      <c r="F4656">
        <f>1711</f>
        <v>1711</v>
      </c>
      <c r="G4656">
        <f>5222.967</f>
        <v>5222.9669999999996</v>
      </c>
      <c r="H4656">
        <f>1415.74</f>
        <v>1415.74</v>
      </c>
      <c r="I4656">
        <f>5008.256</f>
        <v>5008.2560000000003</v>
      </c>
      <c r="J4656">
        <f>1207.59</f>
        <v>1207.5899999999999</v>
      </c>
      <c r="K4656">
        <f>3755.26</f>
        <v>3755.26</v>
      </c>
      <c r="L4656">
        <f>875.39</f>
        <v>875.39</v>
      </c>
      <c r="M4656">
        <f>3478.23</f>
        <v>3478.23</v>
      </c>
      <c r="N4656">
        <f>130.207</f>
        <v>130.20699999999999</v>
      </c>
      <c r="O4656">
        <f>1433.93</f>
        <v>1433.93</v>
      </c>
      <c r="P4656" t="e">
        <f>NA()</f>
        <v>#N/A</v>
      </c>
      <c r="Q4656">
        <f>656.28</f>
        <v>656.28</v>
      </c>
      <c r="R4656">
        <f>1821.46</f>
        <v>1821.46</v>
      </c>
      <c r="S4656">
        <f>1459.69</f>
        <v>1459.69</v>
      </c>
      <c r="T4656" t="e">
        <f>NA()</f>
        <v>#N/A</v>
      </c>
      <c r="U4656">
        <f>15382.89</f>
        <v>15382.89</v>
      </c>
      <c r="V4656" t="e">
        <f>NA()</f>
        <v>#N/A</v>
      </c>
    </row>
    <row r="4657" spans="1:22" x14ac:dyDescent="0.2">
      <c r="A4657" s="1">
        <v>38588</v>
      </c>
      <c r="B4657">
        <f>3073.1</f>
        <v>3073.1</v>
      </c>
      <c r="C4657">
        <f>3329.44</f>
        <v>3329.44</v>
      </c>
      <c r="D4657">
        <f>2846.12</f>
        <v>2846.12</v>
      </c>
      <c r="E4657">
        <f>946.602</f>
        <v>946.60199999999998</v>
      </c>
      <c r="F4657">
        <f>1709.27</f>
        <v>1709.27</v>
      </c>
      <c r="G4657">
        <f>5231.966</f>
        <v>5231.9660000000003</v>
      </c>
      <c r="H4657">
        <f>1416.87</f>
        <v>1416.87</v>
      </c>
      <c r="I4657">
        <f>5035.14</f>
        <v>5035.1400000000003</v>
      </c>
      <c r="J4657">
        <f>1204.67</f>
        <v>1204.67</v>
      </c>
      <c r="K4657">
        <f>3746.49</f>
        <v>3746.49</v>
      </c>
      <c r="L4657">
        <f>875.84</f>
        <v>875.84</v>
      </c>
      <c r="M4657">
        <f>3478.29</f>
        <v>3478.29</v>
      </c>
      <c r="N4657">
        <f>130.861</f>
        <v>130.86099999999999</v>
      </c>
      <c r="O4657">
        <f>1444.27</f>
        <v>1444.27</v>
      </c>
      <c r="P4657" t="e">
        <f>NA()</f>
        <v>#N/A</v>
      </c>
      <c r="Q4657">
        <f>654.03</f>
        <v>654.03</v>
      </c>
      <c r="R4657">
        <f>1817.22</f>
        <v>1817.22</v>
      </c>
      <c r="S4657">
        <f>1468.37</f>
        <v>1468.37</v>
      </c>
      <c r="T4657" t="e">
        <f>NA()</f>
        <v>#N/A</v>
      </c>
      <c r="U4657">
        <f>15435.07</f>
        <v>15435.07</v>
      </c>
      <c r="V4657" t="e">
        <f>NA()</f>
        <v>#N/A</v>
      </c>
    </row>
    <row r="4658" spans="1:22" x14ac:dyDescent="0.2">
      <c r="A4658" s="1">
        <v>38587</v>
      </c>
      <c r="B4658">
        <f>3077.99</f>
        <v>3077.99</v>
      </c>
      <c r="C4658">
        <f>3358.99</f>
        <v>3358.99</v>
      </c>
      <c r="D4658">
        <f>2858.41</f>
        <v>2858.41</v>
      </c>
      <c r="E4658">
        <f>954.986</f>
        <v>954.98599999999999</v>
      </c>
      <c r="F4658">
        <f>1713.24</f>
        <v>1713.24</v>
      </c>
      <c r="G4658">
        <f>5255.046</f>
        <v>5255.0460000000003</v>
      </c>
      <c r="H4658">
        <f>1421.61</f>
        <v>1421.61</v>
      </c>
      <c r="I4658">
        <f>5027.915</f>
        <v>5027.915</v>
      </c>
      <c r="J4658">
        <f>1213.95</f>
        <v>1213.95</v>
      </c>
      <c r="K4658">
        <f>3769.99</f>
        <v>3769.99</v>
      </c>
      <c r="L4658">
        <f>878.64</f>
        <v>878.64</v>
      </c>
      <c r="M4658">
        <f>3490.59</f>
        <v>3490.59</v>
      </c>
      <c r="N4658">
        <f>131.776</f>
        <v>131.77600000000001</v>
      </c>
      <c r="O4658">
        <f>1451.3</f>
        <v>1451.3</v>
      </c>
      <c r="P4658" t="e">
        <f>NA()</f>
        <v>#N/A</v>
      </c>
      <c r="Q4658">
        <f>659.38</f>
        <v>659.38</v>
      </c>
      <c r="R4658">
        <f>1829.11</f>
        <v>1829.11</v>
      </c>
      <c r="S4658">
        <f>1464.22</f>
        <v>1464.22</v>
      </c>
      <c r="T4658" t="e">
        <f>NA()</f>
        <v>#N/A</v>
      </c>
      <c r="U4658">
        <f>15675.66</f>
        <v>15675.66</v>
      </c>
      <c r="V4658" t="e">
        <f>NA()</f>
        <v>#N/A</v>
      </c>
    </row>
    <row r="4659" spans="1:22" x14ac:dyDescent="0.2">
      <c r="A4659" s="1">
        <v>38586</v>
      </c>
      <c r="B4659">
        <f>3075.97</f>
        <v>3075.97</v>
      </c>
      <c r="C4659">
        <f>3372.54</f>
        <v>3372.54</v>
      </c>
      <c r="D4659">
        <f>2868.23</f>
        <v>2868.23</v>
      </c>
      <c r="E4659">
        <f>959.35</f>
        <v>959.35</v>
      </c>
      <c r="F4659">
        <f>1720.26</f>
        <v>1720.26</v>
      </c>
      <c r="G4659">
        <f>5283.867</f>
        <v>5283.8670000000002</v>
      </c>
      <c r="H4659">
        <f>1422</f>
        <v>1422</v>
      </c>
      <c r="I4659">
        <f>5078.511</f>
        <v>5078.5110000000004</v>
      </c>
      <c r="J4659">
        <f>1218.86</f>
        <v>1218.8599999999999</v>
      </c>
      <c r="K4659">
        <f>3781.55</f>
        <v>3781.55</v>
      </c>
      <c r="L4659">
        <f>884.39</f>
        <v>884.39</v>
      </c>
      <c r="M4659">
        <f>3506.04</f>
        <v>3506.04</v>
      </c>
      <c r="N4659">
        <f>132.832</f>
        <v>132.83199999999999</v>
      </c>
      <c r="O4659">
        <f>1459.9</f>
        <v>1459.9</v>
      </c>
      <c r="P4659" t="e">
        <f>NA()</f>
        <v>#N/A</v>
      </c>
      <c r="Q4659">
        <f>661.76</f>
        <v>661.76</v>
      </c>
      <c r="R4659">
        <f>1835.32</f>
        <v>1835.32</v>
      </c>
      <c r="S4659">
        <f>1461.71</f>
        <v>1461.71</v>
      </c>
      <c r="T4659" t="e">
        <f>NA()</f>
        <v>#N/A</v>
      </c>
      <c r="U4659">
        <f>15679.91</f>
        <v>15679.91</v>
      </c>
      <c r="V4659" t="e">
        <f>NA()</f>
        <v>#N/A</v>
      </c>
    </row>
    <row r="4660" spans="1:22" x14ac:dyDescent="0.2">
      <c r="A4660" s="1">
        <v>38583</v>
      </c>
      <c r="B4660">
        <f>3065.37</f>
        <v>3065.37</v>
      </c>
      <c r="C4660">
        <f>3323.38</f>
        <v>3323.38</v>
      </c>
      <c r="D4660">
        <f>2865.09</f>
        <v>2865.09</v>
      </c>
      <c r="E4660">
        <f>946.244</f>
        <v>946.24400000000003</v>
      </c>
      <c r="F4660">
        <f>1709.56</f>
        <v>1709.56</v>
      </c>
      <c r="G4660">
        <f>5246.406</f>
        <v>5246.4059999999999</v>
      </c>
      <c r="H4660">
        <f>1390.76</f>
        <v>1390.76</v>
      </c>
      <c r="I4660">
        <f>5037.43</f>
        <v>5037.43</v>
      </c>
      <c r="J4660">
        <f>1216.62</f>
        <v>1216.6199999999999</v>
      </c>
      <c r="K4660">
        <f>3775.15</f>
        <v>3775.15</v>
      </c>
      <c r="L4660">
        <f>879.2</f>
        <v>879.2</v>
      </c>
      <c r="M4660">
        <f>3483.44</f>
        <v>3483.44</v>
      </c>
      <c r="N4660">
        <f>132.358</f>
        <v>132.358</v>
      </c>
      <c r="O4660">
        <f>1460.21</f>
        <v>1460.21</v>
      </c>
      <c r="P4660" t="e">
        <f>NA()</f>
        <v>#N/A</v>
      </c>
      <c r="Q4660">
        <f>660.49</f>
        <v>660.49</v>
      </c>
      <c r="R4660">
        <f>1832.29</f>
        <v>1832.29</v>
      </c>
      <c r="S4660">
        <f>1439.48</f>
        <v>1439.48</v>
      </c>
      <c r="T4660" t="e">
        <f>NA()</f>
        <v>#N/A</v>
      </c>
      <c r="U4660">
        <f>15625.59</f>
        <v>15625.59</v>
      </c>
      <c r="V4660" t="e">
        <f>NA()</f>
        <v>#N/A</v>
      </c>
    </row>
    <row r="4661" spans="1:22" x14ac:dyDescent="0.2">
      <c r="A4661" s="1">
        <v>38582</v>
      </c>
      <c r="B4661">
        <f>3040.52</f>
        <v>3040.52</v>
      </c>
      <c r="C4661">
        <f>3349.01</f>
        <v>3349.01</v>
      </c>
      <c r="D4661">
        <f>2841.74</f>
        <v>2841.74</v>
      </c>
      <c r="E4661">
        <f>952.46</f>
        <v>952.46</v>
      </c>
      <c r="F4661">
        <f>1704.17</f>
        <v>1704.17</v>
      </c>
      <c r="G4661">
        <f>5211.888</f>
        <v>5211.8879999999999</v>
      </c>
      <c r="H4661">
        <f>1400.74</f>
        <v>1400.74</v>
      </c>
      <c r="I4661">
        <f>5000.595</f>
        <v>5000.5950000000003</v>
      </c>
      <c r="J4661">
        <f>1215.9</f>
        <v>1215.9000000000001</v>
      </c>
      <c r="K4661">
        <f>3772.44</f>
        <v>3772.44</v>
      </c>
      <c r="L4661">
        <f>876.02</f>
        <v>876.02</v>
      </c>
      <c r="M4661">
        <f>3474.46</f>
        <v>3474.46</v>
      </c>
      <c r="N4661">
        <f>131.653</f>
        <v>131.65299999999999</v>
      </c>
      <c r="O4661">
        <f>1445.41</f>
        <v>1445.41</v>
      </c>
      <c r="P4661" t="e">
        <f>NA()</f>
        <v>#N/A</v>
      </c>
      <c r="Q4661">
        <f>661.55</f>
        <v>661.55</v>
      </c>
      <c r="R4661">
        <f>1831.09</f>
        <v>1831.09</v>
      </c>
      <c r="S4661">
        <f>1442.29</f>
        <v>1442.29</v>
      </c>
      <c r="T4661" t="e">
        <f>NA()</f>
        <v>#N/A</v>
      </c>
      <c r="U4661">
        <f>15473.6</f>
        <v>15473.6</v>
      </c>
      <c r="V4661" t="e">
        <f>NA()</f>
        <v>#N/A</v>
      </c>
    </row>
    <row r="4662" spans="1:22" x14ac:dyDescent="0.2">
      <c r="A4662" s="1">
        <v>38581</v>
      </c>
      <c r="B4662">
        <f>3044.97</f>
        <v>3044.97</v>
      </c>
      <c r="C4662">
        <f>3386.63</f>
        <v>3386.63</v>
      </c>
      <c r="D4662">
        <f>2854.35</f>
        <v>2854.35</v>
      </c>
      <c r="E4662">
        <f>964.374</f>
        <v>964.37400000000002</v>
      </c>
      <c r="F4662">
        <f>1728.95</f>
        <v>1728.95</v>
      </c>
      <c r="G4662">
        <f>5281.972</f>
        <v>5281.9719999999998</v>
      </c>
      <c r="H4662">
        <f>1407.7</f>
        <v>1407.7</v>
      </c>
      <c r="I4662">
        <f>5074.084</f>
        <v>5074.0839999999998</v>
      </c>
      <c r="J4662">
        <f>1214.53</f>
        <v>1214.53</v>
      </c>
      <c r="K4662">
        <f>3776.61</f>
        <v>3776.61</v>
      </c>
      <c r="L4662">
        <f>883.82</f>
        <v>883.82</v>
      </c>
      <c r="M4662">
        <f>3497.73</f>
        <v>3497.73</v>
      </c>
      <c r="N4662">
        <f>131.834</f>
        <v>131.834</v>
      </c>
      <c r="O4662">
        <f>1450.1</f>
        <v>1450.1</v>
      </c>
      <c r="P4662" t="e">
        <f>NA()</f>
        <v>#N/A</v>
      </c>
      <c r="Q4662">
        <f>661.91</f>
        <v>661.91</v>
      </c>
      <c r="R4662">
        <f>1832.82</f>
        <v>1832.82</v>
      </c>
      <c r="S4662">
        <f>1439.01</f>
        <v>1439.01</v>
      </c>
      <c r="T4662" t="e">
        <f>NA()</f>
        <v>#N/A</v>
      </c>
      <c r="U4662">
        <f>15515.28</f>
        <v>15515.28</v>
      </c>
      <c r="V4662" t="e">
        <f>NA()</f>
        <v>#N/A</v>
      </c>
    </row>
    <row r="4663" spans="1:22" x14ac:dyDescent="0.2">
      <c r="A4663" s="1">
        <v>38580</v>
      </c>
      <c r="B4663">
        <f>3066.46</f>
        <v>3066.46</v>
      </c>
      <c r="C4663">
        <f>3404.94</f>
        <v>3404.94</v>
      </c>
      <c r="D4663">
        <f>2865.21</f>
        <v>2865.21</v>
      </c>
      <c r="E4663">
        <f>967.402</f>
        <v>967.40200000000004</v>
      </c>
      <c r="F4663">
        <f>1734.78</f>
        <v>1734.78</v>
      </c>
      <c r="G4663">
        <f>5302.092</f>
        <v>5302.0919999999996</v>
      </c>
      <c r="H4663">
        <f>1415.35</f>
        <v>1415.35</v>
      </c>
      <c r="I4663">
        <f>5092.892</f>
        <v>5092.8919999999998</v>
      </c>
      <c r="J4663">
        <f>1215.69</f>
        <v>1215.69</v>
      </c>
      <c r="K4663">
        <f>3772.93</f>
        <v>3772.93</v>
      </c>
      <c r="L4663">
        <f>885.86</f>
        <v>885.86</v>
      </c>
      <c r="M4663">
        <f>3503.73</f>
        <v>3503.73</v>
      </c>
      <c r="N4663">
        <f>131.266</f>
        <v>131.26599999999999</v>
      </c>
      <c r="O4663">
        <f>1452.32</f>
        <v>1452.32</v>
      </c>
      <c r="P4663" t="e">
        <f>NA()</f>
        <v>#N/A</v>
      </c>
      <c r="Q4663">
        <f>659.56</f>
        <v>659.56</v>
      </c>
      <c r="R4663">
        <f>1830.99</f>
        <v>1830.99</v>
      </c>
      <c r="S4663">
        <f>1441.34</f>
        <v>1441.34</v>
      </c>
      <c r="T4663" t="e">
        <f>NA()</f>
        <v>#N/A</v>
      </c>
      <c r="U4663">
        <f>15716.67</f>
        <v>15716.67</v>
      </c>
      <c r="V4663" t="e">
        <f>NA()</f>
        <v>#N/A</v>
      </c>
    </row>
    <row r="4664" spans="1:22" x14ac:dyDescent="0.2">
      <c r="A4664" s="1">
        <v>38579</v>
      </c>
      <c r="B4664">
        <f>3055.97</f>
        <v>3055.97</v>
      </c>
      <c r="C4664">
        <f>3418.48</f>
        <v>3418.48</v>
      </c>
      <c r="D4664">
        <f>2876.99</f>
        <v>2876.99</v>
      </c>
      <c r="E4664">
        <f>972.138</f>
        <v>972.13800000000003</v>
      </c>
      <c r="F4664">
        <f>1735.27</f>
        <v>1735.27</v>
      </c>
      <c r="G4664">
        <f>5317.973</f>
        <v>5317.973</v>
      </c>
      <c r="H4664">
        <f>1408.9</f>
        <v>1408.9</v>
      </c>
      <c r="I4664">
        <f>5128.512</f>
        <v>5128.5119999999997</v>
      </c>
      <c r="J4664">
        <f>1226.57</f>
        <v>1226.57</v>
      </c>
      <c r="K4664">
        <f>3816.51</f>
        <v>3816.51</v>
      </c>
      <c r="L4664">
        <f>889.75</f>
        <v>889.75</v>
      </c>
      <c r="M4664">
        <f>3530.14</f>
        <v>3530.14</v>
      </c>
      <c r="N4664">
        <f>130.701</f>
        <v>130.70099999999999</v>
      </c>
      <c r="O4664">
        <f>1456.89</f>
        <v>1456.89</v>
      </c>
      <c r="P4664" t="e">
        <f>NA()</f>
        <v>#N/A</v>
      </c>
      <c r="Q4664">
        <f>668.08</f>
        <v>668.08</v>
      </c>
      <c r="R4664">
        <f>1852.78</f>
        <v>1852.78</v>
      </c>
      <c r="S4664">
        <f>1437.45</f>
        <v>1437.45</v>
      </c>
      <c r="T4664" t="e">
        <f>NA()</f>
        <v>#N/A</v>
      </c>
      <c r="U4664">
        <f>15854.48</f>
        <v>15854.48</v>
      </c>
      <c r="V4664" t="e">
        <f>NA()</f>
        <v>#N/A</v>
      </c>
    </row>
    <row r="4665" spans="1:22" x14ac:dyDescent="0.2">
      <c r="A4665" s="1">
        <v>38576</v>
      </c>
      <c r="B4665">
        <f>3066.96</f>
        <v>3066.96</v>
      </c>
      <c r="C4665">
        <f>3423.1</f>
        <v>3423.1</v>
      </c>
      <c r="D4665">
        <f>2877.83</f>
        <v>2877.83</v>
      </c>
      <c r="E4665">
        <f>972.618</f>
        <v>972.61800000000005</v>
      </c>
      <c r="F4665">
        <f>1742.76</f>
        <v>1742.76</v>
      </c>
      <c r="G4665">
        <f>5337.117</f>
        <v>5337.1170000000002</v>
      </c>
      <c r="H4665">
        <f>1400.89</f>
        <v>1400.89</v>
      </c>
      <c r="I4665">
        <f>5163.757</f>
        <v>5163.7569999999996</v>
      </c>
      <c r="J4665">
        <f>1223.54</f>
        <v>1223.54</v>
      </c>
      <c r="K4665">
        <f>3805.6</f>
        <v>3805.6</v>
      </c>
      <c r="L4665">
        <f>891.27</f>
        <v>891.27</v>
      </c>
      <c r="M4665">
        <f>3531.76</f>
        <v>3531.76</v>
      </c>
      <c r="N4665">
        <f>131.084</f>
        <v>131.084</v>
      </c>
      <c r="O4665">
        <f>1457.86</f>
        <v>1457.86</v>
      </c>
      <c r="P4665" t="e">
        <f>NA()</f>
        <v>#N/A</v>
      </c>
      <c r="Q4665">
        <f>665.24</f>
        <v>665.24</v>
      </c>
      <c r="R4665">
        <f>1847.31</f>
        <v>1847.31</v>
      </c>
      <c r="S4665">
        <f>1433.27</f>
        <v>1433.27</v>
      </c>
      <c r="T4665" t="e">
        <f>NA()</f>
        <v>#N/A</v>
      </c>
      <c r="U4665">
        <f>15775.9</f>
        <v>15775.9</v>
      </c>
      <c r="V4665" t="e">
        <f>NA()</f>
        <v>#N/A</v>
      </c>
    </row>
    <row r="4666" spans="1:22" x14ac:dyDescent="0.2">
      <c r="A4666" s="1">
        <v>38575</v>
      </c>
      <c r="B4666">
        <f>3064.04</f>
        <v>3064.04</v>
      </c>
      <c r="C4666">
        <f>3437.04</f>
        <v>3437.04</v>
      </c>
      <c r="D4666">
        <f>2884.71</f>
        <v>2884.71</v>
      </c>
      <c r="E4666">
        <f>975.989</f>
        <v>975.98900000000003</v>
      </c>
      <c r="F4666">
        <f>1743.03</f>
        <v>1743.03</v>
      </c>
      <c r="G4666">
        <f>5331.784</f>
        <v>5331.7839999999997</v>
      </c>
      <c r="H4666">
        <f>1395.95</f>
        <v>1395.95</v>
      </c>
      <c r="I4666">
        <f>5190.205</f>
        <v>5190.2049999999999</v>
      </c>
      <c r="J4666">
        <f>1229.45</f>
        <v>1229.45</v>
      </c>
      <c r="K4666">
        <f>3827.2</f>
        <v>3827.2</v>
      </c>
      <c r="L4666">
        <f>893.76</f>
        <v>893.76</v>
      </c>
      <c r="M4666">
        <f>3542.61</f>
        <v>3542.61</v>
      </c>
      <c r="N4666">
        <f>130.911</f>
        <v>130.911</v>
      </c>
      <c r="O4666">
        <f>1460.6</f>
        <v>1460.6</v>
      </c>
      <c r="P4666" t="e">
        <f>NA()</f>
        <v>#N/A</v>
      </c>
      <c r="Q4666">
        <f>668.26</f>
        <v>668.26</v>
      </c>
      <c r="R4666">
        <f>1858.43</f>
        <v>1858.43</v>
      </c>
      <c r="S4666">
        <f>1431.66</f>
        <v>1431.66</v>
      </c>
      <c r="T4666" t="e">
        <f>NA()</f>
        <v>#N/A</v>
      </c>
      <c r="U4666">
        <f>15709.78</f>
        <v>15709.78</v>
      </c>
      <c r="V4666" t="e">
        <f>NA()</f>
        <v>#N/A</v>
      </c>
    </row>
    <row r="4667" spans="1:22" x14ac:dyDescent="0.2">
      <c r="A4667" s="1">
        <v>38574</v>
      </c>
      <c r="B4667">
        <f>3080.53</f>
        <v>3080.53</v>
      </c>
      <c r="C4667">
        <f>3440.57</f>
        <v>3440.57</v>
      </c>
      <c r="D4667">
        <f>2894.89</f>
        <v>2894.89</v>
      </c>
      <c r="E4667">
        <f>974.292</f>
        <v>974.29200000000003</v>
      </c>
      <c r="F4667">
        <f>1746.06</f>
        <v>1746.06</v>
      </c>
      <c r="G4667">
        <f>5317.503</f>
        <v>5317.5029999999997</v>
      </c>
      <c r="H4667">
        <f>1376.52</f>
        <v>1376.52</v>
      </c>
      <c r="I4667">
        <f>5184.64</f>
        <v>5184.6400000000003</v>
      </c>
      <c r="J4667">
        <f>1221.24</f>
        <v>1221.24</v>
      </c>
      <c r="K4667">
        <f>3799.72</f>
        <v>3799.72</v>
      </c>
      <c r="L4667">
        <f>890.36</f>
        <v>890.36</v>
      </c>
      <c r="M4667">
        <f>3517.82</f>
        <v>3517.82</v>
      </c>
      <c r="N4667">
        <f>131.542</f>
        <v>131.542</v>
      </c>
      <c r="O4667">
        <f>1465.23</f>
        <v>1465.23</v>
      </c>
      <c r="P4667" t="e">
        <f>NA()</f>
        <v>#N/A</v>
      </c>
      <c r="Q4667">
        <f>663.79</f>
        <v>663.79</v>
      </c>
      <c r="R4667">
        <f>1845.16</f>
        <v>1845.16</v>
      </c>
      <c r="S4667">
        <f>1413.37</f>
        <v>1413.37</v>
      </c>
      <c r="T4667" t="e">
        <f>NA()</f>
        <v>#N/A</v>
      </c>
      <c r="U4667">
        <f>15736.91</f>
        <v>15736.91</v>
      </c>
      <c r="V4667" t="e">
        <f>NA()</f>
        <v>#N/A</v>
      </c>
    </row>
    <row r="4668" spans="1:22" x14ac:dyDescent="0.2">
      <c r="A4668" s="1">
        <v>38573</v>
      </c>
      <c r="B4668">
        <f>3064.7</f>
        <v>3064.7</v>
      </c>
      <c r="C4668">
        <f>3409.86</f>
        <v>3409.86</v>
      </c>
      <c r="D4668">
        <f>2879.99</f>
        <v>2879.99</v>
      </c>
      <c r="E4668">
        <f>965.203</f>
        <v>965.20299999999997</v>
      </c>
      <c r="F4668">
        <f>1723.34</f>
        <v>1723.34</v>
      </c>
      <c r="G4668">
        <f>5255.34</f>
        <v>5255.34</v>
      </c>
      <c r="H4668">
        <f>1334.4</f>
        <v>1334.4</v>
      </c>
      <c r="I4668">
        <f>5119.917</f>
        <v>5119.9170000000004</v>
      </c>
      <c r="J4668">
        <f>1221.44</f>
        <v>1221.44</v>
      </c>
      <c r="K4668">
        <f>3805.16</f>
        <v>3805.16</v>
      </c>
      <c r="L4668">
        <f>883.95</f>
        <v>883.95</v>
      </c>
      <c r="M4668">
        <f>3494.6</f>
        <v>3494.6</v>
      </c>
      <c r="N4668">
        <f>130.59</f>
        <v>130.59</v>
      </c>
      <c r="O4668">
        <f>1450.78</f>
        <v>1450.78</v>
      </c>
      <c r="P4668" t="e">
        <f>NA()</f>
        <v>#N/A</v>
      </c>
      <c r="Q4668">
        <f>663.65</f>
        <v>663.65</v>
      </c>
      <c r="R4668">
        <f>1847.76</f>
        <v>1847.76</v>
      </c>
      <c r="S4668">
        <f>1388.53</f>
        <v>1388.53</v>
      </c>
      <c r="T4668" t="e">
        <f>NA()</f>
        <v>#N/A</v>
      </c>
      <c r="U4668" t="e">
        <f>NA()</f>
        <v>#N/A</v>
      </c>
      <c r="V4668" t="e">
        <f>NA()</f>
        <v>#N/A</v>
      </c>
    </row>
    <row r="4669" spans="1:22" x14ac:dyDescent="0.2">
      <c r="A4669" s="1">
        <v>38572</v>
      </c>
      <c r="B4669">
        <f>3063.27</f>
        <v>3063.27</v>
      </c>
      <c r="C4669">
        <f>3398.27</f>
        <v>3398.27</v>
      </c>
      <c r="D4669">
        <f>2869.57</f>
        <v>2869.57</v>
      </c>
      <c r="E4669">
        <f>963.214</f>
        <v>963.21400000000006</v>
      </c>
      <c r="F4669">
        <f>1728.54</f>
        <v>1728.54</v>
      </c>
      <c r="G4669">
        <f>5246.637</f>
        <v>5246.6369999999997</v>
      </c>
      <c r="H4669">
        <f>1323.79</f>
        <v>1323.79</v>
      </c>
      <c r="I4669">
        <f>5087.385</f>
        <v>5087.3850000000002</v>
      </c>
      <c r="J4669">
        <f>1212.84</f>
        <v>1212.8399999999999</v>
      </c>
      <c r="K4669">
        <f>3779.52</f>
        <v>3779.52</v>
      </c>
      <c r="L4669">
        <f>881.23</f>
        <v>881.23</v>
      </c>
      <c r="M4669">
        <f>3475.81</f>
        <v>3475.81</v>
      </c>
      <c r="N4669">
        <f>130.735</f>
        <v>130.73500000000001</v>
      </c>
      <c r="O4669">
        <f>1441.15</f>
        <v>1441.15</v>
      </c>
      <c r="P4669" t="e">
        <f>NA()</f>
        <v>#N/A</v>
      </c>
      <c r="Q4669">
        <f>660.52</f>
        <v>660.52</v>
      </c>
      <c r="R4669">
        <f>1835.37</f>
        <v>1835.37</v>
      </c>
      <c r="S4669">
        <f>1371.99</f>
        <v>1371.99</v>
      </c>
      <c r="T4669" t="e">
        <f>NA()</f>
        <v>#N/A</v>
      </c>
      <c r="U4669">
        <f>15604.47</f>
        <v>15604.47</v>
      </c>
      <c r="V4669" t="e">
        <f>NA()</f>
        <v>#N/A</v>
      </c>
    </row>
    <row r="4670" spans="1:22" x14ac:dyDescent="0.2">
      <c r="A4670" s="1">
        <v>38569</v>
      </c>
      <c r="B4670">
        <f>3065.33</f>
        <v>3065.33</v>
      </c>
      <c r="C4670">
        <f>3388.83</f>
        <v>3388.83</v>
      </c>
      <c r="D4670">
        <f>2853.7</f>
        <v>2853.7</v>
      </c>
      <c r="E4670">
        <f>962.949</f>
        <v>962.94899999999996</v>
      </c>
      <c r="F4670">
        <f>1710.37</f>
        <v>1710.37</v>
      </c>
      <c r="G4670">
        <f>5185.717</f>
        <v>5185.7169999999996</v>
      </c>
      <c r="H4670">
        <f>1317.6</f>
        <v>1317.6</v>
      </c>
      <c r="I4670">
        <f>5055.175</f>
        <v>5055.1750000000002</v>
      </c>
      <c r="J4670">
        <f>1214.9</f>
        <v>1214.9000000000001</v>
      </c>
      <c r="K4670">
        <f>3791.92</f>
        <v>3791.92</v>
      </c>
      <c r="L4670">
        <f>877.95</f>
        <v>877.95</v>
      </c>
      <c r="M4670">
        <f>3469.65</f>
        <v>3469.65</v>
      </c>
      <c r="N4670">
        <f>130.177</f>
        <v>130.17699999999999</v>
      </c>
      <c r="O4670">
        <f>1432.54</f>
        <v>1432.54</v>
      </c>
      <c r="P4670" t="e">
        <f>NA()</f>
        <v>#N/A</v>
      </c>
      <c r="Q4670">
        <f>662.3</f>
        <v>662.3</v>
      </c>
      <c r="R4670">
        <f>1840.19</f>
        <v>1840.19</v>
      </c>
      <c r="S4670">
        <f>1368.87</f>
        <v>1368.87</v>
      </c>
      <c r="T4670" t="e">
        <f>NA()</f>
        <v>#N/A</v>
      </c>
      <c r="U4670">
        <f>15464.37</f>
        <v>15464.37</v>
      </c>
      <c r="V4670" t="e">
        <f>NA()</f>
        <v>#N/A</v>
      </c>
    </row>
    <row r="4671" spans="1:22" x14ac:dyDescent="0.2">
      <c r="A4671" s="1">
        <v>38568</v>
      </c>
      <c r="B4671">
        <f>3075.38</f>
        <v>3075.38</v>
      </c>
      <c r="C4671">
        <f>3396.15</f>
        <v>3396.15</v>
      </c>
      <c r="D4671">
        <f>2854.12</f>
        <v>2854.12</v>
      </c>
      <c r="E4671">
        <f>967.588</f>
        <v>967.58799999999997</v>
      </c>
      <c r="F4671">
        <f>1709.53</f>
        <v>1709.53</v>
      </c>
      <c r="G4671">
        <f>5198.014</f>
        <v>5198.0140000000001</v>
      </c>
      <c r="H4671">
        <f>1340.02</f>
        <v>1340.02</v>
      </c>
      <c r="I4671">
        <f>5098.816</f>
        <v>5098.8159999999998</v>
      </c>
      <c r="J4671">
        <f>1225.78</f>
        <v>1225.78</v>
      </c>
      <c r="K4671">
        <f>3823.05</f>
        <v>3823.05</v>
      </c>
      <c r="L4671">
        <f>884.75</f>
        <v>884.75</v>
      </c>
      <c r="M4671">
        <f>3499.77</f>
        <v>3499.77</v>
      </c>
      <c r="N4671">
        <f>130.271</f>
        <v>130.27099999999999</v>
      </c>
      <c r="O4671">
        <f>1437.26</f>
        <v>1437.26</v>
      </c>
      <c r="P4671" t="e">
        <f>NA()</f>
        <v>#N/A</v>
      </c>
      <c r="Q4671">
        <f>667.2</f>
        <v>667.2</v>
      </c>
      <c r="R4671">
        <f>1854.3</f>
        <v>1854.3</v>
      </c>
      <c r="S4671">
        <f>1386.11</f>
        <v>1386.11</v>
      </c>
      <c r="T4671" t="e">
        <f>NA()</f>
        <v>#N/A</v>
      </c>
      <c r="U4671">
        <f>15470.33</f>
        <v>15470.33</v>
      </c>
      <c r="V4671" t="e">
        <f>NA()</f>
        <v>#N/A</v>
      </c>
    </row>
    <row r="4672" spans="1:22" x14ac:dyDescent="0.2">
      <c r="A4672" s="1">
        <v>38567</v>
      </c>
      <c r="B4672">
        <f>3076.15</f>
        <v>3076.15</v>
      </c>
      <c r="C4672">
        <f>3389.84</f>
        <v>3389.84</v>
      </c>
      <c r="D4672">
        <f>2863.13</f>
        <v>2863.13</v>
      </c>
      <c r="E4672">
        <f>966.68</f>
        <v>966.68</v>
      </c>
      <c r="F4672">
        <f>1714.63</f>
        <v>1714.63</v>
      </c>
      <c r="G4672">
        <f>5218.083</f>
        <v>5218.0829999999996</v>
      </c>
      <c r="H4672">
        <f>1352.33</f>
        <v>1352.33</v>
      </c>
      <c r="I4672">
        <f>5114.063</f>
        <v>5114.0630000000001</v>
      </c>
      <c r="J4672">
        <f>1234.53</f>
        <v>1234.53</v>
      </c>
      <c r="K4672">
        <f>3851.39</f>
        <v>3851.39</v>
      </c>
      <c r="L4672">
        <f>888.9</f>
        <v>888.9</v>
      </c>
      <c r="M4672">
        <f>3518.73</f>
        <v>3518.73</v>
      </c>
      <c r="N4672">
        <f>131.386</f>
        <v>131.386</v>
      </c>
      <c r="O4672">
        <f>1448.26</f>
        <v>1448.26</v>
      </c>
      <c r="P4672" t="e">
        <f>NA()</f>
        <v>#N/A</v>
      </c>
      <c r="Q4672">
        <f>673.72</f>
        <v>673.72</v>
      </c>
      <c r="R4672">
        <f>1868.06</f>
        <v>1868.06</v>
      </c>
      <c r="S4672">
        <f>1395.15</f>
        <v>1395.15</v>
      </c>
      <c r="T4672" t="e">
        <f>NA()</f>
        <v>#N/A</v>
      </c>
      <c r="U4672">
        <f>15430.8</f>
        <v>15430.8</v>
      </c>
      <c r="V4672" t="e">
        <f>NA()</f>
        <v>#N/A</v>
      </c>
    </row>
    <row r="4673" spans="1:22" x14ac:dyDescent="0.2">
      <c r="A4673" s="1">
        <v>38566</v>
      </c>
      <c r="B4673">
        <f>3073.14</f>
        <v>3073.14</v>
      </c>
      <c r="C4673">
        <f>3364.42</f>
        <v>3364.42</v>
      </c>
      <c r="D4673">
        <f>2854.66</f>
        <v>2854.66</v>
      </c>
      <c r="E4673">
        <f>960.855</f>
        <v>960.85500000000002</v>
      </c>
      <c r="F4673">
        <f>1708.02</f>
        <v>1708.02</v>
      </c>
      <c r="G4673">
        <f>5174.66</f>
        <v>5174.66</v>
      </c>
      <c r="H4673">
        <f>1348.53</f>
        <v>1348.53</v>
      </c>
      <c r="I4673">
        <f>5071.187</f>
        <v>5071.1869999999999</v>
      </c>
      <c r="J4673">
        <f>1234.98</f>
        <v>1234.98</v>
      </c>
      <c r="K4673">
        <f>3848.73</f>
        <v>3848.73</v>
      </c>
      <c r="L4673">
        <f>883.87</f>
        <v>883.87</v>
      </c>
      <c r="M4673">
        <f>3506.86</f>
        <v>3506.86</v>
      </c>
      <c r="N4673">
        <f>131.788</f>
        <v>131.78800000000001</v>
      </c>
      <c r="O4673">
        <f>1450.75</f>
        <v>1450.75</v>
      </c>
      <c r="P4673" t="e">
        <f>NA()</f>
        <v>#N/A</v>
      </c>
      <c r="Q4673">
        <f>674.31</f>
        <v>674.31</v>
      </c>
      <c r="R4673">
        <f>1866.28</f>
        <v>1866.28</v>
      </c>
      <c r="S4673">
        <f>1391.89</f>
        <v>1391.89</v>
      </c>
      <c r="T4673" t="e">
        <f>NA()</f>
        <v>#N/A</v>
      </c>
      <c r="U4673">
        <f>15326.44</f>
        <v>15326.44</v>
      </c>
      <c r="V4673" t="e">
        <f>NA()</f>
        <v>#N/A</v>
      </c>
    </row>
    <row r="4674" spans="1:22" x14ac:dyDescent="0.2">
      <c r="A4674" s="1">
        <v>38565</v>
      </c>
      <c r="B4674">
        <f>3063.97</f>
        <v>3063.97</v>
      </c>
      <c r="C4674">
        <f>3310.84</f>
        <v>3310.84</v>
      </c>
      <c r="D4674">
        <f>2835.04</f>
        <v>2835.04</v>
      </c>
      <c r="E4674">
        <f>948.861</f>
        <v>948.86099999999999</v>
      </c>
      <c r="F4674">
        <f>1701.52</f>
        <v>1701.52</v>
      </c>
      <c r="G4674">
        <f>5139.6</f>
        <v>5139.6000000000004</v>
      </c>
      <c r="H4674">
        <f>1341.41</f>
        <v>1341.41</v>
      </c>
      <c r="I4674">
        <f>5029.227</f>
        <v>5029.2269999999999</v>
      </c>
      <c r="J4674">
        <f>1226.05</f>
        <v>1226.05</v>
      </c>
      <c r="K4674">
        <f>3822.37</f>
        <v>3822.37</v>
      </c>
      <c r="L4674">
        <f>876.74</f>
        <v>876.74</v>
      </c>
      <c r="M4674">
        <f>3480.34</f>
        <v>3480.34</v>
      </c>
      <c r="N4674">
        <f>130.1</f>
        <v>130.1</v>
      </c>
      <c r="O4674">
        <f>1438.48</f>
        <v>1438.48</v>
      </c>
      <c r="P4674" t="e">
        <f>NA()</f>
        <v>#N/A</v>
      </c>
      <c r="Q4674">
        <f>670.95</f>
        <v>670.95</v>
      </c>
      <c r="R4674">
        <f>1853.13</f>
        <v>1853.13</v>
      </c>
      <c r="S4674">
        <f>1394.68</f>
        <v>1394.68</v>
      </c>
      <c r="T4674" t="e">
        <f>NA()</f>
        <v>#N/A</v>
      </c>
      <c r="U4674">
        <f>15202.79</f>
        <v>15202.79</v>
      </c>
      <c r="V4674" t="e">
        <f>NA()</f>
        <v>#N/A</v>
      </c>
    </row>
    <row r="4675" spans="1:22" x14ac:dyDescent="0.2">
      <c r="A4675" s="1">
        <v>38562</v>
      </c>
      <c r="B4675">
        <f>3070.41</f>
        <v>3070.41</v>
      </c>
      <c r="C4675">
        <f>3283.4</f>
        <v>3283.4</v>
      </c>
      <c r="D4675">
        <f>2830.46</f>
        <v>2830.46</v>
      </c>
      <c r="E4675">
        <f>941.813</f>
        <v>941.81299999999999</v>
      </c>
      <c r="F4675">
        <f>1684.1</f>
        <v>1684.1</v>
      </c>
      <c r="G4675">
        <f>5102.939</f>
        <v>5102.9390000000003</v>
      </c>
      <c r="H4675">
        <f>1335.78</f>
        <v>1335.78</v>
      </c>
      <c r="I4675">
        <f>5000.529</f>
        <v>5000.5290000000005</v>
      </c>
      <c r="J4675">
        <f>1226.43</f>
        <v>1226.43</v>
      </c>
      <c r="K4675">
        <f>3818.16</f>
        <v>3818.16</v>
      </c>
      <c r="L4675">
        <f>874.61</f>
        <v>874.61</v>
      </c>
      <c r="M4675">
        <f>3468.82</f>
        <v>3468.82</v>
      </c>
      <c r="N4675">
        <f>130.131</f>
        <v>130.131</v>
      </c>
      <c r="O4675">
        <f>1437.66</f>
        <v>1437.66</v>
      </c>
      <c r="P4675" t="e">
        <f>NA()</f>
        <v>#N/A</v>
      </c>
      <c r="Q4675">
        <f>672.16</f>
        <v>672.16</v>
      </c>
      <c r="R4675">
        <f>1851.37</f>
        <v>1851.37</v>
      </c>
      <c r="S4675">
        <f>1387.04</f>
        <v>1387.04</v>
      </c>
      <c r="T4675" t="e">
        <f>NA()</f>
        <v>#N/A</v>
      </c>
      <c r="U4675">
        <f>15143.64</f>
        <v>15143.64</v>
      </c>
      <c r="V4675" t="e">
        <f>NA()</f>
        <v>#N/A</v>
      </c>
    </row>
    <row r="4676" spans="1:22" x14ac:dyDescent="0.2">
      <c r="A4676" s="1">
        <v>38561</v>
      </c>
      <c r="B4676">
        <f>3063.17</f>
        <v>3063.17</v>
      </c>
      <c r="C4676">
        <f>3280.59</f>
        <v>3280.59</v>
      </c>
      <c r="D4676">
        <f>2824.04</f>
        <v>2824.04</v>
      </c>
      <c r="E4676">
        <f>938.365</f>
        <v>938.36500000000001</v>
      </c>
      <c r="F4676">
        <f>1682.98</f>
        <v>1682.98</v>
      </c>
      <c r="G4676">
        <f>5066.606</f>
        <v>5066.6059999999998</v>
      </c>
      <c r="H4676">
        <f>1326.35</f>
        <v>1326.35</v>
      </c>
      <c r="I4676">
        <f>4981.945</f>
        <v>4981.9449999999997</v>
      </c>
      <c r="J4676">
        <f>1236.94</f>
        <v>1236.94</v>
      </c>
      <c r="K4676">
        <f>3845.54</f>
        <v>3845.54</v>
      </c>
      <c r="L4676">
        <f>874.38</f>
        <v>874.38</v>
      </c>
      <c r="M4676">
        <f>3474.25</f>
        <v>3474.25</v>
      </c>
      <c r="N4676">
        <f>129.98</f>
        <v>129.97999999999999</v>
      </c>
      <c r="O4676">
        <f>1436.46</f>
        <v>1436.46</v>
      </c>
      <c r="P4676" t="e">
        <f>NA()</f>
        <v>#N/A</v>
      </c>
      <c r="Q4676">
        <f>676.22</f>
        <v>676.22</v>
      </c>
      <c r="R4676">
        <f>1865.64</f>
        <v>1865.64</v>
      </c>
      <c r="S4676">
        <f>1383.29</f>
        <v>1383.29</v>
      </c>
      <c r="T4676" t="e">
        <f>NA()</f>
        <v>#N/A</v>
      </c>
      <c r="U4676">
        <f>15219.56</f>
        <v>15219.56</v>
      </c>
      <c r="V4676" t="e">
        <f>NA()</f>
        <v>#N/A</v>
      </c>
    </row>
    <row r="4677" spans="1:22" x14ac:dyDescent="0.2">
      <c r="A4677" s="1">
        <v>38560</v>
      </c>
      <c r="B4677">
        <f>3062.04</f>
        <v>3062.04</v>
      </c>
      <c r="C4677">
        <f>3244.01</f>
        <v>3244.01</v>
      </c>
      <c r="D4677">
        <f>2820.45</f>
        <v>2820.45</v>
      </c>
      <c r="E4677">
        <f>928.234</f>
        <v>928.23400000000004</v>
      </c>
      <c r="F4677">
        <f>1679.64</f>
        <v>1679.64</v>
      </c>
      <c r="G4677">
        <f>5033.698</f>
        <v>5033.6980000000003</v>
      </c>
      <c r="H4677">
        <f>1323.64</f>
        <v>1323.64</v>
      </c>
      <c r="I4677">
        <f>4935.181</f>
        <v>4935.1809999999996</v>
      </c>
      <c r="J4677">
        <f>1230.3</f>
        <v>1230.3</v>
      </c>
      <c r="K4677">
        <f>3823.24</f>
        <v>3823.24</v>
      </c>
      <c r="L4677">
        <f>869.35</f>
        <v>869.35</v>
      </c>
      <c r="M4677">
        <f>3454.13</f>
        <v>3454.13</v>
      </c>
      <c r="N4677">
        <f>129.118</f>
        <v>129.11799999999999</v>
      </c>
      <c r="O4677">
        <f>1430.45</f>
        <v>1430.45</v>
      </c>
      <c r="P4677" t="e">
        <f>NA()</f>
        <v>#N/A</v>
      </c>
      <c r="Q4677">
        <f>671.58</f>
        <v>671.58</v>
      </c>
      <c r="R4677">
        <f>1854.72</f>
        <v>1854.72</v>
      </c>
      <c r="S4677">
        <f>1380.13</f>
        <v>1380.13</v>
      </c>
      <c r="T4677" t="e">
        <f>NA()</f>
        <v>#N/A</v>
      </c>
      <c r="U4677">
        <f>15120.49</f>
        <v>15120.49</v>
      </c>
      <c r="V4677" t="e">
        <f>NA()</f>
        <v>#N/A</v>
      </c>
    </row>
    <row r="4678" spans="1:22" x14ac:dyDescent="0.2">
      <c r="A4678" s="1">
        <v>38559</v>
      </c>
      <c r="B4678">
        <f>3040.57</f>
        <v>3040.57</v>
      </c>
      <c r="C4678">
        <f>3221.04</f>
        <v>3221.04</v>
      </c>
      <c r="D4678">
        <f>2816.45</f>
        <v>2816.45</v>
      </c>
      <c r="E4678">
        <f>923.814</f>
        <v>923.81399999999996</v>
      </c>
      <c r="F4678">
        <f>1674.55</f>
        <v>1674.55</v>
      </c>
      <c r="G4678">
        <f>5020.252</f>
        <v>5020.2520000000004</v>
      </c>
      <c r="H4678">
        <f>1315.79</f>
        <v>1315.79</v>
      </c>
      <c r="I4678">
        <f>4908.876</f>
        <v>4908.8760000000002</v>
      </c>
      <c r="J4678">
        <f>1226.3</f>
        <v>1226.3</v>
      </c>
      <c r="K4678">
        <f>3805.65</f>
        <v>3805.65</v>
      </c>
      <c r="L4678">
        <f>867.21</f>
        <v>867.21</v>
      </c>
      <c r="M4678">
        <f>3437.78</f>
        <v>3437.78</v>
      </c>
      <c r="N4678">
        <f>128.905</f>
        <v>128.905</v>
      </c>
      <c r="O4678">
        <f>1427.37</f>
        <v>1427.37</v>
      </c>
      <c r="P4678" t="e">
        <f>NA()</f>
        <v>#N/A</v>
      </c>
      <c r="Q4678">
        <f>668.36</f>
        <v>668.36</v>
      </c>
      <c r="R4678">
        <f>1846.04</f>
        <v>1846.04</v>
      </c>
      <c r="S4678">
        <f>1368.66</f>
        <v>1368.66</v>
      </c>
      <c r="T4678" t="e">
        <f>NA()</f>
        <v>#N/A</v>
      </c>
      <c r="U4678">
        <f>15058.32</f>
        <v>15058.32</v>
      </c>
      <c r="V4678" t="e">
        <f>NA()</f>
        <v>#N/A</v>
      </c>
    </row>
    <row r="4679" spans="1:22" x14ac:dyDescent="0.2">
      <c r="A4679" s="1">
        <v>38558</v>
      </c>
      <c r="B4679">
        <f>3040.34</f>
        <v>3040.34</v>
      </c>
      <c r="C4679">
        <f>3244.37</f>
        <v>3244.37</v>
      </c>
      <c r="D4679">
        <f>2824.24</f>
        <v>2824.24</v>
      </c>
      <c r="E4679">
        <f>930.186</f>
        <v>930.18600000000004</v>
      </c>
      <c r="F4679">
        <f>1676.92</f>
        <v>1676.92</v>
      </c>
      <c r="G4679">
        <f>5040.665</f>
        <v>5040.665</v>
      </c>
      <c r="H4679">
        <f>1325.26</f>
        <v>1325.26</v>
      </c>
      <c r="I4679">
        <f>4919.406</f>
        <v>4919.4059999999999</v>
      </c>
      <c r="J4679">
        <f>1227.89</f>
        <v>1227.8900000000001</v>
      </c>
      <c r="K4679">
        <f>3797.85</f>
        <v>3797.85</v>
      </c>
      <c r="L4679">
        <f>869.38</f>
        <v>869.38</v>
      </c>
      <c r="M4679">
        <f>3440.62</f>
        <v>3440.62</v>
      </c>
      <c r="N4679">
        <f>128.928</f>
        <v>128.928</v>
      </c>
      <c r="O4679">
        <f>1427.05</f>
        <v>1427.05</v>
      </c>
      <c r="P4679" t="e">
        <f>NA()</f>
        <v>#N/A</v>
      </c>
      <c r="Q4679">
        <f>666.45</f>
        <v>666.45</v>
      </c>
      <c r="R4679">
        <f>1842.85</f>
        <v>1842.85</v>
      </c>
      <c r="S4679">
        <f>1370.06</f>
        <v>1370.06</v>
      </c>
      <c r="T4679" t="e">
        <f>NA()</f>
        <v>#N/A</v>
      </c>
      <c r="U4679">
        <f>15137.71</f>
        <v>15137.71</v>
      </c>
      <c r="V4679" t="e">
        <f>NA()</f>
        <v>#N/A</v>
      </c>
    </row>
    <row r="4680" spans="1:22" x14ac:dyDescent="0.2">
      <c r="A4680" s="1">
        <v>38555</v>
      </c>
      <c r="B4680">
        <f>3041.08</f>
        <v>3041.08</v>
      </c>
      <c r="C4680">
        <f>3253.61</f>
        <v>3253.61</v>
      </c>
      <c r="D4680">
        <f>2808.76</f>
        <v>2808.76</v>
      </c>
      <c r="E4680">
        <f>930.708</f>
        <v>930.70799999999997</v>
      </c>
      <c r="F4680">
        <f>1674.74</f>
        <v>1674.74</v>
      </c>
      <c r="G4680">
        <f>5011.639</f>
        <v>5011.6390000000001</v>
      </c>
      <c r="H4680">
        <f>1328.72</f>
        <v>1328.72</v>
      </c>
      <c r="I4680">
        <f>4933.351</f>
        <v>4933.3509999999997</v>
      </c>
      <c r="J4680">
        <f>1230.46</f>
        <v>1230.46</v>
      </c>
      <c r="K4680">
        <f>3813.42</f>
        <v>3813.42</v>
      </c>
      <c r="L4680">
        <f>869.28</f>
        <v>869.28</v>
      </c>
      <c r="M4680">
        <f>3450.43</f>
        <v>3450.43</v>
      </c>
      <c r="N4680">
        <f>128.165</f>
        <v>128.16499999999999</v>
      </c>
      <c r="O4680">
        <f>1420.82</f>
        <v>1420.82</v>
      </c>
      <c r="P4680" t="e">
        <f>NA()</f>
        <v>#N/A</v>
      </c>
      <c r="Q4680">
        <f>669.1</f>
        <v>669.1</v>
      </c>
      <c r="R4680">
        <f>1849.81</f>
        <v>1849.81</v>
      </c>
      <c r="S4680">
        <f>1366.03</f>
        <v>1366.03</v>
      </c>
      <c r="T4680" t="e">
        <f>NA()</f>
        <v>#N/A</v>
      </c>
      <c r="U4680">
        <f>15023.56</f>
        <v>15023.56</v>
      </c>
      <c r="V4680" t="e">
        <f>NA()</f>
        <v>#N/A</v>
      </c>
    </row>
    <row r="4681" spans="1:22" x14ac:dyDescent="0.2">
      <c r="A4681" s="1">
        <v>38554</v>
      </c>
      <c r="B4681">
        <f>3040.22</f>
        <v>3040.22</v>
      </c>
      <c r="C4681">
        <f>3234.16</f>
        <v>3234.16</v>
      </c>
      <c r="D4681">
        <f>2797.93</f>
        <v>2797.93</v>
      </c>
      <c r="E4681">
        <f>926.09</f>
        <v>926.09</v>
      </c>
      <c r="F4681">
        <f>1675.47</f>
        <v>1675.47</v>
      </c>
      <c r="G4681">
        <f>5001.841</f>
        <v>5001.8410000000003</v>
      </c>
      <c r="H4681">
        <f>1338.29</f>
        <v>1338.29</v>
      </c>
      <c r="I4681">
        <f>4938.589</f>
        <v>4938.5889999999999</v>
      </c>
      <c r="J4681">
        <f>1222.97</f>
        <v>1222.97</v>
      </c>
      <c r="K4681">
        <f>3793.5</f>
        <v>3793.5</v>
      </c>
      <c r="L4681">
        <f>866.33</f>
        <v>866.33</v>
      </c>
      <c r="M4681">
        <f>3441.48</f>
        <v>3441.48</v>
      </c>
      <c r="N4681">
        <f>128.222</f>
        <v>128.22200000000001</v>
      </c>
      <c r="O4681">
        <f>1420.27</f>
        <v>1420.27</v>
      </c>
      <c r="P4681" t="e">
        <f>NA()</f>
        <v>#N/A</v>
      </c>
      <c r="Q4681">
        <f>666.79</f>
        <v>666.79</v>
      </c>
      <c r="R4681">
        <f>1839.8</f>
        <v>1839.8</v>
      </c>
      <c r="S4681">
        <f>1375.24</f>
        <v>1375.24</v>
      </c>
      <c r="T4681" t="e">
        <f>NA()</f>
        <v>#N/A</v>
      </c>
      <c r="U4681">
        <f>14921.48</f>
        <v>14921.48</v>
      </c>
      <c r="V4681" t="e">
        <f>NA()</f>
        <v>#N/A</v>
      </c>
    </row>
    <row r="4682" spans="1:22" x14ac:dyDescent="0.2">
      <c r="A4682" s="1">
        <v>38553</v>
      </c>
      <c r="B4682">
        <f>3029.38</f>
        <v>3029.38</v>
      </c>
      <c r="C4682">
        <f>3203.79</f>
        <v>3203.79</v>
      </c>
      <c r="D4682">
        <f>2794.52</f>
        <v>2794.52</v>
      </c>
      <c r="E4682">
        <f>919.499</f>
        <v>919.49900000000002</v>
      </c>
      <c r="F4682">
        <f>1654.02</f>
        <v>1654.02</v>
      </c>
      <c r="G4682">
        <f>4948.259</f>
        <v>4948.259</v>
      </c>
      <c r="H4682">
        <f>1307.05</f>
        <v>1307.05</v>
      </c>
      <c r="I4682">
        <f>4892.571</f>
        <v>4892.5709999999999</v>
      </c>
      <c r="J4682">
        <f>1232.82</f>
        <v>1232.82</v>
      </c>
      <c r="K4682">
        <f>3819.71</f>
        <v>3819.71</v>
      </c>
      <c r="L4682">
        <f>861.65</f>
        <v>861.65</v>
      </c>
      <c r="M4682">
        <f>3433.41</f>
        <v>3433.41</v>
      </c>
      <c r="N4682">
        <f>127.358</f>
        <v>127.358</v>
      </c>
      <c r="O4682">
        <f>1416.35</f>
        <v>1416.35</v>
      </c>
      <c r="P4682" t="e">
        <f>NA()</f>
        <v>#N/A</v>
      </c>
      <c r="Q4682">
        <f>673.18</f>
        <v>673.18</v>
      </c>
      <c r="R4682">
        <f>1852.02</f>
        <v>1852.02</v>
      </c>
      <c r="S4682">
        <f>1377.04</f>
        <v>1377.04</v>
      </c>
      <c r="T4682" t="e">
        <f>NA()</f>
        <v>#N/A</v>
      </c>
      <c r="U4682">
        <f>14878.22</f>
        <v>14878.22</v>
      </c>
      <c r="V4682" t="e">
        <f>NA()</f>
        <v>#N/A</v>
      </c>
    </row>
    <row r="4683" spans="1:22" x14ac:dyDescent="0.2">
      <c r="A4683" s="1">
        <v>38552</v>
      </c>
      <c r="B4683">
        <f>3024.19</f>
        <v>3024.19</v>
      </c>
      <c r="C4683">
        <f>3180.82</f>
        <v>3180.82</v>
      </c>
      <c r="D4683">
        <f>2786.83</f>
        <v>2786.83</v>
      </c>
      <c r="E4683">
        <f>915.115</f>
        <v>915.11500000000001</v>
      </c>
      <c r="F4683">
        <f>1655.28</f>
        <v>1655.28</v>
      </c>
      <c r="G4683">
        <f>4958.414</f>
        <v>4958.4139999999998</v>
      </c>
      <c r="H4683">
        <f>1306.97</f>
        <v>1306.97</v>
      </c>
      <c r="I4683">
        <f>4892.408</f>
        <v>4892.4080000000004</v>
      </c>
      <c r="J4683">
        <f>1227.78</f>
        <v>1227.78</v>
      </c>
      <c r="K4683">
        <f>3801.66</f>
        <v>3801.66</v>
      </c>
      <c r="L4683">
        <f>860.82</f>
        <v>860.82</v>
      </c>
      <c r="M4683">
        <f>3424.56</f>
        <v>3424.56</v>
      </c>
      <c r="N4683">
        <f>127.52</f>
        <v>127.52</v>
      </c>
      <c r="O4683">
        <f>1420.26</f>
        <v>1420.26</v>
      </c>
      <c r="P4683" t="e">
        <f>NA()</f>
        <v>#N/A</v>
      </c>
      <c r="Q4683">
        <f>668.79</f>
        <v>668.79</v>
      </c>
      <c r="R4683">
        <f>1843.07</f>
        <v>1843.07</v>
      </c>
      <c r="S4683">
        <f>1371.52</f>
        <v>1371.52</v>
      </c>
      <c r="T4683" t="e">
        <f>NA()</f>
        <v>#N/A</v>
      </c>
      <c r="U4683">
        <f>14867.95</f>
        <v>14867.95</v>
      </c>
      <c r="V4683" t="e">
        <f>NA()</f>
        <v>#N/A</v>
      </c>
    </row>
    <row r="4684" spans="1:22" x14ac:dyDescent="0.2">
      <c r="A4684" s="1">
        <v>38551</v>
      </c>
      <c r="B4684">
        <f>3018.59</f>
        <v>3018.59</v>
      </c>
      <c r="C4684">
        <f>3177.18</f>
        <v>3177.18</v>
      </c>
      <c r="D4684">
        <f>2793.63</f>
        <v>2793.63</v>
      </c>
      <c r="E4684">
        <f>911.206</f>
        <v>911.20600000000002</v>
      </c>
      <c r="F4684">
        <f>1670.66</f>
        <v>1670.66</v>
      </c>
      <c r="G4684">
        <f>5010.966</f>
        <v>5010.9660000000003</v>
      </c>
      <c r="H4684">
        <f>1320.3</f>
        <v>1320.3</v>
      </c>
      <c r="I4684">
        <f>4878.557</f>
        <v>4878.5569999999998</v>
      </c>
      <c r="J4684">
        <f>1224.71</f>
        <v>1224.71</v>
      </c>
      <c r="K4684">
        <f>3774.81</f>
        <v>3774.81</v>
      </c>
      <c r="L4684">
        <f>862.82</f>
        <v>862.82</v>
      </c>
      <c r="M4684">
        <f>3416.8</f>
        <v>3416.8</v>
      </c>
      <c r="N4684">
        <f>128.485</f>
        <v>128.48500000000001</v>
      </c>
      <c r="O4684">
        <f>1414.96</f>
        <v>1414.96</v>
      </c>
      <c r="P4684" t="e">
        <f>NA()</f>
        <v>#N/A</v>
      </c>
      <c r="Q4684">
        <f>666.09</f>
        <v>666.09</v>
      </c>
      <c r="R4684">
        <f>1830.75</f>
        <v>1830.75</v>
      </c>
      <c r="S4684" t="e">
        <f>NA()</f>
        <v>#N/A</v>
      </c>
      <c r="T4684" t="e">
        <f>NA()</f>
        <v>#N/A</v>
      </c>
      <c r="U4684">
        <f>14766.5</f>
        <v>14766.5</v>
      </c>
      <c r="V4684" t="e">
        <f>NA()</f>
        <v>#N/A</v>
      </c>
    </row>
    <row r="4685" spans="1:22" x14ac:dyDescent="0.2">
      <c r="A4685" s="1">
        <v>38548</v>
      </c>
      <c r="B4685">
        <f>3033.07</f>
        <v>3033.07</v>
      </c>
      <c r="C4685">
        <f>3172.48</f>
        <v>3172.48</v>
      </c>
      <c r="D4685">
        <f>2802.53</f>
        <v>2802.53</v>
      </c>
      <c r="E4685">
        <f>909.287</f>
        <v>909.28700000000003</v>
      </c>
      <c r="F4685">
        <f>1679.73</f>
        <v>1679.73</v>
      </c>
      <c r="G4685">
        <f>5037.781</f>
        <v>5037.7809999999999</v>
      </c>
      <c r="H4685">
        <f>1314.42</f>
        <v>1314.42</v>
      </c>
      <c r="I4685">
        <f>4872.739</f>
        <v>4872.7389999999996</v>
      </c>
      <c r="J4685">
        <f>1234.61</f>
        <v>1234.6099999999999</v>
      </c>
      <c r="K4685">
        <f>3795.21</f>
        <v>3795.21</v>
      </c>
      <c r="L4685">
        <f>865.87</f>
        <v>865.87</v>
      </c>
      <c r="M4685">
        <f>3425.57</f>
        <v>3425.57</v>
      </c>
      <c r="N4685">
        <f>129.153</f>
        <v>129.15299999999999</v>
      </c>
      <c r="O4685">
        <f>1418.83</f>
        <v>1418.83</v>
      </c>
      <c r="P4685" t="e">
        <f>NA()</f>
        <v>#N/A</v>
      </c>
      <c r="Q4685">
        <f>667.27</f>
        <v>667.27</v>
      </c>
      <c r="R4685">
        <f>1840.93</f>
        <v>1840.93</v>
      </c>
      <c r="S4685">
        <f>1373.56</f>
        <v>1373.56</v>
      </c>
      <c r="T4685" t="e">
        <f>NA()</f>
        <v>#N/A</v>
      </c>
      <c r="U4685">
        <f>14720.93</f>
        <v>14720.93</v>
      </c>
      <c r="V4685" t="e">
        <f>NA()</f>
        <v>#N/A</v>
      </c>
    </row>
    <row r="4686" spans="1:22" x14ac:dyDescent="0.2">
      <c r="A4686" s="1">
        <v>38547</v>
      </c>
      <c r="B4686">
        <f>3038.54</f>
        <v>3038.54</v>
      </c>
      <c r="C4686">
        <f>3202.34</f>
        <v>3202.34</v>
      </c>
      <c r="D4686">
        <f>2817.97</f>
        <v>2817.97</v>
      </c>
      <c r="E4686">
        <f>916.515</f>
        <v>916.51499999999999</v>
      </c>
      <c r="F4686">
        <f>1691.44</f>
        <v>1691.44</v>
      </c>
      <c r="G4686">
        <f>5086.367</f>
        <v>5086.3670000000002</v>
      </c>
      <c r="H4686">
        <f>1312.25</f>
        <v>1312.25</v>
      </c>
      <c r="I4686">
        <f>4899.366</f>
        <v>4899.366</v>
      </c>
      <c r="J4686">
        <f>1234.72</f>
        <v>1234.72</v>
      </c>
      <c r="K4686">
        <f>3789.91</f>
        <v>3789.91</v>
      </c>
      <c r="L4686">
        <f>869.56</f>
        <v>869.56</v>
      </c>
      <c r="M4686">
        <f>3430.63</f>
        <v>3430.63</v>
      </c>
      <c r="N4686">
        <f>129.101</f>
        <v>129.101</v>
      </c>
      <c r="O4686">
        <f>1421.4</f>
        <v>1421.4</v>
      </c>
      <c r="P4686" t="e">
        <f>NA()</f>
        <v>#N/A</v>
      </c>
      <c r="Q4686">
        <f>664.72</f>
        <v>664.72</v>
      </c>
      <c r="R4686">
        <f>1838.8</f>
        <v>1838.8</v>
      </c>
      <c r="S4686">
        <f>1371.11</f>
        <v>1371.11</v>
      </c>
      <c r="T4686" t="e">
        <f>NA()</f>
        <v>#N/A</v>
      </c>
      <c r="U4686">
        <f>14779.95</f>
        <v>14779.95</v>
      </c>
      <c r="V4686" t="e">
        <f>NA()</f>
        <v>#N/A</v>
      </c>
    </row>
    <row r="4687" spans="1:22" x14ac:dyDescent="0.2">
      <c r="A4687" s="1">
        <v>38546</v>
      </c>
      <c r="B4687">
        <f>3039.77</f>
        <v>3039.77</v>
      </c>
      <c r="C4687">
        <f>3180.99</f>
        <v>3180.99</v>
      </c>
      <c r="D4687">
        <f>2810.58</f>
        <v>2810.58</v>
      </c>
      <c r="E4687">
        <f>909.755</f>
        <v>909.755</v>
      </c>
      <c r="F4687">
        <f>1681.29</f>
        <v>1681.29</v>
      </c>
      <c r="G4687">
        <f>5057.923</f>
        <v>5057.9229999999998</v>
      </c>
      <c r="H4687">
        <f>1306.08</f>
        <v>1306.08</v>
      </c>
      <c r="I4687">
        <f>4872.489</f>
        <v>4872.4889999999996</v>
      </c>
      <c r="J4687">
        <f>1231.69</f>
        <v>1231.69</v>
      </c>
      <c r="K4687">
        <f>3780.99</f>
        <v>3780.99</v>
      </c>
      <c r="L4687">
        <f>865.56</f>
        <v>865.56</v>
      </c>
      <c r="M4687">
        <f>3418.7</f>
        <v>3418.7</v>
      </c>
      <c r="N4687">
        <f>128.642</f>
        <v>128.642</v>
      </c>
      <c r="O4687">
        <f>1414.28</f>
        <v>1414.28</v>
      </c>
      <c r="P4687" t="e">
        <f>NA()</f>
        <v>#N/A</v>
      </c>
      <c r="Q4687">
        <f>662.11</f>
        <v>662.11</v>
      </c>
      <c r="R4687">
        <f>1833.98</f>
        <v>1833.98</v>
      </c>
      <c r="S4687">
        <f>1364.8</f>
        <v>1364.8</v>
      </c>
      <c r="T4687" t="e">
        <f>NA()</f>
        <v>#N/A</v>
      </c>
      <c r="U4687">
        <f>14671.87</f>
        <v>14671.87</v>
      </c>
      <c r="V4687" t="e">
        <f>NA()</f>
        <v>#N/A</v>
      </c>
    </row>
    <row r="4688" spans="1:22" x14ac:dyDescent="0.2">
      <c r="A4688" s="1">
        <v>38545</v>
      </c>
      <c r="B4688">
        <f>3040.24</f>
        <v>3040.24</v>
      </c>
      <c r="C4688">
        <f>3180.05</f>
        <v>3180.05</v>
      </c>
      <c r="D4688">
        <f>2795.03</f>
        <v>2795.03</v>
      </c>
      <c r="E4688">
        <f>907.596</f>
        <v>907.596</v>
      </c>
      <c r="F4688">
        <f>1684.48</f>
        <v>1684.48</v>
      </c>
      <c r="G4688">
        <f>5084.711</f>
        <v>5084.7110000000002</v>
      </c>
      <c r="H4688">
        <f>1320.9</f>
        <v>1320.9</v>
      </c>
      <c r="I4688">
        <f>4880.89</f>
        <v>4880.8900000000003</v>
      </c>
      <c r="J4688">
        <f>1229.83</f>
        <v>1229.83</v>
      </c>
      <c r="K4688">
        <f>3778.25</f>
        <v>3778.25</v>
      </c>
      <c r="L4688">
        <f>866.65</f>
        <v>866.65</v>
      </c>
      <c r="M4688">
        <f>3424.88</f>
        <v>3424.88</v>
      </c>
      <c r="N4688">
        <f>127.638</f>
        <v>127.63800000000001</v>
      </c>
      <c r="O4688">
        <f>1406.26</f>
        <v>1406.26</v>
      </c>
      <c r="P4688" t="e">
        <f>NA()</f>
        <v>#N/A</v>
      </c>
      <c r="Q4688">
        <f>660.99</f>
        <v>660.99</v>
      </c>
      <c r="R4688">
        <f>1832.15</f>
        <v>1832.15</v>
      </c>
      <c r="S4688">
        <f>1365.16</f>
        <v>1365.16</v>
      </c>
      <c r="T4688" t="e">
        <f>NA()</f>
        <v>#N/A</v>
      </c>
      <c r="U4688">
        <f>14511.08</f>
        <v>14511.08</v>
      </c>
      <c r="V4688" t="e">
        <f>NA()</f>
        <v>#N/A</v>
      </c>
    </row>
    <row r="4689" spans="1:22" x14ac:dyDescent="0.2">
      <c r="A4689" s="1">
        <v>38544</v>
      </c>
      <c r="B4689">
        <f>3045.79</f>
        <v>3045.79</v>
      </c>
      <c r="C4689">
        <f>3128.37</f>
        <v>3128.37</v>
      </c>
      <c r="D4689">
        <f>2808.54</f>
        <v>2808.54</v>
      </c>
      <c r="E4689">
        <f>895.027</f>
        <v>895.02700000000004</v>
      </c>
      <c r="F4689">
        <f>1676.74</f>
        <v>1676.74</v>
      </c>
      <c r="G4689">
        <f>5060.674</f>
        <v>5060.674</v>
      </c>
      <c r="H4689">
        <f>1314.06</f>
        <v>1314.06</v>
      </c>
      <c r="I4689">
        <f>4842.73</f>
        <v>4842.7299999999996</v>
      </c>
      <c r="J4689">
        <f>1228.28</f>
        <v>1228.28</v>
      </c>
      <c r="K4689">
        <f>3769.83</f>
        <v>3769.83</v>
      </c>
      <c r="L4689">
        <f>862.44</f>
        <v>862.44</v>
      </c>
      <c r="M4689">
        <f>3409.09</f>
        <v>3409.09</v>
      </c>
      <c r="N4689">
        <f>128.192</f>
        <v>128.19200000000001</v>
      </c>
      <c r="O4689">
        <f>1411.88</f>
        <v>1411.88</v>
      </c>
      <c r="P4689" t="e">
        <f>NA()</f>
        <v>#N/A</v>
      </c>
      <c r="Q4689">
        <f>661.03</f>
        <v>661.03</v>
      </c>
      <c r="R4689">
        <f>1827.91</f>
        <v>1827.91</v>
      </c>
      <c r="S4689">
        <f>1364.03</f>
        <v>1364.03</v>
      </c>
      <c r="T4689" t="e">
        <f>NA()</f>
        <v>#N/A</v>
      </c>
      <c r="U4689">
        <f>14515.59</f>
        <v>14515.59</v>
      </c>
      <c r="V4689" t="e">
        <f>NA()</f>
        <v>#N/A</v>
      </c>
    </row>
    <row r="4690" spans="1:22" x14ac:dyDescent="0.2">
      <c r="A4690" s="1">
        <v>38541</v>
      </c>
      <c r="B4690">
        <f>3027.62</f>
        <v>3027.62</v>
      </c>
      <c r="C4690">
        <f>3079.45</f>
        <v>3079.45</v>
      </c>
      <c r="D4690">
        <f>2803.07</f>
        <v>2803.07</v>
      </c>
      <c r="E4690">
        <f>879.206</f>
        <v>879.20600000000002</v>
      </c>
      <c r="F4690">
        <f>1649.64</f>
        <v>1649.64</v>
      </c>
      <c r="G4690">
        <f>4994.853</f>
        <v>4994.8530000000001</v>
      </c>
      <c r="H4690">
        <f>1299.8</f>
        <v>1299.8</v>
      </c>
      <c r="I4690">
        <f>4753.846</f>
        <v>4753.8459999999995</v>
      </c>
      <c r="J4690">
        <f>1221.89</f>
        <v>1221.8900000000001</v>
      </c>
      <c r="K4690">
        <f>3746.43</f>
        <v>3746.43</v>
      </c>
      <c r="L4690">
        <f>853.3</f>
        <v>853.3</v>
      </c>
      <c r="M4690">
        <f>3375.29</f>
        <v>3375.29</v>
      </c>
      <c r="N4690">
        <f>133.229</f>
        <v>133.22900000000001</v>
      </c>
      <c r="O4690">
        <f>1403.64</f>
        <v>1403.64</v>
      </c>
      <c r="P4690" t="e">
        <f>NA()</f>
        <v>#N/A</v>
      </c>
      <c r="Q4690">
        <f>656.74</f>
        <v>656.74</v>
      </c>
      <c r="R4690">
        <f>1816.52</f>
        <v>1816.52</v>
      </c>
      <c r="S4690">
        <f>1355.49</f>
        <v>1355.49</v>
      </c>
      <c r="T4690" t="e">
        <f>NA()</f>
        <v>#N/A</v>
      </c>
      <c r="U4690">
        <f>14457.8</f>
        <v>14457.8</v>
      </c>
      <c r="V4690" t="e">
        <f>NA()</f>
        <v>#N/A</v>
      </c>
    </row>
    <row r="4691" spans="1:22" x14ac:dyDescent="0.2">
      <c r="A4691" s="1">
        <v>38540</v>
      </c>
      <c r="B4691">
        <f>2986.22</f>
        <v>2986.22</v>
      </c>
      <c r="C4691">
        <f>3071.57</f>
        <v>3071.57</v>
      </c>
      <c r="D4691">
        <f>2763.49</f>
        <v>2763.49</v>
      </c>
      <c r="E4691">
        <f>876.862</f>
        <v>876.86199999999997</v>
      </c>
      <c r="F4691">
        <f>1638.9</f>
        <v>1638.9</v>
      </c>
      <c r="G4691">
        <f>4938.026</f>
        <v>4938.0259999999998</v>
      </c>
      <c r="H4691">
        <f>1302.2</f>
        <v>1302.2</v>
      </c>
      <c r="I4691">
        <f>4694.842</f>
        <v>4694.8419999999996</v>
      </c>
      <c r="J4691">
        <f>1208.44</f>
        <v>1208.44</v>
      </c>
      <c r="K4691">
        <f>3703.35</f>
        <v>3703.35</v>
      </c>
      <c r="L4691">
        <f>844.27</f>
        <v>844.27</v>
      </c>
      <c r="M4691">
        <f>3341.61</f>
        <v>3341.61</v>
      </c>
      <c r="N4691">
        <f>131.982</f>
        <v>131.982</v>
      </c>
      <c r="O4691">
        <f>1385.8</f>
        <v>1385.8</v>
      </c>
      <c r="P4691" t="e">
        <f>NA()</f>
        <v>#N/A</v>
      </c>
      <c r="Q4691">
        <f>648.54</f>
        <v>648.54</v>
      </c>
      <c r="R4691">
        <f>1795.55</f>
        <v>1795.55</v>
      </c>
      <c r="S4691">
        <f>1358.5</f>
        <v>1358.5</v>
      </c>
      <c r="T4691" t="e">
        <f>NA()</f>
        <v>#N/A</v>
      </c>
      <c r="U4691">
        <f>14302.11</f>
        <v>14302.11</v>
      </c>
      <c r="V4691" t="e">
        <f>NA()</f>
        <v>#N/A</v>
      </c>
    </row>
    <row r="4692" spans="1:22" x14ac:dyDescent="0.2">
      <c r="A4692" s="1">
        <v>38539</v>
      </c>
      <c r="B4692">
        <f>3026.48</f>
        <v>3026.48</v>
      </c>
      <c r="C4692">
        <f>3093.9</f>
        <v>3093.9</v>
      </c>
      <c r="D4692">
        <f>2801.73</f>
        <v>2801.73</v>
      </c>
      <c r="E4692">
        <f>881.341</f>
        <v>881.34100000000001</v>
      </c>
      <c r="F4692">
        <f>1673.24</f>
        <v>1673.24</v>
      </c>
      <c r="G4692">
        <f>5054.391</f>
        <v>5054.3909999999996</v>
      </c>
      <c r="H4692">
        <f>1308.79</f>
        <v>1308.79</v>
      </c>
      <c r="I4692">
        <f>4754.243</f>
        <v>4754.2430000000004</v>
      </c>
      <c r="J4692">
        <f>1208.96</f>
        <v>1208.96</v>
      </c>
      <c r="K4692">
        <f>3693.98</f>
        <v>3693.98</v>
      </c>
      <c r="L4692">
        <f>853.23</f>
        <v>853.23</v>
      </c>
      <c r="M4692">
        <f>3355.59</f>
        <v>3355.59</v>
      </c>
      <c r="N4692">
        <f>135.087</f>
        <v>135.08699999999999</v>
      </c>
      <c r="O4692">
        <f>1411.71</f>
        <v>1411.71</v>
      </c>
      <c r="P4692" t="e">
        <f>NA()</f>
        <v>#N/A</v>
      </c>
      <c r="Q4692">
        <f>648.45</f>
        <v>648.45000000000005</v>
      </c>
      <c r="R4692">
        <f>1791.05</f>
        <v>1791.05</v>
      </c>
      <c r="S4692">
        <f>1362.43</f>
        <v>1362.43</v>
      </c>
      <c r="T4692" t="e">
        <f>NA()</f>
        <v>#N/A</v>
      </c>
      <c r="U4692">
        <f>14394.63</f>
        <v>14394.63</v>
      </c>
      <c r="V4692" t="e">
        <f>NA()</f>
        <v>#N/A</v>
      </c>
    </row>
    <row r="4693" spans="1:22" x14ac:dyDescent="0.2">
      <c r="A4693" s="1">
        <v>38538</v>
      </c>
      <c r="B4693">
        <f>3002.39</f>
        <v>3002.39</v>
      </c>
      <c r="C4693">
        <f>3090.56</f>
        <v>3090.56</v>
      </c>
      <c r="D4693">
        <f>2779.2</f>
        <v>2779.2</v>
      </c>
      <c r="E4693">
        <f>877.275</f>
        <v>877.27499999999998</v>
      </c>
      <c r="F4693">
        <f>1663.41</f>
        <v>1663.41</v>
      </c>
      <c r="G4693">
        <f>5002.321</f>
        <v>5002.3209999999999</v>
      </c>
      <c r="H4693">
        <f>1309.72</f>
        <v>1309.72</v>
      </c>
      <c r="I4693">
        <f>4723.854</f>
        <v>4723.8540000000003</v>
      </c>
      <c r="J4693">
        <f>1221.69</f>
        <v>1221.69</v>
      </c>
      <c r="K4693">
        <f>3722.36</f>
        <v>3722.36</v>
      </c>
      <c r="L4693">
        <f>852.58</f>
        <v>852.58</v>
      </c>
      <c r="M4693">
        <f>3360.79</f>
        <v>3360.79</v>
      </c>
      <c r="N4693">
        <f>134.812</f>
        <v>134.81200000000001</v>
      </c>
      <c r="O4693">
        <f>1402.96</f>
        <v>1402.96</v>
      </c>
      <c r="P4693" t="e">
        <f>NA()</f>
        <v>#N/A</v>
      </c>
      <c r="Q4693">
        <f>654.28</f>
        <v>654.28</v>
      </c>
      <c r="R4693">
        <f>1805.68</f>
        <v>1805.68</v>
      </c>
      <c r="S4693">
        <f>1362.17</f>
        <v>1362.17</v>
      </c>
      <c r="T4693" t="e">
        <f>NA()</f>
        <v>#N/A</v>
      </c>
      <c r="U4693">
        <f>14362.42</f>
        <v>14362.42</v>
      </c>
      <c r="V4693" t="e">
        <f>NA()</f>
        <v>#N/A</v>
      </c>
    </row>
    <row r="4694" spans="1:22" x14ac:dyDescent="0.2">
      <c r="A4694" s="1">
        <v>38537</v>
      </c>
      <c r="B4694">
        <f>3010.18</f>
        <v>3010.18</v>
      </c>
      <c r="C4694">
        <f>3099.79</f>
        <v>3099.79</v>
      </c>
      <c r="D4694">
        <f>2776.09</f>
        <v>2776.09</v>
      </c>
      <c r="E4694">
        <f>881.326</f>
        <v>881.32600000000002</v>
      </c>
      <c r="F4694">
        <f>1669.89</f>
        <v>1669.89</v>
      </c>
      <c r="G4694">
        <f>5018.052</f>
        <v>5018.0519999999997</v>
      </c>
      <c r="H4694">
        <f>1312.13</f>
        <v>1312.13</v>
      </c>
      <c r="I4694">
        <f>4730.415</f>
        <v>4730.415</v>
      </c>
      <c r="J4694">
        <f>1213.65</f>
        <v>1213.6500000000001</v>
      </c>
      <c r="K4694">
        <f>3690.28</f>
        <v>3690.28</v>
      </c>
      <c r="L4694">
        <f>852.25</f>
        <v>852.25</v>
      </c>
      <c r="M4694">
        <f>3347.59</f>
        <v>3347.59</v>
      </c>
      <c r="N4694">
        <f>135.306</f>
        <v>135.30600000000001</v>
      </c>
      <c r="O4694">
        <f>1405.7</f>
        <v>1405.7</v>
      </c>
      <c r="P4694" t="e">
        <f>NA()</f>
        <v>#N/A</v>
      </c>
      <c r="Q4694" t="e">
        <f>NA()</f>
        <v>#N/A</v>
      </c>
      <c r="R4694" t="e">
        <f>NA()</f>
        <v>#N/A</v>
      </c>
      <c r="S4694">
        <f>1365.25</f>
        <v>1365.25</v>
      </c>
      <c r="T4694" t="e">
        <f>NA()</f>
        <v>#N/A</v>
      </c>
      <c r="U4694">
        <f>14309.81</f>
        <v>14309.81</v>
      </c>
      <c r="V4694" t="e">
        <f>NA()</f>
        <v>#N/A</v>
      </c>
    </row>
    <row r="4695" spans="1:22" x14ac:dyDescent="0.2">
      <c r="A4695" s="1">
        <v>38534</v>
      </c>
      <c r="B4695">
        <f>3025.95</f>
        <v>3025.95</v>
      </c>
      <c r="C4695">
        <f>3120.73</f>
        <v>3120.73</v>
      </c>
      <c r="D4695">
        <f>2763.6</f>
        <v>2763.6</v>
      </c>
      <c r="E4695">
        <f>884.701</f>
        <v>884.70100000000002</v>
      </c>
      <c r="F4695">
        <f>1680.81</f>
        <v>1680.81</v>
      </c>
      <c r="G4695">
        <f>5025.821</f>
        <v>5025.8209999999999</v>
      </c>
      <c r="H4695">
        <f>1306.59</f>
        <v>1306.5899999999999</v>
      </c>
      <c r="I4695">
        <f>4745.734</f>
        <v>4745.7340000000004</v>
      </c>
      <c r="J4695">
        <f>1213.65</f>
        <v>1213.6500000000001</v>
      </c>
      <c r="K4695">
        <f>3690.28</f>
        <v>3690.28</v>
      </c>
      <c r="L4695">
        <f>853.04</f>
        <v>853.04</v>
      </c>
      <c r="M4695">
        <f>3348.58</f>
        <v>3348.58</v>
      </c>
      <c r="N4695">
        <f>135.53</f>
        <v>135.53</v>
      </c>
      <c r="O4695">
        <f>1402.65</f>
        <v>1402.65</v>
      </c>
      <c r="P4695" t="e">
        <f>NA()</f>
        <v>#N/A</v>
      </c>
      <c r="Q4695">
        <f>650.54</f>
        <v>650.54</v>
      </c>
      <c r="R4695">
        <f>1789.85</f>
        <v>1789.85</v>
      </c>
      <c r="S4695">
        <f>1360.31</f>
        <v>1360.31</v>
      </c>
      <c r="T4695" t="e">
        <f>NA()</f>
        <v>#N/A</v>
      </c>
      <c r="U4695">
        <f>14244.13</f>
        <v>14244.13</v>
      </c>
      <c r="V4695" t="e">
        <f>NA()</f>
        <v>#N/A</v>
      </c>
    </row>
    <row r="4696" spans="1:22" x14ac:dyDescent="0.2">
      <c r="A4696" s="1">
        <v>38533</v>
      </c>
      <c r="B4696">
        <f>3000</f>
        <v>3000</v>
      </c>
      <c r="C4696">
        <f>3104.08</f>
        <v>3104.08</v>
      </c>
      <c r="D4696">
        <f>2737.98</f>
        <v>2737.98</v>
      </c>
      <c r="E4696">
        <f>879.576</f>
        <v>879.57600000000002</v>
      </c>
      <c r="F4696">
        <f>1686.92</f>
        <v>1686.92</v>
      </c>
      <c r="G4696">
        <f>5036.763</f>
        <v>5036.7629999999999</v>
      </c>
      <c r="H4696">
        <f>1313.15</f>
        <v>1313.15</v>
      </c>
      <c r="I4696">
        <f>4765.56</f>
        <v>4765.5600000000004</v>
      </c>
      <c r="J4696">
        <f>1210.61</f>
        <v>1210.6099999999999</v>
      </c>
      <c r="K4696">
        <f>3679.89</f>
        <v>3679.89</v>
      </c>
      <c r="L4696">
        <f>854.38</f>
        <v>854.38</v>
      </c>
      <c r="M4696">
        <f>3351.02</f>
        <v>3351.02</v>
      </c>
      <c r="N4696">
        <f>135.005</f>
        <v>135.005</v>
      </c>
      <c r="O4696">
        <f>1391.23</f>
        <v>1391.23</v>
      </c>
      <c r="P4696" t="e">
        <f>NA()</f>
        <v>#N/A</v>
      </c>
      <c r="Q4696">
        <f>649.08</f>
        <v>649.08000000000004</v>
      </c>
      <c r="R4696">
        <f>1784.99</f>
        <v>1784.99</v>
      </c>
      <c r="S4696">
        <f>1355.02</f>
        <v>1355.02</v>
      </c>
      <c r="T4696" t="e">
        <f>NA()</f>
        <v>#N/A</v>
      </c>
      <c r="U4696">
        <f>14154.73</f>
        <v>14154.73</v>
      </c>
      <c r="V4696" t="e">
        <f>NA()</f>
        <v>#N/A</v>
      </c>
    </row>
    <row r="4697" spans="1:22" x14ac:dyDescent="0.2">
      <c r="A4697" s="1">
        <v>38532</v>
      </c>
      <c r="B4697" t="e">
        <f>NA()</f>
        <v>#N/A</v>
      </c>
      <c r="C4697">
        <f>3109.46</f>
        <v>3109.46</v>
      </c>
      <c r="D4697">
        <f>2735.83</f>
        <v>2735.83</v>
      </c>
      <c r="E4697">
        <f>879.951</f>
        <v>879.95100000000002</v>
      </c>
      <c r="F4697">
        <f>1696.9</f>
        <v>1696.9</v>
      </c>
      <c r="G4697">
        <f>5066.924</f>
        <v>5066.924</v>
      </c>
      <c r="H4697">
        <f>1314.14</f>
        <v>1314.14</v>
      </c>
      <c r="I4697">
        <f>4750.894</f>
        <v>4750.8940000000002</v>
      </c>
      <c r="J4697">
        <f>1221.37</f>
        <v>1221.3699999999999</v>
      </c>
      <c r="K4697">
        <f>3705</f>
        <v>3705</v>
      </c>
      <c r="L4697">
        <f>857.46</f>
        <v>857.46</v>
      </c>
      <c r="M4697">
        <f>3365.31</f>
        <v>3365.31</v>
      </c>
      <c r="N4697">
        <f>135.261</f>
        <v>135.261</v>
      </c>
      <c r="O4697">
        <f>1395.15</f>
        <v>1395.15</v>
      </c>
      <c r="P4697" t="e">
        <f>NA()</f>
        <v>#N/A</v>
      </c>
      <c r="Q4697">
        <f>653.51</f>
        <v>653.51</v>
      </c>
      <c r="R4697">
        <f>1797.73</f>
        <v>1797.73</v>
      </c>
      <c r="S4697">
        <f>1353.2</f>
        <v>1353.2</v>
      </c>
      <c r="T4697" t="e">
        <f>NA()</f>
        <v>#N/A</v>
      </c>
      <c r="U4697">
        <f>14183.47</f>
        <v>14183.47</v>
      </c>
      <c r="V4697" t="e">
        <f>NA()</f>
        <v>#N/A</v>
      </c>
    </row>
    <row r="4698" spans="1:22" x14ac:dyDescent="0.2">
      <c r="A4698" s="1">
        <v>38531</v>
      </c>
      <c r="B4698" t="e">
        <f>NA()</f>
        <v>#N/A</v>
      </c>
      <c r="C4698">
        <f>3116.91</f>
        <v>3116.91</v>
      </c>
      <c r="D4698">
        <f>2725.26</f>
        <v>2725.26</v>
      </c>
      <c r="E4698">
        <f>882.093</f>
        <v>882.09299999999996</v>
      </c>
      <c r="F4698">
        <f>1701.57</f>
        <v>1701.57</v>
      </c>
      <c r="G4698">
        <f>5083.801</f>
        <v>5083.8010000000004</v>
      </c>
      <c r="H4698">
        <f>1312.57</f>
        <v>1312.57</v>
      </c>
      <c r="I4698">
        <f>4726.194</f>
        <v>4726.1940000000004</v>
      </c>
      <c r="J4698">
        <f>1224.25</f>
        <v>1224.25</v>
      </c>
      <c r="K4698">
        <f>3710.08</f>
        <v>3710.08</v>
      </c>
      <c r="L4698">
        <f>858.1</f>
        <v>858.1</v>
      </c>
      <c r="M4698">
        <f>3365.38</f>
        <v>3365.38</v>
      </c>
      <c r="N4698">
        <f>135.289</f>
        <v>135.28899999999999</v>
      </c>
      <c r="O4698">
        <f>1391.16</f>
        <v>1391.16</v>
      </c>
      <c r="P4698" t="e">
        <f>NA()</f>
        <v>#N/A</v>
      </c>
      <c r="Q4698">
        <f>655.58</f>
        <v>655.58</v>
      </c>
      <c r="R4698">
        <f>1800.07</f>
        <v>1800.07</v>
      </c>
      <c r="S4698">
        <f>1345.86</f>
        <v>1345.86</v>
      </c>
      <c r="T4698" t="e">
        <f>NA()</f>
        <v>#N/A</v>
      </c>
      <c r="U4698">
        <f>14065.84</f>
        <v>14065.84</v>
      </c>
      <c r="V4698" t="e">
        <f>NA()</f>
        <v>#N/A</v>
      </c>
    </row>
    <row r="4699" spans="1:22" x14ac:dyDescent="0.2">
      <c r="A4699" s="1">
        <v>38530</v>
      </c>
      <c r="B4699" t="e">
        <f>NA()</f>
        <v>#N/A</v>
      </c>
      <c r="C4699">
        <f>3106.91</f>
        <v>3106.91</v>
      </c>
      <c r="D4699">
        <f>2700.17</f>
        <v>2700.17</v>
      </c>
      <c r="E4699">
        <f>880.579</f>
        <v>880.57899999999995</v>
      </c>
      <c r="F4699">
        <f>1698.24</f>
        <v>1698.24</v>
      </c>
      <c r="G4699">
        <f>5063.883</f>
        <v>5063.8829999999998</v>
      </c>
      <c r="H4699">
        <f>1308.26</f>
        <v>1308.26</v>
      </c>
      <c r="I4699">
        <f>4724.451</f>
        <v>4724.451</v>
      </c>
      <c r="J4699">
        <f>1214.18</f>
        <v>1214.18</v>
      </c>
      <c r="K4699">
        <f>3675.52</f>
        <v>3675.52</v>
      </c>
      <c r="L4699">
        <f>853.86</f>
        <v>853.86</v>
      </c>
      <c r="M4699">
        <f>3345.18</f>
        <v>3345.18</v>
      </c>
      <c r="N4699">
        <f>134.826</f>
        <v>134.82599999999999</v>
      </c>
      <c r="O4699">
        <f>1379.52</f>
        <v>1379.52</v>
      </c>
      <c r="P4699" t="e">
        <f>NA()</f>
        <v>#N/A</v>
      </c>
      <c r="Q4699">
        <f>647.46</f>
        <v>647.46</v>
      </c>
      <c r="R4699">
        <f>1783.45</f>
        <v>1783.45</v>
      </c>
      <c r="S4699">
        <f>1335.91</f>
        <v>1335.91</v>
      </c>
      <c r="T4699" t="e">
        <f>NA()</f>
        <v>#N/A</v>
      </c>
      <c r="U4699">
        <f>14047.98</f>
        <v>14047.98</v>
      </c>
      <c r="V4699" t="e">
        <f>NA()</f>
        <v>#N/A</v>
      </c>
    </row>
    <row r="4700" spans="1:22" x14ac:dyDescent="0.2">
      <c r="A4700" s="1">
        <v>38527</v>
      </c>
      <c r="B4700" t="e">
        <f>NA()</f>
        <v>#N/A</v>
      </c>
      <c r="C4700">
        <f>3102.56</f>
        <v>3102.56</v>
      </c>
      <c r="D4700">
        <f>2719.14</f>
        <v>2719.14</v>
      </c>
      <c r="E4700">
        <f>882.212</f>
        <v>882.21199999999999</v>
      </c>
      <c r="F4700">
        <f>1707.9</f>
        <v>1707.9</v>
      </c>
      <c r="G4700">
        <f>5085.751</f>
        <v>5085.7510000000002</v>
      </c>
      <c r="H4700">
        <f>1320.74</f>
        <v>1320.74</v>
      </c>
      <c r="I4700">
        <f>4739.005</f>
        <v>4739.0050000000001</v>
      </c>
      <c r="J4700">
        <f>1213.91</f>
        <v>1213.9100000000001</v>
      </c>
      <c r="K4700">
        <f>3677.76</f>
        <v>3677.76</v>
      </c>
      <c r="L4700">
        <f>855.44</f>
        <v>855.44</v>
      </c>
      <c r="M4700">
        <f>3353.03</f>
        <v>3353.03</v>
      </c>
      <c r="N4700">
        <f>136.722</f>
        <v>136.72200000000001</v>
      </c>
      <c r="O4700">
        <f>1393.12</f>
        <v>1393.12</v>
      </c>
      <c r="P4700" t="e">
        <f>NA()</f>
        <v>#N/A</v>
      </c>
      <c r="Q4700">
        <f>647.13</f>
        <v>647.13</v>
      </c>
      <c r="R4700">
        <f>1784.77</f>
        <v>1784.77</v>
      </c>
      <c r="S4700">
        <f>1349.31</f>
        <v>1349.31</v>
      </c>
      <c r="T4700" t="e">
        <f>NA()</f>
        <v>#N/A</v>
      </c>
      <c r="U4700">
        <f>14103.92</f>
        <v>14103.92</v>
      </c>
      <c r="V4700" t="e">
        <f>NA()</f>
        <v>#N/A</v>
      </c>
    </row>
    <row r="4701" spans="1:22" x14ac:dyDescent="0.2">
      <c r="A4701" s="1">
        <v>38526</v>
      </c>
      <c r="B4701" t="e">
        <f>NA()</f>
        <v>#N/A</v>
      </c>
      <c r="C4701">
        <f>3112.79</f>
        <v>3112.79</v>
      </c>
      <c r="D4701">
        <f>2738.1</f>
        <v>2738.1</v>
      </c>
      <c r="E4701">
        <f>886.966</f>
        <v>886.96600000000001</v>
      </c>
      <c r="F4701">
        <f>1717.98</f>
        <v>1717.98</v>
      </c>
      <c r="G4701">
        <f>5116.35</f>
        <v>5116.3500000000004</v>
      </c>
      <c r="H4701">
        <f>1327.91</f>
        <v>1327.91</v>
      </c>
      <c r="I4701">
        <f>4761.974</f>
        <v>4761.9740000000002</v>
      </c>
      <c r="J4701">
        <f>1222.41</f>
        <v>1222.4100000000001</v>
      </c>
      <c r="K4701">
        <f>3705.38</f>
        <v>3705.38</v>
      </c>
      <c r="L4701">
        <f>859.42</f>
        <v>859.42</v>
      </c>
      <c r="M4701">
        <f>3374.24</f>
        <v>3374.24</v>
      </c>
      <c r="N4701">
        <f>137.674</f>
        <v>137.67400000000001</v>
      </c>
      <c r="O4701">
        <f>1404.23</f>
        <v>1404.23</v>
      </c>
      <c r="P4701" t="e">
        <f>NA()</f>
        <v>#N/A</v>
      </c>
      <c r="Q4701">
        <f>651.3</f>
        <v>651.29999999999995</v>
      </c>
      <c r="R4701">
        <f>1798.49</f>
        <v>1798.49</v>
      </c>
      <c r="S4701">
        <f>1349.95</f>
        <v>1349.95</v>
      </c>
      <c r="T4701" t="e">
        <f>NA()</f>
        <v>#N/A</v>
      </c>
      <c r="U4701">
        <f>14278.43</f>
        <v>14278.43</v>
      </c>
      <c r="V4701" t="e">
        <f>NA()</f>
        <v>#N/A</v>
      </c>
    </row>
    <row r="4702" spans="1:22" x14ac:dyDescent="0.2">
      <c r="A4702" s="1">
        <v>38525</v>
      </c>
      <c r="B4702" t="e">
        <f>NA()</f>
        <v>#N/A</v>
      </c>
      <c r="C4702">
        <f>3126.25</f>
        <v>3126.25</v>
      </c>
      <c r="D4702">
        <f>2730.02</f>
        <v>2730.02</v>
      </c>
      <c r="E4702">
        <f>889.828</f>
        <v>889.82799999999997</v>
      </c>
      <c r="F4702">
        <f>1707.34</f>
        <v>1707.34</v>
      </c>
      <c r="G4702">
        <f>5111.148</f>
        <v>5111.1480000000001</v>
      </c>
      <c r="H4702">
        <f>1324.67</f>
        <v>1324.67</v>
      </c>
      <c r="I4702">
        <f>4783.587</f>
        <v>4783.5870000000004</v>
      </c>
      <c r="J4702">
        <f>1236.7</f>
        <v>1236.7</v>
      </c>
      <c r="K4702">
        <f>3744.44</f>
        <v>3744.44</v>
      </c>
      <c r="L4702">
        <f>863.23</f>
        <v>863.23</v>
      </c>
      <c r="M4702">
        <f>3396.74</f>
        <v>3396.74</v>
      </c>
      <c r="N4702">
        <f>136.846</f>
        <v>136.846</v>
      </c>
      <c r="O4702">
        <f>1399.01</f>
        <v>1399.01</v>
      </c>
      <c r="P4702" t="e">
        <f>NA()</f>
        <v>#N/A</v>
      </c>
      <c r="Q4702">
        <f>660.07</f>
        <v>660.07</v>
      </c>
      <c r="R4702">
        <f>1817.8</f>
        <v>1817.8</v>
      </c>
      <c r="S4702">
        <f>1349.07</f>
        <v>1349.07</v>
      </c>
      <c r="T4702" t="e">
        <f>NA()</f>
        <v>#N/A</v>
      </c>
      <c r="U4702">
        <f>14313.51</f>
        <v>14313.51</v>
      </c>
      <c r="V4702" t="e">
        <f>NA()</f>
        <v>#N/A</v>
      </c>
    </row>
    <row r="4703" spans="1:22" x14ac:dyDescent="0.2">
      <c r="A4703" s="1">
        <v>38524</v>
      </c>
      <c r="B4703" t="e">
        <f>NA()</f>
        <v>#N/A</v>
      </c>
      <c r="C4703">
        <f>3098.94</f>
        <v>3098.94</v>
      </c>
      <c r="D4703">
        <f>2720.25</f>
        <v>2720.25</v>
      </c>
      <c r="E4703">
        <f>881.873</f>
        <v>881.87300000000005</v>
      </c>
      <c r="F4703">
        <f>1696.34</f>
        <v>1696.34</v>
      </c>
      <c r="G4703">
        <f>5100.212</f>
        <v>5100.2120000000004</v>
      </c>
      <c r="H4703">
        <f>1326.18</f>
        <v>1326.18</v>
      </c>
      <c r="I4703">
        <f>4780.736</f>
        <v>4780.7359999999999</v>
      </c>
      <c r="J4703">
        <f>1236.26</f>
        <v>1236.26</v>
      </c>
      <c r="K4703">
        <f>3743.76</f>
        <v>3743.76</v>
      </c>
      <c r="L4703">
        <f>861.54</f>
        <v>861.54</v>
      </c>
      <c r="M4703">
        <f>3393.98</f>
        <v>3393.98</v>
      </c>
      <c r="N4703">
        <f>135.611</f>
        <v>135.61099999999999</v>
      </c>
      <c r="O4703">
        <f>1396.59</f>
        <v>1396.59</v>
      </c>
      <c r="P4703" t="e">
        <f>NA()</f>
        <v>#N/A</v>
      </c>
      <c r="Q4703">
        <f>659.36</f>
        <v>659.36</v>
      </c>
      <c r="R4703">
        <f>1817.36</f>
        <v>1817.36</v>
      </c>
      <c r="S4703">
        <f>1344.35</f>
        <v>1344.35</v>
      </c>
      <c r="T4703" t="e">
        <f>NA()</f>
        <v>#N/A</v>
      </c>
      <c r="U4703">
        <f>14311.91</f>
        <v>14311.91</v>
      </c>
      <c r="V4703" t="e">
        <f>NA()</f>
        <v>#N/A</v>
      </c>
    </row>
    <row r="4704" spans="1:22" x14ac:dyDescent="0.2">
      <c r="A4704" s="1">
        <v>38523</v>
      </c>
      <c r="B4704" t="e">
        <f>NA()</f>
        <v>#N/A</v>
      </c>
      <c r="C4704">
        <f>3111.47</f>
        <v>3111.47</v>
      </c>
      <c r="D4704">
        <f>2714.82</f>
        <v>2714.82</v>
      </c>
      <c r="E4704">
        <f>884.783</f>
        <v>884.78300000000002</v>
      </c>
      <c r="F4704">
        <f>1687.66</f>
        <v>1687.66</v>
      </c>
      <c r="G4704">
        <f>5086.077</f>
        <v>5086.0770000000002</v>
      </c>
      <c r="H4704">
        <f>1316.95</f>
        <v>1316.95</v>
      </c>
      <c r="I4704">
        <f>4753.727</f>
        <v>4753.7269999999999</v>
      </c>
      <c r="J4704">
        <f>1240.92</f>
        <v>1240.92</v>
      </c>
      <c r="K4704">
        <f>3751.3</f>
        <v>3751.3</v>
      </c>
      <c r="L4704">
        <f>860.16</f>
        <v>860.16</v>
      </c>
      <c r="M4704">
        <f>3390.96</f>
        <v>3390.96</v>
      </c>
      <c r="N4704">
        <f>134.572</f>
        <v>134.572</v>
      </c>
      <c r="O4704">
        <f>1390.45</f>
        <v>1390.45</v>
      </c>
      <c r="P4704" t="e">
        <f>NA()</f>
        <v>#N/A</v>
      </c>
      <c r="Q4704">
        <f>661.43</f>
        <v>661.43</v>
      </c>
      <c r="R4704">
        <f>1821.06</f>
        <v>1821.06</v>
      </c>
      <c r="S4704">
        <f>1346.08</f>
        <v>1346.08</v>
      </c>
      <c r="T4704" t="e">
        <f>NA()</f>
        <v>#N/A</v>
      </c>
      <c r="U4704">
        <f>14345.63</f>
        <v>14345.63</v>
      </c>
      <c r="V4704" t="e">
        <f>NA()</f>
        <v>#N/A</v>
      </c>
    </row>
    <row r="4705" spans="1:22" x14ac:dyDescent="0.2">
      <c r="A4705" s="1">
        <v>38520</v>
      </c>
      <c r="B4705" t="e">
        <f>NA()</f>
        <v>#N/A</v>
      </c>
      <c r="C4705">
        <f>3112.23</f>
        <v>3112.23</v>
      </c>
      <c r="D4705">
        <f>2717.84</f>
        <v>2717.84</v>
      </c>
      <c r="E4705">
        <f>885.876</f>
        <v>885.87599999999998</v>
      </c>
      <c r="F4705">
        <f>1691.35</f>
        <v>1691.35</v>
      </c>
      <c r="G4705">
        <f>5091.743</f>
        <v>5091.7430000000004</v>
      </c>
      <c r="H4705">
        <f>1323.64</f>
        <v>1323.64</v>
      </c>
      <c r="I4705">
        <f>4805.375</f>
        <v>4805.375</v>
      </c>
      <c r="J4705">
        <f>1243.02</f>
        <v>1243.02</v>
      </c>
      <c r="K4705">
        <f>3753.16</f>
        <v>3753.16</v>
      </c>
      <c r="L4705">
        <f>863.34</f>
        <v>863.34</v>
      </c>
      <c r="M4705">
        <f>3401.03</f>
        <v>3401.03</v>
      </c>
      <c r="N4705">
        <f>134.676</f>
        <v>134.67599999999999</v>
      </c>
      <c r="O4705">
        <f>1390.24</f>
        <v>1390.24</v>
      </c>
      <c r="P4705" t="e">
        <f>NA()</f>
        <v>#N/A</v>
      </c>
      <c r="Q4705">
        <f>662.95</f>
        <v>662.95</v>
      </c>
      <c r="R4705">
        <f>1822.35</f>
        <v>1822.35</v>
      </c>
      <c r="S4705">
        <f>1348</f>
        <v>1348</v>
      </c>
      <c r="T4705" t="e">
        <f>NA()</f>
        <v>#N/A</v>
      </c>
      <c r="U4705">
        <f>14326.59</f>
        <v>14326.59</v>
      </c>
      <c r="V4705" t="e">
        <f>NA()</f>
        <v>#N/A</v>
      </c>
    </row>
    <row r="4706" spans="1:22" x14ac:dyDescent="0.2">
      <c r="A4706" s="1">
        <v>38519</v>
      </c>
      <c r="B4706" t="e">
        <f>NA()</f>
        <v>#N/A</v>
      </c>
      <c r="C4706">
        <f>3078.94</f>
        <v>3078.94</v>
      </c>
      <c r="D4706">
        <f>2700.37</f>
        <v>2700.37</v>
      </c>
      <c r="E4706">
        <f>878.164</f>
        <v>878.16399999999999</v>
      </c>
      <c r="F4706">
        <f>1680.96</f>
        <v>1680.96</v>
      </c>
      <c r="G4706">
        <f>5047.775</f>
        <v>5047.7749999999996</v>
      </c>
      <c r="H4706">
        <f>1307.07</f>
        <v>1307.07</v>
      </c>
      <c r="I4706">
        <f>4728.672</f>
        <v>4728.6719999999996</v>
      </c>
      <c r="J4706">
        <f>1234.84</f>
        <v>1234.8399999999999</v>
      </c>
      <c r="K4706">
        <f>3735.46</f>
        <v>3735.46</v>
      </c>
      <c r="L4706">
        <f>854.59</f>
        <v>854.59</v>
      </c>
      <c r="M4706">
        <f>3373.11</f>
        <v>3373.11</v>
      </c>
      <c r="N4706">
        <f>135.335</f>
        <v>135.33500000000001</v>
      </c>
      <c r="O4706">
        <f>1388.45</f>
        <v>1388.45</v>
      </c>
      <c r="P4706" t="e">
        <f>NA()</f>
        <v>#N/A</v>
      </c>
      <c r="Q4706">
        <f>659.93</f>
        <v>659.93</v>
      </c>
      <c r="R4706">
        <f>1813.35</f>
        <v>1813.35</v>
      </c>
      <c r="S4706">
        <f>1334.45</f>
        <v>1334.45</v>
      </c>
      <c r="T4706" t="e">
        <f>NA()</f>
        <v>#N/A</v>
      </c>
      <c r="U4706" t="e">
        <f>NA()</f>
        <v>#N/A</v>
      </c>
      <c r="V4706" t="e">
        <f>NA()</f>
        <v>#N/A</v>
      </c>
    </row>
    <row r="4707" spans="1:22" x14ac:dyDescent="0.2">
      <c r="A4707" s="1">
        <v>38518</v>
      </c>
      <c r="B4707" t="e">
        <f>NA()</f>
        <v>#N/A</v>
      </c>
      <c r="C4707">
        <f>3065.72</f>
        <v>3065.72</v>
      </c>
      <c r="D4707">
        <f>2686.73</f>
        <v>2686.73</v>
      </c>
      <c r="E4707">
        <f>874.242</f>
        <v>874.24199999999996</v>
      </c>
      <c r="F4707">
        <f>1675.12</f>
        <v>1675.12</v>
      </c>
      <c r="G4707">
        <f>5020.741</f>
        <v>5020.741</v>
      </c>
      <c r="H4707">
        <f>1303.31</f>
        <v>1303.31</v>
      </c>
      <c r="I4707">
        <f>4719.039</f>
        <v>4719.0389999999998</v>
      </c>
      <c r="J4707">
        <f>1230.49</f>
        <v>1230.49</v>
      </c>
      <c r="K4707">
        <f>3720.88</f>
        <v>3720.88</v>
      </c>
      <c r="L4707">
        <f>851.4</f>
        <v>851.4</v>
      </c>
      <c r="M4707">
        <f>3359.44</f>
        <v>3359.44</v>
      </c>
      <c r="N4707">
        <f>134.558</f>
        <v>134.55799999999999</v>
      </c>
      <c r="O4707">
        <f>1381.76</f>
        <v>1381.76</v>
      </c>
      <c r="P4707" t="e">
        <f>NA()</f>
        <v>#N/A</v>
      </c>
      <c r="Q4707">
        <f>658.12</f>
        <v>658.12</v>
      </c>
      <c r="R4707">
        <f>1806.78</f>
        <v>1806.78</v>
      </c>
      <c r="S4707">
        <f>1331.79</f>
        <v>1331.79</v>
      </c>
      <c r="T4707" t="e">
        <f>NA()</f>
        <v>#N/A</v>
      </c>
      <c r="U4707">
        <f>14210.74</f>
        <v>14210.74</v>
      </c>
      <c r="V4707" t="e">
        <f>NA()</f>
        <v>#N/A</v>
      </c>
    </row>
    <row r="4708" spans="1:22" x14ac:dyDescent="0.2">
      <c r="A4708" s="1">
        <v>38517</v>
      </c>
      <c r="B4708" t="e">
        <f>NA()</f>
        <v>#N/A</v>
      </c>
      <c r="C4708">
        <f>3039.43</f>
        <v>3039.43</v>
      </c>
      <c r="D4708">
        <f>2701.2</f>
        <v>2701.2</v>
      </c>
      <c r="E4708">
        <f>867.342</f>
        <v>867.34199999999998</v>
      </c>
      <c r="F4708">
        <f>1676.26</f>
        <v>1676.26</v>
      </c>
      <c r="G4708">
        <f>5013.855</f>
        <v>5013.8549999999996</v>
      </c>
      <c r="H4708">
        <f>1296.88</f>
        <v>1296.8800000000001</v>
      </c>
      <c r="I4708">
        <f>4712.477</f>
        <v>4712.4769999999999</v>
      </c>
      <c r="J4708">
        <f>1227.16</f>
        <v>1227.1600000000001</v>
      </c>
      <c r="K4708">
        <f>3712.83</f>
        <v>3712.83</v>
      </c>
      <c r="L4708">
        <f>849.07</f>
        <v>849.07</v>
      </c>
      <c r="M4708">
        <f>3349.7</f>
        <v>3349.7</v>
      </c>
      <c r="N4708">
        <f>134.844</f>
        <v>134.84399999999999</v>
      </c>
      <c r="O4708">
        <f>1386.64</f>
        <v>1386.64</v>
      </c>
      <c r="P4708" t="e">
        <f>NA()</f>
        <v>#N/A</v>
      </c>
      <c r="Q4708">
        <f>657.85</f>
        <v>657.85</v>
      </c>
      <c r="R4708">
        <f>1802.73</f>
        <v>1802.73</v>
      </c>
      <c r="S4708">
        <f>1322.71</f>
        <v>1322.71</v>
      </c>
      <c r="T4708" t="e">
        <f>NA()</f>
        <v>#N/A</v>
      </c>
      <c r="U4708">
        <f>14224.28</f>
        <v>14224.28</v>
      </c>
      <c r="V4708" t="e">
        <f>NA()</f>
        <v>#N/A</v>
      </c>
    </row>
    <row r="4709" spans="1:22" x14ac:dyDescent="0.2">
      <c r="A4709" s="1">
        <v>38516</v>
      </c>
      <c r="B4709" t="e">
        <f>NA()</f>
        <v>#N/A</v>
      </c>
      <c r="C4709">
        <f>3022.52</f>
        <v>3022.52</v>
      </c>
      <c r="D4709">
        <f>2703.13</f>
        <v>2703.13</v>
      </c>
      <c r="E4709">
        <f>865.07</f>
        <v>865.07</v>
      </c>
      <c r="F4709">
        <f>1669.67</f>
        <v>1669.67</v>
      </c>
      <c r="G4709">
        <f>5002.128</f>
        <v>5002.1279999999997</v>
      </c>
      <c r="H4709">
        <f>1292.04</f>
        <v>1292.04</v>
      </c>
      <c r="I4709">
        <f>4703.566</f>
        <v>4703.5659999999998</v>
      </c>
      <c r="J4709">
        <f>1224.64</f>
        <v>1224.6400000000001</v>
      </c>
      <c r="K4709">
        <f>3703.99</f>
        <v>3703.99</v>
      </c>
      <c r="L4709">
        <f>847.36</f>
        <v>847.36</v>
      </c>
      <c r="M4709">
        <f>3341.73</f>
        <v>3341.73</v>
      </c>
      <c r="N4709">
        <f>134.79</f>
        <v>134.79</v>
      </c>
      <c r="O4709">
        <f>1384.68</f>
        <v>1384.68</v>
      </c>
      <c r="P4709" t="e">
        <f>NA()</f>
        <v>#N/A</v>
      </c>
      <c r="Q4709">
        <f>655.13</f>
        <v>655.13</v>
      </c>
      <c r="R4709">
        <f>1798.07</f>
        <v>1798.07</v>
      </c>
      <c r="S4709">
        <f>1321.94</f>
        <v>1321.94</v>
      </c>
      <c r="T4709" t="e">
        <f>NA()</f>
        <v>#N/A</v>
      </c>
      <c r="U4709">
        <f>14223.31</f>
        <v>14223.31</v>
      </c>
      <c r="V4709" t="e">
        <f>NA()</f>
        <v>#N/A</v>
      </c>
    </row>
    <row r="4710" spans="1:22" x14ac:dyDescent="0.2">
      <c r="A4710" s="1">
        <v>38513</v>
      </c>
      <c r="B4710" t="e">
        <f>NA()</f>
        <v>#N/A</v>
      </c>
      <c r="C4710">
        <f>3021.81</f>
        <v>3021.81</v>
      </c>
      <c r="D4710">
        <f>2692.43</f>
        <v>2692.43</v>
      </c>
      <c r="E4710">
        <f>863.349</f>
        <v>863.34900000000005</v>
      </c>
      <c r="F4710">
        <f>1671.05</f>
        <v>1671.05</v>
      </c>
      <c r="G4710">
        <f>5014.574</f>
        <v>5014.5739999999996</v>
      </c>
      <c r="H4710">
        <f>1304.6</f>
        <v>1304.5999999999999</v>
      </c>
      <c r="I4710">
        <f>4719.348</f>
        <v>4719.348</v>
      </c>
      <c r="J4710">
        <f>1223.9</f>
        <v>1223.9000000000001</v>
      </c>
      <c r="K4710">
        <f>3694.48</f>
        <v>3694.48</v>
      </c>
      <c r="L4710">
        <f>848.59</f>
        <v>848.59</v>
      </c>
      <c r="M4710">
        <f>3343.61</f>
        <v>3343.61</v>
      </c>
      <c r="N4710">
        <f>134.471</f>
        <v>134.471</v>
      </c>
      <c r="O4710">
        <f>1378.52</f>
        <v>1378.52</v>
      </c>
      <c r="P4710" t="e">
        <f>NA()</f>
        <v>#N/A</v>
      </c>
      <c r="Q4710">
        <f>654.56</f>
        <v>654.55999999999995</v>
      </c>
      <c r="R4710">
        <f>1793.51</f>
        <v>1793.51</v>
      </c>
      <c r="S4710">
        <f>1321.14</f>
        <v>1321.14</v>
      </c>
      <c r="T4710" t="e">
        <f>NA()</f>
        <v>#N/A</v>
      </c>
      <c r="U4710">
        <f>14029.06</f>
        <v>14029.06</v>
      </c>
      <c r="V4710" t="e">
        <f>NA()</f>
        <v>#N/A</v>
      </c>
    </row>
    <row r="4711" spans="1:22" x14ac:dyDescent="0.2">
      <c r="A4711" s="1">
        <v>38512</v>
      </c>
      <c r="B4711" t="e">
        <f>NA()</f>
        <v>#N/A</v>
      </c>
      <c r="C4711">
        <f>2999.89</f>
        <v>2999.89</v>
      </c>
      <c r="D4711">
        <f>2681.1</f>
        <v>2681.1</v>
      </c>
      <c r="E4711">
        <f>857.622</f>
        <v>857.62199999999996</v>
      </c>
      <c r="F4711">
        <f>1661.38</f>
        <v>1661.38</v>
      </c>
      <c r="G4711">
        <f>5007.216</f>
        <v>5007.2160000000003</v>
      </c>
      <c r="H4711">
        <f>1300.58</f>
        <v>1300.58</v>
      </c>
      <c r="I4711">
        <f>4721.355</f>
        <v>4721.3549999999996</v>
      </c>
      <c r="J4711">
        <f>1223.85</f>
        <v>1223.8499999999999</v>
      </c>
      <c r="K4711">
        <f>3703.45</f>
        <v>3703.45</v>
      </c>
      <c r="L4711">
        <f>847.95</f>
        <v>847.95</v>
      </c>
      <c r="M4711">
        <f>3346.47</f>
        <v>3346.47</v>
      </c>
      <c r="N4711">
        <f>133.787</f>
        <v>133.78700000000001</v>
      </c>
      <c r="O4711">
        <f>1370.4</f>
        <v>1370.4</v>
      </c>
      <c r="P4711" t="e">
        <f>NA()</f>
        <v>#N/A</v>
      </c>
      <c r="Q4711">
        <f>655.49</f>
        <v>655.49</v>
      </c>
      <c r="R4711">
        <f>1797.72</f>
        <v>1797.72</v>
      </c>
      <c r="S4711">
        <f>1309.4</f>
        <v>1309.4000000000001</v>
      </c>
      <c r="T4711" t="e">
        <f>NA()</f>
        <v>#N/A</v>
      </c>
      <c r="U4711">
        <f>14001.86</f>
        <v>14001.86</v>
      </c>
      <c r="V4711" t="e">
        <f>NA()</f>
        <v>#N/A</v>
      </c>
    </row>
    <row r="4712" spans="1:22" x14ac:dyDescent="0.2">
      <c r="A4712" s="1">
        <v>38511</v>
      </c>
      <c r="B4712" t="e">
        <f>NA()</f>
        <v>#N/A</v>
      </c>
      <c r="C4712">
        <f>3018.41</f>
        <v>3018.41</v>
      </c>
      <c r="D4712">
        <f>2678.17</f>
        <v>2678.17</v>
      </c>
      <c r="E4712">
        <f>862.398</f>
        <v>862.39800000000002</v>
      </c>
      <c r="F4712">
        <f>1676.73</f>
        <v>1676.73</v>
      </c>
      <c r="G4712">
        <f>5057.993</f>
        <v>5057.9930000000004</v>
      </c>
      <c r="H4712">
        <f>1322.7</f>
        <v>1322.7</v>
      </c>
      <c r="I4712">
        <f>4775.165</f>
        <v>4775.165</v>
      </c>
      <c r="J4712">
        <f>1219.79</f>
        <v>1219.79</v>
      </c>
      <c r="K4712">
        <f>3683.59</f>
        <v>3683.59</v>
      </c>
      <c r="L4712">
        <f>852.93</f>
        <v>852.93</v>
      </c>
      <c r="M4712">
        <f>3354.08</f>
        <v>3354.08</v>
      </c>
      <c r="N4712">
        <f>134.058</f>
        <v>134.05799999999999</v>
      </c>
      <c r="O4712">
        <f>1370.2</f>
        <v>1370.2</v>
      </c>
      <c r="P4712" t="e">
        <f>NA()</f>
        <v>#N/A</v>
      </c>
      <c r="Q4712">
        <f>655.49</f>
        <v>655.49</v>
      </c>
      <c r="R4712">
        <f>1788.3</f>
        <v>1788.3</v>
      </c>
      <c r="S4712">
        <f>1320.66</f>
        <v>1320.66</v>
      </c>
      <c r="T4712" t="e">
        <f>NA()</f>
        <v>#N/A</v>
      </c>
      <c r="U4712">
        <f>14000.44</f>
        <v>14000.44</v>
      </c>
      <c r="V4712" t="e">
        <f>NA()</f>
        <v>#N/A</v>
      </c>
    </row>
    <row r="4713" spans="1:22" x14ac:dyDescent="0.2">
      <c r="A4713" s="1">
        <v>38510</v>
      </c>
      <c r="B4713" t="e">
        <f>NA()</f>
        <v>#N/A</v>
      </c>
      <c r="C4713">
        <f>3009.67</f>
        <v>3009.67</v>
      </c>
      <c r="D4713">
        <f>2687.5</f>
        <v>2687.5</v>
      </c>
      <c r="E4713">
        <f>859.479</f>
        <v>859.47900000000004</v>
      </c>
      <c r="F4713">
        <f>1673.23</f>
        <v>1673.23</v>
      </c>
      <c r="G4713">
        <f>5050.722</f>
        <v>5050.7219999999998</v>
      </c>
      <c r="H4713">
        <f>1315.9</f>
        <v>1315.9</v>
      </c>
      <c r="I4713">
        <f>4758.931</f>
        <v>4758.9309999999996</v>
      </c>
      <c r="J4713">
        <f>1222.08</f>
        <v>1222.08</v>
      </c>
      <c r="K4713">
        <f>3691.77</f>
        <v>3691.77</v>
      </c>
      <c r="L4713">
        <f>851.14</f>
        <v>851.14</v>
      </c>
      <c r="M4713">
        <f>3352.32</f>
        <v>3352.32</v>
      </c>
      <c r="N4713">
        <f>135.202</f>
        <v>135.202</v>
      </c>
      <c r="O4713">
        <f>1374.09</f>
        <v>1374.09</v>
      </c>
      <c r="P4713" t="e">
        <f>NA()</f>
        <v>#N/A</v>
      </c>
      <c r="Q4713">
        <f>657.6</f>
        <v>657.6</v>
      </c>
      <c r="R4713">
        <f>1791.89</f>
        <v>1791.89</v>
      </c>
      <c r="S4713">
        <f>1312.28</f>
        <v>1312.28</v>
      </c>
      <c r="T4713" t="e">
        <f>NA()</f>
        <v>#N/A</v>
      </c>
      <c r="U4713">
        <f>13980.26</f>
        <v>13980.26</v>
      </c>
      <c r="V4713" t="e">
        <f>NA()</f>
        <v>#N/A</v>
      </c>
    </row>
    <row r="4714" spans="1:22" x14ac:dyDescent="0.2">
      <c r="A4714" s="1">
        <v>38509</v>
      </c>
      <c r="B4714" t="e">
        <f>NA()</f>
        <v>#N/A</v>
      </c>
      <c r="C4714">
        <f>3014.39</f>
        <v>3014.39</v>
      </c>
      <c r="D4714">
        <f>2663.52</f>
        <v>2663.52</v>
      </c>
      <c r="E4714">
        <f>861.588</f>
        <v>861.58799999999997</v>
      </c>
      <c r="F4714">
        <f>1652.14</f>
        <v>1652.14</v>
      </c>
      <c r="G4714">
        <f>4977.606</f>
        <v>4977.6059999999998</v>
      </c>
      <c r="H4714">
        <f>1319.93</f>
        <v>1319.93</v>
      </c>
      <c r="I4714">
        <f>4717.353</f>
        <v>4717.3530000000001</v>
      </c>
      <c r="J4714">
        <f>1221.56</f>
        <v>1221.56</v>
      </c>
      <c r="K4714">
        <f>3692.52</f>
        <v>3692.52</v>
      </c>
      <c r="L4714">
        <f>845.61</f>
        <v>845.61</v>
      </c>
      <c r="M4714">
        <f>3342.91</f>
        <v>3342.91</v>
      </c>
      <c r="N4714">
        <f>133.546</f>
        <v>133.54599999999999</v>
      </c>
      <c r="O4714">
        <f>1357.89</f>
        <v>1357.89</v>
      </c>
      <c r="P4714" t="e">
        <f>NA()</f>
        <v>#N/A</v>
      </c>
      <c r="Q4714">
        <f>656.57</f>
        <v>656.57</v>
      </c>
      <c r="R4714">
        <f>1792.14</f>
        <v>1792.14</v>
      </c>
      <c r="S4714">
        <f>1317.01</f>
        <v>1317.01</v>
      </c>
      <c r="T4714" t="e">
        <f>NA()</f>
        <v>#N/A</v>
      </c>
      <c r="U4714">
        <f>14087.43</f>
        <v>14087.43</v>
      </c>
      <c r="V4714" t="e">
        <f>NA()</f>
        <v>#N/A</v>
      </c>
    </row>
    <row r="4715" spans="1:22" x14ac:dyDescent="0.2">
      <c r="A4715" s="1">
        <v>38506</v>
      </c>
      <c r="B4715" t="e">
        <f>NA()</f>
        <v>#N/A</v>
      </c>
      <c r="C4715">
        <f>3018.23</f>
        <v>3018.23</v>
      </c>
      <c r="D4715">
        <f>2673.67</f>
        <v>2673.67</v>
      </c>
      <c r="E4715">
        <f>862.359</f>
        <v>862.35900000000004</v>
      </c>
      <c r="F4715">
        <f>1655.1</f>
        <v>1655.1</v>
      </c>
      <c r="G4715">
        <f>4988.976</f>
        <v>4988.9759999999997</v>
      </c>
      <c r="H4715">
        <f>1313.74</f>
        <v>1313.74</v>
      </c>
      <c r="I4715">
        <f>4729.65</f>
        <v>4729.6499999999996</v>
      </c>
      <c r="J4715">
        <f>1220.3</f>
        <v>1220.3</v>
      </c>
      <c r="K4715">
        <f>3687.61</f>
        <v>3687.61</v>
      </c>
      <c r="L4715">
        <f>845.64</f>
        <v>845.64</v>
      </c>
      <c r="M4715">
        <f>3340.07</f>
        <v>3340.07</v>
      </c>
      <c r="N4715">
        <f>133.787</f>
        <v>133.78700000000001</v>
      </c>
      <c r="O4715">
        <f>1362.43</f>
        <v>1362.43</v>
      </c>
      <c r="P4715" t="e">
        <f>NA()</f>
        <v>#N/A</v>
      </c>
      <c r="Q4715">
        <f>655.75</f>
        <v>655.75</v>
      </c>
      <c r="R4715">
        <f>1789.83</f>
        <v>1789.83</v>
      </c>
      <c r="S4715">
        <f>1319.71</f>
        <v>1319.71</v>
      </c>
      <c r="T4715" t="e">
        <f>NA()</f>
        <v>#N/A</v>
      </c>
      <c r="U4715">
        <f>14020.86</f>
        <v>14020.86</v>
      </c>
      <c r="V4715" t="e">
        <f>NA()</f>
        <v>#N/A</v>
      </c>
    </row>
    <row r="4716" spans="1:22" x14ac:dyDescent="0.2">
      <c r="A4716" s="1">
        <v>38505</v>
      </c>
      <c r="B4716" t="e">
        <f>NA()</f>
        <v>#N/A</v>
      </c>
      <c r="C4716">
        <f>2997.38</f>
        <v>2997.38</v>
      </c>
      <c r="D4716">
        <f>2676.67</f>
        <v>2676.67</v>
      </c>
      <c r="E4716">
        <f>855.494</f>
        <v>855.49400000000003</v>
      </c>
      <c r="F4716">
        <f>1659.81</f>
        <v>1659.81</v>
      </c>
      <c r="G4716">
        <f>4994.467</f>
        <v>4994.4669999999996</v>
      </c>
      <c r="H4716">
        <f>1303.69</f>
        <v>1303.69</v>
      </c>
      <c r="I4716">
        <f>4747.485</f>
        <v>4747.4849999999997</v>
      </c>
      <c r="J4716">
        <f>1227.05</f>
        <v>1227.05</v>
      </c>
      <c r="K4716">
        <f>3712.3</f>
        <v>3712.3</v>
      </c>
      <c r="L4716">
        <f>848.06</f>
        <v>848.06</v>
      </c>
      <c r="M4716">
        <f>3351.82</f>
        <v>3351.82</v>
      </c>
      <c r="N4716">
        <f>133.706</f>
        <v>133.70599999999999</v>
      </c>
      <c r="O4716">
        <f>1365.27</f>
        <v>1365.27</v>
      </c>
      <c r="P4716" t="e">
        <f>NA()</f>
        <v>#N/A</v>
      </c>
      <c r="Q4716">
        <f>660.11</f>
        <v>660.11</v>
      </c>
      <c r="R4716">
        <f>1802.19</f>
        <v>1802.19</v>
      </c>
      <c r="S4716">
        <f>1321</f>
        <v>1321</v>
      </c>
      <c r="T4716" t="e">
        <f>NA()</f>
        <v>#N/A</v>
      </c>
      <c r="U4716">
        <f>13965.33</f>
        <v>13965.33</v>
      </c>
      <c r="V4716" t="e">
        <f>NA()</f>
        <v>#N/A</v>
      </c>
    </row>
    <row r="4717" spans="1:22" x14ac:dyDescent="0.2">
      <c r="A4717" s="1">
        <v>38504</v>
      </c>
      <c r="B4717" t="e">
        <f>NA()</f>
        <v>#N/A</v>
      </c>
      <c r="C4717">
        <f>2963.77</f>
        <v>2963.77</v>
      </c>
      <c r="D4717">
        <f>2679.9</f>
        <v>2679.9</v>
      </c>
      <c r="E4717">
        <f>847.815</f>
        <v>847.81500000000005</v>
      </c>
      <c r="F4717">
        <f>1659.71</f>
        <v>1659.71</v>
      </c>
      <c r="G4717">
        <f>4993.735</f>
        <v>4993.7349999999997</v>
      </c>
      <c r="H4717">
        <f>1306.42</f>
        <v>1306.42</v>
      </c>
      <c r="I4717">
        <f>4736.264</f>
        <v>4736.2640000000001</v>
      </c>
      <c r="J4717">
        <f>1227.01</f>
        <v>1227.01</v>
      </c>
      <c r="K4717">
        <f>3704.88</f>
        <v>3704.88</v>
      </c>
      <c r="L4717">
        <f>846.94</f>
        <v>846.94</v>
      </c>
      <c r="M4717">
        <f>3345.99</f>
        <v>3345.99</v>
      </c>
      <c r="N4717">
        <f>133.372</f>
        <v>133.37200000000001</v>
      </c>
      <c r="O4717">
        <f>1365.43</f>
        <v>1365.43</v>
      </c>
      <c r="P4717" t="e">
        <f>NA()</f>
        <v>#N/A</v>
      </c>
      <c r="Q4717">
        <f>659.83</f>
        <v>659.83</v>
      </c>
      <c r="R4717">
        <f>1799.15</f>
        <v>1799.15</v>
      </c>
      <c r="S4717">
        <f>1321.74</f>
        <v>1321.74</v>
      </c>
      <c r="T4717" t="e">
        <f>NA()</f>
        <v>#N/A</v>
      </c>
      <c r="U4717">
        <f>13859.48</f>
        <v>13859.48</v>
      </c>
      <c r="V4717" t="e">
        <f>NA()</f>
        <v>#N/A</v>
      </c>
    </row>
    <row r="4718" spans="1:22" x14ac:dyDescent="0.2">
      <c r="A4718" s="1">
        <v>38503</v>
      </c>
      <c r="B4718" t="e">
        <f>NA()</f>
        <v>#N/A</v>
      </c>
      <c r="C4718">
        <f>2977.92</f>
        <v>2977.92</v>
      </c>
      <c r="D4718">
        <f>2650.5</f>
        <v>2650.5</v>
      </c>
      <c r="E4718">
        <f>850.227</f>
        <v>850.22699999999998</v>
      </c>
      <c r="F4718">
        <f>1646.49</f>
        <v>1646.49</v>
      </c>
      <c r="G4718">
        <f>4957.899</f>
        <v>4957.8990000000003</v>
      </c>
      <c r="H4718">
        <f>1306.16</f>
        <v>1306.1600000000001</v>
      </c>
      <c r="I4718">
        <f>4703.299</f>
        <v>4703.299</v>
      </c>
      <c r="J4718">
        <f>1214.8</f>
        <v>1214.8</v>
      </c>
      <c r="K4718">
        <f>3670.69</f>
        <v>3670.69</v>
      </c>
      <c r="L4718">
        <f>840.56</f>
        <v>840.56</v>
      </c>
      <c r="M4718">
        <f>3320.82</f>
        <v>3320.82</v>
      </c>
      <c r="N4718">
        <f>131.782</f>
        <v>131.78200000000001</v>
      </c>
      <c r="O4718">
        <f>1345.93</f>
        <v>1345.93</v>
      </c>
      <c r="P4718" t="e">
        <f>NA()</f>
        <v>#N/A</v>
      </c>
      <c r="Q4718">
        <f>655.48</f>
        <v>655.48</v>
      </c>
      <c r="R4718">
        <f>1782.46</f>
        <v>1782.46</v>
      </c>
      <c r="S4718">
        <f>1315.81</f>
        <v>1315.81</v>
      </c>
      <c r="T4718" t="e">
        <f>NA()</f>
        <v>#N/A</v>
      </c>
      <c r="U4718">
        <f>13787.02</f>
        <v>13787.02</v>
      </c>
      <c r="V4718" t="e">
        <f>NA()</f>
        <v>#N/A</v>
      </c>
    </row>
    <row r="4719" spans="1:22" x14ac:dyDescent="0.2">
      <c r="A4719" s="1">
        <v>38502</v>
      </c>
      <c r="B4719" t="e">
        <f>NA()</f>
        <v>#N/A</v>
      </c>
      <c r="C4719">
        <f>3001.08</f>
        <v>3001.08</v>
      </c>
      <c r="D4719" t="e">
        <f>NA()</f>
        <v>#N/A</v>
      </c>
      <c r="E4719">
        <f>857.29</f>
        <v>857.29</v>
      </c>
      <c r="F4719">
        <f>1653.41</f>
        <v>1653.41</v>
      </c>
      <c r="G4719">
        <f>4982.779</f>
        <v>4982.7790000000005</v>
      </c>
      <c r="H4719">
        <f>1305.78</f>
        <v>1305.78</v>
      </c>
      <c r="I4719">
        <f>4767.914</f>
        <v>4767.9139999999998</v>
      </c>
      <c r="J4719">
        <f>1223.9</f>
        <v>1223.9000000000001</v>
      </c>
      <c r="K4719">
        <f>3694.04</f>
        <v>3694.04</v>
      </c>
      <c r="L4719">
        <f>848.17</f>
        <v>848.17</v>
      </c>
      <c r="M4719">
        <f>3344.51</f>
        <v>3344.51</v>
      </c>
      <c r="N4719">
        <f>131.727</f>
        <v>131.727</v>
      </c>
      <c r="O4719">
        <f>1346.3</f>
        <v>1346.3</v>
      </c>
      <c r="P4719" t="e">
        <f>NA()</f>
        <v>#N/A</v>
      </c>
      <c r="Q4719" t="e">
        <f>NA()</f>
        <v>#N/A</v>
      </c>
      <c r="R4719" t="e">
        <f>NA()</f>
        <v>#N/A</v>
      </c>
      <c r="S4719">
        <f>1312.84</f>
        <v>1312.84</v>
      </c>
      <c r="T4719" t="e">
        <f>NA()</f>
        <v>#N/A</v>
      </c>
      <c r="U4719">
        <f>13916.3</f>
        <v>13916.3</v>
      </c>
      <c r="V4719" t="e">
        <f>NA()</f>
        <v>#N/A</v>
      </c>
    </row>
    <row r="4720" spans="1:22" x14ac:dyDescent="0.2">
      <c r="A4720" s="1">
        <v>38499</v>
      </c>
      <c r="B4720" t="e">
        <f>NA()</f>
        <v>#N/A</v>
      </c>
      <c r="C4720">
        <f>2987.54</f>
        <v>2987.54</v>
      </c>
      <c r="D4720">
        <f>2662.42</f>
        <v>2662.42</v>
      </c>
      <c r="E4720">
        <f>853.667</f>
        <v>853.66700000000003</v>
      </c>
      <c r="F4720">
        <f>1653</f>
        <v>1653</v>
      </c>
      <c r="G4720">
        <f>4981.55</f>
        <v>4981.55</v>
      </c>
      <c r="H4720">
        <f>1296.47</f>
        <v>1296.47</v>
      </c>
      <c r="I4720">
        <f>4770.865</f>
        <v>4770.8649999999998</v>
      </c>
      <c r="J4720">
        <f>1223.9</f>
        <v>1223.9000000000001</v>
      </c>
      <c r="K4720">
        <f>3694.04</f>
        <v>3694.04</v>
      </c>
      <c r="L4720">
        <f>847.66</f>
        <v>847.66</v>
      </c>
      <c r="M4720">
        <f>3340.49</f>
        <v>3340.49</v>
      </c>
      <c r="N4720">
        <f>131.006</f>
        <v>131.006</v>
      </c>
      <c r="O4720">
        <f>1337.98</f>
        <v>1337.98</v>
      </c>
      <c r="P4720" t="e">
        <f>NA()</f>
        <v>#N/A</v>
      </c>
      <c r="Q4720">
        <f>658.01</f>
        <v>658.01</v>
      </c>
      <c r="R4720">
        <f>1793.34</f>
        <v>1793.34</v>
      </c>
      <c r="S4720">
        <f>1302</f>
        <v>1302</v>
      </c>
      <c r="T4720" t="e">
        <f>NA()</f>
        <v>#N/A</v>
      </c>
      <c r="U4720">
        <f>13770.34</f>
        <v>13770.34</v>
      </c>
      <c r="V4720" t="e">
        <f>NA()</f>
        <v>#N/A</v>
      </c>
    </row>
    <row r="4721" spans="1:22" x14ac:dyDescent="0.2">
      <c r="A4721" s="1">
        <v>38498</v>
      </c>
      <c r="B4721" t="e">
        <f>NA()</f>
        <v>#N/A</v>
      </c>
      <c r="C4721">
        <f>2953.77</f>
        <v>2953.77</v>
      </c>
      <c r="D4721">
        <f>2667.03</f>
        <v>2667.03</v>
      </c>
      <c r="E4721">
        <f>843.594</f>
        <v>843.59400000000005</v>
      </c>
      <c r="F4721">
        <f>1656.05</f>
        <v>1656.05</v>
      </c>
      <c r="G4721">
        <f>4986.398</f>
        <v>4986.3980000000001</v>
      </c>
      <c r="H4721">
        <f>1287.03</f>
        <v>1287.03</v>
      </c>
      <c r="I4721">
        <f>4760.331</f>
        <v>4760.3310000000001</v>
      </c>
      <c r="J4721">
        <f>1223.2</f>
        <v>1223.2</v>
      </c>
      <c r="K4721">
        <f>3689.98</f>
        <v>3689.98</v>
      </c>
      <c r="L4721">
        <f>846.02</f>
        <v>846.02</v>
      </c>
      <c r="M4721">
        <f>3332.97</f>
        <v>3332.97</v>
      </c>
      <c r="N4721">
        <f>131.111</f>
        <v>131.11099999999999</v>
      </c>
      <c r="O4721">
        <f>1339.96</f>
        <v>1339.96</v>
      </c>
      <c r="P4721" t="e">
        <f>NA()</f>
        <v>#N/A</v>
      </c>
      <c r="Q4721">
        <f>658.08</f>
        <v>658.08</v>
      </c>
      <c r="R4721">
        <f>1791.41</f>
        <v>1791.41</v>
      </c>
      <c r="S4721">
        <f>1291.84</f>
        <v>1291.8399999999999</v>
      </c>
      <c r="T4721" t="e">
        <f>NA()</f>
        <v>#N/A</v>
      </c>
      <c r="U4721">
        <f>13705.2</f>
        <v>13705.2</v>
      </c>
      <c r="V4721" t="e">
        <f>NA()</f>
        <v>#N/A</v>
      </c>
    </row>
    <row r="4722" spans="1:22" x14ac:dyDescent="0.2">
      <c r="A4722" s="1">
        <v>38497</v>
      </c>
      <c r="B4722" t="e">
        <f>NA()</f>
        <v>#N/A</v>
      </c>
      <c r="C4722">
        <f>2943.43</f>
        <v>2943.43</v>
      </c>
      <c r="D4722">
        <f>2654.54</f>
        <v>2654.54</v>
      </c>
      <c r="E4722">
        <f>842.078</f>
        <v>842.07799999999997</v>
      </c>
      <c r="F4722">
        <f>1668.67</f>
        <v>1668.67</v>
      </c>
      <c r="G4722">
        <f>4987.461</f>
        <v>4987.4610000000002</v>
      </c>
      <c r="H4722">
        <f>1289.43</f>
        <v>1289.43</v>
      </c>
      <c r="I4722">
        <f>4749.883</f>
        <v>4749.8829999999998</v>
      </c>
      <c r="J4722">
        <f>1217.52</f>
        <v>1217.52</v>
      </c>
      <c r="K4722">
        <f>3665.98</f>
        <v>3665.98</v>
      </c>
      <c r="L4722">
        <f>844.83</f>
        <v>844.83</v>
      </c>
      <c r="M4722">
        <f>3320.97</f>
        <v>3320.97</v>
      </c>
      <c r="N4722">
        <f>130.7</f>
        <v>130.69999999999999</v>
      </c>
      <c r="O4722">
        <f>1330.43</f>
        <v>1330.43</v>
      </c>
      <c r="P4722" t="e">
        <f>NA()</f>
        <v>#N/A</v>
      </c>
      <c r="Q4722">
        <f>655</f>
        <v>655</v>
      </c>
      <c r="R4722">
        <f>1779.81</f>
        <v>1779.81</v>
      </c>
      <c r="S4722">
        <f>1293.14</f>
        <v>1293.1400000000001</v>
      </c>
      <c r="T4722" t="e">
        <f>NA()</f>
        <v>#N/A</v>
      </c>
      <c r="U4722">
        <f>13469.48</f>
        <v>13469.48</v>
      </c>
      <c r="V4722" t="e">
        <f>NA()</f>
        <v>#N/A</v>
      </c>
    </row>
    <row r="4723" spans="1:22" x14ac:dyDescent="0.2">
      <c r="A4723" s="1">
        <v>38496</v>
      </c>
      <c r="B4723" t="e">
        <f>NA()</f>
        <v>#N/A</v>
      </c>
      <c r="C4723">
        <f>2942.05</f>
        <v>2942.05</v>
      </c>
      <c r="D4723">
        <f>2659.97</f>
        <v>2659.97</v>
      </c>
      <c r="E4723">
        <f>844.44</f>
        <v>844.44</v>
      </c>
      <c r="F4723">
        <f>1668.61</f>
        <v>1668.61</v>
      </c>
      <c r="G4723">
        <f>4990.096</f>
        <v>4990.0959999999995</v>
      </c>
      <c r="H4723">
        <f>1302.18</f>
        <v>1302.18</v>
      </c>
      <c r="I4723">
        <f>4745.828</f>
        <v>4745.8280000000004</v>
      </c>
      <c r="J4723">
        <f>1220.93</f>
        <v>1220.93</v>
      </c>
      <c r="K4723">
        <f>3678.98</f>
        <v>3678.98</v>
      </c>
      <c r="L4723">
        <f>845.56</f>
        <v>845.56</v>
      </c>
      <c r="M4723">
        <f>3331.51</f>
        <v>3331.51</v>
      </c>
      <c r="N4723">
        <f>130.61</f>
        <v>130.61000000000001</v>
      </c>
      <c r="O4723">
        <f>1331.28</f>
        <v>1331.28</v>
      </c>
      <c r="P4723" t="e">
        <f>NA()</f>
        <v>#N/A</v>
      </c>
      <c r="Q4723">
        <f>658.9</f>
        <v>658.9</v>
      </c>
      <c r="R4723">
        <f>1785.8</f>
        <v>1785.8</v>
      </c>
      <c r="S4723">
        <f>1306.51</f>
        <v>1306.51</v>
      </c>
      <c r="T4723" t="e">
        <f>NA()</f>
        <v>#N/A</v>
      </c>
      <c r="U4723">
        <f>13533.47</f>
        <v>13533.47</v>
      </c>
      <c r="V4723" t="e">
        <f>NA()</f>
        <v>#N/A</v>
      </c>
    </row>
    <row r="4724" spans="1:22" x14ac:dyDescent="0.2">
      <c r="A4724" s="1">
        <v>38495</v>
      </c>
      <c r="B4724" t="e">
        <f>NA()</f>
        <v>#N/A</v>
      </c>
      <c r="C4724">
        <f>2930.66</f>
        <v>2930.66</v>
      </c>
      <c r="D4724">
        <f>2663.9</f>
        <v>2663.9</v>
      </c>
      <c r="E4724">
        <f>841.256</f>
        <v>841.25599999999997</v>
      </c>
      <c r="F4724">
        <f>1666.29</f>
        <v>1666.29</v>
      </c>
      <c r="G4724">
        <f>4998.033</f>
        <v>4998.0330000000004</v>
      </c>
      <c r="H4724">
        <f>1301.35</f>
        <v>1301.3499999999999</v>
      </c>
      <c r="I4724">
        <f>4742.603</f>
        <v>4742.6030000000001</v>
      </c>
      <c r="J4724">
        <f>1222.04</f>
        <v>1222.04</v>
      </c>
      <c r="K4724">
        <f>3678.51</f>
        <v>3678.51</v>
      </c>
      <c r="L4724">
        <f>844.74</f>
        <v>844.74</v>
      </c>
      <c r="M4724">
        <f>3329.84</f>
        <v>3329.84</v>
      </c>
      <c r="N4724">
        <f>130.059</f>
        <v>130.059</v>
      </c>
      <c r="O4724">
        <f>1332.66</f>
        <v>1332.66</v>
      </c>
      <c r="P4724" t="e">
        <f>NA()</f>
        <v>#N/A</v>
      </c>
      <c r="Q4724">
        <f>660.2</f>
        <v>660.2</v>
      </c>
      <c r="R4724">
        <f>1785.46</f>
        <v>1785.46</v>
      </c>
      <c r="S4724">
        <f>1308.08</f>
        <v>1308.08</v>
      </c>
      <c r="T4724" t="e">
        <f>NA()</f>
        <v>#N/A</v>
      </c>
      <c r="U4724">
        <f>13483.9</f>
        <v>13483.9</v>
      </c>
      <c r="V4724" t="e">
        <f>NA()</f>
        <v>#N/A</v>
      </c>
    </row>
    <row r="4725" spans="1:22" x14ac:dyDescent="0.2">
      <c r="A4725" s="1">
        <v>38492</v>
      </c>
      <c r="B4725" t="e">
        <f>NA()</f>
        <v>#N/A</v>
      </c>
      <c r="C4725">
        <f>2940.13</f>
        <v>2940.13</v>
      </c>
      <c r="D4725">
        <f>2654.28</f>
        <v>2654.28</v>
      </c>
      <c r="E4725">
        <f>843.378</f>
        <v>843.37800000000004</v>
      </c>
      <c r="F4725">
        <f>1652.77</f>
        <v>1652.77</v>
      </c>
      <c r="G4725">
        <f>4967.047</f>
        <v>4967.0469999999996</v>
      </c>
      <c r="H4725">
        <f>1285.44</f>
        <v>1285.44</v>
      </c>
      <c r="I4725">
        <f>4701.111</f>
        <v>4701.1109999999999</v>
      </c>
      <c r="J4725">
        <f>1217.83</f>
        <v>1217.83</v>
      </c>
      <c r="K4725">
        <f>3664.33</f>
        <v>3664.33</v>
      </c>
      <c r="L4725">
        <f>839.49</f>
        <v>839.49</v>
      </c>
      <c r="M4725">
        <f>3309.45</f>
        <v>3309.45</v>
      </c>
      <c r="N4725">
        <f>129.891</f>
        <v>129.89099999999999</v>
      </c>
      <c r="O4725">
        <f>1325.27</f>
        <v>1325.27</v>
      </c>
      <c r="P4725" t="e">
        <f>NA()</f>
        <v>#N/A</v>
      </c>
      <c r="Q4725">
        <f>658.14</f>
        <v>658.14</v>
      </c>
      <c r="R4725">
        <f>1778.59</f>
        <v>1778.59</v>
      </c>
      <c r="S4725">
        <f>1299.02</f>
        <v>1299.02</v>
      </c>
      <c r="T4725" t="e">
        <f>NA()</f>
        <v>#N/A</v>
      </c>
      <c r="U4725">
        <f>13418.33</f>
        <v>13418.33</v>
      </c>
      <c r="V4725" t="e">
        <f>NA()</f>
        <v>#N/A</v>
      </c>
    </row>
    <row r="4726" spans="1:22" x14ac:dyDescent="0.2">
      <c r="A4726" s="1">
        <v>38491</v>
      </c>
      <c r="B4726" t="e">
        <f>NA()</f>
        <v>#N/A</v>
      </c>
      <c r="C4726">
        <f>2954.2</f>
        <v>2954.2</v>
      </c>
      <c r="D4726">
        <f>2649.4</f>
        <v>2649.4</v>
      </c>
      <c r="E4726">
        <f>845.56</f>
        <v>845.56</v>
      </c>
      <c r="F4726">
        <f>1664.6</f>
        <v>1664.6</v>
      </c>
      <c r="G4726">
        <f>4988.639</f>
        <v>4988.6390000000001</v>
      </c>
      <c r="H4726">
        <f>1292.93</f>
        <v>1292.93</v>
      </c>
      <c r="I4726">
        <f>4725.817</f>
        <v>4725.817</v>
      </c>
      <c r="J4726">
        <f>1221.82</f>
        <v>1221.82</v>
      </c>
      <c r="K4726">
        <f>3669.31</f>
        <v>3669.31</v>
      </c>
      <c r="L4726">
        <f>843.31</f>
        <v>843.31</v>
      </c>
      <c r="M4726">
        <f>3319.45</f>
        <v>3319.45</v>
      </c>
      <c r="N4726">
        <f>130.195</f>
        <v>130.19499999999999</v>
      </c>
      <c r="O4726">
        <f>1324.71</f>
        <v>1324.71</v>
      </c>
      <c r="P4726" t="e">
        <f>NA()</f>
        <v>#N/A</v>
      </c>
      <c r="Q4726">
        <f>660.6</f>
        <v>660.6</v>
      </c>
      <c r="R4726">
        <f>1781.28</f>
        <v>1781.28</v>
      </c>
      <c r="S4726">
        <f>1300.87</f>
        <v>1300.8699999999999</v>
      </c>
      <c r="T4726" t="e">
        <f>NA()</f>
        <v>#N/A</v>
      </c>
      <c r="U4726">
        <f>13234</f>
        <v>13234</v>
      </c>
      <c r="V4726" t="e">
        <f>NA()</f>
        <v>#N/A</v>
      </c>
    </row>
    <row r="4727" spans="1:22" x14ac:dyDescent="0.2">
      <c r="A4727" s="1">
        <v>38490</v>
      </c>
      <c r="B4727" t="e">
        <f>NA()</f>
        <v>#N/A</v>
      </c>
      <c r="C4727">
        <f>2926.64</f>
        <v>2926.64</v>
      </c>
      <c r="D4727">
        <f>2642.31</f>
        <v>2642.31</v>
      </c>
      <c r="E4727">
        <f>836.961</f>
        <v>836.96100000000001</v>
      </c>
      <c r="F4727">
        <f>1658.31</f>
        <v>1658.31</v>
      </c>
      <c r="G4727">
        <f>4967.633</f>
        <v>4967.6329999999998</v>
      </c>
      <c r="H4727">
        <f>1279.71</f>
        <v>1279.71</v>
      </c>
      <c r="I4727">
        <f>4710.756</f>
        <v>4710.7560000000003</v>
      </c>
      <c r="J4727">
        <f>1216.61</f>
        <v>1216.6099999999999</v>
      </c>
      <c r="K4727">
        <f>3651.66</f>
        <v>3651.66</v>
      </c>
      <c r="L4727">
        <f>839.59</f>
        <v>839.59</v>
      </c>
      <c r="M4727">
        <f>3300.58</f>
        <v>3300.58</v>
      </c>
      <c r="N4727">
        <f>129.139</f>
        <v>129.13900000000001</v>
      </c>
      <c r="O4727">
        <f>1318.34</f>
        <v>1318.34</v>
      </c>
      <c r="P4727" t="e">
        <f>NA()</f>
        <v>#N/A</v>
      </c>
      <c r="Q4727">
        <f>660.1</f>
        <v>660.1</v>
      </c>
      <c r="R4727">
        <f>1773.01</f>
        <v>1773.01</v>
      </c>
      <c r="S4727">
        <f>1275.31</f>
        <v>1275.31</v>
      </c>
      <c r="T4727" t="e">
        <f>NA()</f>
        <v>#N/A</v>
      </c>
      <c r="U4727">
        <f>13268.93</f>
        <v>13268.93</v>
      </c>
      <c r="V4727" t="e">
        <f>NA()</f>
        <v>#N/A</v>
      </c>
    </row>
    <row r="4728" spans="1:22" x14ac:dyDescent="0.2">
      <c r="A4728" s="1">
        <v>38489</v>
      </c>
      <c r="B4728" t="e">
        <f>NA()</f>
        <v>#N/A</v>
      </c>
      <c r="C4728">
        <f>2901.88</f>
        <v>2901.88</v>
      </c>
      <c r="D4728">
        <f>2612.39</f>
        <v>2612.39</v>
      </c>
      <c r="E4728">
        <f>829.861</f>
        <v>829.86099999999999</v>
      </c>
      <c r="F4728">
        <f>1645.09</f>
        <v>1645.09</v>
      </c>
      <c r="G4728">
        <f>4926.047</f>
        <v>4926.0469999999996</v>
      </c>
      <c r="H4728">
        <f>1285.58</f>
        <v>1285.58</v>
      </c>
      <c r="I4728">
        <f>4642.546</f>
        <v>4642.5460000000003</v>
      </c>
      <c r="J4728">
        <f>1205.38</f>
        <v>1205.3800000000001</v>
      </c>
      <c r="K4728">
        <f>3614.85</f>
        <v>3614.85</v>
      </c>
      <c r="L4728">
        <f>830.94</f>
        <v>830.94</v>
      </c>
      <c r="M4728">
        <f>3269.51</f>
        <v>3269.51</v>
      </c>
      <c r="N4728">
        <f>127.887</f>
        <v>127.887</v>
      </c>
      <c r="O4728">
        <f>1301.79</f>
        <v>1301.79</v>
      </c>
      <c r="P4728" t="e">
        <f>NA()</f>
        <v>#N/A</v>
      </c>
      <c r="Q4728">
        <f>651.56</f>
        <v>651.55999999999995</v>
      </c>
      <c r="R4728">
        <f>1755.1</f>
        <v>1755.1</v>
      </c>
      <c r="S4728">
        <f>1278.33</f>
        <v>1278.33</v>
      </c>
      <c r="T4728" t="e">
        <f>NA()</f>
        <v>#N/A</v>
      </c>
      <c r="U4728">
        <f>13108.34</f>
        <v>13108.34</v>
      </c>
      <c r="V4728" t="e">
        <f>NA()</f>
        <v>#N/A</v>
      </c>
    </row>
    <row r="4729" spans="1:22" x14ac:dyDescent="0.2">
      <c r="A4729" s="1">
        <v>38488</v>
      </c>
      <c r="B4729" t="e">
        <f>NA()</f>
        <v>#N/A</v>
      </c>
      <c r="C4729">
        <f>2900.71</f>
        <v>2900.71</v>
      </c>
      <c r="D4729">
        <f>2604.73</f>
        <v>2604.73</v>
      </c>
      <c r="E4729">
        <f>830.99</f>
        <v>830.99</v>
      </c>
      <c r="F4729">
        <f>1637.83</f>
        <v>1637.83</v>
      </c>
      <c r="G4729">
        <f>4898.402</f>
        <v>4898.402</v>
      </c>
      <c r="H4729">
        <f>1298.94</f>
        <v>1298.94</v>
      </c>
      <c r="I4729">
        <f>4641.801</f>
        <v>4641.8010000000004</v>
      </c>
      <c r="J4729">
        <f>1197.02</f>
        <v>1197.02</v>
      </c>
      <c r="K4729">
        <f>3589.17</f>
        <v>3589.17</v>
      </c>
      <c r="L4729">
        <f>827.5</f>
        <v>827.5</v>
      </c>
      <c r="M4729">
        <f>3257.25</f>
        <v>3257.25</v>
      </c>
      <c r="N4729">
        <f>127.47</f>
        <v>127.47</v>
      </c>
      <c r="O4729">
        <f>1300.49</f>
        <v>1300.49</v>
      </c>
      <c r="P4729" t="e">
        <f>NA()</f>
        <v>#N/A</v>
      </c>
      <c r="Q4729">
        <f>647.59</f>
        <v>647.59</v>
      </c>
      <c r="R4729">
        <f>1742.74</f>
        <v>1742.74</v>
      </c>
      <c r="S4729">
        <f>1291.62</f>
        <v>1291.6199999999999</v>
      </c>
      <c r="T4729" t="e">
        <f>NA()</f>
        <v>#N/A</v>
      </c>
      <c r="U4729">
        <f>13097.34</f>
        <v>13097.34</v>
      </c>
      <c r="V4729" t="e">
        <f>NA()</f>
        <v>#N/A</v>
      </c>
    </row>
    <row r="4730" spans="1:22" x14ac:dyDescent="0.2">
      <c r="A4730" s="1">
        <v>38485</v>
      </c>
      <c r="B4730" t="e">
        <f>NA()</f>
        <v>#N/A</v>
      </c>
      <c r="C4730">
        <f>2903.14</f>
        <v>2903.14</v>
      </c>
      <c r="D4730">
        <f>2605.96</f>
        <v>2605.96</v>
      </c>
      <c r="E4730">
        <f>832.02</f>
        <v>832.02</v>
      </c>
      <c r="F4730">
        <f>1656.19</f>
        <v>1656.19</v>
      </c>
      <c r="G4730">
        <f>4956.132</f>
        <v>4956.1319999999996</v>
      </c>
      <c r="H4730">
        <f>1312.25</f>
        <v>1312.25</v>
      </c>
      <c r="I4730">
        <f>4655.372</f>
        <v>4655.3720000000003</v>
      </c>
      <c r="J4730">
        <f>1186.03</f>
        <v>1186.03</v>
      </c>
      <c r="K4730">
        <f>3553.16</f>
        <v>3553.16</v>
      </c>
      <c r="L4730">
        <f>829.12</f>
        <v>829.12</v>
      </c>
      <c r="M4730">
        <f>3250.42</f>
        <v>3250.42</v>
      </c>
      <c r="N4730">
        <f>127.987</f>
        <v>127.98699999999999</v>
      </c>
      <c r="O4730">
        <f>1305.22</f>
        <v>1305.22</v>
      </c>
      <c r="P4730" t="e">
        <f>NA()</f>
        <v>#N/A</v>
      </c>
      <c r="Q4730">
        <f>638.46</f>
        <v>638.46</v>
      </c>
      <c r="R4730">
        <f>1725.15</f>
        <v>1725.15</v>
      </c>
      <c r="S4730">
        <f>1304.78</f>
        <v>1304.78</v>
      </c>
      <c r="T4730" t="e">
        <f>NA()</f>
        <v>#N/A</v>
      </c>
      <c r="U4730">
        <f>12954.15</f>
        <v>12954.15</v>
      </c>
      <c r="V4730" t="e">
        <f>NA()</f>
        <v>#N/A</v>
      </c>
    </row>
    <row r="4731" spans="1:22" x14ac:dyDescent="0.2">
      <c r="A4731" s="1">
        <v>38484</v>
      </c>
      <c r="B4731" t="e">
        <f>NA()</f>
        <v>#N/A</v>
      </c>
      <c r="C4731">
        <f>2925.78</f>
        <v>2925.78</v>
      </c>
      <c r="D4731">
        <f>2609.57</f>
        <v>2609.5700000000002</v>
      </c>
      <c r="E4731">
        <f>835.769</f>
        <v>835.76900000000001</v>
      </c>
      <c r="F4731">
        <f>1663.74</f>
        <v>1663.74</v>
      </c>
      <c r="G4731">
        <f>4983.646</f>
        <v>4983.6459999999997</v>
      </c>
      <c r="H4731">
        <f>1324.49</f>
        <v>1324.49</v>
      </c>
      <c r="I4731">
        <f>4675.439</f>
        <v>4675.4390000000003</v>
      </c>
      <c r="J4731">
        <f>1196.37</f>
        <v>1196.3699999999999</v>
      </c>
      <c r="K4731">
        <f>3568.53</f>
        <v>3568.53</v>
      </c>
      <c r="L4731">
        <f>835.87</f>
        <v>835.87</v>
      </c>
      <c r="M4731">
        <f>3268.1</f>
        <v>3268.1</v>
      </c>
      <c r="N4731">
        <f>128.032</f>
        <v>128.03200000000001</v>
      </c>
      <c r="O4731">
        <f>1305.76</f>
        <v>1305.76</v>
      </c>
      <c r="P4731" t="e">
        <f>NA()</f>
        <v>#N/A</v>
      </c>
      <c r="Q4731">
        <f>642.29</f>
        <v>642.29</v>
      </c>
      <c r="R4731">
        <f>1732.89</f>
        <v>1732.89</v>
      </c>
      <c r="S4731">
        <f>1311.29</f>
        <v>1311.29</v>
      </c>
      <c r="T4731" t="e">
        <f>NA()</f>
        <v>#N/A</v>
      </c>
      <c r="U4731">
        <f>13157.21</f>
        <v>13157.21</v>
      </c>
      <c r="V4731" t="e">
        <f>NA()</f>
        <v>#N/A</v>
      </c>
    </row>
    <row r="4732" spans="1:22" x14ac:dyDescent="0.2">
      <c r="A4732" s="1">
        <v>38483</v>
      </c>
      <c r="B4732" t="e">
        <f>NA()</f>
        <v>#N/A</v>
      </c>
      <c r="C4732">
        <f>2955.91</f>
        <v>2955.91</v>
      </c>
      <c r="D4732">
        <f>2600.04</f>
        <v>2600.04</v>
      </c>
      <c r="E4732">
        <f>840.727</f>
        <v>840.72699999999998</v>
      </c>
      <c r="F4732">
        <f>1666.15</f>
        <v>1666.15</v>
      </c>
      <c r="G4732">
        <f>4991.072</f>
        <v>4991.0720000000001</v>
      </c>
      <c r="H4732">
        <f>1342.58</f>
        <v>1342.58</v>
      </c>
      <c r="I4732">
        <f>4682.859</f>
        <v>4682.8590000000004</v>
      </c>
      <c r="J4732">
        <f>1210.7</f>
        <v>1210.7</v>
      </c>
      <c r="K4732">
        <f>3603.38</f>
        <v>3603.38</v>
      </c>
      <c r="L4732">
        <f>841.37</f>
        <v>841.37</v>
      </c>
      <c r="M4732">
        <f>3292.04</f>
        <v>3292.04</v>
      </c>
      <c r="N4732">
        <f>127.255</f>
        <v>127.255</v>
      </c>
      <c r="O4732">
        <f>1296.72</f>
        <v>1296.72</v>
      </c>
      <c r="P4732" t="e">
        <f>NA()</f>
        <v>#N/A</v>
      </c>
      <c r="Q4732">
        <f>647.65</f>
        <v>647.65</v>
      </c>
      <c r="R4732">
        <f>1750.26</f>
        <v>1750.26</v>
      </c>
      <c r="S4732">
        <f>1316.82</f>
        <v>1316.82</v>
      </c>
      <c r="T4732" t="e">
        <f>NA()</f>
        <v>#N/A</v>
      </c>
      <c r="U4732">
        <f>13106.1</f>
        <v>13106.1</v>
      </c>
      <c r="V4732" t="e">
        <f>NA()</f>
        <v>#N/A</v>
      </c>
    </row>
    <row r="4733" spans="1:22" x14ac:dyDescent="0.2">
      <c r="A4733" s="1">
        <v>38482</v>
      </c>
      <c r="B4733" t="e">
        <f>NA()</f>
        <v>#N/A</v>
      </c>
      <c r="C4733">
        <f>2976.62</f>
        <v>2976.62</v>
      </c>
      <c r="D4733">
        <f>2604.6</f>
        <v>2604.6</v>
      </c>
      <c r="E4733">
        <f>846.598</f>
        <v>846.59799999999996</v>
      </c>
      <c r="F4733">
        <f>1674.35</f>
        <v>1674.35</v>
      </c>
      <c r="G4733">
        <f>5024.415</f>
        <v>5024.415</v>
      </c>
      <c r="H4733">
        <f>1346.7</f>
        <v>1346.7</v>
      </c>
      <c r="I4733">
        <f>4712.163</f>
        <v>4712.1629999999996</v>
      </c>
      <c r="J4733">
        <f>1205.17</f>
        <v>1205.17</v>
      </c>
      <c r="K4733">
        <f>3587.3</f>
        <v>3587.3</v>
      </c>
      <c r="L4733">
        <f>843.53</f>
        <v>843.53</v>
      </c>
      <c r="M4733">
        <f>3293.71</f>
        <v>3293.71</v>
      </c>
      <c r="N4733">
        <f>127.245</f>
        <v>127.245</v>
      </c>
      <c r="O4733">
        <f>1298.57</f>
        <v>1298.57</v>
      </c>
      <c r="P4733" t="e">
        <f>NA()</f>
        <v>#N/A</v>
      </c>
      <c r="Q4733">
        <f>645.38</f>
        <v>645.38</v>
      </c>
      <c r="R4733">
        <f>1742.06</f>
        <v>1742.06</v>
      </c>
      <c r="S4733">
        <f>1321.74</f>
        <v>1321.74</v>
      </c>
      <c r="T4733" t="e">
        <f>NA()</f>
        <v>#N/A</v>
      </c>
      <c r="U4733">
        <f>13087.57</f>
        <v>13087.57</v>
      </c>
      <c r="V4733" t="e">
        <f>NA()</f>
        <v>#N/A</v>
      </c>
    </row>
    <row r="4734" spans="1:22" x14ac:dyDescent="0.2">
      <c r="A4734" s="1">
        <v>38481</v>
      </c>
      <c r="B4734" t="e">
        <f>NA()</f>
        <v>#N/A</v>
      </c>
      <c r="C4734">
        <f>3003.19</f>
        <v>3003.19</v>
      </c>
      <c r="D4734">
        <f>2614.09</f>
        <v>2614.09</v>
      </c>
      <c r="E4734">
        <f>851.092</f>
        <v>851.09199999999998</v>
      </c>
      <c r="F4734">
        <f>1683.13</f>
        <v>1683.13</v>
      </c>
      <c r="G4734">
        <f>5041.839</f>
        <v>5041.8389999999999</v>
      </c>
      <c r="H4734">
        <f>1344.32</f>
        <v>1344.32</v>
      </c>
      <c r="I4734">
        <f>4726.567</f>
        <v>4726.567</v>
      </c>
      <c r="J4734">
        <f>1217.87</f>
        <v>1217.8699999999999</v>
      </c>
      <c r="K4734">
        <f>3624.62</f>
        <v>3624.62</v>
      </c>
      <c r="L4734">
        <f>847.49</f>
        <v>847.49</v>
      </c>
      <c r="M4734">
        <f>3315.95</f>
        <v>3315.95</v>
      </c>
      <c r="N4734">
        <f>128.213</f>
        <v>128.21299999999999</v>
      </c>
      <c r="O4734">
        <f>1308.31</f>
        <v>1308.31</v>
      </c>
      <c r="P4734" t="e">
        <f>NA()</f>
        <v>#N/A</v>
      </c>
      <c r="Q4734">
        <f>651.23</f>
        <v>651.23</v>
      </c>
      <c r="R4734">
        <f>1760.87</f>
        <v>1760.87</v>
      </c>
      <c r="S4734">
        <f>1325.08</f>
        <v>1325.08</v>
      </c>
      <c r="T4734" t="e">
        <f>NA()</f>
        <v>#N/A</v>
      </c>
      <c r="U4734">
        <f>13159.53</f>
        <v>13159.53</v>
      </c>
      <c r="V4734" t="e">
        <f>NA()</f>
        <v>#N/A</v>
      </c>
    </row>
    <row r="4735" spans="1:22" x14ac:dyDescent="0.2">
      <c r="A4735" s="1">
        <v>38478</v>
      </c>
      <c r="B4735" t="e">
        <f>NA()</f>
        <v>#N/A</v>
      </c>
      <c r="C4735">
        <f>3005.11</f>
        <v>3005.11</v>
      </c>
      <c r="D4735">
        <f>2618.67</f>
        <v>2618.67</v>
      </c>
      <c r="E4735">
        <f>851.919</f>
        <v>851.91899999999998</v>
      </c>
      <c r="F4735">
        <f>1690.34</f>
        <v>1690.34</v>
      </c>
      <c r="G4735">
        <f>5076.136</f>
        <v>5076.1360000000004</v>
      </c>
      <c r="H4735">
        <f>1353.38</f>
        <v>1353.38</v>
      </c>
      <c r="I4735">
        <f>4745.183</f>
        <v>4745.183</v>
      </c>
      <c r="J4735">
        <f>1210.49</f>
        <v>1210.49</v>
      </c>
      <c r="K4735">
        <f>3601.62</f>
        <v>3601.62</v>
      </c>
      <c r="L4735">
        <f>848.14</f>
        <v>848.14</v>
      </c>
      <c r="M4735">
        <f>3311.97</f>
        <v>3311.97</v>
      </c>
      <c r="N4735">
        <f>128.888</f>
        <v>128.88800000000001</v>
      </c>
      <c r="O4735">
        <f>1313.98</f>
        <v>1313.98</v>
      </c>
      <c r="P4735" t="e">
        <f>NA()</f>
        <v>#N/A</v>
      </c>
      <c r="Q4735">
        <f>648.5</f>
        <v>648.5</v>
      </c>
      <c r="R4735">
        <f>1749.65</f>
        <v>1749.65</v>
      </c>
      <c r="S4735">
        <f>1323.1</f>
        <v>1323.1</v>
      </c>
      <c r="T4735" t="e">
        <f>NA()</f>
        <v>#N/A</v>
      </c>
      <c r="U4735">
        <f>12948.15</f>
        <v>12948.15</v>
      </c>
      <c r="V4735" t="e">
        <f>NA()</f>
        <v>#N/A</v>
      </c>
    </row>
    <row r="4736" spans="1:22" x14ac:dyDescent="0.2">
      <c r="A4736" s="1">
        <v>38477</v>
      </c>
      <c r="B4736" t="e">
        <f>NA()</f>
        <v>#N/A</v>
      </c>
      <c r="C4736">
        <f>2989.18</f>
        <v>2989.18</v>
      </c>
      <c r="D4736">
        <f>2609.87</f>
        <v>2609.87</v>
      </c>
      <c r="E4736">
        <f>847.073</f>
        <v>847.07299999999998</v>
      </c>
      <c r="F4736">
        <f>1697.38</f>
        <v>1697.38</v>
      </c>
      <c r="G4736">
        <f>5092.46</f>
        <v>5092.46</v>
      </c>
      <c r="H4736">
        <f>1337.64</f>
        <v>1337.64</v>
      </c>
      <c r="I4736">
        <f>4755.129</f>
        <v>4755.1289999999999</v>
      </c>
      <c r="J4736">
        <f>1215.44</f>
        <v>1215.44</v>
      </c>
      <c r="K4736">
        <f>3605.35</f>
        <v>3605.35</v>
      </c>
      <c r="L4736">
        <f>850.5</f>
        <v>850.5</v>
      </c>
      <c r="M4736">
        <f>3311.01</f>
        <v>3311.01</v>
      </c>
      <c r="N4736">
        <f>128.845</f>
        <v>128.845</v>
      </c>
      <c r="O4736">
        <f>1307.52</f>
        <v>1307.52</v>
      </c>
      <c r="P4736" t="e">
        <f>NA()</f>
        <v>#N/A</v>
      </c>
      <c r="Q4736">
        <f>650.41</f>
        <v>650.41</v>
      </c>
      <c r="R4736">
        <f>1751.47</f>
        <v>1751.47</v>
      </c>
      <c r="S4736" t="e">
        <f>NA()</f>
        <v>#N/A</v>
      </c>
      <c r="T4736" t="e">
        <f>NA()</f>
        <v>#N/A</v>
      </c>
      <c r="U4736">
        <f>12809.73</f>
        <v>12809.73</v>
      </c>
      <c r="V4736" t="e">
        <f>NA()</f>
        <v>#N/A</v>
      </c>
    </row>
    <row r="4737" spans="1:22" x14ac:dyDescent="0.2">
      <c r="A4737" s="1">
        <v>38476</v>
      </c>
      <c r="B4737" t="e">
        <f>NA()</f>
        <v>#N/A</v>
      </c>
      <c r="C4737">
        <f>2963.91</f>
        <v>2963.91</v>
      </c>
      <c r="D4737">
        <f>2599.29</f>
        <v>2599.29</v>
      </c>
      <c r="E4737">
        <f>839.03</f>
        <v>839.03</v>
      </c>
      <c r="F4737">
        <f>1683.87</f>
        <v>1683.87</v>
      </c>
      <c r="G4737">
        <f>5063.612</f>
        <v>5063.6120000000001</v>
      </c>
      <c r="H4737">
        <f>1339.69</f>
        <v>1339.69</v>
      </c>
      <c r="I4737">
        <f>4737.215</f>
        <v>4737.2150000000001</v>
      </c>
      <c r="J4737">
        <f>1219.14</f>
        <v>1219.1400000000001</v>
      </c>
      <c r="K4737">
        <f>3614.06</f>
        <v>3614.06</v>
      </c>
      <c r="L4737">
        <f>848.7</f>
        <v>848.7</v>
      </c>
      <c r="M4737">
        <f>3310.1</f>
        <v>3310.1</v>
      </c>
      <c r="N4737">
        <f>128.472</f>
        <v>128.47200000000001</v>
      </c>
      <c r="O4737">
        <f>1300.34</f>
        <v>1300.3399999999999</v>
      </c>
      <c r="P4737" t="e">
        <f>NA()</f>
        <v>#N/A</v>
      </c>
      <c r="Q4737">
        <f>655.07</f>
        <v>655.07000000000005</v>
      </c>
      <c r="R4737">
        <f>1755.92</f>
        <v>1755.92</v>
      </c>
      <c r="S4737" t="e">
        <f>NA()</f>
        <v>#N/A</v>
      </c>
      <c r="T4737" t="e">
        <f>NA()</f>
        <v>#N/A</v>
      </c>
      <c r="U4737">
        <f>12671.07</f>
        <v>12671.07</v>
      </c>
      <c r="V4737" t="e">
        <f>NA()</f>
        <v>#N/A</v>
      </c>
    </row>
    <row r="4738" spans="1:22" x14ac:dyDescent="0.2">
      <c r="A4738" s="1">
        <v>38475</v>
      </c>
      <c r="B4738" t="e">
        <f>NA()</f>
        <v>#N/A</v>
      </c>
      <c r="C4738">
        <f>2909.24</f>
        <v>2909.24</v>
      </c>
      <c r="D4738">
        <f>2587.5</f>
        <v>2587.5</v>
      </c>
      <c r="E4738">
        <f>824.967</f>
        <v>824.96699999999998</v>
      </c>
      <c r="F4738">
        <f>1668.6</f>
        <v>1668.6</v>
      </c>
      <c r="G4738">
        <f>5015.128</f>
        <v>5015.1279999999997</v>
      </c>
      <c r="H4738">
        <f>1328.61</f>
        <v>1328.61</v>
      </c>
      <c r="I4738">
        <f>4682.696</f>
        <v>4682.6959999999999</v>
      </c>
      <c r="J4738">
        <f>1206.08</f>
        <v>1206.08</v>
      </c>
      <c r="K4738">
        <f>3568.51</f>
        <v>3568.51</v>
      </c>
      <c r="L4738">
        <f>840.74</f>
        <v>840.74</v>
      </c>
      <c r="M4738">
        <f>3272.86</f>
        <v>3272.86</v>
      </c>
      <c r="N4738">
        <f>127.669</f>
        <v>127.669</v>
      </c>
      <c r="O4738">
        <f>1292.18</f>
        <v>1292.18</v>
      </c>
      <c r="P4738" t="e">
        <f>NA()</f>
        <v>#N/A</v>
      </c>
      <c r="Q4738">
        <f>648.25</f>
        <v>648.25</v>
      </c>
      <c r="R4738">
        <f>1733.95</f>
        <v>1733.95</v>
      </c>
      <c r="S4738" t="e">
        <f>NA()</f>
        <v>#N/A</v>
      </c>
      <c r="T4738" t="e">
        <f>NA()</f>
        <v>#N/A</v>
      </c>
      <c r="U4738">
        <f>12675.38</f>
        <v>12675.38</v>
      </c>
      <c r="V4738" t="e">
        <f>NA()</f>
        <v>#N/A</v>
      </c>
    </row>
    <row r="4739" spans="1:22" x14ac:dyDescent="0.2">
      <c r="A4739" s="1">
        <v>38474</v>
      </c>
      <c r="B4739" t="e">
        <f>NA()</f>
        <v>#N/A</v>
      </c>
      <c r="C4739">
        <f>2905.17</f>
        <v>2905.17</v>
      </c>
      <c r="D4739" t="e">
        <f>NA()</f>
        <v>#N/A</v>
      </c>
      <c r="E4739">
        <f>824.393</f>
        <v>824.39300000000003</v>
      </c>
      <c r="F4739">
        <f>1651.51</f>
        <v>1651.51</v>
      </c>
      <c r="G4739">
        <f>4961.132</f>
        <v>4961.1319999999996</v>
      </c>
      <c r="H4739">
        <f>1328.8</f>
        <v>1328.8</v>
      </c>
      <c r="I4739">
        <f>4651.282</f>
        <v>4651.2820000000002</v>
      </c>
      <c r="J4739">
        <f>1207.83</f>
        <v>1207.83</v>
      </c>
      <c r="K4739">
        <f>3570.99</f>
        <v>3570.99</v>
      </c>
      <c r="L4739">
        <f>838.3</f>
        <v>838.3</v>
      </c>
      <c r="M4739">
        <f>3267.18</f>
        <v>3267.18</v>
      </c>
      <c r="N4739">
        <f>126.804</f>
        <v>126.804</v>
      </c>
      <c r="O4739">
        <f>1286.15</f>
        <v>1286.1500000000001</v>
      </c>
      <c r="P4739" t="e">
        <f>NA()</f>
        <v>#N/A</v>
      </c>
      <c r="Q4739">
        <f>647.05</f>
        <v>647.04999999999995</v>
      </c>
      <c r="R4739">
        <f>1735.43</f>
        <v>1735.43</v>
      </c>
      <c r="S4739">
        <f>1301.31</f>
        <v>1301.31</v>
      </c>
      <c r="T4739" t="e">
        <f>NA()</f>
        <v>#N/A</v>
      </c>
      <c r="U4739" t="e">
        <f>NA()</f>
        <v>#N/A</v>
      </c>
      <c r="V4739" t="e">
        <f>NA()</f>
        <v>#N/A</v>
      </c>
    </row>
    <row r="4740" spans="1:22" x14ac:dyDescent="0.2">
      <c r="A4740" s="1">
        <v>38471</v>
      </c>
      <c r="B4740" t="e">
        <f>NA()</f>
        <v>#N/A</v>
      </c>
      <c r="C4740">
        <f>2893.2</f>
        <v>2893.2</v>
      </c>
      <c r="D4740">
        <f>2555.8</f>
        <v>2555.8000000000002</v>
      </c>
      <c r="E4740">
        <f>821.31</f>
        <v>821.31</v>
      </c>
      <c r="F4740">
        <f>1666.21</f>
        <v>1666.21</v>
      </c>
      <c r="G4740">
        <f>5005.291</f>
        <v>5005.2910000000002</v>
      </c>
      <c r="H4740">
        <f>1332.68</f>
        <v>1332.68</v>
      </c>
      <c r="I4740">
        <f>4642.046</f>
        <v>4642.0460000000003</v>
      </c>
      <c r="J4740">
        <f>1201.31</f>
        <v>1201.31</v>
      </c>
      <c r="K4740">
        <f>3554.49</f>
        <v>3554.49</v>
      </c>
      <c r="L4740">
        <f>837.76</f>
        <v>837.76</v>
      </c>
      <c r="M4740">
        <f>3260.39</f>
        <v>3260.39</v>
      </c>
      <c r="N4740">
        <f>127.082</f>
        <v>127.08199999999999</v>
      </c>
      <c r="O4740">
        <f>1281.57</f>
        <v>1281.57</v>
      </c>
      <c r="P4740" t="e">
        <f>NA()</f>
        <v>#N/A</v>
      </c>
      <c r="Q4740">
        <f>643</f>
        <v>643</v>
      </c>
      <c r="R4740">
        <f>1727.49</f>
        <v>1727.49</v>
      </c>
      <c r="S4740" t="e">
        <f>NA()</f>
        <v>#N/A</v>
      </c>
      <c r="T4740" t="e">
        <f>NA()</f>
        <v>#N/A</v>
      </c>
      <c r="U4740">
        <f>12555.96</f>
        <v>12555.96</v>
      </c>
      <c r="V4740" t="e">
        <f>NA()</f>
        <v>#N/A</v>
      </c>
    </row>
    <row r="4741" spans="1:22" x14ac:dyDescent="0.2">
      <c r="A4741" s="1">
        <v>38470</v>
      </c>
      <c r="B4741" t="e">
        <f>NA()</f>
        <v>#N/A</v>
      </c>
      <c r="C4741">
        <f>2880.62</f>
        <v>2880.62</v>
      </c>
      <c r="D4741">
        <f>2549.68</f>
        <v>2549.6799999999998</v>
      </c>
      <c r="E4741">
        <f>820.1</f>
        <v>820.1</v>
      </c>
      <c r="F4741">
        <f>1662.45</f>
        <v>1662.45</v>
      </c>
      <c r="G4741">
        <f>4992.816</f>
        <v>4992.8159999999998</v>
      </c>
      <c r="H4741">
        <f>1319.35</f>
        <v>1319.35</v>
      </c>
      <c r="I4741">
        <f>4634.561</f>
        <v>4634.5609999999997</v>
      </c>
      <c r="J4741">
        <f>1183.53</f>
        <v>1183.53</v>
      </c>
      <c r="K4741">
        <f>3512.65</f>
        <v>3512.65</v>
      </c>
      <c r="L4741">
        <f>832.37</f>
        <v>832.37</v>
      </c>
      <c r="M4741">
        <f>3234.65</f>
        <v>3234.65</v>
      </c>
      <c r="N4741">
        <f>126.743</f>
        <v>126.74299999999999</v>
      </c>
      <c r="O4741">
        <f>1278.27</f>
        <v>1278.27</v>
      </c>
      <c r="P4741" t="e">
        <f>NA()</f>
        <v>#N/A</v>
      </c>
      <c r="Q4741">
        <f>637.45</f>
        <v>637.45000000000005</v>
      </c>
      <c r="R4741">
        <f>1707.13</f>
        <v>1707.13</v>
      </c>
      <c r="S4741">
        <f>1299.15</f>
        <v>1299.1500000000001</v>
      </c>
      <c r="T4741" t="e">
        <f>NA()</f>
        <v>#N/A</v>
      </c>
      <c r="U4741">
        <f>12467.3</f>
        <v>12467.3</v>
      </c>
      <c r="V4741" t="e">
        <f>NA()</f>
        <v>#N/A</v>
      </c>
    </row>
    <row r="4742" spans="1:22" x14ac:dyDescent="0.2">
      <c r="A4742" s="1">
        <v>38469</v>
      </c>
      <c r="B4742" t="e">
        <f>NA()</f>
        <v>#N/A</v>
      </c>
      <c r="C4742">
        <f>2920.47</f>
        <v>2920.47</v>
      </c>
      <c r="D4742">
        <f>2549.27</f>
        <v>2549.27</v>
      </c>
      <c r="E4742">
        <f>829.844</f>
        <v>829.84400000000005</v>
      </c>
      <c r="F4742">
        <f>1665.46</f>
        <v>1665.46</v>
      </c>
      <c r="G4742">
        <f>4990.304</f>
        <v>4990.3040000000001</v>
      </c>
      <c r="H4742">
        <f>1318.27</f>
        <v>1318.27</v>
      </c>
      <c r="I4742">
        <f>4666.264</f>
        <v>4666.2640000000001</v>
      </c>
      <c r="J4742">
        <f>1197.17</f>
        <v>1197.17</v>
      </c>
      <c r="K4742">
        <f>3552.2</f>
        <v>3552.2</v>
      </c>
      <c r="L4742">
        <f>836.62</f>
        <v>836.62</v>
      </c>
      <c r="M4742">
        <f>3258.56</f>
        <v>3258.56</v>
      </c>
      <c r="N4742">
        <f>127.588</f>
        <v>127.58799999999999</v>
      </c>
      <c r="O4742">
        <f>1278.59</f>
        <v>1278.5899999999999</v>
      </c>
      <c r="P4742" t="e">
        <f>NA()</f>
        <v>#N/A</v>
      </c>
      <c r="Q4742">
        <f>643.95</f>
        <v>643.95000000000005</v>
      </c>
      <c r="R4742">
        <f>1726.21</f>
        <v>1726.21</v>
      </c>
      <c r="S4742">
        <f>1299.57</f>
        <v>1299.57</v>
      </c>
      <c r="T4742" t="e">
        <f>NA()</f>
        <v>#N/A</v>
      </c>
      <c r="U4742" t="e">
        <f>NA()</f>
        <v>#N/A</v>
      </c>
      <c r="V4742" t="e">
        <f>NA()</f>
        <v>#N/A</v>
      </c>
    </row>
    <row r="4743" spans="1:22" x14ac:dyDescent="0.2">
      <c r="A4743" s="1">
        <v>38468</v>
      </c>
      <c r="B4743" t="e">
        <f>NA()</f>
        <v>#N/A</v>
      </c>
      <c r="C4743">
        <f>2940.94</f>
        <v>2940.94</v>
      </c>
      <c r="D4743">
        <f>2577.52</f>
        <v>2577.52</v>
      </c>
      <c r="E4743">
        <f>836.857</f>
        <v>836.85699999999997</v>
      </c>
      <c r="F4743">
        <f>1679.66</f>
        <v>1679.66</v>
      </c>
      <c r="G4743">
        <f>5039.464</f>
        <v>5039.4639999999999</v>
      </c>
      <c r="H4743">
        <f>1315.38</f>
        <v>1315.38</v>
      </c>
      <c r="I4743">
        <f>4731.264</f>
        <v>4731.2640000000001</v>
      </c>
      <c r="J4743">
        <f>1193.79</f>
        <v>1193.79</v>
      </c>
      <c r="K4743">
        <f>3537.69</f>
        <v>3537.69</v>
      </c>
      <c r="L4743">
        <f>840.06</f>
        <v>840.06</v>
      </c>
      <c r="M4743">
        <f>3265.51</f>
        <v>3265.51</v>
      </c>
      <c r="N4743">
        <f>129.074</f>
        <v>129.07400000000001</v>
      </c>
      <c r="O4743">
        <f>1294.46</f>
        <v>1294.46</v>
      </c>
      <c r="P4743" t="e">
        <f>NA()</f>
        <v>#N/A</v>
      </c>
      <c r="Q4743">
        <f>639.5</f>
        <v>639.5</v>
      </c>
      <c r="R4743">
        <f>1719.09</f>
        <v>1719.09</v>
      </c>
      <c r="S4743">
        <f>1300.74</f>
        <v>1300.74</v>
      </c>
      <c r="T4743" t="e">
        <f>NA()</f>
        <v>#N/A</v>
      </c>
      <c r="U4743">
        <f>12793.12</f>
        <v>12793.12</v>
      </c>
      <c r="V4743" t="e">
        <f>NA()</f>
        <v>#N/A</v>
      </c>
    </row>
    <row r="4744" spans="1:22" x14ac:dyDescent="0.2">
      <c r="A4744" s="1">
        <v>38467</v>
      </c>
      <c r="B4744" t="e">
        <f>NA()</f>
        <v>#N/A</v>
      </c>
      <c r="C4744">
        <f>2923.26</f>
        <v>2923.26</v>
      </c>
      <c r="D4744">
        <f>2587.81</f>
        <v>2587.81</v>
      </c>
      <c r="E4744">
        <f>833.931</f>
        <v>833.93100000000004</v>
      </c>
      <c r="F4744">
        <f>1692.59</f>
        <v>1692.59</v>
      </c>
      <c r="G4744">
        <f>5082.853</f>
        <v>5082.8530000000001</v>
      </c>
      <c r="H4744">
        <f>1318.94</f>
        <v>1318.94</v>
      </c>
      <c r="I4744">
        <f>4746.333</f>
        <v>4746.3329999999996</v>
      </c>
      <c r="J4744">
        <f>1203.72</f>
        <v>1203.72</v>
      </c>
      <c r="K4744">
        <f>3567.99</f>
        <v>3567.99</v>
      </c>
      <c r="L4744">
        <f>845</f>
        <v>845</v>
      </c>
      <c r="M4744">
        <f>3287.63</f>
        <v>3287.63</v>
      </c>
      <c r="N4744">
        <f>129.582</f>
        <v>129.58199999999999</v>
      </c>
      <c r="O4744">
        <f>1298.32</f>
        <v>1298.32</v>
      </c>
      <c r="P4744" t="e">
        <f>NA()</f>
        <v>#N/A</v>
      </c>
      <c r="Q4744">
        <f>644.52</f>
        <v>644.52</v>
      </c>
      <c r="R4744">
        <f>1734.56</f>
        <v>1734.56</v>
      </c>
      <c r="S4744">
        <f>1301.73</f>
        <v>1301.73</v>
      </c>
      <c r="T4744" t="e">
        <f>NA()</f>
        <v>#N/A</v>
      </c>
      <c r="U4744">
        <f>12779.99</f>
        <v>12779.99</v>
      </c>
      <c r="V4744" t="e">
        <f>NA()</f>
        <v>#N/A</v>
      </c>
    </row>
    <row r="4745" spans="1:22" x14ac:dyDescent="0.2">
      <c r="A4745" s="1">
        <v>38464</v>
      </c>
      <c r="B4745" t="e">
        <f>NA()</f>
        <v>#N/A</v>
      </c>
      <c r="C4745">
        <f>2899</f>
        <v>2899</v>
      </c>
      <c r="D4745">
        <f>2579.52</f>
        <v>2579.52</v>
      </c>
      <c r="E4745">
        <f>829.704</f>
        <v>829.70399999999995</v>
      </c>
      <c r="F4745">
        <f>1692.23</f>
        <v>1692.23</v>
      </c>
      <c r="G4745">
        <f>5078.106</f>
        <v>5078.1059999999998</v>
      </c>
      <c r="H4745">
        <f>1309.36</f>
        <v>1309.3599999999999</v>
      </c>
      <c r="I4745">
        <f>4772.4</f>
        <v>4772.3999999999996</v>
      </c>
      <c r="J4745">
        <f>1195.1</f>
        <v>1195.0999999999999</v>
      </c>
      <c r="K4745">
        <f>3537.67</f>
        <v>3537.67</v>
      </c>
      <c r="L4745">
        <f>842.91</f>
        <v>842.91</v>
      </c>
      <c r="M4745">
        <f>3275.12</f>
        <v>3275.12</v>
      </c>
      <c r="N4745">
        <f>129.576</f>
        <v>129.57599999999999</v>
      </c>
      <c r="O4745">
        <f>1292.53</f>
        <v>1292.53</v>
      </c>
      <c r="P4745" t="e">
        <f>NA()</f>
        <v>#N/A</v>
      </c>
      <c r="Q4745">
        <f>639.73</f>
        <v>639.73</v>
      </c>
      <c r="R4745">
        <f>1719.66</f>
        <v>1719.66</v>
      </c>
      <c r="S4745">
        <f>1300.25</f>
        <v>1300.25</v>
      </c>
      <c r="T4745" t="e">
        <f>NA()</f>
        <v>#N/A</v>
      </c>
      <c r="U4745">
        <f>12751.37</f>
        <v>12751.37</v>
      </c>
      <c r="V4745" t="e">
        <f>NA()</f>
        <v>#N/A</v>
      </c>
    </row>
    <row r="4746" spans="1:22" x14ac:dyDescent="0.2">
      <c r="A4746" s="1">
        <v>38463</v>
      </c>
      <c r="B4746" t="e">
        <f>NA()</f>
        <v>#N/A</v>
      </c>
      <c r="C4746">
        <f>2895.19</f>
        <v>2895.19</v>
      </c>
      <c r="D4746">
        <f>2563.74</f>
        <v>2563.7399999999998</v>
      </c>
      <c r="E4746">
        <f>826.212</f>
        <v>826.21199999999999</v>
      </c>
      <c r="F4746">
        <f>1681.5</f>
        <v>1681.5</v>
      </c>
      <c r="G4746">
        <f>5039.546</f>
        <v>5039.5460000000003</v>
      </c>
      <c r="H4746">
        <f>1285.43</f>
        <v>1285.43</v>
      </c>
      <c r="I4746">
        <f>4745.405</f>
        <v>4745.4049999999997</v>
      </c>
      <c r="J4746">
        <f>1196.36</f>
        <v>1196.3599999999999</v>
      </c>
      <c r="K4746">
        <f>3561.32</f>
        <v>3561.32</v>
      </c>
      <c r="L4746">
        <f>839.12</f>
        <v>839.12</v>
      </c>
      <c r="M4746">
        <f>3274.21</f>
        <v>3274.21</v>
      </c>
      <c r="N4746">
        <f>128.71</f>
        <v>128.71</v>
      </c>
      <c r="O4746">
        <f>1281.81</f>
        <v>1281.81</v>
      </c>
      <c r="P4746" t="e">
        <f>NA()</f>
        <v>#N/A</v>
      </c>
      <c r="Q4746">
        <f>643.67</f>
        <v>643.66999999999996</v>
      </c>
      <c r="R4746">
        <f>1731.27</f>
        <v>1731.27</v>
      </c>
      <c r="S4746">
        <f>1291.55</f>
        <v>1291.55</v>
      </c>
      <c r="T4746" t="e">
        <f>NA()</f>
        <v>#N/A</v>
      </c>
      <c r="U4746">
        <f>12788.04</f>
        <v>12788.04</v>
      </c>
      <c r="V4746" t="e">
        <f>NA()</f>
        <v>#N/A</v>
      </c>
    </row>
    <row r="4747" spans="1:22" x14ac:dyDescent="0.2">
      <c r="A4747" s="1">
        <v>38462</v>
      </c>
      <c r="B4747" t="e">
        <f>NA()</f>
        <v>#N/A</v>
      </c>
      <c r="C4747">
        <f>2887.13</f>
        <v>2887.13</v>
      </c>
      <c r="D4747">
        <f>2565.03</f>
        <v>2565.0300000000002</v>
      </c>
      <c r="E4747">
        <f>823.74</f>
        <v>823.74</v>
      </c>
      <c r="F4747">
        <f>1686.1</f>
        <v>1686.1</v>
      </c>
      <c r="G4747">
        <f>5054.206</f>
        <v>5054.2060000000001</v>
      </c>
      <c r="H4747">
        <f>1301.72</f>
        <v>1301.72</v>
      </c>
      <c r="I4747">
        <f>4723.925</f>
        <v>4723.9250000000002</v>
      </c>
      <c r="J4747">
        <f>1175.85</f>
        <v>1175.8499999999999</v>
      </c>
      <c r="K4747">
        <f>3493.47</f>
        <v>3493.47</v>
      </c>
      <c r="L4747">
        <f>833.98</f>
        <v>833.98</v>
      </c>
      <c r="M4747">
        <f>3241.17</f>
        <v>3241.17</v>
      </c>
      <c r="N4747">
        <f>128.712</f>
        <v>128.71199999999999</v>
      </c>
      <c r="O4747">
        <f>1282.9</f>
        <v>1282.9000000000001</v>
      </c>
      <c r="P4747" t="e">
        <f>NA()</f>
        <v>#N/A</v>
      </c>
      <c r="Q4747">
        <f>633.26</f>
        <v>633.26</v>
      </c>
      <c r="R4747">
        <f>1697.74</f>
        <v>1697.74</v>
      </c>
      <c r="S4747">
        <f>1300.98</f>
        <v>1300.98</v>
      </c>
      <c r="T4747" t="e">
        <f>NA()</f>
        <v>#N/A</v>
      </c>
      <c r="U4747">
        <f>12897.71</f>
        <v>12897.71</v>
      </c>
      <c r="V4747" t="e">
        <f>NA()</f>
        <v>#N/A</v>
      </c>
    </row>
    <row r="4748" spans="1:22" x14ac:dyDescent="0.2">
      <c r="A4748" s="1">
        <v>38461</v>
      </c>
      <c r="B4748" t="e">
        <f>NA()</f>
        <v>#N/A</v>
      </c>
      <c r="C4748">
        <f>2881.74</f>
        <v>2881.74</v>
      </c>
      <c r="D4748">
        <f>2581.04</f>
        <v>2581.04</v>
      </c>
      <c r="E4748">
        <f>822.133</f>
        <v>822.13300000000004</v>
      </c>
      <c r="F4748">
        <f>1695.51</f>
        <v>1695.51</v>
      </c>
      <c r="G4748">
        <f>5083.854</f>
        <v>5083.8540000000003</v>
      </c>
      <c r="H4748">
        <f>1293.54</f>
        <v>1293.54</v>
      </c>
      <c r="I4748">
        <f>4725.585</f>
        <v>4725.585</v>
      </c>
      <c r="J4748">
        <f>1193.82</f>
        <v>1193.82</v>
      </c>
      <c r="K4748">
        <f>3539.43</f>
        <v>3539.43</v>
      </c>
      <c r="L4748">
        <f>839.47</f>
        <v>839.47</v>
      </c>
      <c r="M4748">
        <f>3263.37</f>
        <v>3263.37</v>
      </c>
      <c r="N4748">
        <f>129.313</f>
        <v>129.31299999999999</v>
      </c>
      <c r="O4748">
        <f>1289.81</f>
        <v>1289.81</v>
      </c>
      <c r="P4748" t="e">
        <f>NA()</f>
        <v>#N/A</v>
      </c>
      <c r="Q4748">
        <f>643.15</f>
        <v>643.15</v>
      </c>
      <c r="R4748">
        <f>1720.43</f>
        <v>1720.43</v>
      </c>
      <c r="S4748">
        <f>1295.44</f>
        <v>1295.44</v>
      </c>
      <c r="T4748" t="e">
        <f>NA()</f>
        <v>#N/A</v>
      </c>
      <c r="U4748">
        <f>12967.44</f>
        <v>12967.44</v>
      </c>
      <c r="V4748" t="e">
        <f>NA()</f>
        <v>#N/A</v>
      </c>
    </row>
    <row r="4749" spans="1:22" x14ac:dyDescent="0.2">
      <c r="A4749" s="1">
        <v>38460</v>
      </c>
      <c r="B4749" t="e">
        <f>NA()</f>
        <v>#N/A</v>
      </c>
      <c r="C4749">
        <f>2832.42</f>
        <v>2832.42</v>
      </c>
      <c r="D4749">
        <f>2565.92</f>
        <v>2565.92</v>
      </c>
      <c r="E4749">
        <f>811.817</f>
        <v>811.81700000000001</v>
      </c>
      <c r="F4749">
        <f>1679.96</f>
        <v>1679.96</v>
      </c>
      <c r="G4749">
        <f>5020.38</f>
        <v>5020.38</v>
      </c>
      <c r="H4749">
        <f>1277.54</f>
        <v>1277.54</v>
      </c>
      <c r="I4749">
        <f>4694.04</f>
        <v>4694.04</v>
      </c>
      <c r="J4749">
        <f>1187.09</f>
        <v>1187.0899999999999</v>
      </c>
      <c r="K4749">
        <f>3517.64</f>
        <v>3517.64</v>
      </c>
      <c r="L4749">
        <f>832.4</f>
        <v>832.4</v>
      </c>
      <c r="M4749">
        <f>3235.58</f>
        <v>3235.58</v>
      </c>
      <c r="N4749">
        <f>127.363</f>
        <v>127.363</v>
      </c>
      <c r="O4749">
        <f>1280.53</f>
        <v>1280.53</v>
      </c>
      <c r="P4749" t="e">
        <f>NA()</f>
        <v>#N/A</v>
      </c>
      <c r="Q4749">
        <f>639.79</f>
        <v>639.79</v>
      </c>
      <c r="R4749">
        <f>1710.27</f>
        <v>1710.27</v>
      </c>
      <c r="S4749">
        <f>1275.64</f>
        <v>1275.6400000000001</v>
      </c>
      <c r="T4749" t="e">
        <f>NA()</f>
        <v>#N/A</v>
      </c>
      <c r="U4749">
        <f>12906.4</f>
        <v>12906.4</v>
      </c>
      <c r="V4749" t="e">
        <f>NA()</f>
        <v>#N/A</v>
      </c>
    </row>
    <row r="4750" spans="1:22" x14ac:dyDescent="0.2">
      <c r="A4750" s="1">
        <v>38457</v>
      </c>
      <c r="B4750" t="e">
        <f>NA()</f>
        <v>#N/A</v>
      </c>
      <c r="C4750">
        <f>2878.08</f>
        <v>2878.08</v>
      </c>
      <c r="D4750">
        <f>2600.21</f>
        <v>2600.21</v>
      </c>
      <c r="E4750">
        <f>826.22</f>
        <v>826.22</v>
      </c>
      <c r="F4750">
        <f>1695.58</f>
        <v>1695.58</v>
      </c>
      <c r="G4750">
        <f>5060.312</f>
        <v>5060.3119999999999</v>
      </c>
      <c r="H4750">
        <f>1320.04</f>
        <v>1320.04</v>
      </c>
      <c r="I4750">
        <f>4754.654</f>
        <v>4754.6540000000005</v>
      </c>
      <c r="J4750">
        <f>1180.96</f>
        <v>1180.96</v>
      </c>
      <c r="K4750">
        <f>3507.83</f>
        <v>3507.83</v>
      </c>
      <c r="L4750">
        <f>836.34</f>
        <v>836.34</v>
      </c>
      <c r="M4750">
        <f>3254.98</f>
        <v>3254.98</v>
      </c>
      <c r="N4750">
        <f>129.627</f>
        <v>129.62700000000001</v>
      </c>
      <c r="O4750">
        <f>1303.03</f>
        <v>1303.03</v>
      </c>
      <c r="P4750" t="e">
        <f>NA()</f>
        <v>#N/A</v>
      </c>
      <c r="Q4750">
        <f>638.57</f>
        <v>638.57000000000005</v>
      </c>
      <c r="R4750">
        <f>1705.26</f>
        <v>1705.26</v>
      </c>
      <c r="S4750">
        <f>1322.99</f>
        <v>1322.99</v>
      </c>
      <c r="T4750" t="e">
        <f>NA()</f>
        <v>#N/A</v>
      </c>
      <c r="U4750">
        <f>13075.65</f>
        <v>13075.65</v>
      </c>
      <c r="V4750" t="e">
        <f>NA()</f>
        <v>#N/A</v>
      </c>
    </row>
    <row r="4751" spans="1:22" x14ac:dyDescent="0.2">
      <c r="A4751" s="1">
        <v>38456</v>
      </c>
      <c r="B4751" t="e">
        <f>NA()</f>
        <v>#N/A</v>
      </c>
      <c r="C4751">
        <f>2918.85</f>
        <v>2918.85</v>
      </c>
      <c r="D4751">
        <f>2628.79</f>
        <v>2628.79</v>
      </c>
      <c r="E4751">
        <f>837.312</f>
        <v>837.31200000000001</v>
      </c>
      <c r="F4751">
        <f>1703.56</f>
        <v>1703.56</v>
      </c>
      <c r="G4751">
        <f>5083.37</f>
        <v>5083.37</v>
      </c>
      <c r="H4751">
        <f>1316.91</f>
        <v>1316.91</v>
      </c>
      <c r="I4751">
        <f>4785.61</f>
        <v>4785.6099999999997</v>
      </c>
      <c r="J4751">
        <f>1194</f>
        <v>1194</v>
      </c>
      <c r="K4751">
        <f>3564.71</f>
        <v>3564.71</v>
      </c>
      <c r="L4751">
        <f>845.07</f>
        <v>845.07</v>
      </c>
      <c r="M4751">
        <f>3293.98</f>
        <v>3293.98</v>
      </c>
      <c r="N4751">
        <f>130.423</f>
        <v>130.423</v>
      </c>
      <c r="O4751">
        <f>1322.52</f>
        <v>1322.52</v>
      </c>
      <c r="P4751" t="e">
        <f>NA()</f>
        <v>#N/A</v>
      </c>
      <c r="Q4751">
        <f>646.69</f>
        <v>646.69000000000005</v>
      </c>
      <c r="R4751">
        <f>1734.25</f>
        <v>1734.25</v>
      </c>
      <c r="S4751">
        <f>1343.39</f>
        <v>1343.39</v>
      </c>
      <c r="T4751" t="e">
        <f>NA()</f>
        <v>#N/A</v>
      </c>
      <c r="U4751">
        <f>13119.26</f>
        <v>13119.26</v>
      </c>
      <c r="V4751" t="e">
        <f>NA()</f>
        <v>#N/A</v>
      </c>
    </row>
    <row r="4752" spans="1:22" x14ac:dyDescent="0.2">
      <c r="A4752" s="1">
        <v>38455</v>
      </c>
      <c r="B4752" t="e">
        <f>NA()</f>
        <v>#N/A</v>
      </c>
      <c r="C4752">
        <f>2982.88</f>
        <v>2982.88</v>
      </c>
      <c r="D4752">
        <f>2636.99</f>
        <v>2636.99</v>
      </c>
      <c r="E4752">
        <f>854.221</f>
        <v>854.221</v>
      </c>
      <c r="F4752">
        <f>1714.13</f>
        <v>1714.13</v>
      </c>
      <c r="G4752">
        <f>5131.592</f>
        <v>5131.5919999999996</v>
      </c>
      <c r="H4752">
        <f>1335.03</f>
        <v>1335.03</v>
      </c>
      <c r="I4752">
        <f>4828.897</f>
        <v>4828.8969999999999</v>
      </c>
      <c r="J4752">
        <f>1203.86</f>
        <v>1203.8599999999999</v>
      </c>
      <c r="K4752">
        <f>3600.78</f>
        <v>3600.78</v>
      </c>
      <c r="L4752">
        <f>852.68</f>
        <v>852.68</v>
      </c>
      <c r="M4752">
        <f>3328.41</f>
        <v>3328.41</v>
      </c>
      <c r="N4752">
        <f>130.512</f>
        <v>130.512</v>
      </c>
      <c r="O4752">
        <f>1325.02</f>
        <v>1325.02</v>
      </c>
      <c r="P4752" t="e">
        <f>NA()</f>
        <v>#N/A</v>
      </c>
      <c r="Q4752">
        <f>652.19</f>
        <v>652.19000000000005</v>
      </c>
      <c r="R4752">
        <f>1751.77</f>
        <v>1751.77</v>
      </c>
      <c r="S4752">
        <f>1352.56</f>
        <v>1352.56</v>
      </c>
      <c r="T4752" t="e">
        <f>NA()</f>
        <v>#N/A</v>
      </c>
      <c r="U4752">
        <f>13019.77</f>
        <v>13019.77</v>
      </c>
      <c r="V4752" t="e">
        <f>NA()</f>
        <v>#N/A</v>
      </c>
    </row>
    <row r="4753" spans="1:22" x14ac:dyDescent="0.2">
      <c r="A4753" s="1">
        <v>38454</v>
      </c>
      <c r="B4753" t="e">
        <f>NA()</f>
        <v>#N/A</v>
      </c>
      <c r="C4753">
        <f>2970.47</f>
        <v>2970.47</v>
      </c>
      <c r="D4753">
        <f>2629.08</f>
        <v>2629.08</v>
      </c>
      <c r="E4753">
        <f>851.498</f>
        <v>851.49800000000005</v>
      </c>
      <c r="F4753">
        <f>1695.46</f>
        <v>1695.46</v>
      </c>
      <c r="G4753">
        <f>5098.74</f>
        <v>5098.74</v>
      </c>
      <c r="H4753">
        <f>1326.57</f>
        <v>1326.57</v>
      </c>
      <c r="I4753">
        <f>4802.545</f>
        <v>4802.5450000000001</v>
      </c>
      <c r="J4753">
        <f>1213.88</f>
        <v>1213.8800000000001</v>
      </c>
      <c r="K4753">
        <f>3643.2</f>
        <v>3643.2</v>
      </c>
      <c r="L4753">
        <f>853.45</f>
        <v>853.45</v>
      </c>
      <c r="M4753">
        <f>3341.63</f>
        <v>3341.63</v>
      </c>
      <c r="N4753">
        <f>129.627</f>
        <v>129.62700000000001</v>
      </c>
      <c r="O4753">
        <f>1319.4</f>
        <v>1319.4</v>
      </c>
      <c r="P4753" t="e">
        <f>NA()</f>
        <v>#N/A</v>
      </c>
      <c r="Q4753">
        <f>657.37</f>
        <v>657.37</v>
      </c>
      <c r="R4753">
        <f>1772.44</f>
        <v>1772.44</v>
      </c>
      <c r="S4753">
        <f>1355.88</f>
        <v>1355.88</v>
      </c>
      <c r="T4753" t="e">
        <f>NA()</f>
        <v>#N/A</v>
      </c>
      <c r="U4753">
        <f>13173.39</f>
        <v>13173.39</v>
      </c>
      <c r="V4753" t="e">
        <f>NA()</f>
        <v>#N/A</v>
      </c>
    </row>
    <row r="4754" spans="1:22" x14ac:dyDescent="0.2">
      <c r="A4754" s="1">
        <v>38453</v>
      </c>
      <c r="B4754" t="e">
        <f>NA()</f>
        <v>#N/A</v>
      </c>
      <c r="C4754">
        <f>2986.24</f>
        <v>2986.24</v>
      </c>
      <c r="D4754">
        <f>2643.46</f>
        <v>2643.46</v>
      </c>
      <c r="E4754">
        <f>853.398</f>
        <v>853.39800000000002</v>
      </c>
      <c r="F4754">
        <f>1706.12</f>
        <v>1706.12</v>
      </c>
      <c r="G4754">
        <f>5137.012</f>
        <v>5137.0119999999997</v>
      </c>
      <c r="H4754">
        <f>1340.1</f>
        <v>1340.1</v>
      </c>
      <c r="I4754">
        <f>4851.474</f>
        <v>4851.4740000000002</v>
      </c>
      <c r="J4754">
        <f>1206.03</f>
        <v>1206.03</v>
      </c>
      <c r="K4754">
        <f>3621.97</f>
        <v>3621.97</v>
      </c>
      <c r="L4754">
        <f>854.87</f>
        <v>854.87</v>
      </c>
      <c r="M4754">
        <f>3345.83</f>
        <v>3345.83</v>
      </c>
      <c r="N4754">
        <f>130.059</f>
        <v>130.059</v>
      </c>
      <c r="O4754">
        <f>1323.93</f>
        <v>1323.93</v>
      </c>
      <c r="P4754" t="e">
        <f>NA()</f>
        <v>#N/A</v>
      </c>
      <c r="Q4754">
        <f>652.17</f>
        <v>652.16999999999996</v>
      </c>
      <c r="R4754">
        <f>1762.56</f>
        <v>1762.56</v>
      </c>
      <c r="S4754">
        <f>1368.35</f>
        <v>1368.35</v>
      </c>
      <c r="T4754" t="e">
        <f>NA()</f>
        <v>#N/A</v>
      </c>
      <c r="U4754">
        <f>13253.8</f>
        <v>13253.8</v>
      </c>
      <c r="V4754" t="e">
        <f>NA()</f>
        <v>#N/A</v>
      </c>
    </row>
    <row r="4755" spans="1:22" x14ac:dyDescent="0.2">
      <c r="A4755" s="1">
        <v>38450</v>
      </c>
      <c r="B4755" t="e">
        <f>NA()</f>
        <v>#N/A</v>
      </c>
      <c r="C4755">
        <f>2987.89</f>
        <v>2987.89</v>
      </c>
      <c r="D4755">
        <f>2648.99</f>
        <v>2648.99</v>
      </c>
      <c r="E4755">
        <f>855.153</f>
        <v>855.15300000000002</v>
      </c>
      <c r="F4755">
        <f>1696.76</f>
        <v>1696.76</v>
      </c>
      <c r="G4755">
        <f>5107.525</f>
        <v>5107.5249999999996</v>
      </c>
      <c r="H4755">
        <f>1342.77</f>
        <v>1342.77</v>
      </c>
      <c r="I4755">
        <f>4816.701</f>
        <v>4816.701</v>
      </c>
      <c r="J4755">
        <f>1202.93</f>
        <v>1202.93</v>
      </c>
      <c r="K4755">
        <f>3622.39</f>
        <v>3622.39</v>
      </c>
      <c r="L4755">
        <f>851.22</f>
        <v>851.22</v>
      </c>
      <c r="M4755">
        <f>3339.94</f>
        <v>3339.94</v>
      </c>
      <c r="N4755">
        <f>130.217</f>
        <v>130.21700000000001</v>
      </c>
      <c r="O4755">
        <f>1326.35</f>
        <v>1326.35</v>
      </c>
      <c r="P4755" t="e">
        <f>NA()</f>
        <v>#N/A</v>
      </c>
      <c r="Q4755">
        <f>652.25</f>
        <v>652.25</v>
      </c>
      <c r="R4755">
        <f>1762.52</f>
        <v>1762.52</v>
      </c>
      <c r="S4755">
        <f>1381.2</f>
        <v>1381.2</v>
      </c>
      <c r="T4755" t="e">
        <f>NA()</f>
        <v>#N/A</v>
      </c>
      <c r="U4755">
        <f>13312.88</f>
        <v>13312.88</v>
      </c>
      <c r="V4755" t="e">
        <f>NA()</f>
        <v>#N/A</v>
      </c>
    </row>
    <row r="4756" spans="1:22" x14ac:dyDescent="0.2">
      <c r="A4756" s="1">
        <v>38449</v>
      </c>
      <c r="B4756" t="e">
        <f>NA()</f>
        <v>#N/A</v>
      </c>
      <c r="C4756">
        <f>2995.96</f>
        <v>2995.96</v>
      </c>
      <c r="D4756">
        <f>2645.46</f>
        <v>2645.46</v>
      </c>
      <c r="E4756">
        <f>855.441</f>
        <v>855.44100000000003</v>
      </c>
      <c r="F4756">
        <f>1688.76</f>
        <v>1688.76</v>
      </c>
      <c r="G4756">
        <f>5106.174</f>
        <v>5106.174</v>
      </c>
      <c r="H4756">
        <f>1342.68</f>
        <v>1342.68</v>
      </c>
      <c r="I4756">
        <f>4832.802</f>
        <v>4832.8019999999997</v>
      </c>
      <c r="J4756">
        <f>1212.38</f>
        <v>1212.3800000000001</v>
      </c>
      <c r="K4756">
        <f>3653.1</f>
        <v>3653.1</v>
      </c>
      <c r="L4756">
        <f>855.15</f>
        <v>855.15</v>
      </c>
      <c r="M4756">
        <f>3356.58</f>
        <v>3356.58</v>
      </c>
      <c r="N4756">
        <f>129.589</f>
        <v>129.589</v>
      </c>
      <c r="O4756">
        <f>1323.66</f>
        <v>1323.66</v>
      </c>
      <c r="P4756" t="e">
        <f>NA()</f>
        <v>#N/A</v>
      </c>
      <c r="Q4756">
        <f>657.64</f>
        <v>657.64</v>
      </c>
      <c r="R4756">
        <f>1777.35</f>
        <v>1777.35</v>
      </c>
      <c r="S4756">
        <f>1376.07</f>
        <v>1376.07</v>
      </c>
      <c r="T4756" t="e">
        <f>NA()</f>
        <v>#N/A</v>
      </c>
      <c r="U4756">
        <f>13216.97</f>
        <v>13216.97</v>
      </c>
      <c r="V4756" t="e">
        <f>NA()</f>
        <v>#N/A</v>
      </c>
    </row>
    <row r="4757" spans="1:22" x14ac:dyDescent="0.2">
      <c r="A4757" s="1">
        <v>38448</v>
      </c>
      <c r="B4757" t="e">
        <f>NA()</f>
        <v>#N/A</v>
      </c>
      <c r="C4757">
        <f>2982.7</f>
        <v>2982.7</v>
      </c>
      <c r="D4757">
        <f>2629.73</f>
        <v>2629.73</v>
      </c>
      <c r="E4757">
        <f>852.148</f>
        <v>852.14800000000002</v>
      </c>
      <c r="F4757">
        <f>1687.11</f>
        <v>1687.11</v>
      </c>
      <c r="G4757">
        <f>5077.97</f>
        <v>5077.97</v>
      </c>
      <c r="H4757">
        <f>1338.76</f>
        <v>1338.76</v>
      </c>
      <c r="I4757">
        <f>4791.638</f>
        <v>4791.6379999999999</v>
      </c>
      <c r="J4757">
        <f>1205.45</f>
        <v>1205.45</v>
      </c>
      <c r="K4757">
        <f>3630.44</f>
        <v>3630.44</v>
      </c>
      <c r="L4757">
        <f>850.51</f>
        <v>850.51</v>
      </c>
      <c r="M4757">
        <f>3336.17</f>
        <v>3336.17</v>
      </c>
      <c r="N4757">
        <f>129.554</f>
        <v>129.554</v>
      </c>
      <c r="O4757">
        <f>1319.14</f>
        <v>1319.14</v>
      </c>
      <c r="P4757" t="e">
        <f>NA()</f>
        <v>#N/A</v>
      </c>
      <c r="Q4757">
        <f>654.45</f>
        <v>654.45000000000005</v>
      </c>
      <c r="R4757">
        <f>1766.69</f>
        <v>1766.69</v>
      </c>
      <c r="S4757">
        <f>1375.37</f>
        <v>1375.37</v>
      </c>
      <c r="T4757" t="e">
        <f>NA()</f>
        <v>#N/A</v>
      </c>
      <c r="U4757">
        <f>13242.36</f>
        <v>13242.36</v>
      </c>
      <c r="V4757" t="e">
        <f>NA()</f>
        <v>#N/A</v>
      </c>
    </row>
    <row r="4758" spans="1:22" x14ac:dyDescent="0.2">
      <c r="A4758" s="1">
        <v>38447</v>
      </c>
      <c r="B4758" t="e">
        <f>NA()</f>
        <v>#N/A</v>
      </c>
      <c r="C4758">
        <f>2969.65</f>
        <v>2969.65</v>
      </c>
      <c r="D4758">
        <f>2626.14</f>
        <v>2626.14</v>
      </c>
      <c r="E4758">
        <f>848.157</f>
        <v>848.15700000000004</v>
      </c>
      <c r="F4758">
        <f>1681.03</f>
        <v>1681.03</v>
      </c>
      <c r="G4758">
        <f>5068.958</f>
        <v>5068.9579999999996</v>
      </c>
      <c r="H4758">
        <f>1332.92</f>
        <v>1332.92</v>
      </c>
      <c r="I4758">
        <f>4760.588</f>
        <v>4760.5879999999997</v>
      </c>
      <c r="J4758">
        <f>1199.36</f>
        <v>1199.3599999999999</v>
      </c>
      <c r="K4758">
        <f>3621.65</f>
        <v>3621.65</v>
      </c>
      <c r="L4758">
        <f>846.42</f>
        <v>846.42</v>
      </c>
      <c r="M4758">
        <f>3325.43</f>
        <v>3325.43</v>
      </c>
      <c r="N4758">
        <f>129.026</f>
        <v>129.02600000000001</v>
      </c>
      <c r="O4758">
        <f>1313.91</f>
        <v>1313.91</v>
      </c>
      <c r="P4758" t="e">
        <f>NA()</f>
        <v>#N/A</v>
      </c>
      <c r="Q4758">
        <f>654.99</f>
        <v>654.99</v>
      </c>
      <c r="R4758">
        <f>1762.32</f>
        <v>1762.32</v>
      </c>
      <c r="S4758">
        <f>1367.96</f>
        <v>1367.96</v>
      </c>
      <c r="T4758" t="e">
        <f>NA()</f>
        <v>#N/A</v>
      </c>
      <c r="U4758">
        <f>13257.61</f>
        <v>13257.61</v>
      </c>
      <c r="V4758" t="e">
        <f>NA()</f>
        <v>#N/A</v>
      </c>
    </row>
    <row r="4759" spans="1:22" x14ac:dyDescent="0.2">
      <c r="A4759" s="1">
        <v>38446</v>
      </c>
      <c r="B4759" t="e">
        <f>NA()</f>
        <v>#N/A</v>
      </c>
      <c r="C4759">
        <f>2963.52</f>
        <v>2963.52</v>
      </c>
      <c r="D4759">
        <f>2601.62</f>
        <v>2601.62</v>
      </c>
      <c r="E4759">
        <f>847.196</f>
        <v>847.19600000000003</v>
      </c>
      <c r="F4759">
        <f>1665.04</f>
        <v>1665.04</v>
      </c>
      <c r="G4759">
        <f>5014.719</f>
        <v>5014.7190000000001</v>
      </c>
      <c r="H4759">
        <f>1329.75</f>
        <v>1329.75</v>
      </c>
      <c r="I4759">
        <f>4720.145</f>
        <v>4720.1450000000004</v>
      </c>
      <c r="J4759">
        <f>1192.43</f>
        <v>1192.43</v>
      </c>
      <c r="K4759">
        <f>3605.48</f>
        <v>3605.48</v>
      </c>
      <c r="L4759">
        <f>840.68</f>
        <v>840.68</v>
      </c>
      <c r="M4759">
        <f>3305.93</f>
        <v>3305.93</v>
      </c>
      <c r="N4759">
        <f>127.733</f>
        <v>127.733</v>
      </c>
      <c r="O4759">
        <f>1302.62</f>
        <v>1302.6199999999999</v>
      </c>
      <c r="P4759" t="e">
        <f>NA()</f>
        <v>#N/A</v>
      </c>
      <c r="Q4759">
        <f>651.2</f>
        <v>651.20000000000005</v>
      </c>
      <c r="R4759">
        <f>1754.43</f>
        <v>1754.43</v>
      </c>
      <c r="S4759">
        <f>1360.33</f>
        <v>1360.33</v>
      </c>
      <c r="T4759" t="e">
        <f>NA()</f>
        <v>#N/A</v>
      </c>
      <c r="U4759">
        <f>13272.15</f>
        <v>13272.15</v>
      </c>
      <c r="V4759" t="e">
        <f>NA()</f>
        <v>#N/A</v>
      </c>
    </row>
    <row r="4760" spans="1:22" x14ac:dyDescent="0.2">
      <c r="A4760" s="1">
        <v>38443</v>
      </c>
      <c r="B4760" t="e">
        <f>NA()</f>
        <v>#N/A</v>
      </c>
      <c r="C4760">
        <f>2993.68</f>
        <v>2993.68</v>
      </c>
      <c r="D4760">
        <f>2610.8</f>
        <v>2610.8000000000002</v>
      </c>
      <c r="E4760">
        <f>855.355</f>
        <v>855.35500000000002</v>
      </c>
      <c r="F4760">
        <f>1691.12</f>
        <v>1691.12</v>
      </c>
      <c r="G4760">
        <f>5076.601</f>
        <v>5076.6009999999997</v>
      </c>
      <c r="H4760">
        <f>1343.14</f>
        <v>1343.14</v>
      </c>
      <c r="I4760">
        <f>4797.049</f>
        <v>4797.049</v>
      </c>
      <c r="J4760">
        <f>1193.37</f>
        <v>1193.3699999999999</v>
      </c>
      <c r="K4760">
        <f>3596.34</f>
        <v>3596.34</v>
      </c>
      <c r="L4760">
        <f>847.2</f>
        <v>847.2</v>
      </c>
      <c r="M4760">
        <f>3322.21</f>
        <v>3322.21</v>
      </c>
      <c r="N4760">
        <f>128.276</f>
        <v>128.27600000000001</v>
      </c>
      <c r="O4760">
        <f>1309.09</f>
        <v>1309.0899999999999</v>
      </c>
      <c r="P4760" t="e">
        <f>NA()</f>
        <v>#N/A</v>
      </c>
      <c r="Q4760">
        <f>650.41</f>
        <v>650.41</v>
      </c>
      <c r="R4760">
        <f>1749.45</f>
        <v>1749.45</v>
      </c>
      <c r="S4760">
        <f>1364.19</f>
        <v>1364.19</v>
      </c>
      <c r="T4760" t="e">
        <f>NA()</f>
        <v>#N/A</v>
      </c>
      <c r="U4760">
        <f>13432.14</f>
        <v>13432.14</v>
      </c>
      <c r="V4760" t="e">
        <f>NA()</f>
        <v>#N/A</v>
      </c>
    </row>
    <row r="4761" spans="1:22" x14ac:dyDescent="0.2">
      <c r="A4761" s="1">
        <v>38442</v>
      </c>
      <c r="B4761" t="e">
        <f>NA()</f>
        <v>#N/A</v>
      </c>
      <c r="C4761">
        <f>2951.46</f>
        <v>2951.46</v>
      </c>
      <c r="D4761">
        <f>2600.36</f>
        <v>2600.36</v>
      </c>
      <c r="E4761">
        <f>843.8</f>
        <v>843.8</v>
      </c>
      <c r="F4761">
        <f>1683.94</f>
        <v>1683.94</v>
      </c>
      <c r="G4761">
        <f>5058.488</f>
        <v>5058.4880000000003</v>
      </c>
      <c r="H4761">
        <f>1345.89</f>
        <v>1345.89</v>
      </c>
      <c r="I4761">
        <f>4791.163</f>
        <v>4791.1629999999996</v>
      </c>
      <c r="J4761">
        <f>1198.26</f>
        <v>1198.26</v>
      </c>
      <c r="K4761">
        <f>3619.89</f>
        <v>3619.89</v>
      </c>
      <c r="L4761">
        <f>847</f>
        <v>847</v>
      </c>
      <c r="M4761">
        <f>3330.64</f>
        <v>3330.64</v>
      </c>
      <c r="N4761">
        <f>127.717</f>
        <v>127.717</v>
      </c>
      <c r="O4761">
        <f>1303.77</f>
        <v>1303.77</v>
      </c>
      <c r="P4761" t="e">
        <f>NA()</f>
        <v>#N/A</v>
      </c>
      <c r="Q4761">
        <f>655.4</f>
        <v>655.4</v>
      </c>
      <c r="R4761">
        <f>1760.89</f>
        <v>1760.89</v>
      </c>
      <c r="S4761">
        <f>1359.22</f>
        <v>1359.22</v>
      </c>
      <c r="T4761" t="e">
        <f>NA()</f>
        <v>#N/A</v>
      </c>
      <c r="U4761">
        <f>13298.58</f>
        <v>13298.58</v>
      </c>
      <c r="V4761" t="e">
        <f>NA()</f>
        <v>#N/A</v>
      </c>
    </row>
    <row r="4762" spans="1:22" x14ac:dyDescent="0.2">
      <c r="A4762" s="1">
        <v>38441</v>
      </c>
      <c r="B4762" t="e">
        <f>NA()</f>
        <v>#N/A</v>
      </c>
      <c r="C4762">
        <f>2904.74</f>
        <v>2904.74</v>
      </c>
      <c r="D4762">
        <f>2603.74</f>
        <v>2603.7399999999998</v>
      </c>
      <c r="E4762">
        <f>830.52</f>
        <v>830.52</v>
      </c>
      <c r="F4762">
        <f>1681.27</f>
        <v>1681.27</v>
      </c>
      <c r="G4762">
        <f>5049.039</f>
        <v>5049.0389999999998</v>
      </c>
      <c r="H4762">
        <f>1327.58</f>
        <v>1327.58</v>
      </c>
      <c r="I4762">
        <f>4776.812</f>
        <v>4776.8119999999999</v>
      </c>
      <c r="J4762">
        <f>1196.62</f>
        <v>1196.6199999999999</v>
      </c>
      <c r="K4762">
        <f>3622.39</f>
        <v>3622.39</v>
      </c>
      <c r="L4762">
        <f>844.36</f>
        <v>844.36</v>
      </c>
      <c r="M4762">
        <f>3322.37</f>
        <v>3322.37</v>
      </c>
      <c r="N4762">
        <f>127.512</f>
        <v>127.512</v>
      </c>
      <c r="O4762">
        <f>1303.17</f>
        <v>1303.17</v>
      </c>
      <c r="P4762" t="e">
        <f>NA()</f>
        <v>#N/A</v>
      </c>
      <c r="Q4762">
        <f>655.59</f>
        <v>655.59</v>
      </c>
      <c r="R4762">
        <f>1762.09</f>
        <v>1762.09</v>
      </c>
      <c r="S4762">
        <f>1344.15</f>
        <v>1344.15</v>
      </c>
      <c r="T4762" t="e">
        <f>NA()</f>
        <v>#N/A</v>
      </c>
      <c r="U4762">
        <f>13176.18</f>
        <v>13176.18</v>
      </c>
      <c r="V4762" t="e">
        <f>NA()</f>
        <v>#N/A</v>
      </c>
    </row>
    <row r="4763" spans="1:22" x14ac:dyDescent="0.2">
      <c r="A4763" s="1">
        <v>38440</v>
      </c>
      <c r="B4763" t="e">
        <f>NA()</f>
        <v>#N/A</v>
      </c>
      <c r="C4763">
        <f>2888.18</f>
        <v>2888.18</v>
      </c>
      <c r="D4763">
        <f>2611.68</f>
        <v>2611.6799999999998</v>
      </c>
      <c r="E4763">
        <f>828.117</f>
        <v>828.11699999999996</v>
      </c>
      <c r="F4763">
        <f>1680.19</f>
        <v>1680.19</v>
      </c>
      <c r="G4763">
        <f>5041.244</f>
        <v>5041.2439999999997</v>
      </c>
      <c r="H4763">
        <f>1326.14</f>
        <v>1326.14</v>
      </c>
      <c r="I4763">
        <f>4773.819</f>
        <v>4773.8190000000004</v>
      </c>
      <c r="J4763">
        <f>1178.06</f>
        <v>1178.06</v>
      </c>
      <c r="K4763">
        <f>3573.02</f>
        <v>3573.02</v>
      </c>
      <c r="L4763">
        <f>839.77</f>
        <v>839.77</v>
      </c>
      <c r="M4763">
        <f>3297.86</f>
        <v>3297.86</v>
      </c>
      <c r="N4763">
        <f>127.808</f>
        <v>127.80800000000001</v>
      </c>
      <c r="O4763">
        <f>1306.7</f>
        <v>1306.7</v>
      </c>
      <c r="P4763" t="e">
        <f>NA()</f>
        <v>#N/A</v>
      </c>
      <c r="Q4763">
        <f>648.58</f>
        <v>648.58000000000004</v>
      </c>
      <c r="R4763">
        <f>1737.94</f>
        <v>1737.94</v>
      </c>
      <c r="S4763">
        <f>1351.64</f>
        <v>1351.64</v>
      </c>
      <c r="T4763" t="e">
        <f>NA()</f>
        <v>#N/A</v>
      </c>
      <c r="U4763">
        <f>13214.11</f>
        <v>13214.11</v>
      </c>
      <c r="V4763" t="e">
        <f>NA()</f>
        <v>#N/A</v>
      </c>
    </row>
    <row r="4764" spans="1:22" x14ac:dyDescent="0.2">
      <c r="A4764" s="1">
        <v>38439</v>
      </c>
      <c r="B4764" t="e">
        <f>NA()</f>
        <v>#N/A</v>
      </c>
      <c r="C4764">
        <f>2916.55</f>
        <v>2916.55</v>
      </c>
      <c r="D4764" t="e">
        <f>NA()</f>
        <v>#N/A</v>
      </c>
      <c r="E4764">
        <f>838.235</f>
        <v>838.23500000000001</v>
      </c>
      <c r="F4764">
        <f>1671.32</f>
        <v>1671.32</v>
      </c>
      <c r="G4764">
        <f>5023.33</f>
        <v>5023.33</v>
      </c>
      <c r="H4764">
        <f>1354</f>
        <v>1354</v>
      </c>
      <c r="I4764">
        <f>4753.385</f>
        <v>4753.3850000000002</v>
      </c>
      <c r="J4764">
        <f>1187.94</f>
        <v>1187.94</v>
      </c>
      <c r="K4764">
        <f>3598.72</f>
        <v>3598.72</v>
      </c>
      <c r="L4764">
        <f>840.2</f>
        <v>840.2</v>
      </c>
      <c r="M4764">
        <f>3313.51</f>
        <v>3313.51</v>
      </c>
      <c r="N4764">
        <f>127.208</f>
        <v>127.208</v>
      </c>
      <c r="O4764" t="e">
        <f>NA()</f>
        <v>#N/A</v>
      </c>
      <c r="P4764" t="e">
        <f>NA()</f>
        <v>#N/A</v>
      </c>
      <c r="Q4764">
        <f>653.27</f>
        <v>653.27</v>
      </c>
      <c r="R4764">
        <f>1750.89</f>
        <v>1750.89</v>
      </c>
      <c r="S4764">
        <f>1372.81</f>
        <v>1372.81</v>
      </c>
      <c r="T4764" t="e">
        <f>NA()</f>
        <v>#N/A</v>
      </c>
      <c r="U4764" t="e">
        <f>NA()</f>
        <v>#N/A</v>
      </c>
      <c r="V4764" t="e">
        <f>NA()</f>
        <v>#N/A</v>
      </c>
    </row>
    <row r="4765" spans="1:22" x14ac:dyDescent="0.2">
      <c r="A4765" s="1">
        <v>38436</v>
      </c>
      <c r="B4765" t="e">
        <f>NA()</f>
        <v>#N/A</v>
      </c>
      <c r="C4765">
        <f>2945.31</f>
        <v>2945.31</v>
      </c>
      <c r="D4765" t="e">
        <f>NA()</f>
        <v>#N/A</v>
      </c>
      <c r="E4765">
        <f>842.863</f>
        <v>842.86300000000006</v>
      </c>
      <c r="F4765">
        <f>1675.12</f>
        <v>1675.12</v>
      </c>
      <c r="G4765">
        <f>5034.772</f>
        <v>5034.7719999999999</v>
      </c>
      <c r="H4765">
        <f>1353.27</f>
        <v>1353.27</v>
      </c>
      <c r="I4765">
        <f>4786.211</f>
        <v>4786.2110000000002</v>
      </c>
      <c r="J4765">
        <f>1185.53</f>
        <v>1185.53</v>
      </c>
      <c r="K4765">
        <f>3589.98</f>
        <v>3589.98</v>
      </c>
      <c r="L4765">
        <f>841.88</f>
        <v>841.88</v>
      </c>
      <c r="M4765">
        <f>3315.75</f>
        <v>3315.75</v>
      </c>
      <c r="N4765" t="e">
        <f>NA()</f>
        <v>#N/A</v>
      </c>
      <c r="O4765" t="e">
        <f>NA()</f>
        <v>#N/A</v>
      </c>
      <c r="P4765" t="e">
        <f>NA()</f>
        <v>#N/A</v>
      </c>
      <c r="Q4765" t="e">
        <f>NA()</f>
        <v>#N/A</v>
      </c>
      <c r="R4765" t="e">
        <f>NA()</f>
        <v>#N/A</v>
      </c>
      <c r="S4765">
        <f>1364.5</f>
        <v>1364.5</v>
      </c>
      <c r="T4765" t="e">
        <f>NA()</f>
        <v>#N/A</v>
      </c>
      <c r="U4765" t="e">
        <f>NA()</f>
        <v>#N/A</v>
      </c>
      <c r="V4765" t="e">
        <f>NA()</f>
        <v>#N/A</v>
      </c>
    </row>
    <row r="4766" spans="1:22" x14ac:dyDescent="0.2">
      <c r="A4766" s="1">
        <v>38435</v>
      </c>
      <c r="B4766" t="e">
        <f>NA()</f>
        <v>#N/A</v>
      </c>
      <c r="C4766">
        <f>2936.95</f>
        <v>2936.95</v>
      </c>
      <c r="D4766">
        <f>2613.56</f>
        <v>2613.56</v>
      </c>
      <c r="E4766">
        <f>839.311</f>
        <v>839.31100000000004</v>
      </c>
      <c r="F4766">
        <f>1675.12</f>
        <v>1675.12</v>
      </c>
      <c r="G4766">
        <f>5034.772</f>
        <v>5034.7719999999999</v>
      </c>
      <c r="H4766">
        <f>1349.69</f>
        <v>1349.69</v>
      </c>
      <c r="I4766">
        <f>4786.211</f>
        <v>4786.2110000000002</v>
      </c>
      <c r="J4766">
        <f>1185.53</f>
        <v>1185.53</v>
      </c>
      <c r="K4766">
        <f>3589.98</f>
        <v>3589.98</v>
      </c>
      <c r="L4766">
        <f>841.88</f>
        <v>841.88</v>
      </c>
      <c r="M4766">
        <f>3314.15</f>
        <v>3314.15</v>
      </c>
      <c r="N4766">
        <f>127.208</f>
        <v>127.208</v>
      </c>
      <c r="O4766">
        <f>1303.4</f>
        <v>1303.4000000000001</v>
      </c>
      <c r="P4766" t="e">
        <f>NA()</f>
        <v>#N/A</v>
      </c>
      <c r="Q4766">
        <f>651.35</f>
        <v>651.35</v>
      </c>
      <c r="R4766">
        <f>1746.62</f>
        <v>1746.62</v>
      </c>
      <c r="S4766">
        <f>1358.4</f>
        <v>1358.4</v>
      </c>
      <c r="T4766" t="e">
        <f>NA()</f>
        <v>#N/A</v>
      </c>
      <c r="U4766">
        <f>13191.47</f>
        <v>13191.47</v>
      </c>
      <c r="V4766" t="e">
        <f>NA()</f>
        <v>#N/A</v>
      </c>
    </row>
    <row r="4767" spans="1:22" x14ac:dyDescent="0.2">
      <c r="A4767" s="1">
        <v>38434</v>
      </c>
      <c r="B4767" t="e">
        <f>NA()</f>
        <v>#N/A</v>
      </c>
      <c r="C4767">
        <f>2949.85</f>
        <v>2949.85</v>
      </c>
      <c r="D4767">
        <f>2607.16</f>
        <v>2607.16</v>
      </c>
      <c r="E4767">
        <f>841.226</f>
        <v>841.226</v>
      </c>
      <c r="F4767">
        <f>1670.44</f>
        <v>1670.44</v>
      </c>
      <c r="G4767">
        <f>5030.599</f>
        <v>5030.5990000000002</v>
      </c>
      <c r="H4767">
        <f>1356.68</f>
        <v>1356.68</v>
      </c>
      <c r="I4767">
        <f>4770.84</f>
        <v>4770.84</v>
      </c>
      <c r="J4767">
        <f>1186.79</f>
        <v>1186.79</v>
      </c>
      <c r="K4767">
        <f>3591.94</f>
        <v>3591.94</v>
      </c>
      <c r="L4767">
        <f>842.76</f>
        <v>842.76</v>
      </c>
      <c r="M4767">
        <f>3317.09</f>
        <v>3317.09</v>
      </c>
      <c r="N4767">
        <f>126.606</f>
        <v>126.60599999999999</v>
      </c>
      <c r="O4767">
        <f>1295.05</f>
        <v>1295.05</v>
      </c>
      <c r="P4767" t="e">
        <f>NA()</f>
        <v>#N/A</v>
      </c>
      <c r="Q4767">
        <f>651.49</f>
        <v>651.49</v>
      </c>
      <c r="R4767">
        <f>1748.28</f>
        <v>1748.28</v>
      </c>
      <c r="S4767">
        <f>1364.58</f>
        <v>1364.58</v>
      </c>
      <c r="T4767" t="e">
        <f>NA()</f>
        <v>#N/A</v>
      </c>
      <c r="U4767">
        <f>13297.13</f>
        <v>13297.13</v>
      </c>
      <c r="V4767" t="e">
        <f>NA()</f>
        <v>#N/A</v>
      </c>
    </row>
    <row r="4768" spans="1:22" x14ac:dyDescent="0.2">
      <c r="A4768" s="1">
        <v>38433</v>
      </c>
      <c r="B4768" t="e">
        <f>NA()</f>
        <v>#N/A</v>
      </c>
      <c r="C4768">
        <f>3010.11</f>
        <v>3010.11</v>
      </c>
      <c r="D4768">
        <f>2621.21</f>
        <v>2621.21</v>
      </c>
      <c r="E4768">
        <f>856.36</f>
        <v>856.36</v>
      </c>
      <c r="F4768">
        <f>1699.42</f>
        <v>1699.42</v>
      </c>
      <c r="G4768">
        <f>5128.137</f>
        <v>5128.1369999999997</v>
      </c>
      <c r="H4768">
        <f>1375.47</f>
        <v>1375.47</v>
      </c>
      <c r="I4768">
        <f>4852.939</f>
        <v>4852.9390000000003</v>
      </c>
      <c r="J4768">
        <f>1186.02</f>
        <v>1186.02</v>
      </c>
      <c r="K4768">
        <f>3590.2</f>
        <v>3590.2</v>
      </c>
      <c r="L4768">
        <f>853.59</f>
        <v>853.59</v>
      </c>
      <c r="M4768">
        <f>3345.26</f>
        <v>3345.26</v>
      </c>
      <c r="N4768">
        <f>127.398</f>
        <v>127.398</v>
      </c>
      <c r="O4768">
        <f>1299.41</f>
        <v>1299.4100000000001</v>
      </c>
      <c r="P4768" t="e">
        <f>NA()</f>
        <v>#N/A</v>
      </c>
      <c r="Q4768">
        <f>650.25</f>
        <v>650.25</v>
      </c>
      <c r="R4768">
        <f>1747.03</f>
        <v>1747.03</v>
      </c>
      <c r="S4768">
        <f>1374.5</f>
        <v>1374.5</v>
      </c>
      <c r="T4768" t="e">
        <f>NA()</f>
        <v>#N/A</v>
      </c>
      <c r="U4768">
        <f>13465.53</f>
        <v>13465.53</v>
      </c>
      <c r="V4768" t="e">
        <f>NA()</f>
        <v>#N/A</v>
      </c>
    </row>
    <row r="4769" spans="1:22" x14ac:dyDescent="0.2">
      <c r="A4769" s="1">
        <v>38432</v>
      </c>
      <c r="B4769" t="e">
        <f>NA()</f>
        <v>#N/A</v>
      </c>
      <c r="C4769">
        <f>3028.99</f>
        <v>3028.99</v>
      </c>
      <c r="D4769">
        <f>2619.2</f>
        <v>2619.1999999999998</v>
      </c>
      <c r="E4769">
        <f>860.217</f>
        <v>860.21699999999998</v>
      </c>
      <c r="F4769">
        <f>1693.25</f>
        <v>1693.25</v>
      </c>
      <c r="G4769">
        <f>5116.1</f>
        <v>5116.1000000000004</v>
      </c>
      <c r="H4769">
        <f>1375.34</f>
        <v>1375.34</v>
      </c>
      <c r="I4769">
        <f>4831.094</f>
        <v>4831.0940000000001</v>
      </c>
      <c r="J4769">
        <f>1200.48</f>
        <v>1200.48</v>
      </c>
      <c r="K4769">
        <f>3626.39</f>
        <v>3626.39</v>
      </c>
      <c r="L4769">
        <f>855.95</f>
        <v>855.95</v>
      </c>
      <c r="M4769">
        <f>3358.64</f>
        <v>3358.64</v>
      </c>
      <c r="N4769">
        <f>127.079</f>
        <v>127.07899999999999</v>
      </c>
      <c r="O4769">
        <f>1297.82</f>
        <v>1297.82</v>
      </c>
      <c r="P4769" t="e">
        <f>NA()</f>
        <v>#N/A</v>
      </c>
      <c r="Q4769">
        <f>655.01</f>
        <v>655.01</v>
      </c>
      <c r="R4769">
        <f>1764.98</f>
        <v>1764.98</v>
      </c>
      <c r="S4769" t="e">
        <f>NA()</f>
        <v>#N/A</v>
      </c>
      <c r="T4769" t="e">
        <f>NA()</f>
        <v>#N/A</v>
      </c>
      <c r="U4769" t="e">
        <f>NA()</f>
        <v>#N/A</v>
      </c>
      <c r="V4769" t="e">
        <f>NA()</f>
        <v>#N/A</v>
      </c>
    </row>
    <row r="4770" spans="1:22" x14ac:dyDescent="0.2">
      <c r="A4770" s="1">
        <v>38429</v>
      </c>
      <c r="B4770" t="e">
        <f>NA()</f>
        <v>#N/A</v>
      </c>
      <c r="C4770">
        <f>3049.33</f>
        <v>3049.33</v>
      </c>
      <c r="D4770">
        <f>2613.8</f>
        <v>2613.8000000000002</v>
      </c>
      <c r="E4770">
        <f>866.674</f>
        <v>866.67399999999998</v>
      </c>
      <c r="F4770">
        <f>1706.06</f>
        <v>1706.06</v>
      </c>
      <c r="G4770">
        <f>5157.613</f>
        <v>5157.6130000000003</v>
      </c>
      <c r="H4770">
        <f>1377.57</f>
        <v>1377.57</v>
      </c>
      <c r="I4770">
        <f>4885.842</f>
        <v>4885.8419999999996</v>
      </c>
      <c r="J4770">
        <f>1207.39</f>
        <v>1207.3900000000001</v>
      </c>
      <c r="K4770">
        <f>3642.89</f>
        <v>3642.89</v>
      </c>
      <c r="L4770">
        <f>863.13</f>
        <v>863.13</v>
      </c>
      <c r="M4770">
        <f>3379.16</f>
        <v>3379.16</v>
      </c>
      <c r="N4770">
        <f>126.691</f>
        <v>126.691</v>
      </c>
      <c r="O4770">
        <f>1299.69</f>
        <v>1299.69</v>
      </c>
      <c r="P4770" t="e">
        <f>NA()</f>
        <v>#N/A</v>
      </c>
      <c r="Q4770">
        <f>657.12</f>
        <v>657.12</v>
      </c>
      <c r="R4770">
        <f>1773.72</f>
        <v>1773.72</v>
      </c>
      <c r="S4770">
        <f>1375.34</f>
        <v>1375.34</v>
      </c>
      <c r="T4770" t="e">
        <f>NA()</f>
        <v>#N/A</v>
      </c>
      <c r="U4770">
        <f>13593.17</f>
        <v>13593.17</v>
      </c>
      <c r="V4770" t="e">
        <f>NA()</f>
        <v>#N/A</v>
      </c>
    </row>
    <row r="4771" spans="1:22" x14ac:dyDescent="0.2">
      <c r="A4771" s="1">
        <v>38428</v>
      </c>
      <c r="B4771" t="e">
        <f>NA()</f>
        <v>#N/A</v>
      </c>
      <c r="C4771">
        <f>3046.48</f>
        <v>3046.48</v>
      </c>
      <c r="D4771">
        <f>2613.17</f>
        <v>2613.17</v>
      </c>
      <c r="E4771">
        <f>866.747</f>
        <v>866.74699999999996</v>
      </c>
      <c r="F4771">
        <f>1712.12</f>
        <v>1712.12</v>
      </c>
      <c r="G4771">
        <f>5176.006</f>
        <v>5176.0060000000003</v>
      </c>
      <c r="H4771">
        <f>1369.71</f>
        <v>1369.71</v>
      </c>
      <c r="I4771">
        <f>4911.943</f>
        <v>4911.9430000000002</v>
      </c>
      <c r="J4771">
        <f>1204.25</f>
        <v>1204.25</v>
      </c>
      <c r="K4771">
        <f>3644.23</f>
        <v>3644.23</v>
      </c>
      <c r="L4771">
        <f>864.21</f>
        <v>864.21</v>
      </c>
      <c r="M4771">
        <f>3383.84</f>
        <v>3383.84</v>
      </c>
      <c r="N4771">
        <f>127.284</f>
        <v>127.28400000000001</v>
      </c>
      <c r="O4771">
        <f>1296.68</f>
        <v>1296.68</v>
      </c>
      <c r="P4771" t="e">
        <f>NA()</f>
        <v>#N/A</v>
      </c>
      <c r="Q4771">
        <f>657.98</f>
        <v>657.98</v>
      </c>
      <c r="R4771">
        <f>1774.55</f>
        <v>1774.55</v>
      </c>
      <c r="S4771">
        <f>1362.79</f>
        <v>1362.79</v>
      </c>
      <c r="T4771" t="e">
        <f>NA()</f>
        <v>#N/A</v>
      </c>
      <c r="U4771">
        <f>13703.85</f>
        <v>13703.85</v>
      </c>
      <c r="V4771" t="e">
        <f>NA()</f>
        <v>#N/A</v>
      </c>
    </row>
    <row r="4772" spans="1:22" x14ac:dyDescent="0.2">
      <c r="A4772" s="1">
        <v>38427</v>
      </c>
      <c r="B4772" t="e">
        <f>NA()</f>
        <v>#N/A</v>
      </c>
      <c r="C4772">
        <f>3045.94</f>
        <v>3045.94</v>
      </c>
      <c r="D4772">
        <f>2621.4</f>
        <v>2621.4</v>
      </c>
      <c r="E4772">
        <f>869.422</f>
        <v>869.42200000000003</v>
      </c>
      <c r="F4772">
        <f>1717.43</f>
        <v>1717.43</v>
      </c>
      <c r="G4772">
        <f>5202.883</f>
        <v>5202.8829999999998</v>
      </c>
      <c r="H4772">
        <f>1384.85</f>
        <v>1384.85</v>
      </c>
      <c r="I4772">
        <f>4925.066</f>
        <v>4925.0659999999998</v>
      </c>
      <c r="J4772">
        <f>1202.29</f>
        <v>1202.29</v>
      </c>
      <c r="K4772">
        <f>3638.03</f>
        <v>3638.03</v>
      </c>
      <c r="L4772">
        <f>864.98</f>
        <v>864.98</v>
      </c>
      <c r="M4772">
        <f>3387.55</f>
        <v>3387.55</v>
      </c>
      <c r="N4772">
        <f>127.372</f>
        <v>127.372</v>
      </c>
      <c r="O4772">
        <f>1295.94</f>
        <v>1295.94</v>
      </c>
      <c r="P4772" t="e">
        <f>NA()</f>
        <v>#N/A</v>
      </c>
      <c r="Q4772">
        <f>656.61</f>
        <v>656.61</v>
      </c>
      <c r="R4772">
        <f>1771.35</f>
        <v>1771.35</v>
      </c>
      <c r="S4772">
        <f>1369.61</f>
        <v>1369.61</v>
      </c>
      <c r="T4772" t="e">
        <f>NA()</f>
        <v>#N/A</v>
      </c>
      <c r="U4772">
        <f>13555.05</f>
        <v>13555.05</v>
      </c>
      <c r="V4772" t="e">
        <f>NA()</f>
        <v>#N/A</v>
      </c>
    </row>
    <row r="4773" spans="1:22" x14ac:dyDescent="0.2">
      <c r="A4773" s="1">
        <v>38426</v>
      </c>
      <c r="B4773" t="e">
        <f>NA()</f>
        <v>#N/A</v>
      </c>
      <c r="C4773">
        <f>3043.78</f>
        <v>3043.78</v>
      </c>
      <c r="D4773">
        <f>2644.53</f>
        <v>2644.53</v>
      </c>
      <c r="E4773">
        <f>871.547</f>
        <v>871.54700000000003</v>
      </c>
      <c r="F4773">
        <f>1724.83</f>
        <v>1724.83</v>
      </c>
      <c r="G4773">
        <f>5213.182</f>
        <v>5213.1819999999998</v>
      </c>
      <c r="H4773">
        <f>1372.26</f>
        <v>1372.26</v>
      </c>
      <c r="I4773">
        <f>4948.769</f>
        <v>4948.7690000000002</v>
      </c>
      <c r="J4773">
        <f>1212.83</f>
        <v>1212.83</v>
      </c>
      <c r="K4773">
        <f>3668.35</f>
        <v>3668.35</v>
      </c>
      <c r="L4773">
        <f>869.1</f>
        <v>869.1</v>
      </c>
      <c r="M4773">
        <f>3402.78</f>
        <v>3402.78</v>
      </c>
      <c r="N4773">
        <f>128.693</f>
        <v>128.69300000000001</v>
      </c>
      <c r="O4773">
        <f>1312.87</f>
        <v>1312.87</v>
      </c>
      <c r="P4773" t="e">
        <f>NA()</f>
        <v>#N/A</v>
      </c>
      <c r="Q4773">
        <f>662.03</f>
        <v>662.03</v>
      </c>
      <c r="R4773">
        <f>1785.61</f>
        <v>1785.61</v>
      </c>
      <c r="S4773">
        <f>1363.39</f>
        <v>1363.39</v>
      </c>
      <c r="T4773" t="e">
        <f>NA()</f>
        <v>#N/A</v>
      </c>
      <c r="U4773">
        <f>13588.93</f>
        <v>13588.93</v>
      </c>
      <c r="V4773" t="e">
        <f>NA()</f>
        <v>#N/A</v>
      </c>
    </row>
    <row r="4774" spans="1:22" x14ac:dyDescent="0.2">
      <c r="A4774" s="1">
        <v>38425</v>
      </c>
      <c r="B4774" t="e">
        <f>NA()</f>
        <v>#N/A</v>
      </c>
      <c r="C4774">
        <f>3100.36</f>
        <v>3100.36</v>
      </c>
      <c r="D4774">
        <f>2631.19</f>
        <v>2631.19</v>
      </c>
      <c r="E4774">
        <f>886.573</f>
        <v>886.57299999999998</v>
      </c>
      <c r="F4774">
        <f>1710.48</f>
        <v>1710.48</v>
      </c>
      <c r="G4774">
        <f>5175.621</f>
        <v>5175.6210000000001</v>
      </c>
      <c r="H4774">
        <f>1368.16</f>
        <v>1368.16</v>
      </c>
      <c r="I4774">
        <f>4938.348</f>
        <v>4938.348</v>
      </c>
      <c r="J4774">
        <f>1223.35</f>
        <v>1223.3499999999999</v>
      </c>
      <c r="K4774">
        <f>3695.64</f>
        <v>3695.64</v>
      </c>
      <c r="L4774">
        <f>869.6</f>
        <v>869.6</v>
      </c>
      <c r="M4774">
        <f>3410.78</f>
        <v>3410.78</v>
      </c>
      <c r="N4774">
        <f>127.169</f>
        <v>127.169</v>
      </c>
      <c r="O4774">
        <f>1303.05</f>
        <v>1303.05</v>
      </c>
      <c r="P4774" t="e">
        <f>NA()</f>
        <v>#N/A</v>
      </c>
      <c r="Q4774">
        <f>666.06</f>
        <v>666.06</v>
      </c>
      <c r="R4774">
        <f>1799.14</f>
        <v>1799.14</v>
      </c>
      <c r="S4774">
        <f>1366.41</f>
        <v>1366.41</v>
      </c>
      <c r="T4774" t="e">
        <f>NA()</f>
        <v>#N/A</v>
      </c>
      <c r="U4774">
        <f>13595.11</f>
        <v>13595.11</v>
      </c>
      <c r="V4774" t="e">
        <f>NA()</f>
        <v>#N/A</v>
      </c>
    </row>
    <row r="4775" spans="1:22" x14ac:dyDescent="0.2">
      <c r="A4775" s="1">
        <v>38422</v>
      </c>
      <c r="B4775" t="e">
        <f>NA()</f>
        <v>#N/A</v>
      </c>
      <c r="C4775">
        <f>3139.96</f>
        <v>3139.96</v>
      </c>
      <c r="D4775">
        <f>2634.91</f>
        <v>2634.91</v>
      </c>
      <c r="E4775">
        <f>898.362</f>
        <v>898.36199999999997</v>
      </c>
      <c r="F4775">
        <f>1724.74</f>
        <v>1724.74</v>
      </c>
      <c r="G4775">
        <f>5222.874</f>
        <v>5222.8739999999998</v>
      </c>
      <c r="H4775">
        <f>1389.16</f>
        <v>1389.16</v>
      </c>
      <c r="I4775">
        <f>4975</f>
        <v>4975</v>
      </c>
      <c r="J4775">
        <f>1215.03</f>
        <v>1215.03</v>
      </c>
      <c r="K4775">
        <f>3672.1</f>
        <v>3672.1</v>
      </c>
      <c r="L4775">
        <f>870.83</f>
        <v>870.83</v>
      </c>
      <c r="M4775">
        <f>3412.93</f>
        <v>3412.93</v>
      </c>
      <c r="N4775">
        <f>127.521</f>
        <v>127.521</v>
      </c>
      <c r="O4775">
        <f>1303.36</f>
        <v>1303.3599999999999</v>
      </c>
      <c r="P4775" t="e">
        <f>NA()</f>
        <v>#N/A</v>
      </c>
      <c r="Q4775">
        <f>662.04</f>
        <v>662.04</v>
      </c>
      <c r="R4775">
        <f>1789.01</f>
        <v>1789.01</v>
      </c>
      <c r="S4775">
        <f>1371.61</f>
        <v>1371.61</v>
      </c>
      <c r="T4775" t="e">
        <f>NA()</f>
        <v>#N/A</v>
      </c>
      <c r="U4775">
        <f>13508.05</f>
        <v>13508.05</v>
      </c>
      <c r="V4775" t="e">
        <f>NA()</f>
        <v>#N/A</v>
      </c>
    </row>
    <row r="4776" spans="1:22" x14ac:dyDescent="0.2">
      <c r="A4776" s="1">
        <v>38421</v>
      </c>
      <c r="B4776" t="e">
        <f>NA()</f>
        <v>#N/A</v>
      </c>
      <c r="C4776">
        <f>3123.36</f>
        <v>3123.36</v>
      </c>
      <c r="D4776">
        <f>2624.34</f>
        <v>2624.34</v>
      </c>
      <c r="E4776">
        <f>893.301</f>
        <v>893.30100000000004</v>
      </c>
      <c r="F4776">
        <f>1715.96</f>
        <v>1715.96</v>
      </c>
      <c r="G4776">
        <f>5193.545</f>
        <v>5193.5450000000001</v>
      </c>
      <c r="H4776">
        <f>1383.42</f>
        <v>1383.42</v>
      </c>
      <c r="I4776">
        <f>4945.038</f>
        <v>4945.0379999999996</v>
      </c>
      <c r="J4776">
        <f>1220.39</f>
        <v>1220.3900000000001</v>
      </c>
      <c r="K4776">
        <f>3698.31</f>
        <v>3698.31</v>
      </c>
      <c r="L4776">
        <f>869.49</f>
        <v>869.49</v>
      </c>
      <c r="M4776">
        <f>3417.44</f>
        <v>3417.44</v>
      </c>
      <c r="N4776">
        <f>127.695</f>
        <v>127.69499999999999</v>
      </c>
      <c r="O4776">
        <f>1300.83</f>
        <v>1300.83</v>
      </c>
      <c r="P4776" t="e">
        <f>NA()</f>
        <v>#N/A</v>
      </c>
      <c r="Q4776">
        <f>664.2</f>
        <v>664.2</v>
      </c>
      <c r="R4776">
        <f>1802.2</f>
        <v>1802.2</v>
      </c>
      <c r="S4776">
        <f>1366.39</f>
        <v>1366.39</v>
      </c>
      <c r="T4776" t="e">
        <f>NA()</f>
        <v>#N/A</v>
      </c>
      <c r="U4776">
        <f>13570.88</f>
        <v>13570.88</v>
      </c>
      <c r="V4776" t="e">
        <f>NA()</f>
        <v>#N/A</v>
      </c>
    </row>
    <row r="4777" spans="1:22" x14ac:dyDescent="0.2">
      <c r="A4777" s="1">
        <v>38420</v>
      </c>
      <c r="B4777" t="e">
        <f>NA()</f>
        <v>#N/A</v>
      </c>
      <c r="C4777">
        <f>3162.85</f>
        <v>3162.85</v>
      </c>
      <c r="D4777">
        <f>2642.31</f>
        <v>2642.31</v>
      </c>
      <c r="E4777">
        <f>901.866</f>
        <v>901.86599999999999</v>
      </c>
      <c r="F4777">
        <f>1718.33</f>
        <v>1718.33</v>
      </c>
      <c r="G4777">
        <f>5223.946</f>
        <v>5223.9459999999999</v>
      </c>
      <c r="H4777">
        <f>1390.95</f>
        <v>1390.95</v>
      </c>
      <c r="I4777">
        <f>4965.051</f>
        <v>4965.0510000000004</v>
      </c>
      <c r="J4777">
        <f>1217.48</f>
        <v>1217.48</v>
      </c>
      <c r="K4777">
        <f>3691.69</f>
        <v>3691.69</v>
      </c>
      <c r="L4777">
        <f>872.02</f>
        <v>872.02</v>
      </c>
      <c r="M4777">
        <f>3423.77</f>
        <v>3423.77</v>
      </c>
      <c r="N4777">
        <f>128.094</f>
        <v>128.09399999999999</v>
      </c>
      <c r="O4777">
        <f>1311.71</f>
        <v>1311.71</v>
      </c>
      <c r="P4777" t="e">
        <f>NA()</f>
        <v>#N/A</v>
      </c>
      <c r="Q4777">
        <f>661.32</f>
        <v>661.32</v>
      </c>
      <c r="R4777">
        <f>1798.79</f>
        <v>1798.79</v>
      </c>
      <c r="S4777">
        <f>1372.32</f>
        <v>1372.32</v>
      </c>
      <c r="T4777" t="e">
        <f>NA()</f>
        <v>#N/A</v>
      </c>
      <c r="U4777">
        <f>13587.78</f>
        <v>13587.78</v>
      </c>
      <c r="V4777" t="e">
        <f>NA()</f>
        <v>#N/A</v>
      </c>
    </row>
    <row r="4778" spans="1:22" x14ac:dyDescent="0.2">
      <c r="A4778" s="1">
        <v>38419</v>
      </c>
      <c r="B4778" t="e">
        <f>NA()</f>
        <v>#N/A</v>
      </c>
      <c r="C4778">
        <f>3170.79</f>
        <v>3170.79</v>
      </c>
      <c r="D4778">
        <f>2645.2</f>
        <v>2645.2</v>
      </c>
      <c r="E4778">
        <f>901.217</f>
        <v>901.21699999999998</v>
      </c>
      <c r="F4778">
        <f>1729.61</f>
        <v>1729.61</v>
      </c>
      <c r="G4778">
        <f>5257.57</f>
        <v>5257.57</v>
      </c>
      <c r="H4778">
        <f>1379.92</f>
        <v>1379.92</v>
      </c>
      <c r="I4778">
        <f>4981.205</f>
        <v>4981.2049999999999</v>
      </c>
      <c r="J4778">
        <f>1234.08</f>
        <v>1234.08</v>
      </c>
      <c r="K4778">
        <f>3729.75</f>
        <v>3729.75</v>
      </c>
      <c r="L4778">
        <f>880.05</f>
        <v>880.05</v>
      </c>
      <c r="M4778">
        <f>3444.26</f>
        <v>3444.26</v>
      </c>
      <c r="N4778">
        <f>128.742</f>
        <v>128.74199999999999</v>
      </c>
      <c r="O4778">
        <f>1318.75</f>
        <v>1318.75</v>
      </c>
      <c r="P4778" t="e">
        <f>NA()</f>
        <v>#N/A</v>
      </c>
      <c r="Q4778">
        <f>667.72</f>
        <v>667.72</v>
      </c>
      <c r="R4778">
        <f>1817.12</f>
        <v>1817.12</v>
      </c>
      <c r="S4778">
        <f>1366.34</f>
        <v>1366.34</v>
      </c>
      <c r="T4778" t="e">
        <f>NA()</f>
        <v>#N/A</v>
      </c>
      <c r="U4778">
        <f>13542.11</f>
        <v>13542.11</v>
      </c>
      <c r="V4778" t="e">
        <f>NA()</f>
        <v>#N/A</v>
      </c>
    </row>
    <row r="4779" spans="1:22" x14ac:dyDescent="0.2">
      <c r="A4779" s="1">
        <v>38418</v>
      </c>
      <c r="B4779" t="e">
        <f>NA()</f>
        <v>#N/A</v>
      </c>
      <c r="C4779">
        <f>3178.91</f>
        <v>3178.91</v>
      </c>
      <c r="D4779">
        <f>2653.79</f>
        <v>2653.79</v>
      </c>
      <c r="E4779">
        <f>902.032</f>
        <v>902.03200000000004</v>
      </c>
      <c r="F4779">
        <f>1719.7</f>
        <v>1719.7</v>
      </c>
      <c r="G4779">
        <f>5229.428</f>
        <v>5229.4279999999999</v>
      </c>
      <c r="H4779">
        <f>1375.38</f>
        <v>1375.38</v>
      </c>
      <c r="I4779">
        <f>4949.154</f>
        <v>4949.1540000000005</v>
      </c>
      <c r="J4779">
        <f>1238.04</f>
        <v>1238.04</v>
      </c>
      <c r="K4779">
        <f>3747.05</f>
        <v>3747.05</v>
      </c>
      <c r="L4779">
        <f>876.84</f>
        <v>876.84</v>
      </c>
      <c r="M4779">
        <f>3442.05</f>
        <v>3442.05</v>
      </c>
      <c r="N4779">
        <f>129.424</f>
        <v>129.42400000000001</v>
      </c>
      <c r="O4779">
        <f>1326.02</f>
        <v>1326.02</v>
      </c>
      <c r="P4779" t="e">
        <f>NA()</f>
        <v>#N/A</v>
      </c>
      <c r="Q4779">
        <f>669.76</f>
        <v>669.76</v>
      </c>
      <c r="R4779">
        <f>1825.7</f>
        <v>1825.7</v>
      </c>
      <c r="S4779">
        <f>1371.41</f>
        <v>1371.41</v>
      </c>
      <c r="T4779" t="e">
        <f>NA()</f>
        <v>#N/A</v>
      </c>
      <c r="U4779">
        <f>13541.47</f>
        <v>13541.47</v>
      </c>
      <c r="V4779" t="e">
        <f>NA()</f>
        <v>#N/A</v>
      </c>
    </row>
    <row r="4780" spans="1:22" x14ac:dyDescent="0.2">
      <c r="A4780" s="1">
        <v>38415</v>
      </c>
      <c r="B4780" t="e">
        <f>NA()</f>
        <v>#N/A</v>
      </c>
      <c r="C4780">
        <f>3165.31</f>
        <v>3165.31</v>
      </c>
      <c r="D4780">
        <f>2658.58</f>
        <v>2658.58</v>
      </c>
      <c r="E4780">
        <f>898.382</f>
        <v>898.38199999999995</v>
      </c>
      <c r="F4780">
        <f>1732.79</f>
        <v>1732.79</v>
      </c>
      <c r="G4780">
        <f>5271.043</f>
        <v>5271.0429999999997</v>
      </c>
      <c r="H4780">
        <f>1377.22</f>
        <v>1377.22</v>
      </c>
      <c r="I4780">
        <f>4964.797</f>
        <v>4964.7969999999996</v>
      </c>
      <c r="J4780">
        <f>1238.07</f>
        <v>1238.07</v>
      </c>
      <c r="K4780">
        <f>3736.04</f>
        <v>3736.04</v>
      </c>
      <c r="L4780">
        <f>879.68</f>
        <v>879.68</v>
      </c>
      <c r="M4780">
        <f>3442.29</f>
        <v>3442.29</v>
      </c>
      <c r="N4780">
        <f>130.106</f>
        <v>130.10599999999999</v>
      </c>
      <c r="O4780">
        <f>1327.16</f>
        <v>1327.16</v>
      </c>
      <c r="P4780" t="e">
        <f>NA()</f>
        <v>#N/A</v>
      </c>
      <c r="Q4780">
        <f>669.03</f>
        <v>669.03</v>
      </c>
      <c r="R4780">
        <f>1820.88</f>
        <v>1820.88</v>
      </c>
      <c r="S4780">
        <f>1362.59</f>
        <v>1362.59</v>
      </c>
      <c r="T4780" t="e">
        <f>NA()</f>
        <v>#N/A</v>
      </c>
      <c r="U4780">
        <f>13634.73</f>
        <v>13634.73</v>
      </c>
      <c r="V4780" t="e">
        <f>NA()</f>
        <v>#N/A</v>
      </c>
    </row>
    <row r="4781" spans="1:22" x14ac:dyDescent="0.2">
      <c r="A4781" s="1">
        <v>38414</v>
      </c>
      <c r="B4781" t="e">
        <f>NA()</f>
        <v>#N/A</v>
      </c>
      <c r="C4781">
        <f>3134.31</f>
        <v>3134.31</v>
      </c>
      <c r="D4781">
        <f>2647.24</f>
        <v>2647.24</v>
      </c>
      <c r="E4781">
        <f>893.409</f>
        <v>893.40899999999999</v>
      </c>
      <c r="F4781">
        <f>1704.86</f>
        <v>1704.86</v>
      </c>
      <c r="G4781">
        <f>5200.517</f>
        <v>5200.5169999999998</v>
      </c>
      <c r="H4781">
        <f>1366.91</f>
        <v>1366.91</v>
      </c>
      <c r="I4781">
        <f>4880.429</f>
        <v>4880.4290000000001</v>
      </c>
      <c r="J4781">
        <f>1224.26</f>
        <v>1224.26</v>
      </c>
      <c r="K4781">
        <f>3700.04</f>
        <v>3700.04</v>
      </c>
      <c r="L4781">
        <f>867.94</f>
        <v>867.94</v>
      </c>
      <c r="M4781">
        <f>3402.52</f>
        <v>3402.52</v>
      </c>
      <c r="N4781">
        <f>129.748</f>
        <v>129.74799999999999</v>
      </c>
      <c r="O4781">
        <f>1317.97</f>
        <v>1317.97</v>
      </c>
      <c r="P4781" t="e">
        <f>NA()</f>
        <v>#N/A</v>
      </c>
      <c r="Q4781">
        <f>662.23</f>
        <v>662.23</v>
      </c>
      <c r="R4781">
        <f>1803.51</f>
        <v>1803.51</v>
      </c>
      <c r="S4781">
        <f>1359.63</f>
        <v>1359.63</v>
      </c>
      <c r="T4781" t="e">
        <f>NA()</f>
        <v>#N/A</v>
      </c>
      <c r="U4781">
        <f>13541.02</f>
        <v>13541.02</v>
      </c>
      <c r="V4781" t="e">
        <f>NA()</f>
        <v>#N/A</v>
      </c>
    </row>
    <row r="4782" spans="1:22" x14ac:dyDescent="0.2">
      <c r="A4782" s="1">
        <v>38413</v>
      </c>
      <c r="B4782" t="e">
        <f>NA()</f>
        <v>#N/A</v>
      </c>
      <c r="C4782">
        <f>3125.7</f>
        <v>3125.7</v>
      </c>
      <c r="D4782">
        <f>2635.64</f>
        <v>2635.64</v>
      </c>
      <c r="E4782">
        <f>890.675</f>
        <v>890.67499999999995</v>
      </c>
      <c r="F4782">
        <f>1712.08</f>
        <v>1712.08</v>
      </c>
      <c r="G4782">
        <f>5181.951</f>
        <v>5181.951</v>
      </c>
      <c r="H4782">
        <f>1365.78</f>
        <v>1365.78</v>
      </c>
      <c r="I4782">
        <f>4881.144</f>
        <v>4881.1440000000002</v>
      </c>
      <c r="J4782">
        <f>1224.52</f>
        <v>1224.52</v>
      </c>
      <c r="K4782">
        <f>3699.8</f>
        <v>3699.8</v>
      </c>
      <c r="L4782">
        <f>867.32</f>
        <v>867.32</v>
      </c>
      <c r="M4782">
        <f>3399.86</f>
        <v>3399.86</v>
      </c>
      <c r="N4782">
        <f>129.305</f>
        <v>129.30500000000001</v>
      </c>
      <c r="O4782">
        <f>1317.98</f>
        <v>1317.98</v>
      </c>
      <c r="P4782" t="e">
        <f>NA()</f>
        <v>#N/A</v>
      </c>
      <c r="Q4782">
        <f>662.71</f>
        <v>662.71</v>
      </c>
      <c r="R4782">
        <f>1802.92</f>
        <v>1802.92</v>
      </c>
      <c r="S4782">
        <f>1355.27</f>
        <v>1355.27</v>
      </c>
      <c r="T4782" t="e">
        <f>NA()</f>
        <v>#N/A</v>
      </c>
      <c r="U4782">
        <f>13456.89</f>
        <v>13456.89</v>
      </c>
      <c r="V4782" t="e">
        <f>NA()</f>
        <v>#N/A</v>
      </c>
    </row>
    <row r="4783" spans="1:22" x14ac:dyDescent="0.2">
      <c r="A4783" s="1">
        <v>38412</v>
      </c>
      <c r="B4783" t="e">
        <f>NA()</f>
        <v>#N/A</v>
      </c>
      <c r="C4783">
        <f>3148.46</f>
        <v>3148.46</v>
      </c>
      <c r="D4783">
        <f>2637.88</f>
        <v>2637.88</v>
      </c>
      <c r="E4783">
        <f>900.586</f>
        <v>900.58600000000001</v>
      </c>
      <c r="F4783">
        <f>1731.62</f>
        <v>1731.62</v>
      </c>
      <c r="G4783">
        <f>5213.099</f>
        <v>5213.0990000000002</v>
      </c>
      <c r="H4783">
        <f>1363.41</f>
        <v>1363.41</v>
      </c>
      <c r="I4783">
        <f>4905.704</f>
        <v>4905.7039999999997</v>
      </c>
      <c r="J4783">
        <f>1223.1</f>
        <v>1223.0999999999999</v>
      </c>
      <c r="K4783">
        <f>3699.15</f>
        <v>3699.15</v>
      </c>
      <c r="L4783">
        <f>869.86</f>
        <v>869.86</v>
      </c>
      <c r="M4783">
        <f>3404.69</f>
        <v>3404.69</v>
      </c>
      <c r="N4783">
        <f>129.299</f>
        <v>129.29900000000001</v>
      </c>
      <c r="O4783">
        <f>1317.48</f>
        <v>1317.48</v>
      </c>
      <c r="P4783" t="e">
        <f>NA()</f>
        <v>#N/A</v>
      </c>
      <c r="Q4783">
        <f>663.41</f>
        <v>663.41</v>
      </c>
      <c r="R4783">
        <f>1802.79</f>
        <v>1802.79</v>
      </c>
      <c r="S4783">
        <f>1348.64</f>
        <v>1348.64</v>
      </c>
      <c r="T4783" t="e">
        <f>NA()</f>
        <v>#N/A</v>
      </c>
      <c r="U4783">
        <f>13488.97</f>
        <v>13488.97</v>
      </c>
      <c r="V4783" t="e">
        <f>NA()</f>
        <v>#N/A</v>
      </c>
    </row>
    <row r="4784" spans="1:22" x14ac:dyDescent="0.2">
      <c r="A4784" s="1">
        <v>38411</v>
      </c>
      <c r="B4784" t="e">
        <f>NA()</f>
        <v>#N/A</v>
      </c>
      <c r="C4784">
        <f>3158.5</f>
        <v>3158.5</v>
      </c>
      <c r="D4784">
        <f>2621.02</f>
        <v>2621.02</v>
      </c>
      <c r="E4784">
        <f>903.311</f>
        <v>903.31100000000004</v>
      </c>
      <c r="F4784">
        <f>1730.37</f>
        <v>1730.37</v>
      </c>
      <c r="G4784">
        <f>5195.694</f>
        <v>5195.6940000000004</v>
      </c>
      <c r="H4784">
        <f>1362.99</f>
        <v>1362.99</v>
      </c>
      <c r="I4784">
        <f>4909.074</f>
        <v>4909.0739999999996</v>
      </c>
      <c r="J4784">
        <f>1219.39</f>
        <v>1219.3900000000001</v>
      </c>
      <c r="K4784">
        <f>3678.65</f>
        <v>3678.65</v>
      </c>
      <c r="L4784">
        <f>869.06</f>
        <v>869.06</v>
      </c>
      <c r="M4784">
        <f>3395.13</f>
        <v>3395.13</v>
      </c>
      <c r="N4784">
        <f>128.437</f>
        <v>128.43700000000001</v>
      </c>
      <c r="O4784">
        <f>1307.44</f>
        <v>1307.44</v>
      </c>
      <c r="P4784" t="e">
        <f>NA()</f>
        <v>#N/A</v>
      </c>
      <c r="Q4784">
        <f>658.12</f>
        <v>658.12</v>
      </c>
      <c r="R4784">
        <f>1792.63</f>
        <v>1792.63</v>
      </c>
      <c r="S4784">
        <f>1345.79</f>
        <v>1345.79</v>
      </c>
      <c r="T4784" t="e">
        <f>NA()</f>
        <v>#N/A</v>
      </c>
      <c r="U4784">
        <f>13476.59</f>
        <v>13476.59</v>
      </c>
      <c r="V4784" t="e">
        <f>NA()</f>
        <v>#N/A</v>
      </c>
    </row>
    <row r="4785" spans="1:22" x14ac:dyDescent="0.2">
      <c r="A4785" s="1">
        <v>38408</v>
      </c>
      <c r="B4785" t="e">
        <f>NA()</f>
        <v>#N/A</v>
      </c>
      <c r="C4785">
        <f>3131.46</f>
        <v>3131.46</v>
      </c>
      <c r="D4785">
        <f>2641.2</f>
        <v>2641.2</v>
      </c>
      <c r="E4785">
        <f>892.406</f>
        <v>892.40599999999995</v>
      </c>
      <c r="F4785">
        <f>1741.2</f>
        <v>1741.2</v>
      </c>
      <c r="G4785">
        <f>5205.091</f>
        <v>5205.0910000000003</v>
      </c>
      <c r="H4785">
        <f>1338.32</f>
        <v>1338.32</v>
      </c>
      <c r="I4785">
        <f>4882.014</f>
        <v>4882.0140000000001</v>
      </c>
      <c r="J4785">
        <f>1227.19</f>
        <v>1227.19</v>
      </c>
      <c r="K4785">
        <f>3702.78</f>
        <v>3702.78</v>
      </c>
      <c r="L4785">
        <f>868.02</f>
        <v>868.02</v>
      </c>
      <c r="M4785">
        <f>3396.18</f>
        <v>3396.18</v>
      </c>
      <c r="N4785">
        <f>128.685</f>
        <v>128.685</v>
      </c>
      <c r="O4785">
        <f>1312.06</f>
        <v>1312.06</v>
      </c>
      <c r="P4785" t="e">
        <f>NA()</f>
        <v>#N/A</v>
      </c>
      <c r="Q4785">
        <f>661.83</f>
        <v>661.83</v>
      </c>
      <c r="R4785">
        <f>1804.17</f>
        <v>1804.17</v>
      </c>
      <c r="S4785">
        <f>1334.27</f>
        <v>1334.27</v>
      </c>
      <c r="T4785" t="e">
        <f>NA()</f>
        <v>#N/A</v>
      </c>
      <c r="U4785">
        <f>13375.55</f>
        <v>13375.55</v>
      </c>
      <c r="V4785" t="e">
        <f>NA()</f>
        <v>#N/A</v>
      </c>
    </row>
    <row r="4786" spans="1:22" x14ac:dyDescent="0.2">
      <c r="A4786" s="1">
        <v>38407</v>
      </c>
      <c r="B4786" t="e">
        <f>NA()</f>
        <v>#N/A</v>
      </c>
      <c r="C4786">
        <f>3110.76</f>
        <v>3110.76</v>
      </c>
      <c r="D4786">
        <f>2622.89</f>
        <v>2622.89</v>
      </c>
      <c r="E4786">
        <f>885.832</f>
        <v>885.83199999999999</v>
      </c>
      <c r="F4786">
        <f>1729.41</f>
        <v>1729.41</v>
      </c>
      <c r="G4786">
        <f>5147.24</f>
        <v>5147.24</v>
      </c>
      <c r="H4786">
        <f>1325.1</f>
        <v>1325.1</v>
      </c>
      <c r="I4786">
        <f>4834.245</f>
        <v>4834.2449999999999</v>
      </c>
      <c r="J4786">
        <f>1214.24</f>
        <v>1214.24</v>
      </c>
      <c r="K4786">
        <f>3667.24</f>
        <v>3667.24</v>
      </c>
      <c r="L4786">
        <f>858.47</f>
        <v>858.47</v>
      </c>
      <c r="M4786">
        <f>3362.18</f>
        <v>3362.18</v>
      </c>
      <c r="N4786">
        <f>127.306</f>
        <v>127.306</v>
      </c>
      <c r="O4786">
        <f>1298.18</f>
        <v>1298.18</v>
      </c>
      <c r="P4786" t="e">
        <f>NA()</f>
        <v>#N/A</v>
      </c>
      <c r="Q4786">
        <f>656.97</f>
        <v>656.97</v>
      </c>
      <c r="R4786">
        <f>1787.34</f>
        <v>1787.34</v>
      </c>
      <c r="S4786">
        <f>1323.08</f>
        <v>1323.08</v>
      </c>
      <c r="T4786" t="e">
        <f>NA()</f>
        <v>#N/A</v>
      </c>
      <c r="U4786">
        <f>13308.3</f>
        <v>13308.3</v>
      </c>
      <c r="V4786" t="e">
        <f>NA()</f>
        <v>#N/A</v>
      </c>
    </row>
    <row r="4787" spans="1:22" x14ac:dyDescent="0.2">
      <c r="A4787" s="1">
        <v>38406</v>
      </c>
      <c r="B4787" t="e">
        <f>NA()</f>
        <v>#N/A</v>
      </c>
      <c r="C4787">
        <f>3069.28</f>
        <v>3069.28</v>
      </c>
      <c r="D4787">
        <f>2631.54</f>
        <v>2631.54</v>
      </c>
      <c r="E4787">
        <f>876.207</f>
        <v>876.20699999999999</v>
      </c>
      <c r="F4787">
        <f>1733.4</f>
        <v>1733.4</v>
      </c>
      <c r="G4787">
        <f>5157.006</f>
        <v>5157.0060000000003</v>
      </c>
      <c r="H4787">
        <f>1326.35</f>
        <v>1326.35</v>
      </c>
      <c r="I4787">
        <f>4825.733</f>
        <v>4825.7330000000002</v>
      </c>
      <c r="J4787">
        <f>1202.45</f>
        <v>1202.45</v>
      </c>
      <c r="K4787">
        <f>3637.19</f>
        <v>3637.19</v>
      </c>
      <c r="L4787">
        <f>856.47</f>
        <v>856.47</v>
      </c>
      <c r="M4787">
        <f>3348.03</f>
        <v>3348.03</v>
      </c>
      <c r="N4787">
        <f>126.392</f>
        <v>126.392</v>
      </c>
      <c r="O4787">
        <f>1298.41</f>
        <v>1298.4100000000001</v>
      </c>
      <c r="P4787" t="e">
        <f>NA()</f>
        <v>#N/A</v>
      </c>
      <c r="Q4787">
        <f>651.42</f>
        <v>651.41999999999996</v>
      </c>
      <c r="R4787">
        <f>1772.76</f>
        <v>1772.76</v>
      </c>
      <c r="S4787">
        <f>1317.83</f>
        <v>1317.83</v>
      </c>
      <c r="T4787" t="e">
        <f>NA()</f>
        <v>#N/A</v>
      </c>
      <c r="U4787">
        <f>13232.91</f>
        <v>13232.91</v>
      </c>
      <c r="V4787" t="e">
        <f>NA()</f>
        <v>#N/A</v>
      </c>
    </row>
    <row r="4788" spans="1:22" x14ac:dyDescent="0.2">
      <c r="A4788" s="1">
        <v>38405</v>
      </c>
      <c r="B4788" t="e">
        <f>NA()</f>
        <v>#N/A</v>
      </c>
      <c r="C4788">
        <f>3059.42</f>
        <v>3059.42</v>
      </c>
      <c r="D4788">
        <f>2651.34</f>
        <v>2651.34</v>
      </c>
      <c r="E4788">
        <f>876.88</f>
        <v>876.88</v>
      </c>
      <c r="F4788">
        <f>1749.57</f>
        <v>1749.57</v>
      </c>
      <c r="G4788">
        <f>5194.099</f>
        <v>5194.0990000000002</v>
      </c>
      <c r="H4788">
        <f>1343.66</f>
        <v>1343.66</v>
      </c>
      <c r="I4788">
        <f>4861.533</f>
        <v>4861.5330000000004</v>
      </c>
      <c r="J4788">
        <f>1192.78</f>
        <v>1192.78</v>
      </c>
      <c r="K4788">
        <f>3616.84</f>
        <v>3616.84</v>
      </c>
      <c r="L4788">
        <f>857.3</f>
        <v>857.3</v>
      </c>
      <c r="M4788">
        <f>3353.68</f>
        <v>3353.68</v>
      </c>
      <c r="N4788">
        <f>126.802</f>
        <v>126.80200000000001</v>
      </c>
      <c r="O4788">
        <f>1305.79</f>
        <v>1305.79</v>
      </c>
      <c r="P4788" t="e">
        <f>NA()</f>
        <v>#N/A</v>
      </c>
      <c r="Q4788">
        <f>648.29</f>
        <v>648.29</v>
      </c>
      <c r="R4788">
        <f>1762.76</f>
        <v>1762.76</v>
      </c>
      <c r="S4788">
        <f>1328.45</f>
        <v>1328.45</v>
      </c>
      <c r="T4788" t="e">
        <f>NA()</f>
        <v>#N/A</v>
      </c>
      <c r="U4788">
        <f>13250.01</f>
        <v>13250.01</v>
      </c>
      <c r="V4788" t="e">
        <f>NA()</f>
        <v>#N/A</v>
      </c>
    </row>
    <row r="4789" spans="1:22" x14ac:dyDescent="0.2">
      <c r="A4789" s="1">
        <v>38404</v>
      </c>
      <c r="B4789" t="e">
        <f>NA()</f>
        <v>#N/A</v>
      </c>
      <c r="C4789">
        <f>3030.21</f>
        <v>3030.21</v>
      </c>
      <c r="D4789">
        <f>2666.06</f>
        <v>2666.06</v>
      </c>
      <c r="E4789">
        <f>870.731</f>
        <v>870.73099999999999</v>
      </c>
      <c r="F4789">
        <f>1752.8</f>
        <v>1752.8</v>
      </c>
      <c r="G4789">
        <f>5197.309</f>
        <v>5197.3090000000002</v>
      </c>
      <c r="H4789">
        <f>1331.97</f>
        <v>1331.97</v>
      </c>
      <c r="I4789">
        <f>4825.802</f>
        <v>4825.8019999999997</v>
      </c>
      <c r="J4789">
        <f>1211.37</f>
        <v>1211.3699999999999</v>
      </c>
      <c r="K4789">
        <f>3670.47</f>
        <v>3670.47</v>
      </c>
      <c r="L4789">
        <f>861.17</f>
        <v>861.17</v>
      </c>
      <c r="M4789">
        <f>3372.18</f>
        <v>3372.18</v>
      </c>
      <c r="N4789">
        <f>128.033</f>
        <v>128.03299999999999</v>
      </c>
      <c r="O4789">
        <f>1315.09</f>
        <v>1315.09</v>
      </c>
      <c r="P4789" t="e">
        <f>NA()</f>
        <v>#N/A</v>
      </c>
      <c r="Q4789" t="e">
        <f>NA()</f>
        <v>#N/A</v>
      </c>
      <c r="R4789" t="e">
        <f>NA()</f>
        <v>#N/A</v>
      </c>
      <c r="S4789">
        <f>1333.31</f>
        <v>1333.31</v>
      </c>
      <c r="T4789" t="e">
        <f>NA()</f>
        <v>#N/A</v>
      </c>
      <c r="U4789">
        <f>13346.39</f>
        <v>13346.39</v>
      </c>
      <c r="V4789" t="e">
        <f>NA()</f>
        <v>#N/A</v>
      </c>
    </row>
    <row r="4790" spans="1:22" x14ac:dyDescent="0.2">
      <c r="A4790" s="1">
        <v>38401</v>
      </c>
      <c r="B4790" t="e">
        <f>NA()</f>
        <v>#N/A</v>
      </c>
      <c r="C4790">
        <f>3024.97</f>
        <v>3024.97</v>
      </c>
      <c r="D4790">
        <f>2664.14</f>
        <v>2664.14</v>
      </c>
      <c r="E4790">
        <f>868.835</f>
        <v>868.83500000000004</v>
      </c>
      <c r="F4790">
        <f>1766.51</f>
        <v>1766.51</v>
      </c>
      <c r="G4790">
        <f>5189.397</f>
        <v>5189.3969999999999</v>
      </c>
      <c r="H4790">
        <f>1325.64</f>
        <v>1325.64</v>
      </c>
      <c r="I4790">
        <f>4834.766</f>
        <v>4834.7659999999996</v>
      </c>
      <c r="J4790">
        <f>1211.37</f>
        <v>1211.3699999999999</v>
      </c>
      <c r="K4790">
        <f>3670.47</f>
        <v>3670.47</v>
      </c>
      <c r="L4790">
        <f>861.45</f>
        <v>861.45</v>
      </c>
      <c r="M4790">
        <f>3371.58</f>
        <v>3371.58</v>
      </c>
      <c r="N4790">
        <f>127.821</f>
        <v>127.821</v>
      </c>
      <c r="O4790">
        <f>1315.54</f>
        <v>1315.54</v>
      </c>
      <c r="P4790" t="e">
        <f>NA()</f>
        <v>#N/A</v>
      </c>
      <c r="Q4790">
        <f>657.24</f>
        <v>657.24</v>
      </c>
      <c r="R4790">
        <f>1788.65</f>
        <v>1788.65</v>
      </c>
      <c r="S4790">
        <f>1333.12</f>
        <v>1333.12</v>
      </c>
      <c r="T4790" t="e">
        <f>NA()</f>
        <v>#N/A</v>
      </c>
      <c r="U4790">
        <f>13302.62</f>
        <v>13302.62</v>
      </c>
      <c r="V4790" t="e">
        <f>NA()</f>
        <v>#N/A</v>
      </c>
    </row>
    <row r="4791" spans="1:22" x14ac:dyDescent="0.2">
      <c r="A4791" s="1">
        <v>38400</v>
      </c>
      <c r="B4791" t="e">
        <f>NA()</f>
        <v>#N/A</v>
      </c>
      <c r="C4791">
        <f>3020.69</f>
        <v>3020.69</v>
      </c>
      <c r="D4791">
        <f>2664.28</f>
        <v>2664.28</v>
      </c>
      <c r="E4791">
        <f>864.765</f>
        <v>864.76499999999999</v>
      </c>
      <c r="F4791">
        <f>1763.44</f>
        <v>1763.44</v>
      </c>
      <c r="G4791">
        <f>5180.978</f>
        <v>5180.9780000000001</v>
      </c>
      <c r="H4791">
        <f>1321.86</f>
        <v>1321.86</v>
      </c>
      <c r="I4791">
        <f>4829.202</f>
        <v>4829.2020000000002</v>
      </c>
      <c r="J4791">
        <f>1203.79</f>
        <v>1203.79</v>
      </c>
      <c r="K4791">
        <f>3667.63</f>
        <v>3667.63</v>
      </c>
      <c r="L4791">
        <f>859.03</f>
        <v>859.03</v>
      </c>
      <c r="M4791">
        <f>3366.84</f>
        <v>3366.84</v>
      </c>
      <c r="N4791">
        <f>127.747</f>
        <v>127.747</v>
      </c>
      <c r="O4791">
        <f>1314.77</f>
        <v>1314.77</v>
      </c>
      <c r="P4791" t="e">
        <f>NA()</f>
        <v>#N/A</v>
      </c>
      <c r="Q4791">
        <f>655.43</f>
        <v>655.43</v>
      </c>
      <c r="R4791">
        <f>1787.41</f>
        <v>1787.41</v>
      </c>
      <c r="S4791">
        <f>1327.81</f>
        <v>1327.81</v>
      </c>
      <c r="T4791" t="e">
        <f>NA()</f>
        <v>#N/A</v>
      </c>
      <c r="U4791">
        <f>13259.76</f>
        <v>13259.76</v>
      </c>
      <c r="V4791" t="e">
        <f>NA()</f>
        <v>#N/A</v>
      </c>
    </row>
    <row r="4792" spans="1:22" x14ac:dyDescent="0.2">
      <c r="A4792" s="1">
        <v>38399</v>
      </c>
      <c r="B4792" t="e">
        <f>NA()</f>
        <v>#N/A</v>
      </c>
      <c r="C4792">
        <f>2998.8</f>
        <v>2998.8</v>
      </c>
      <c r="D4792">
        <f>2662.07</f>
        <v>2662.07</v>
      </c>
      <c r="E4792">
        <f>862.41</f>
        <v>862.41</v>
      </c>
      <c r="F4792">
        <f>1756.66</f>
        <v>1756.66</v>
      </c>
      <c r="G4792">
        <f>5145.713</f>
        <v>5145.7129999999997</v>
      </c>
      <c r="H4792">
        <f>1318.33</f>
        <v>1318.33</v>
      </c>
      <c r="I4792">
        <f>4794.629</f>
        <v>4794.6289999999999</v>
      </c>
      <c r="J4792">
        <f>1211.5</f>
        <v>1211.5</v>
      </c>
      <c r="K4792">
        <f>3696.83</f>
        <v>3696.83</v>
      </c>
      <c r="L4792">
        <f>857.81</f>
        <v>857.81</v>
      </c>
      <c r="M4792">
        <f>3372.88</f>
        <v>3372.88</v>
      </c>
      <c r="N4792">
        <f>127.686</f>
        <v>127.68600000000001</v>
      </c>
      <c r="O4792">
        <f>1312.52</f>
        <v>1312.52</v>
      </c>
      <c r="P4792" t="e">
        <f>NA()</f>
        <v>#N/A</v>
      </c>
      <c r="Q4792">
        <f>660.21</f>
        <v>660.21</v>
      </c>
      <c r="R4792">
        <f>1801.59</f>
        <v>1801.59</v>
      </c>
      <c r="S4792">
        <f>1331.25</f>
        <v>1331.25</v>
      </c>
      <c r="T4792" t="e">
        <f>NA()</f>
        <v>#N/A</v>
      </c>
      <c r="U4792">
        <f>13181.08</f>
        <v>13181.08</v>
      </c>
      <c r="V4792" t="e">
        <f>NA()</f>
        <v>#N/A</v>
      </c>
    </row>
    <row r="4793" spans="1:22" x14ac:dyDescent="0.2">
      <c r="A4793" s="1">
        <v>38398</v>
      </c>
      <c r="B4793" t="e">
        <f>NA()</f>
        <v>#N/A</v>
      </c>
      <c r="C4793">
        <f>3002.44</f>
        <v>3002.44</v>
      </c>
      <c r="D4793">
        <f>2660.83</f>
        <v>2660.83</v>
      </c>
      <c r="E4793">
        <f>862.724</f>
        <v>862.72400000000005</v>
      </c>
      <c r="F4793">
        <f>1769.02</f>
        <v>1769.02</v>
      </c>
      <c r="G4793">
        <f>5168.609</f>
        <v>5168.6090000000004</v>
      </c>
      <c r="H4793">
        <f>1332.94</f>
        <v>1332.94</v>
      </c>
      <c r="I4793">
        <f>4814.162</f>
        <v>4814.1620000000003</v>
      </c>
      <c r="J4793">
        <f>1210.05</f>
        <v>1210.05</v>
      </c>
      <c r="K4793">
        <f>3696.07</f>
        <v>3696.07</v>
      </c>
      <c r="L4793">
        <f>859.01</f>
        <v>859.01</v>
      </c>
      <c r="M4793">
        <f>3379.76</f>
        <v>3379.76</v>
      </c>
      <c r="N4793">
        <f>128.868</f>
        <v>128.86799999999999</v>
      </c>
      <c r="O4793">
        <f>1320.62</f>
        <v>1320.62</v>
      </c>
      <c r="P4793" t="e">
        <f>NA()</f>
        <v>#N/A</v>
      </c>
      <c r="Q4793">
        <f>661.49</f>
        <v>661.49</v>
      </c>
      <c r="R4793">
        <f>1801.06</f>
        <v>1801.06</v>
      </c>
      <c r="S4793">
        <f>1334.97</f>
        <v>1334.97</v>
      </c>
      <c r="T4793" t="e">
        <f>NA()</f>
        <v>#N/A</v>
      </c>
      <c r="U4793">
        <f>13089.28</f>
        <v>13089.28</v>
      </c>
      <c r="V4793" t="e">
        <f>NA()</f>
        <v>#N/A</v>
      </c>
    </row>
    <row r="4794" spans="1:22" x14ac:dyDescent="0.2">
      <c r="A4794" s="1">
        <v>38397</v>
      </c>
      <c r="B4794" t="e">
        <f>NA()</f>
        <v>#N/A</v>
      </c>
      <c r="C4794">
        <f>2987.38</f>
        <v>2987.38</v>
      </c>
      <c r="D4794">
        <f>2651.85</f>
        <v>2651.85</v>
      </c>
      <c r="E4794">
        <f>860.129</f>
        <v>860.12900000000002</v>
      </c>
      <c r="F4794">
        <f>1761.41</f>
        <v>1761.41</v>
      </c>
      <c r="G4794">
        <f>5151.957</f>
        <v>5151.9570000000003</v>
      </c>
      <c r="H4794">
        <f>1324.76</f>
        <v>1324.76</v>
      </c>
      <c r="I4794">
        <f>4790.422</f>
        <v>4790.4219999999996</v>
      </c>
      <c r="J4794">
        <f>1208.55</f>
        <v>1208.55</v>
      </c>
      <c r="K4794">
        <f>3684.18</f>
        <v>3684.18</v>
      </c>
      <c r="L4794">
        <f>856.94</f>
        <v>856.94</v>
      </c>
      <c r="M4794">
        <f>3368.9</f>
        <v>3368.9</v>
      </c>
      <c r="N4794">
        <f>128.505</f>
        <v>128.505</v>
      </c>
      <c r="O4794">
        <f>1315.94</f>
        <v>1315.94</v>
      </c>
      <c r="P4794" t="e">
        <f>NA()</f>
        <v>#N/A</v>
      </c>
      <c r="Q4794">
        <f>659.52</f>
        <v>659.52</v>
      </c>
      <c r="R4794">
        <f>1794.98</f>
        <v>1794.98</v>
      </c>
      <c r="S4794">
        <f>1335.38</f>
        <v>1335.38</v>
      </c>
      <c r="T4794" t="e">
        <f>NA()</f>
        <v>#N/A</v>
      </c>
      <c r="U4794">
        <f>13132.42</f>
        <v>13132.42</v>
      </c>
      <c r="V4794" t="e">
        <f>NA()</f>
        <v>#N/A</v>
      </c>
    </row>
    <row r="4795" spans="1:22" x14ac:dyDescent="0.2">
      <c r="A4795" s="1">
        <v>38394</v>
      </c>
      <c r="B4795" t="e">
        <f>NA()</f>
        <v>#N/A</v>
      </c>
      <c r="C4795">
        <f>2949.88</f>
        <v>2949.88</v>
      </c>
      <c r="D4795">
        <f>2653.1</f>
        <v>2653.1</v>
      </c>
      <c r="E4795">
        <f>848.968</f>
        <v>848.96799999999996</v>
      </c>
      <c r="F4795">
        <f>1745.14</f>
        <v>1745.14</v>
      </c>
      <c r="G4795">
        <f>5096.829</f>
        <v>5096.8289999999997</v>
      </c>
      <c r="H4795">
        <f>1314.63</f>
        <v>1314.63</v>
      </c>
      <c r="I4795">
        <f>4757.418</f>
        <v>4757.4179999999997</v>
      </c>
      <c r="J4795">
        <f>1203.62</f>
        <v>1203.6199999999999</v>
      </c>
      <c r="K4795">
        <f>3680.64</f>
        <v>3680.64</v>
      </c>
      <c r="L4795">
        <f>851.95</f>
        <v>851.95</v>
      </c>
      <c r="M4795">
        <f>3353.19</f>
        <v>3353.19</v>
      </c>
      <c r="N4795">
        <f>128.277</f>
        <v>128.27699999999999</v>
      </c>
      <c r="O4795">
        <f>1313.87</f>
        <v>1313.87</v>
      </c>
      <c r="P4795" t="e">
        <f>NA()</f>
        <v>#N/A</v>
      </c>
      <c r="Q4795">
        <f>659.82</f>
        <v>659.82</v>
      </c>
      <c r="R4795">
        <f>1793.54</f>
        <v>1793.54</v>
      </c>
      <c r="S4795" t="e">
        <f>NA()</f>
        <v>#N/A</v>
      </c>
      <c r="T4795" t="e">
        <f>NA()</f>
        <v>#N/A</v>
      </c>
      <c r="U4795">
        <f>13085.19</f>
        <v>13085.19</v>
      </c>
      <c r="V4795" t="e">
        <f>NA()</f>
        <v>#N/A</v>
      </c>
    </row>
    <row r="4796" spans="1:22" x14ac:dyDescent="0.2">
      <c r="A4796" s="1">
        <v>38393</v>
      </c>
      <c r="B4796" t="e">
        <f>NA()</f>
        <v>#N/A</v>
      </c>
      <c r="C4796">
        <f>2936.92</f>
        <v>2936.92</v>
      </c>
      <c r="D4796">
        <f>2629.86</f>
        <v>2629.86</v>
      </c>
      <c r="E4796">
        <f>844.91</f>
        <v>844.91</v>
      </c>
      <c r="F4796">
        <f>1731.81</f>
        <v>1731.81</v>
      </c>
      <c r="G4796">
        <f>5069.604</f>
        <v>5069.6040000000003</v>
      </c>
      <c r="H4796">
        <f>1315.75</f>
        <v>1315.75</v>
      </c>
      <c r="I4796">
        <f>4714.27</f>
        <v>4714.2700000000004</v>
      </c>
      <c r="J4796">
        <f>1196.54</f>
        <v>1196.54</v>
      </c>
      <c r="K4796">
        <f>3654.53</f>
        <v>3654.53</v>
      </c>
      <c r="L4796">
        <f>846.72</f>
        <v>846.72</v>
      </c>
      <c r="M4796">
        <f>3332.01</f>
        <v>3332.01</v>
      </c>
      <c r="N4796">
        <f>127.242</f>
        <v>127.242</v>
      </c>
      <c r="O4796">
        <f>1301.23</f>
        <v>1301.23</v>
      </c>
      <c r="P4796" t="e">
        <f>NA()</f>
        <v>#N/A</v>
      </c>
      <c r="Q4796">
        <f>654.93</f>
        <v>654.92999999999995</v>
      </c>
      <c r="R4796">
        <f>1780.8</f>
        <v>1780.8</v>
      </c>
      <c r="S4796">
        <f>1326.35</f>
        <v>1326.35</v>
      </c>
      <c r="T4796" t="e">
        <f>NA()</f>
        <v>#N/A</v>
      </c>
      <c r="U4796">
        <f>13086.46</f>
        <v>13086.46</v>
      </c>
      <c r="V4796" t="e">
        <f>NA()</f>
        <v>#N/A</v>
      </c>
    </row>
    <row r="4797" spans="1:22" x14ac:dyDescent="0.2">
      <c r="A4797" s="1">
        <v>38392</v>
      </c>
      <c r="B4797" t="e">
        <f>NA()</f>
        <v>#N/A</v>
      </c>
      <c r="C4797">
        <f>2939.94</f>
        <v>2939.94</v>
      </c>
      <c r="D4797">
        <f>2624.82</f>
        <v>2624.82</v>
      </c>
      <c r="E4797">
        <f>845.596</f>
        <v>845.596</v>
      </c>
      <c r="F4797">
        <f>1718.47</f>
        <v>1718.47</v>
      </c>
      <c r="G4797">
        <f>5024.256</f>
        <v>5024.2560000000003</v>
      </c>
      <c r="H4797">
        <f>1308.12</f>
        <v>1308.1199999999999</v>
      </c>
      <c r="I4797">
        <f>4685.991</f>
        <v>4685.991</v>
      </c>
      <c r="J4797">
        <f>1192.83</f>
        <v>1192.83</v>
      </c>
      <c r="K4797">
        <f>3639.41</f>
        <v>3639.41</v>
      </c>
      <c r="L4797">
        <f>840.04</f>
        <v>840.04</v>
      </c>
      <c r="M4797">
        <f>3311.78</f>
        <v>3311.78</v>
      </c>
      <c r="N4797">
        <f>127.517</f>
        <v>127.517</v>
      </c>
      <c r="O4797">
        <f>1301.79</f>
        <v>1301.79</v>
      </c>
      <c r="P4797" t="e">
        <f>NA()</f>
        <v>#N/A</v>
      </c>
      <c r="Q4797">
        <f>653.28</f>
        <v>653.28</v>
      </c>
      <c r="R4797">
        <f>1773.28</f>
        <v>1773.28</v>
      </c>
      <c r="S4797">
        <f>1320.74</f>
        <v>1320.74</v>
      </c>
      <c r="T4797" t="e">
        <f>NA()</f>
        <v>#N/A</v>
      </c>
      <c r="U4797">
        <f>13107.5</f>
        <v>13107.5</v>
      </c>
      <c r="V4797" t="e">
        <f>NA()</f>
        <v>#N/A</v>
      </c>
    </row>
    <row r="4798" spans="1:22" x14ac:dyDescent="0.2">
      <c r="A4798" s="1">
        <v>38391</v>
      </c>
      <c r="B4798" t="e">
        <f>NA()</f>
        <v>#N/A</v>
      </c>
      <c r="C4798">
        <f>2917.04</f>
        <v>2917.04</v>
      </c>
      <c r="D4798">
        <f>2623.91</f>
        <v>2623.91</v>
      </c>
      <c r="E4798">
        <f>841.741</f>
        <v>841.74099999999999</v>
      </c>
      <c r="F4798">
        <f>1719.06</f>
        <v>1719.06</v>
      </c>
      <c r="G4798">
        <f>5018.813</f>
        <v>5018.8130000000001</v>
      </c>
      <c r="H4798">
        <f>1308.06</f>
        <v>1308.06</v>
      </c>
      <c r="I4798">
        <f>4686</f>
        <v>4686</v>
      </c>
      <c r="J4798">
        <f>1201.31</f>
        <v>1201.31</v>
      </c>
      <c r="K4798">
        <f>3670.32</f>
        <v>3670.32</v>
      </c>
      <c r="L4798">
        <f>841.45</f>
        <v>841.45</v>
      </c>
      <c r="M4798">
        <f>3325.07</f>
        <v>3325.07</v>
      </c>
      <c r="N4798">
        <f>127.183</f>
        <v>127.18300000000001</v>
      </c>
      <c r="O4798">
        <f>1303.44</f>
        <v>1303.44</v>
      </c>
      <c r="P4798" t="e">
        <f>NA()</f>
        <v>#N/A</v>
      </c>
      <c r="Q4798">
        <f>660.14</f>
        <v>660.14</v>
      </c>
      <c r="R4798">
        <f>1788.16</f>
        <v>1788.16</v>
      </c>
      <c r="S4798">
        <f>1320.31</f>
        <v>1320.31</v>
      </c>
      <c r="T4798" t="e">
        <f>NA()</f>
        <v>#N/A</v>
      </c>
      <c r="U4798">
        <f>13083.46</f>
        <v>13083.46</v>
      </c>
      <c r="V4798" t="e">
        <f>NA()</f>
        <v>#N/A</v>
      </c>
    </row>
    <row r="4799" spans="1:22" x14ac:dyDescent="0.2">
      <c r="A4799" s="1">
        <v>38390</v>
      </c>
      <c r="B4799" t="e">
        <f>NA()</f>
        <v>#N/A</v>
      </c>
      <c r="C4799">
        <f>2929.71</f>
        <v>2929.71</v>
      </c>
      <c r="D4799">
        <f>2615.69</f>
        <v>2615.69</v>
      </c>
      <c r="E4799">
        <f>844.579</f>
        <v>844.57899999999995</v>
      </c>
      <c r="F4799">
        <f>1720.45</f>
        <v>1720.45</v>
      </c>
      <c r="G4799">
        <f>5029.766</f>
        <v>5029.7659999999996</v>
      </c>
      <c r="H4799">
        <f>1323.79</f>
        <v>1323.79</v>
      </c>
      <c r="I4799">
        <f>4704.021</f>
        <v>4704.0209999999997</v>
      </c>
      <c r="J4799">
        <f>1199.66</f>
        <v>1199.6600000000001</v>
      </c>
      <c r="K4799">
        <f>3666.99</f>
        <v>3666.99</v>
      </c>
      <c r="L4799">
        <f>843.26</f>
        <v>843.26</v>
      </c>
      <c r="M4799">
        <f>3330.93</f>
        <v>3330.93</v>
      </c>
      <c r="N4799">
        <f>127.119</f>
        <v>127.119</v>
      </c>
      <c r="O4799">
        <f>1302.68</f>
        <v>1302.68</v>
      </c>
      <c r="P4799" t="e">
        <f>NA()</f>
        <v>#N/A</v>
      </c>
      <c r="Q4799">
        <f>659.99</f>
        <v>659.99</v>
      </c>
      <c r="R4799">
        <f>1786.92</f>
        <v>1786.92</v>
      </c>
      <c r="S4799">
        <f>1319.17</f>
        <v>1319.17</v>
      </c>
      <c r="T4799" t="e">
        <f>NA()</f>
        <v>#N/A</v>
      </c>
      <c r="U4799">
        <f>13046.67</f>
        <v>13046.67</v>
      </c>
      <c r="V4799" t="e">
        <f>NA()</f>
        <v>#N/A</v>
      </c>
    </row>
    <row r="4800" spans="1:22" x14ac:dyDescent="0.2">
      <c r="A4800" s="1">
        <v>38387</v>
      </c>
      <c r="B4800" t="e">
        <f>NA()</f>
        <v>#N/A</v>
      </c>
      <c r="C4800">
        <f>2929.01</f>
        <v>2929.01</v>
      </c>
      <c r="D4800">
        <f>2595.56</f>
        <v>2595.56</v>
      </c>
      <c r="E4800">
        <f>841.817</f>
        <v>841.81700000000001</v>
      </c>
      <c r="F4800">
        <f>1731.44</f>
        <v>1731.44</v>
      </c>
      <c r="G4800">
        <f>5047.146</f>
        <v>5047.1459999999997</v>
      </c>
      <c r="H4800">
        <f>1326.37</f>
        <v>1326.37</v>
      </c>
      <c r="I4800">
        <f>4719.088</f>
        <v>4719.0879999999997</v>
      </c>
      <c r="J4800">
        <f>1197.97</f>
        <v>1197.97</v>
      </c>
      <c r="K4800">
        <f>3671.35</f>
        <v>3671.35</v>
      </c>
      <c r="L4800">
        <f>844.68</f>
        <v>844.68</v>
      </c>
      <c r="M4800">
        <f>3335.87</f>
        <v>3335.87</v>
      </c>
      <c r="N4800">
        <f>126.998</f>
        <v>126.998</v>
      </c>
      <c r="O4800">
        <f>1295.17</f>
        <v>1295.17</v>
      </c>
      <c r="P4800" t="e">
        <f>NA()</f>
        <v>#N/A</v>
      </c>
      <c r="Q4800">
        <f>659.98</f>
        <v>659.98</v>
      </c>
      <c r="R4800">
        <f>1788.82</f>
        <v>1788.82</v>
      </c>
      <c r="S4800">
        <f>1308.98</f>
        <v>1308.98</v>
      </c>
      <c r="T4800" t="e">
        <f>NA()</f>
        <v>#N/A</v>
      </c>
      <c r="U4800">
        <f>13002.21</f>
        <v>13002.21</v>
      </c>
      <c r="V4800" t="e">
        <f>NA()</f>
        <v>#N/A</v>
      </c>
    </row>
    <row r="4801" spans="1:22" x14ac:dyDescent="0.2">
      <c r="A4801" s="1">
        <v>38386</v>
      </c>
      <c r="B4801" t="e">
        <f>NA()</f>
        <v>#N/A</v>
      </c>
      <c r="C4801">
        <f>2904.67</f>
        <v>2904.67</v>
      </c>
      <c r="D4801">
        <f>2578.1</f>
        <v>2578.1</v>
      </c>
      <c r="E4801">
        <f>836.616</f>
        <v>836.61599999999999</v>
      </c>
      <c r="F4801">
        <f>1711.28</f>
        <v>1711.28</v>
      </c>
      <c r="G4801">
        <f>4998.706</f>
        <v>4998.7060000000001</v>
      </c>
      <c r="H4801">
        <f>1313.84</f>
        <v>1313.84</v>
      </c>
      <c r="I4801">
        <f>4680.603</f>
        <v>4680.6030000000001</v>
      </c>
      <c r="J4801">
        <f>1185.99</f>
        <v>1185.99</v>
      </c>
      <c r="K4801">
        <f>3629.66</f>
        <v>3629.66</v>
      </c>
      <c r="L4801">
        <f>835.99</f>
        <v>835.99</v>
      </c>
      <c r="M4801">
        <f>3303.9</f>
        <v>3303.9</v>
      </c>
      <c r="N4801">
        <f>126.595</f>
        <v>126.595</v>
      </c>
      <c r="O4801">
        <f>1281.75</f>
        <v>1281.75</v>
      </c>
      <c r="P4801" t="e">
        <f>NA()</f>
        <v>#N/A</v>
      </c>
      <c r="Q4801">
        <f>654.62</f>
        <v>654.62</v>
      </c>
      <c r="R4801">
        <f>1769.26</f>
        <v>1769.26</v>
      </c>
      <c r="S4801">
        <f>1313.55</f>
        <v>1313.55</v>
      </c>
      <c r="T4801" t="e">
        <f>NA()</f>
        <v>#N/A</v>
      </c>
      <c r="U4801">
        <f>13016.6</f>
        <v>13016.6</v>
      </c>
      <c r="V4801" t="e">
        <f>NA()</f>
        <v>#N/A</v>
      </c>
    </row>
    <row r="4802" spans="1:22" x14ac:dyDescent="0.2">
      <c r="A4802" s="1">
        <v>38385</v>
      </c>
      <c r="B4802" t="e">
        <f>NA()</f>
        <v>#N/A</v>
      </c>
      <c r="C4802">
        <f>2882.81</f>
        <v>2882.81</v>
      </c>
      <c r="D4802">
        <f>2582.3</f>
        <v>2582.3000000000002</v>
      </c>
      <c r="E4802">
        <f>832.314</f>
        <v>832.31399999999996</v>
      </c>
      <c r="F4802">
        <f>1716.02</f>
        <v>1716.02</v>
      </c>
      <c r="G4802">
        <f>5019.433</f>
        <v>5019.433</v>
      </c>
      <c r="H4802">
        <f>1328.96</f>
        <v>1328.96</v>
      </c>
      <c r="I4802">
        <f>4718.39</f>
        <v>4718.3900000000003</v>
      </c>
      <c r="J4802">
        <f>1186.21</f>
        <v>1186.21</v>
      </c>
      <c r="K4802">
        <f>3639.85</f>
        <v>3639.85</v>
      </c>
      <c r="L4802">
        <f>838.65</f>
        <v>838.65</v>
      </c>
      <c r="M4802">
        <f>3319.59</f>
        <v>3319.59</v>
      </c>
      <c r="N4802">
        <f>126.282</f>
        <v>126.282</v>
      </c>
      <c r="O4802">
        <f>1283.27</f>
        <v>1283.27</v>
      </c>
      <c r="P4802" t="e">
        <f>NA()</f>
        <v>#N/A</v>
      </c>
      <c r="Q4802">
        <f>654.67</f>
        <v>654.66999999999996</v>
      </c>
      <c r="R4802">
        <f>1773.63</f>
        <v>1773.63</v>
      </c>
      <c r="S4802">
        <f>1316.36</f>
        <v>1316.36</v>
      </c>
      <c r="T4802" t="e">
        <f>NA()</f>
        <v>#N/A</v>
      </c>
      <c r="U4802">
        <f>12957.71</f>
        <v>12957.71</v>
      </c>
      <c r="V4802" t="e">
        <f>NA()</f>
        <v>#N/A</v>
      </c>
    </row>
    <row r="4803" spans="1:22" x14ac:dyDescent="0.2">
      <c r="A4803" s="1">
        <v>38384</v>
      </c>
      <c r="B4803" t="e">
        <f>NA()</f>
        <v>#N/A</v>
      </c>
      <c r="C4803">
        <f>2871.52</f>
        <v>2871.52</v>
      </c>
      <c r="D4803">
        <f>2577.03</f>
        <v>2577.0300000000002</v>
      </c>
      <c r="E4803">
        <f>829.851</f>
        <v>829.851</v>
      </c>
      <c r="F4803">
        <f>1713.01</f>
        <v>1713.01</v>
      </c>
      <c r="G4803">
        <f>4994.266</f>
        <v>4994.2659999999996</v>
      </c>
      <c r="H4803">
        <f>1320.84</f>
        <v>1320.84</v>
      </c>
      <c r="I4803">
        <f>4693.422</f>
        <v>4693.4219999999996</v>
      </c>
      <c r="J4803">
        <f>1180.72</f>
        <v>1180.72</v>
      </c>
      <c r="K4803">
        <f>3627.73</f>
        <v>3627.73</v>
      </c>
      <c r="L4803">
        <f>834.25</f>
        <v>834.25</v>
      </c>
      <c r="M4803">
        <f>3305.75</f>
        <v>3305.75</v>
      </c>
      <c r="N4803">
        <f>126.2</f>
        <v>126.2</v>
      </c>
      <c r="O4803">
        <f>1278.84</f>
        <v>1278.8399999999999</v>
      </c>
      <c r="P4803" t="e">
        <f>NA()</f>
        <v>#N/A</v>
      </c>
      <c r="Q4803">
        <f>650.81</f>
        <v>650.80999999999995</v>
      </c>
      <c r="R4803">
        <f>1767.79</f>
        <v>1767.79</v>
      </c>
      <c r="S4803">
        <f>1310.11</f>
        <v>1310.1099999999999</v>
      </c>
      <c r="T4803" t="e">
        <f>NA()</f>
        <v>#N/A</v>
      </c>
      <c r="U4803">
        <f>12957.44</f>
        <v>12957.44</v>
      </c>
      <c r="V4803" t="e">
        <f>NA()</f>
        <v>#N/A</v>
      </c>
    </row>
    <row r="4804" spans="1:22" x14ac:dyDescent="0.2">
      <c r="A4804" s="1">
        <v>38383</v>
      </c>
      <c r="B4804" t="e">
        <f>NA()</f>
        <v>#N/A</v>
      </c>
      <c r="C4804">
        <f>2864.25</f>
        <v>2864.25</v>
      </c>
      <c r="D4804">
        <f>2548.72</f>
        <v>2548.7199999999998</v>
      </c>
      <c r="E4804">
        <f>830.395</f>
        <v>830.39499999999998</v>
      </c>
      <c r="F4804">
        <f>1704.79</f>
        <v>1704.79</v>
      </c>
      <c r="G4804">
        <f>4955.198</f>
        <v>4955.1980000000003</v>
      </c>
      <c r="H4804">
        <f>1329.3</f>
        <v>1329.3</v>
      </c>
      <c r="I4804">
        <f>4670.579</f>
        <v>4670.5789999999997</v>
      </c>
      <c r="J4804">
        <f>1171.37</f>
        <v>1171.3699999999999</v>
      </c>
      <c r="K4804">
        <f>3603.49</f>
        <v>3603.49</v>
      </c>
      <c r="L4804">
        <f>827.79</f>
        <v>827.79</v>
      </c>
      <c r="M4804">
        <f>3289.44</f>
        <v>3289.44</v>
      </c>
      <c r="N4804">
        <f>124.537</f>
        <v>124.53700000000001</v>
      </c>
      <c r="O4804">
        <f>1267.21</f>
        <v>1267.21</v>
      </c>
      <c r="P4804" t="e">
        <f>NA()</f>
        <v>#N/A</v>
      </c>
      <c r="Q4804">
        <f>648.62</f>
        <v>648.62</v>
      </c>
      <c r="R4804">
        <f>1755.68</f>
        <v>1755.68</v>
      </c>
      <c r="S4804">
        <f>1309.71</f>
        <v>1309.71</v>
      </c>
      <c r="T4804" t="e">
        <f>NA()</f>
        <v>#N/A</v>
      </c>
      <c r="U4804">
        <f>12798.55</f>
        <v>12798.55</v>
      </c>
      <c r="V4804" t="e">
        <f>NA()</f>
        <v>#N/A</v>
      </c>
    </row>
    <row r="4805" spans="1:22" x14ac:dyDescent="0.2">
      <c r="A4805" s="1">
        <v>38380</v>
      </c>
      <c r="B4805" t="e">
        <f>NA()</f>
        <v>#N/A</v>
      </c>
      <c r="C4805">
        <f>2831.15</f>
        <v>2831.15</v>
      </c>
      <c r="D4805">
        <f>2538.49</f>
        <v>2538.4899999999998</v>
      </c>
      <c r="E4805">
        <f>819.934</f>
        <v>819.93399999999997</v>
      </c>
      <c r="F4805">
        <f>1687.3</f>
        <v>1687.3</v>
      </c>
      <c r="G4805">
        <f>4927.073</f>
        <v>4927.0730000000003</v>
      </c>
      <c r="H4805">
        <f>1324.73</f>
        <v>1324.73</v>
      </c>
      <c r="I4805">
        <f>4623.652</f>
        <v>4623.652</v>
      </c>
      <c r="J4805">
        <f>1164.35</f>
        <v>1164.3499999999999</v>
      </c>
      <c r="K4805">
        <f>3573.76</f>
        <v>3573.76</v>
      </c>
      <c r="L4805">
        <f>821.64</f>
        <v>821.64</v>
      </c>
      <c r="M4805">
        <f>3263.64</f>
        <v>3263.64</v>
      </c>
      <c r="N4805">
        <f>124.172</f>
        <v>124.172</v>
      </c>
      <c r="O4805">
        <f>1259.91</f>
        <v>1259.9100000000001</v>
      </c>
      <c r="P4805" t="e">
        <f>NA()</f>
        <v>#N/A</v>
      </c>
      <c r="Q4805">
        <f>641.72</f>
        <v>641.72</v>
      </c>
      <c r="R4805">
        <f>1740.96</f>
        <v>1740.96</v>
      </c>
      <c r="S4805">
        <f>1303.48</f>
        <v>1303.48</v>
      </c>
      <c r="T4805" t="e">
        <f>NA()</f>
        <v>#N/A</v>
      </c>
      <c r="U4805">
        <f>12699.81</f>
        <v>12699.81</v>
      </c>
      <c r="V4805" t="e">
        <f>NA()</f>
        <v>#N/A</v>
      </c>
    </row>
    <row r="4806" spans="1:22" x14ac:dyDescent="0.2">
      <c r="A4806" s="1">
        <v>38379</v>
      </c>
      <c r="B4806" t="e">
        <f>NA()</f>
        <v>#N/A</v>
      </c>
      <c r="C4806">
        <f>2828.55</f>
        <v>2828.55</v>
      </c>
      <c r="D4806">
        <f>2549.28</f>
        <v>2549.2800000000002</v>
      </c>
      <c r="E4806">
        <f>817.106</f>
        <v>817.10599999999999</v>
      </c>
      <c r="F4806">
        <f>1696.45</f>
        <v>1696.45</v>
      </c>
      <c r="G4806">
        <f>4956.766</f>
        <v>4956.7659999999996</v>
      </c>
      <c r="H4806">
        <f>1327.27</f>
        <v>1327.27</v>
      </c>
      <c r="I4806">
        <f>4650.948</f>
        <v>4650.9480000000003</v>
      </c>
      <c r="J4806">
        <f>1170.35</f>
        <v>1170.3499999999999</v>
      </c>
      <c r="K4806">
        <f>3583.45</f>
        <v>3583.45</v>
      </c>
      <c r="L4806">
        <f>826.05</f>
        <v>826.05</v>
      </c>
      <c r="M4806">
        <f>3276.37</f>
        <v>3276.37</v>
      </c>
      <c r="N4806">
        <f>124.386</f>
        <v>124.386</v>
      </c>
      <c r="O4806">
        <f>1265.23</f>
        <v>1265.23</v>
      </c>
      <c r="P4806" t="e">
        <f>NA()</f>
        <v>#N/A</v>
      </c>
      <c r="Q4806">
        <f>644.25</f>
        <v>644.25</v>
      </c>
      <c r="R4806">
        <f>1745.58</f>
        <v>1745.58</v>
      </c>
      <c r="S4806">
        <f>1304.91</f>
        <v>1304.9100000000001</v>
      </c>
      <c r="T4806" t="e">
        <f>NA()</f>
        <v>#N/A</v>
      </c>
      <c r="U4806">
        <f>12710.04</f>
        <v>12710.04</v>
      </c>
      <c r="V4806" t="e">
        <f>NA()</f>
        <v>#N/A</v>
      </c>
    </row>
    <row r="4807" spans="1:22" x14ac:dyDescent="0.2">
      <c r="A4807" s="1">
        <v>38378</v>
      </c>
      <c r="B4807" t="e">
        <f>NA()</f>
        <v>#N/A</v>
      </c>
      <c r="C4807">
        <f>2825.58</f>
        <v>2825.58</v>
      </c>
      <c r="D4807">
        <f>2545.98</f>
        <v>2545.98</v>
      </c>
      <c r="E4807">
        <f>815.302</f>
        <v>815.30200000000002</v>
      </c>
      <c r="F4807">
        <f>1689.69</f>
        <v>1689.69</v>
      </c>
      <c r="G4807">
        <f>4937.966</f>
        <v>4937.9660000000003</v>
      </c>
      <c r="H4807">
        <f>1335.38</f>
        <v>1335.38</v>
      </c>
      <c r="I4807">
        <f>4648.901</f>
        <v>4648.9009999999998</v>
      </c>
      <c r="J4807">
        <f>1170.76</f>
        <v>1170.76</v>
      </c>
      <c r="K4807">
        <f>3583.06</f>
        <v>3583.06</v>
      </c>
      <c r="L4807">
        <f>825.74</f>
        <v>825.74</v>
      </c>
      <c r="M4807">
        <f>3276.28</f>
        <v>3276.28</v>
      </c>
      <c r="N4807">
        <f>123.983</f>
        <v>123.983</v>
      </c>
      <c r="O4807">
        <f>1259.03</f>
        <v>1259.03</v>
      </c>
      <c r="P4807" t="e">
        <f>NA()</f>
        <v>#N/A</v>
      </c>
      <c r="Q4807">
        <f>643.72</f>
        <v>643.72</v>
      </c>
      <c r="R4807">
        <f>1744.72</f>
        <v>1744.72</v>
      </c>
      <c r="S4807">
        <f>1308.27</f>
        <v>1308.27</v>
      </c>
      <c r="T4807" t="e">
        <f>NA()</f>
        <v>#N/A</v>
      </c>
      <c r="U4807">
        <f>12607.42</f>
        <v>12607.42</v>
      </c>
      <c r="V4807" t="e">
        <f>NA()</f>
        <v>#N/A</v>
      </c>
    </row>
    <row r="4808" spans="1:22" x14ac:dyDescent="0.2">
      <c r="A4808" s="1">
        <v>38377</v>
      </c>
      <c r="B4808" t="e">
        <f>NA()</f>
        <v>#N/A</v>
      </c>
      <c r="C4808">
        <f>2801.98</f>
        <v>2801.98</v>
      </c>
      <c r="D4808">
        <f>2543.85</f>
        <v>2543.85</v>
      </c>
      <c r="E4808">
        <f>807.735</f>
        <v>807.73500000000001</v>
      </c>
      <c r="F4808">
        <f>1681.54</f>
        <v>1681.54</v>
      </c>
      <c r="G4808">
        <f>4888.32</f>
        <v>4888.32</v>
      </c>
      <c r="H4808">
        <f>1312.62</f>
        <v>1312.62</v>
      </c>
      <c r="I4808">
        <f>4606.633</f>
        <v>4606.6329999999998</v>
      </c>
      <c r="J4808">
        <f>1166.89</f>
        <v>1166.8900000000001</v>
      </c>
      <c r="K4808">
        <f>3564.61</f>
        <v>3564.61</v>
      </c>
      <c r="L4808">
        <f>819.22</f>
        <v>819.22</v>
      </c>
      <c r="M4808">
        <f>3249.39</f>
        <v>3249.39</v>
      </c>
      <c r="N4808">
        <f>123.829</f>
        <v>123.82899999999999</v>
      </c>
      <c r="O4808">
        <f>1258.51</f>
        <v>1258.51</v>
      </c>
      <c r="P4808" t="e">
        <f>NA()</f>
        <v>#N/A</v>
      </c>
      <c r="Q4808">
        <f>642.52</f>
        <v>642.52</v>
      </c>
      <c r="R4808">
        <f>1736.25</f>
        <v>1736.25</v>
      </c>
      <c r="S4808">
        <f>1300.4</f>
        <v>1300.4000000000001</v>
      </c>
      <c r="T4808" t="e">
        <f>NA()</f>
        <v>#N/A</v>
      </c>
      <c r="U4808">
        <f>12517.66</f>
        <v>12517.66</v>
      </c>
      <c r="V4808" t="e">
        <f>NA()</f>
        <v>#N/A</v>
      </c>
    </row>
    <row r="4809" spans="1:22" x14ac:dyDescent="0.2">
      <c r="A4809" s="1">
        <v>38376</v>
      </c>
      <c r="B4809" t="e">
        <f>NA()</f>
        <v>#N/A</v>
      </c>
      <c r="C4809">
        <f>2800.07</f>
        <v>2800.07</v>
      </c>
      <c r="D4809">
        <f>2527.74</f>
        <v>2527.7399999999998</v>
      </c>
      <c r="E4809">
        <f>806.911</f>
        <v>806.91099999999994</v>
      </c>
      <c r="F4809">
        <f>1672.72</f>
        <v>1672.72</v>
      </c>
      <c r="G4809">
        <f>4887.133</f>
        <v>4887.1329999999998</v>
      </c>
      <c r="H4809">
        <f>1327.16</f>
        <v>1327.16</v>
      </c>
      <c r="I4809">
        <f>4608.344</f>
        <v>4608.3440000000001</v>
      </c>
      <c r="J4809">
        <f>1163.23</f>
        <v>1163.23</v>
      </c>
      <c r="K4809">
        <f>3551.69</f>
        <v>3551.69</v>
      </c>
      <c r="L4809">
        <f>819.44</f>
        <v>819.44</v>
      </c>
      <c r="M4809">
        <f>3248.59</f>
        <v>3248.59</v>
      </c>
      <c r="N4809">
        <f>123.187</f>
        <v>123.187</v>
      </c>
      <c r="O4809">
        <f>1250.85</f>
        <v>1250.8499999999999</v>
      </c>
      <c r="P4809" t="e">
        <f>NA()</f>
        <v>#N/A</v>
      </c>
      <c r="Q4809">
        <f>639.02</f>
        <v>639.02</v>
      </c>
      <c r="R4809">
        <f>1729.33</f>
        <v>1729.33</v>
      </c>
      <c r="S4809">
        <f>1301.71</f>
        <v>1301.71</v>
      </c>
      <c r="T4809" t="e">
        <f>NA()</f>
        <v>#N/A</v>
      </c>
      <c r="U4809">
        <f>12530.3</f>
        <v>12530.3</v>
      </c>
      <c r="V4809" t="e">
        <f>NA()</f>
        <v>#N/A</v>
      </c>
    </row>
    <row r="4810" spans="1:22" x14ac:dyDescent="0.2">
      <c r="A4810" s="1">
        <v>38373</v>
      </c>
      <c r="B4810" t="e">
        <f>NA()</f>
        <v>#N/A</v>
      </c>
      <c r="C4810">
        <f>2786.34</f>
        <v>2786.34</v>
      </c>
      <c r="D4810">
        <f>2522.88</f>
        <v>2522.88</v>
      </c>
      <c r="E4810">
        <f>804.116</f>
        <v>804.11599999999999</v>
      </c>
      <c r="F4810">
        <f>1670.18</f>
        <v>1670.18</v>
      </c>
      <c r="G4810">
        <f>4861.133</f>
        <v>4861.1329999999998</v>
      </c>
      <c r="H4810">
        <f>1313.55</f>
        <v>1313.55</v>
      </c>
      <c r="I4810">
        <f>4601.077</f>
        <v>4601.0770000000002</v>
      </c>
      <c r="J4810">
        <f>1162.5</f>
        <v>1162.5</v>
      </c>
      <c r="K4810">
        <f>3564.45</f>
        <v>3564.45</v>
      </c>
      <c r="L4810">
        <f>816.88</f>
        <v>816.88</v>
      </c>
      <c r="M4810">
        <f>3248.05</f>
        <v>3248.05</v>
      </c>
      <c r="N4810">
        <f>123.477</f>
        <v>123.477</v>
      </c>
      <c r="O4810">
        <f>1250.51</f>
        <v>1250.51</v>
      </c>
      <c r="P4810" t="e">
        <f>NA()</f>
        <v>#N/A</v>
      </c>
      <c r="Q4810">
        <f>641.53</f>
        <v>641.53</v>
      </c>
      <c r="R4810">
        <f>1735.43</f>
        <v>1735.43</v>
      </c>
      <c r="S4810">
        <f>1293.71</f>
        <v>1293.71</v>
      </c>
      <c r="T4810" t="e">
        <f>NA()</f>
        <v>#N/A</v>
      </c>
      <c r="U4810">
        <f>12497.84</f>
        <v>12497.84</v>
      </c>
      <c r="V4810" t="e">
        <f>NA()</f>
        <v>#N/A</v>
      </c>
    </row>
    <row r="4811" spans="1:22" x14ac:dyDescent="0.2">
      <c r="A4811" s="1">
        <v>38372</v>
      </c>
      <c r="B4811" t="e">
        <f>NA()</f>
        <v>#N/A</v>
      </c>
      <c r="C4811">
        <f>2778.77</f>
        <v>2778.77</v>
      </c>
      <c r="D4811">
        <f>2521.6</f>
        <v>2521.6</v>
      </c>
      <c r="E4811">
        <f>802.318</f>
        <v>802.31799999999998</v>
      </c>
      <c r="F4811">
        <f>1675.77</f>
        <v>1675.77</v>
      </c>
      <c r="G4811">
        <f>4862.486</f>
        <v>4862.4859999999999</v>
      </c>
      <c r="H4811">
        <f>1312.06</f>
        <v>1312.06</v>
      </c>
      <c r="I4811">
        <f>4581.516</f>
        <v>4581.5159999999996</v>
      </c>
      <c r="J4811">
        <f>1170.61</f>
        <v>1170.6099999999999</v>
      </c>
      <c r="K4811">
        <f>3587.29</f>
        <v>3587.29</v>
      </c>
      <c r="L4811">
        <f>816.83</f>
        <v>816.83</v>
      </c>
      <c r="M4811">
        <f>3256.01</f>
        <v>3256.01</v>
      </c>
      <c r="N4811">
        <f>124.352</f>
        <v>124.352</v>
      </c>
      <c r="O4811">
        <f>1252.58</f>
        <v>1252.58</v>
      </c>
      <c r="P4811" t="e">
        <f>NA()</f>
        <v>#N/A</v>
      </c>
      <c r="Q4811">
        <f>646.08</f>
        <v>646.08000000000004</v>
      </c>
      <c r="R4811">
        <f>1746.61</f>
        <v>1746.61</v>
      </c>
      <c r="S4811">
        <f>1295.08</f>
        <v>1295.08</v>
      </c>
      <c r="T4811" t="e">
        <f>NA()</f>
        <v>#N/A</v>
      </c>
      <c r="U4811">
        <f>12469.56</f>
        <v>12469.56</v>
      </c>
      <c r="V4811" t="e">
        <f>NA()</f>
        <v>#N/A</v>
      </c>
    </row>
    <row r="4812" spans="1:22" x14ac:dyDescent="0.2">
      <c r="A4812" s="1">
        <v>38371</v>
      </c>
      <c r="B4812" t="e">
        <f>NA()</f>
        <v>#N/A</v>
      </c>
      <c r="C4812">
        <f>2809.25</f>
        <v>2809.25</v>
      </c>
      <c r="D4812">
        <f>2530.8</f>
        <v>2530.8000000000002</v>
      </c>
      <c r="E4812">
        <f>808.621</f>
        <v>808.62099999999998</v>
      </c>
      <c r="F4812">
        <f>1683.47</f>
        <v>1683.47</v>
      </c>
      <c r="G4812">
        <f>4893.695</f>
        <v>4893.6949999999997</v>
      </c>
      <c r="H4812">
        <f>1332.41</f>
        <v>1332.41</v>
      </c>
      <c r="I4812">
        <f>4640.093</f>
        <v>4640.0929999999998</v>
      </c>
      <c r="J4812">
        <f>1175.83</f>
        <v>1175.83</v>
      </c>
      <c r="K4812">
        <f>3613.61</f>
        <v>3613.61</v>
      </c>
      <c r="L4812">
        <f>823.27</f>
        <v>823.27</v>
      </c>
      <c r="M4812">
        <f>3286.1</f>
        <v>3286.1</v>
      </c>
      <c r="N4812">
        <f>124.548</f>
        <v>124.548</v>
      </c>
      <c r="O4812">
        <f>1257.04</f>
        <v>1257.04</v>
      </c>
      <c r="P4812" t="e">
        <f>NA()</f>
        <v>#N/A</v>
      </c>
      <c r="Q4812">
        <f>647.68</f>
        <v>647.67999999999995</v>
      </c>
      <c r="R4812">
        <f>1760.28</f>
        <v>1760.28</v>
      </c>
      <c r="S4812">
        <f>1307.56</f>
        <v>1307.56</v>
      </c>
      <c r="T4812" t="e">
        <f>NA()</f>
        <v>#N/A</v>
      </c>
      <c r="U4812">
        <f>12511.85</f>
        <v>12511.85</v>
      </c>
      <c r="V4812" t="e">
        <f>NA()</f>
        <v>#N/A</v>
      </c>
    </row>
    <row r="4813" spans="1:22" x14ac:dyDescent="0.2">
      <c r="A4813" s="1">
        <v>38370</v>
      </c>
      <c r="B4813" t="e">
        <f>NA()</f>
        <v>#N/A</v>
      </c>
      <c r="C4813">
        <f>2799.71</f>
        <v>2799.71</v>
      </c>
      <c r="D4813">
        <f>2533.11</f>
        <v>2533.11</v>
      </c>
      <c r="E4813">
        <f>807.162</f>
        <v>807.16200000000003</v>
      </c>
      <c r="F4813">
        <f>1671.47</f>
        <v>1671.47</v>
      </c>
      <c r="G4813">
        <f>4870.49</f>
        <v>4870.49</v>
      </c>
      <c r="H4813">
        <f>1329.03</f>
        <v>1329.03</v>
      </c>
      <c r="I4813">
        <f>4633.191</f>
        <v>4633.1909999999998</v>
      </c>
      <c r="J4813">
        <f>1184.93</f>
        <v>1184.93</v>
      </c>
      <c r="K4813">
        <f>3648.29</f>
        <v>3648.29</v>
      </c>
      <c r="L4813">
        <f>824.2</f>
        <v>824.2</v>
      </c>
      <c r="M4813">
        <f>3300.27</f>
        <v>3300.27</v>
      </c>
      <c r="N4813">
        <f>124.275</f>
        <v>124.27500000000001</v>
      </c>
      <c r="O4813">
        <f>1255.44</f>
        <v>1255.44</v>
      </c>
      <c r="P4813" t="e">
        <f>NA()</f>
        <v>#N/A</v>
      </c>
      <c r="Q4813">
        <f>651.2</f>
        <v>651.20000000000005</v>
      </c>
      <c r="R4813">
        <f>1777.04</f>
        <v>1777.04</v>
      </c>
      <c r="S4813">
        <f>1308.6</f>
        <v>1308.5999999999999</v>
      </c>
      <c r="T4813" t="e">
        <f>NA()</f>
        <v>#N/A</v>
      </c>
      <c r="U4813">
        <f>12609.72</f>
        <v>12609.72</v>
      </c>
      <c r="V4813" t="e">
        <f>NA()</f>
        <v>#N/A</v>
      </c>
    </row>
    <row r="4814" spans="1:22" x14ac:dyDescent="0.2">
      <c r="A4814" s="1">
        <v>38369</v>
      </c>
      <c r="B4814" t="e">
        <f>NA()</f>
        <v>#N/A</v>
      </c>
      <c r="C4814">
        <f>2820.14</f>
        <v>2820.14</v>
      </c>
      <c r="D4814">
        <f>2545.06</f>
        <v>2545.06</v>
      </c>
      <c r="E4814">
        <f>812.423</f>
        <v>812.423</v>
      </c>
      <c r="F4814">
        <f>1672.64</f>
        <v>1672.64</v>
      </c>
      <c r="G4814">
        <f>4874.296</f>
        <v>4874.2960000000003</v>
      </c>
      <c r="H4814">
        <f>1342.52</f>
        <v>1342.52</v>
      </c>
      <c r="I4814">
        <f>4657.476</f>
        <v>4657.4759999999997</v>
      </c>
      <c r="J4814">
        <f>1171.94</f>
        <v>1171.94</v>
      </c>
      <c r="K4814">
        <f>3613.52</f>
        <v>3613.52</v>
      </c>
      <c r="L4814">
        <f>821.65</f>
        <v>821.65</v>
      </c>
      <c r="M4814">
        <f>3290.79</f>
        <v>3290.79</v>
      </c>
      <c r="N4814">
        <f>123.994</f>
        <v>123.994</v>
      </c>
      <c r="O4814">
        <f>1255.22</f>
        <v>1255.22</v>
      </c>
      <c r="P4814" t="e">
        <f>NA()</f>
        <v>#N/A</v>
      </c>
      <c r="Q4814" t="e">
        <f>NA()</f>
        <v>#N/A</v>
      </c>
      <c r="R4814" t="e">
        <f>NA()</f>
        <v>#N/A</v>
      </c>
      <c r="S4814">
        <f>1314.42</f>
        <v>1314.42</v>
      </c>
      <c r="T4814" t="e">
        <f>NA()</f>
        <v>#N/A</v>
      </c>
      <c r="U4814">
        <f>12707.74</f>
        <v>12707.74</v>
      </c>
      <c r="V4814" t="e">
        <f>NA()</f>
        <v>#N/A</v>
      </c>
    </row>
    <row r="4815" spans="1:22" x14ac:dyDescent="0.2">
      <c r="A4815" s="1">
        <v>38366</v>
      </c>
      <c r="B4815" t="e">
        <f>NA()</f>
        <v>#N/A</v>
      </c>
      <c r="C4815">
        <f>2816.68</f>
        <v>2816.68</v>
      </c>
      <c r="D4815">
        <f>2531.47</f>
        <v>2531.4699999999998</v>
      </c>
      <c r="E4815">
        <f>806.911</f>
        <v>806.91099999999994</v>
      </c>
      <c r="F4815">
        <f>1674.63</f>
        <v>1674.63</v>
      </c>
      <c r="G4815">
        <f>4873.713</f>
        <v>4873.7129999999997</v>
      </c>
      <c r="H4815">
        <f>1334.94</f>
        <v>1334.94</v>
      </c>
      <c r="I4815">
        <f>4635.5</f>
        <v>4635.5</v>
      </c>
      <c r="J4815">
        <f>1171.94</f>
        <v>1171.94</v>
      </c>
      <c r="K4815">
        <f>3613.52</f>
        <v>3613.52</v>
      </c>
      <c r="L4815">
        <f>820.59</f>
        <v>820.59</v>
      </c>
      <c r="M4815">
        <f>3284.77</f>
        <v>3284.77</v>
      </c>
      <c r="N4815">
        <f>123.681</f>
        <v>123.681</v>
      </c>
      <c r="O4815">
        <f>1249.28</f>
        <v>1249.28</v>
      </c>
      <c r="P4815" t="e">
        <f>NA()</f>
        <v>#N/A</v>
      </c>
      <c r="Q4815">
        <f>643.12</f>
        <v>643.12</v>
      </c>
      <c r="R4815">
        <f>1759.98</f>
        <v>1759.98</v>
      </c>
      <c r="S4815">
        <f>1309.15</f>
        <v>1309.1500000000001</v>
      </c>
      <c r="T4815" t="e">
        <f>NA()</f>
        <v>#N/A</v>
      </c>
      <c r="U4815">
        <f>12782.27</f>
        <v>12782.27</v>
      </c>
      <c r="V4815" t="e">
        <f>NA()</f>
        <v>#N/A</v>
      </c>
    </row>
    <row r="4816" spans="1:22" x14ac:dyDescent="0.2">
      <c r="A4816" s="1">
        <v>38365</v>
      </c>
      <c r="B4816" t="e">
        <f>NA()</f>
        <v>#N/A</v>
      </c>
      <c r="C4816">
        <f>2808.49</f>
        <v>2808.49</v>
      </c>
      <c r="D4816">
        <f>2520.72</f>
        <v>2520.7199999999998</v>
      </c>
      <c r="E4816">
        <f>802.086</f>
        <v>802.08600000000001</v>
      </c>
      <c r="F4816">
        <f>1681.34</f>
        <v>1681.34</v>
      </c>
      <c r="G4816">
        <f>4884.04</f>
        <v>4884.04</v>
      </c>
      <c r="H4816">
        <f>1335.19</f>
        <v>1335.19</v>
      </c>
      <c r="I4816">
        <f>4653.088</f>
        <v>4653.0879999999997</v>
      </c>
      <c r="J4816">
        <f>1165.65</f>
        <v>1165.6500000000001</v>
      </c>
      <c r="K4816">
        <f>3591.39</f>
        <v>3591.39</v>
      </c>
      <c r="L4816">
        <f>821.45</f>
        <v>821.45</v>
      </c>
      <c r="M4816">
        <f>3278.23</f>
        <v>3278.23</v>
      </c>
      <c r="N4816">
        <f>123.097</f>
        <v>123.09699999999999</v>
      </c>
      <c r="O4816">
        <f>1243.23</f>
        <v>1243.23</v>
      </c>
      <c r="P4816" t="e">
        <f>NA()</f>
        <v>#N/A</v>
      </c>
      <c r="Q4816">
        <f>638.77</f>
        <v>638.77</v>
      </c>
      <c r="R4816">
        <f>1749.48</f>
        <v>1749.48</v>
      </c>
      <c r="S4816">
        <f>1302.69</f>
        <v>1302.69</v>
      </c>
      <c r="T4816" t="e">
        <f>NA()</f>
        <v>#N/A</v>
      </c>
      <c r="U4816">
        <f>12754.53</f>
        <v>12754.53</v>
      </c>
      <c r="V4816" t="e">
        <f>NA()</f>
        <v>#N/A</v>
      </c>
    </row>
    <row r="4817" spans="1:22" x14ac:dyDescent="0.2">
      <c r="A4817" s="1">
        <v>38364</v>
      </c>
      <c r="B4817" t="e">
        <f>NA()</f>
        <v>#N/A</v>
      </c>
      <c r="C4817">
        <f>2790.14</f>
        <v>2790.14</v>
      </c>
      <c r="D4817">
        <f>2511.93</f>
        <v>2511.9299999999998</v>
      </c>
      <c r="E4817">
        <f>797.881</f>
        <v>797.88099999999997</v>
      </c>
      <c r="F4817">
        <f>1687.12</f>
        <v>1687.12</v>
      </c>
      <c r="G4817">
        <f>4897.513</f>
        <v>4897.5129999999999</v>
      </c>
      <c r="H4817">
        <f>1344.52</f>
        <v>1344.52</v>
      </c>
      <c r="I4817">
        <f>4662.893</f>
        <v>4662.893</v>
      </c>
      <c r="J4817">
        <f>1175.66</f>
        <v>1175.6600000000001</v>
      </c>
      <c r="K4817">
        <f>3622.09</f>
        <v>3622.09</v>
      </c>
      <c r="L4817">
        <f>824.49</f>
        <v>824.49</v>
      </c>
      <c r="M4817">
        <f>3298.66</f>
        <v>3298.66</v>
      </c>
      <c r="N4817">
        <f>122.557</f>
        <v>122.557</v>
      </c>
      <c r="O4817">
        <f>1238.46</f>
        <v>1238.46</v>
      </c>
      <c r="P4817" t="e">
        <f>NA()</f>
        <v>#N/A</v>
      </c>
      <c r="Q4817">
        <f>644</f>
        <v>644</v>
      </c>
      <c r="R4817">
        <f>1764.72</f>
        <v>1764.72</v>
      </c>
      <c r="S4817">
        <f>1311.67</f>
        <v>1311.67</v>
      </c>
      <c r="T4817" t="e">
        <f>NA()</f>
        <v>#N/A</v>
      </c>
      <c r="U4817">
        <f>12724.79</f>
        <v>12724.79</v>
      </c>
      <c r="V4817" t="e">
        <f>NA()</f>
        <v>#N/A</v>
      </c>
    </row>
    <row r="4818" spans="1:22" x14ac:dyDescent="0.2">
      <c r="A4818" s="1">
        <v>38363</v>
      </c>
      <c r="B4818" t="e">
        <f>NA()</f>
        <v>#N/A</v>
      </c>
      <c r="C4818">
        <f>2785.91</f>
        <v>2785.91</v>
      </c>
      <c r="D4818">
        <f>2530.38</f>
        <v>2530.38</v>
      </c>
      <c r="E4818">
        <f>797.127</f>
        <v>797.12699999999995</v>
      </c>
      <c r="F4818">
        <f>1678.68</f>
        <v>1678.68</v>
      </c>
      <c r="G4818">
        <f>4888.28</f>
        <v>4888.28</v>
      </c>
      <c r="H4818">
        <f>1332.51</f>
        <v>1332.51</v>
      </c>
      <c r="I4818">
        <f>4649.962</f>
        <v>4649.9620000000004</v>
      </c>
      <c r="J4818">
        <f>1171.5</f>
        <v>1171.5</v>
      </c>
      <c r="K4818">
        <f>3606.43</f>
        <v>3606.43</v>
      </c>
      <c r="L4818">
        <f>821.8</f>
        <v>821.8</v>
      </c>
      <c r="M4818">
        <f>3284.62</f>
        <v>3284.62</v>
      </c>
      <c r="N4818">
        <f>123.436</f>
        <v>123.43600000000001</v>
      </c>
      <c r="O4818">
        <f>1249.27</f>
        <v>1249.27</v>
      </c>
      <c r="P4818" t="e">
        <f>NA()</f>
        <v>#N/A</v>
      </c>
      <c r="Q4818">
        <f>642.24</f>
        <v>642.24</v>
      </c>
      <c r="R4818">
        <f>1757.51</f>
        <v>1757.51</v>
      </c>
      <c r="S4818">
        <f>1322.41</f>
        <v>1322.41</v>
      </c>
      <c r="T4818" t="e">
        <f>NA()</f>
        <v>#N/A</v>
      </c>
      <c r="U4818">
        <f>12664.89</f>
        <v>12664.89</v>
      </c>
      <c r="V4818" t="e">
        <f>NA()</f>
        <v>#N/A</v>
      </c>
    </row>
    <row r="4819" spans="1:22" x14ac:dyDescent="0.2">
      <c r="A4819" s="1">
        <v>38362</v>
      </c>
      <c r="B4819" t="e">
        <f>NA()</f>
        <v>#N/A</v>
      </c>
      <c r="C4819">
        <f>2778.61</f>
        <v>2778.61</v>
      </c>
      <c r="D4819">
        <f>2541.93</f>
        <v>2541.9299999999998</v>
      </c>
      <c r="E4819">
        <f>794.184</f>
        <v>794.18399999999997</v>
      </c>
      <c r="F4819">
        <f>1689.54</f>
        <v>1689.54</v>
      </c>
      <c r="G4819">
        <f>4904.141</f>
        <v>4904.1409999999996</v>
      </c>
      <c r="H4819">
        <f>1316.36</f>
        <v>1316.36</v>
      </c>
      <c r="I4819">
        <f>4665.464</f>
        <v>4665.4639999999999</v>
      </c>
      <c r="J4819">
        <f>1178.65</f>
        <v>1178.6500000000001</v>
      </c>
      <c r="K4819">
        <f>3628.93</f>
        <v>3628.93</v>
      </c>
      <c r="L4819">
        <f>824.11</f>
        <v>824.11</v>
      </c>
      <c r="M4819">
        <f>3293.16</f>
        <v>3293.16</v>
      </c>
      <c r="N4819">
        <f>124.719</f>
        <v>124.71899999999999</v>
      </c>
      <c r="O4819">
        <f>1258.21</f>
        <v>1258.21</v>
      </c>
      <c r="P4819" t="e">
        <f>NA()</f>
        <v>#N/A</v>
      </c>
      <c r="Q4819">
        <f>645.74</f>
        <v>645.74</v>
      </c>
      <c r="R4819">
        <f>1768.17</f>
        <v>1768.17</v>
      </c>
      <c r="S4819" t="e">
        <f>NA()</f>
        <v>#N/A</v>
      </c>
      <c r="T4819" t="e">
        <f>NA()</f>
        <v>#N/A</v>
      </c>
      <c r="U4819">
        <f>12663.45</f>
        <v>12663.45</v>
      </c>
      <c r="V4819" t="e">
        <f>NA()</f>
        <v>#N/A</v>
      </c>
    </row>
    <row r="4820" spans="1:22" x14ac:dyDescent="0.2">
      <c r="A4820" s="1">
        <v>38359</v>
      </c>
      <c r="B4820" t="e">
        <f>NA()</f>
        <v>#N/A</v>
      </c>
      <c r="C4820">
        <f>2769.77</f>
        <v>2769.77</v>
      </c>
      <c r="D4820">
        <f>2548.96</f>
        <v>2548.96</v>
      </c>
      <c r="E4820">
        <f>792.688</f>
        <v>792.68799999999999</v>
      </c>
      <c r="F4820">
        <f>1684.59</f>
        <v>1684.59</v>
      </c>
      <c r="G4820">
        <f>4896.864</f>
        <v>4896.8639999999996</v>
      </c>
      <c r="H4820">
        <f>1311.65</f>
        <v>1311.65</v>
      </c>
      <c r="I4820">
        <f>4644.085</f>
        <v>4644.085</v>
      </c>
      <c r="J4820">
        <f>1176.05</f>
        <v>1176.05</v>
      </c>
      <c r="K4820">
        <f>3615.92</f>
        <v>3615.92</v>
      </c>
      <c r="L4820">
        <f>821.91</f>
        <v>821.91</v>
      </c>
      <c r="M4820">
        <f>3280.85</f>
        <v>3280.85</v>
      </c>
      <c r="N4820">
        <f>124.372</f>
        <v>124.372</v>
      </c>
      <c r="O4820">
        <f>1259.43</f>
        <v>1259.43</v>
      </c>
      <c r="P4820" t="e">
        <f>NA()</f>
        <v>#N/A</v>
      </c>
      <c r="Q4820">
        <f>644.05</f>
        <v>644.04999999999995</v>
      </c>
      <c r="R4820">
        <f>1762.12</f>
        <v>1762.12</v>
      </c>
      <c r="S4820">
        <f>1309.23</f>
        <v>1309.23</v>
      </c>
      <c r="T4820" t="e">
        <f>NA()</f>
        <v>#N/A</v>
      </c>
      <c r="U4820">
        <f>12714.89</f>
        <v>12714.89</v>
      </c>
      <c r="V4820" t="e">
        <f>NA()</f>
        <v>#N/A</v>
      </c>
    </row>
    <row r="4821" spans="1:22" x14ac:dyDescent="0.2">
      <c r="A4821" s="1">
        <v>38358</v>
      </c>
      <c r="B4821" t="e">
        <f>NA()</f>
        <v>#N/A</v>
      </c>
      <c r="C4821">
        <f>2771.31</f>
        <v>2771.31</v>
      </c>
      <c r="D4821">
        <f>2533.29</f>
        <v>2533.29</v>
      </c>
      <c r="E4821">
        <f>791.604</f>
        <v>791.60400000000004</v>
      </c>
      <c r="F4821">
        <f>1681.29</f>
        <v>1681.29</v>
      </c>
      <c r="G4821">
        <f>4885.43</f>
        <v>4885.43</v>
      </c>
      <c r="H4821">
        <f>1309.68</f>
        <v>1309.68</v>
      </c>
      <c r="I4821">
        <f>4671.654</f>
        <v>4671.6540000000005</v>
      </c>
      <c r="J4821">
        <f>1178.82</f>
        <v>1178.82</v>
      </c>
      <c r="K4821">
        <f>3620.42</f>
        <v>3620.42</v>
      </c>
      <c r="L4821">
        <f>824.1</f>
        <v>824.1</v>
      </c>
      <c r="M4821">
        <f>3287.11</f>
        <v>3287.11</v>
      </c>
      <c r="N4821">
        <f>122.986</f>
        <v>122.986</v>
      </c>
      <c r="O4821">
        <f>1250.71</f>
        <v>1250.71</v>
      </c>
      <c r="P4821" t="e">
        <f>NA()</f>
        <v>#N/A</v>
      </c>
      <c r="Q4821">
        <f>644.51</f>
        <v>644.51</v>
      </c>
      <c r="R4821">
        <f>1764.63</f>
        <v>1764.63</v>
      </c>
      <c r="S4821">
        <f>1311.76</f>
        <v>1311.76</v>
      </c>
      <c r="T4821" t="e">
        <f>NA()</f>
        <v>#N/A</v>
      </c>
      <c r="U4821">
        <f>12800.52</f>
        <v>12800.52</v>
      </c>
      <c r="V4821" t="e">
        <f>NA()</f>
        <v>#N/A</v>
      </c>
    </row>
    <row r="4822" spans="1:22" x14ac:dyDescent="0.2">
      <c r="A4822" s="1">
        <v>38357</v>
      </c>
      <c r="B4822" t="e">
        <f>NA()</f>
        <v>#N/A</v>
      </c>
      <c r="C4822">
        <f>2802.06</f>
        <v>2802.06</v>
      </c>
      <c r="D4822">
        <f>2523.73</f>
        <v>2523.73</v>
      </c>
      <c r="E4822">
        <f>802.196</f>
        <v>802.19600000000003</v>
      </c>
      <c r="F4822">
        <f>1689.53</f>
        <v>1689.53</v>
      </c>
      <c r="G4822">
        <f>4900.406</f>
        <v>4900.4059999999999</v>
      </c>
      <c r="H4822">
        <f>1319.42</f>
        <v>1319.42</v>
      </c>
      <c r="I4822">
        <f>4685.037</f>
        <v>4685.0370000000003</v>
      </c>
      <c r="J4822">
        <f>1171.81</f>
        <v>1171.81</v>
      </c>
      <c r="K4822">
        <f>3607.19</f>
        <v>3607.19</v>
      </c>
      <c r="L4822">
        <f>824.77</f>
        <v>824.77</v>
      </c>
      <c r="M4822">
        <f>3287.18</f>
        <v>3287.18</v>
      </c>
      <c r="N4822">
        <f>122.583</f>
        <v>122.583</v>
      </c>
      <c r="O4822">
        <f>1243.62</f>
        <v>1243.6199999999999</v>
      </c>
      <c r="P4822" t="e">
        <f>NA()</f>
        <v>#N/A</v>
      </c>
      <c r="Q4822">
        <f>642.79</f>
        <v>642.79</v>
      </c>
      <c r="R4822">
        <f>1758.07</f>
        <v>1758.07</v>
      </c>
      <c r="S4822">
        <f>1306.49</f>
        <v>1306.49</v>
      </c>
      <c r="T4822" t="e">
        <f>NA()</f>
        <v>#N/A</v>
      </c>
      <c r="U4822">
        <f>12677.71</f>
        <v>12677.71</v>
      </c>
      <c r="V4822" t="e">
        <f>NA()</f>
        <v>#N/A</v>
      </c>
    </row>
    <row r="4823" spans="1:22" x14ac:dyDescent="0.2">
      <c r="A4823" s="1">
        <v>38356</v>
      </c>
      <c r="B4823" t="e">
        <f>NA()</f>
        <v>#N/A</v>
      </c>
      <c r="C4823">
        <f>2839.71</f>
        <v>2839.71</v>
      </c>
      <c r="D4823">
        <f>2544.55</f>
        <v>2544.5500000000002</v>
      </c>
      <c r="E4823">
        <f>813.941</f>
        <v>813.94100000000003</v>
      </c>
      <c r="F4823">
        <f>1701.2</f>
        <v>1701.2</v>
      </c>
      <c r="G4823">
        <f>4929.627</f>
        <v>4929.6270000000004</v>
      </c>
      <c r="H4823">
        <f>1321.89</f>
        <v>1321.89</v>
      </c>
      <c r="I4823">
        <f>4727.53</f>
        <v>4727.53</v>
      </c>
      <c r="J4823">
        <f>1175.05</f>
        <v>1175.05</v>
      </c>
      <c r="K4823">
        <f>3621.1</f>
        <v>3621.1</v>
      </c>
      <c r="L4823">
        <f>829.16</f>
        <v>829.16</v>
      </c>
      <c r="M4823">
        <f>3305.9</f>
        <v>3305.9</v>
      </c>
      <c r="N4823">
        <f>123.262</f>
        <v>123.262</v>
      </c>
      <c r="O4823">
        <f>1252.45</f>
        <v>1252.45</v>
      </c>
      <c r="P4823" t="e">
        <f>NA()</f>
        <v>#N/A</v>
      </c>
      <c r="Q4823">
        <f>646.45</f>
        <v>646.45000000000005</v>
      </c>
      <c r="R4823">
        <f>1764.3</f>
        <v>1764.3</v>
      </c>
      <c r="S4823">
        <f>1317.94</f>
        <v>1317.94</v>
      </c>
      <c r="T4823" t="e">
        <f>NA()</f>
        <v>#N/A</v>
      </c>
      <c r="U4823">
        <f>12714.52</f>
        <v>12714.52</v>
      </c>
      <c r="V4823" t="e">
        <f>NA()</f>
        <v>#N/A</v>
      </c>
    </row>
    <row r="4824" spans="1:22" x14ac:dyDescent="0.2">
      <c r="A4824" s="1">
        <v>38355</v>
      </c>
      <c r="B4824" t="e">
        <f>NA()</f>
        <v>#N/A</v>
      </c>
      <c r="C4824">
        <f>2887.07</f>
        <v>2887.07</v>
      </c>
      <c r="D4824" t="e">
        <f>NA()</f>
        <v>#N/A</v>
      </c>
      <c r="E4824">
        <f>828.142</f>
        <v>828.14200000000005</v>
      </c>
      <c r="F4824">
        <f>1694.98</f>
        <v>1694.98</v>
      </c>
      <c r="G4824">
        <f>4947.39</f>
        <v>4947.3900000000003</v>
      </c>
      <c r="H4824">
        <f>1337.27</f>
        <v>1337.27</v>
      </c>
      <c r="I4824">
        <f>4783.468</f>
        <v>4783.4679999999998</v>
      </c>
      <c r="J4824">
        <f>1185.04</f>
        <v>1185.04</v>
      </c>
      <c r="K4824">
        <f>3663.35</f>
        <v>3663.35</v>
      </c>
      <c r="L4824">
        <f>835.77</f>
        <v>835.77</v>
      </c>
      <c r="M4824">
        <f>3342.23</f>
        <v>3342.23</v>
      </c>
      <c r="N4824">
        <f>122.755</f>
        <v>122.755</v>
      </c>
      <c r="O4824">
        <f>1247.79</f>
        <v>1247.79</v>
      </c>
      <c r="P4824" t="e">
        <f>NA()</f>
        <v>#N/A</v>
      </c>
      <c r="Q4824">
        <f>652.37</f>
        <v>652.37</v>
      </c>
      <c r="R4824">
        <f>1784.96</f>
        <v>1784.96</v>
      </c>
      <c r="S4824" t="e">
        <f>NA()</f>
        <v>#N/A</v>
      </c>
      <c r="T4824" t="e">
        <f>NA()</f>
        <v>#N/A</v>
      </c>
      <c r="U4824">
        <f>12784.34</f>
        <v>12784.34</v>
      </c>
      <c r="V4824" t="e">
        <f>NA()</f>
        <v>#N/A</v>
      </c>
    </row>
    <row r="4825" spans="1:22" x14ac:dyDescent="0.2">
      <c r="A4825" s="1">
        <v>38352</v>
      </c>
      <c r="B4825" t="e">
        <f>NA()</f>
        <v>#N/A</v>
      </c>
      <c r="C4825">
        <f>2890.3</f>
        <v>2890.3</v>
      </c>
      <c r="D4825">
        <f>2527.41</f>
        <v>2527.41</v>
      </c>
      <c r="E4825">
        <f>827.775</f>
        <v>827.77499999999998</v>
      </c>
      <c r="F4825">
        <f>1709.89</f>
        <v>1709.89</v>
      </c>
      <c r="G4825">
        <f>4990.933</f>
        <v>4990.933</v>
      </c>
      <c r="H4825">
        <f>1342.56</f>
        <v>1342.56</v>
      </c>
      <c r="I4825">
        <f>4788.664</f>
        <v>4788.6639999999998</v>
      </c>
      <c r="J4825">
        <f>1194.87</f>
        <v>1194.8699999999999</v>
      </c>
      <c r="K4825">
        <f>3694.97</f>
        <v>3694.97</v>
      </c>
      <c r="L4825">
        <f>841.7</f>
        <v>841.7</v>
      </c>
      <c r="M4825">
        <f>3364.56</f>
        <v>3364.56</v>
      </c>
      <c r="N4825">
        <f>122.542</f>
        <v>122.542</v>
      </c>
      <c r="O4825">
        <f>1242.2</f>
        <v>1242.2</v>
      </c>
      <c r="P4825" t="e">
        <f>NA()</f>
        <v>#N/A</v>
      </c>
      <c r="Q4825">
        <f>657.86</f>
        <v>657.86</v>
      </c>
      <c r="R4825">
        <f>1799.55</f>
        <v>1799.55</v>
      </c>
      <c r="S4825" t="e">
        <f>NA()</f>
        <v>#N/A</v>
      </c>
      <c r="T4825" t="e">
        <f>NA()</f>
        <v>#N/A</v>
      </c>
      <c r="U4825">
        <f>12656.86</f>
        <v>12656.86</v>
      </c>
      <c r="V4825" t="e">
        <f>NA()</f>
        <v>#N/A</v>
      </c>
    </row>
    <row r="4826" spans="1:22" x14ac:dyDescent="0.2">
      <c r="A4826" s="1">
        <v>38351</v>
      </c>
      <c r="B4826" t="e">
        <f>NA()</f>
        <v>#N/A</v>
      </c>
      <c r="C4826">
        <f>2875.48</f>
        <v>2875.48</v>
      </c>
      <c r="D4826">
        <f>2530.45</f>
        <v>2530.4499999999998</v>
      </c>
      <c r="E4826">
        <f>822.677</f>
        <v>822.67700000000002</v>
      </c>
      <c r="F4826">
        <f>1715.09</f>
        <v>1715.09</v>
      </c>
      <c r="G4826">
        <f>4999.158</f>
        <v>4999.1580000000004</v>
      </c>
      <c r="H4826">
        <f>1335.2</f>
        <v>1335.2</v>
      </c>
      <c r="I4826">
        <f>4802.15</f>
        <v>4802.1499999999996</v>
      </c>
      <c r="J4826">
        <f>1196.55</f>
        <v>1196.55</v>
      </c>
      <c r="K4826">
        <f>3699.82</f>
        <v>3699.82</v>
      </c>
      <c r="L4826">
        <f>842.49</f>
        <v>842.49</v>
      </c>
      <c r="M4826">
        <f>3366.39</f>
        <v>3366.39</v>
      </c>
      <c r="N4826">
        <f>122.118</f>
        <v>122.11799999999999</v>
      </c>
      <c r="O4826">
        <f>1240.52</f>
        <v>1240.52</v>
      </c>
      <c r="P4826" t="e">
        <f>NA()</f>
        <v>#N/A</v>
      </c>
      <c r="Q4826">
        <f>658.63</f>
        <v>658.63</v>
      </c>
      <c r="R4826">
        <f>1801.98</f>
        <v>1801.98</v>
      </c>
      <c r="S4826">
        <f>1313.66</f>
        <v>1313.66</v>
      </c>
      <c r="T4826" t="e">
        <f>NA()</f>
        <v>#N/A</v>
      </c>
      <c r="U4826">
        <f>12675.77</f>
        <v>12675.77</v>
      </c>
      <c r="V4826" t="e">
        <f>NA()</f>
        <v>#N/A</v>
      </c>
    </row>
    <row r="4827" spans="1:22" x14ac:dyDescent="0.2">
      <c r="A4827" s="1">
        <v>38350</v>
      </c>
      <c r="B4827" t="e">
        <f>NA()</f>
        <v>#N/A</v>
      </c>
      <c r="C4827">
        <f>2861.29</f>
        <v>2861.29</v>
      </c>
      <c r="D4827">
        <f>2530.3</f>
        <v>2530.3000000000002</v>
      </c>
      <c r="E4827">
        <f>818.839</f>
        <v>818.83900000000006</v>
      </c>
      <c r="F4827">
        <f>1709.68</f>
        <v>1709.68</v>
      </c>
      <c r="G4827">
        <f>4983.162</f>
        <v>4983.1620000000003</v>
      </c>
      <c r="H4827">
        <f>1309.19</f>
        <v>1309.19</v>
      </c>
      <c r="I4827">
        <f>4787.148</f>
        <v>4787.1480000000001</v>
      </c>
      <c r="J4827">
        <f>1197.32</f>
        <v>1197.32</v>
      </c>
      <c r="K4827">
        <f>3699.1</f>
        <v>3699.1</v>
      </c>
      <c r="L4827">
        <f>840.68</f>
        <v>840.68</v>
      </c>
      <c r="M4827">
        <f>3354.26</f>
        <v>3354.26</v>
      </c>
      <c r="N4827">
        <f>122.152</f>
        <v>122.152</v>
      </c>
      <c r="O4827">
        <f>1240.88</f>
        <v>1240.8800000000001</v>
      </c>
      <c r="P4827" t="e">
        <f>NA()</f>
        <v>#N/A</v>
      </c>
      <c r="Q4827">
        <f>658.38</f>
        <v>658.38</v>
      </c>
      <c r="R4827">
        <f>1801.71</f>
        <v>1801.71</v>
      </c>
      <c r="S4827">
        <f>1301.74</f>
        <v>1301.74</v>
      </c>
      <c r="T4827" t="e">
        <f>NA()</f>
        <v>#N/A</v>
      </c>
      <c r="U4827">
        <f>12611.08</f>
        <v>12611.08</v>
      </c>
      <c r="V4827" t="e">
        <f>NA()</f>
        <v>#N/A</v>
      </c>
    </row>
    <row r="4828" spans="1:22" x14ac:dyDescent="0.2">
      <c r="A4828" s="1">
        <v>38349</v>
      </c>
      <c r="B4828" t="e">
        <f>NA()</f>
        <v>#N/A</v>
      </c>
      <c r="C4828">
        <f>2859.32</f>
        <v>2859.32</v>
      </c>
      <c r="D4828" t="e">
        <f>NA()</f>
        <v>#N/A</v>
      </c>
      <c r="E4828">
        <f>815.828</f>
        <v>815.82799999999997</v>
      </c>
      <c r="F4828">
        <f>1713.82</f>
        <v>1713.82</v>
      </c>
      <c r="G4828">
        <f>4992.099</f>
        <v>4992.0990000000002</v>
      </c>
      <c r="H4828">
        <f>1321.95</f>
        <v>1321.95</v>
      </c>
      <c r="I4828">
        <f>4792.505</f>
        <v>4792.5050000000001</v>
      </c>
      <c r="J4828">
        <f>1197.29</f>
        <v>1197.29</v>
      </c>
      <c r="K4828">
        <f>3698.5</f>
        <v>3698.5</v>
      </c>
      <c r="L4828">
        <f>841.72</f>
        <v>841.72</v>
      </c>
      <c r="M4828">
        <f>3359.28</f>
        <v>3359.28</v>
      </c>
      <c r="N4828">
        <f>121.68</f>
        <v>121.68</v>
      </c>
      <c r="O4828">
        <f>1240.88</f>
        <v>1240.8800000000001</v>
      </c>
      <c r="P4828" t="e">
        <f>NA()</f>
        <v>#N/A</v>
      </c>
      <c r="Q4828">
        <f>658.12</f>
        <v>658.12</v>
      </c>
      <c r="R4828">
        <f>1801.58</f>
        <v>1801.58</v>
      </c>
      <c r="S4828">
        <f>1302.63</f>
        <v>1302.6300000000001</v>
      </c>
      <c r="T4828" t="e">
        <f>NA()</f>
        <v>#N/A</v>
      </c>
      <c r="U4828">
        <f>12593.38</f>
        <v>12593.38</v>
      </c>
      <c r="V4828" t="e">
        <f>NA()</f>
        <v>#N/A</v>
      </c>
    </row>
    <row r="4829" spans="1:22" x14ac:dyDescent="0.2">
      <c r="A4829" s="1">
        <v>38348</v>
      </c>
      <c r="B4829" t="e">
        <f>NA()</f>
        <v>#N/A</v>
      </c>
      <c r="C4829">
        <f>2846.24</f>
        <v>2846.24</v>
      </c>
      <c r="D4829" t="e">
        <f>NA()</f>
        <v>#N/A</v>
      </c>
      <c r="E4829">
        <f>813.306</f>
        <v>813.30600000000004</v>
      </c>
      <c r="F4829">
        <f>1718.03</f>
        <v>1718.03</v>
      </c>
      <c r="G4829">
        <f>5004.391</f>
        <v>5004.3909999999996</v>
      </c>
      <c r="H4829">
        <f>1322.33</f>
        <v>1322.33</v>
      </c>
      <c r="I4829">
        <f>4789.287</f>
        <v>4789.2870000000003</v>
      </c>
      <c r="J4829">
        <f>1190.28</f>
        <v>1190.28</v>
      </c>
      <c r="K4829">
        <f>3671.77</f>
        <v>3671.77</v>
      </c>
      <c r="L4829">
        <f>840.41</f>
        <v>840.41</v>
      </c>
      <c r="M4829">
        <f>3345.38</f>
        <v>3345.38</v>
      </c>
      <c r="N4829">
        <f>121.814</f>
        <v>121.81399999999999</v>
      </c>
      <c r="O4829">
        <f>1240.21</f>
        <v>1240.21</v>
      </c>
      <c r="P4829" t="e">
        <f>NA()</f>
        <v>#N/A</v>
      </c>
      <c r="Q4829">
        <f>652.39</f>
        <v>652.39</v>
      </c>
      <c r="R4829">
        <f>1788.76</f>
        <v>1788.76</v>
      </c>
      <c r="S4829">
        <f>1296.26</f>
        <v>1296.26</v>
      </c>
      <c r="T4829" t="e">
        <f>NA()</f>
        <v>#N/A</v>
      </c>
      <c r="U4829" t="e">
        <f>NA()</f>
        <v>#N/A</v>
      </c>
      <c r="V4829" t="e">
        <f>NA()</f>
        <v>#N/A</v>
      </c>
    </row>
    <row r="4830" spans="1:22" x14ac:dyDescent="0.2">
      <c r="A4830" s="1">
        <v>38345</v>
      </c>
      <c r="B4830" t="e">
        <f>NA()</f>
        <v>#N/A</v>
      </c>
      <c r="C4830">
        <f>2839.14</f>
        <v>2839.14</v>
      </c>
      <c r="D4830">
        <f>2518.09</f>
        <v>2518.09</v>
      </c>
      <c r="E4830">
        <f>811.338</f>
        <v>811.33799999999997</v>
      </c>
      <c r="F4830">
        <f>1711.37</f>
        <v>1711.37</v>
      </c>
      <c r="G4830">
        <f>4984.983</f>
        <v>4984.9830000000002</v>
      </c>
      <c r="H4830">
        <f>1319.48</f>
        <v>1319.48</v>
      </c>
      <c r="I4830">
        <f>4766.076</f>
        <v>4766.076</v>
      </c>
      <c r="J4830">
        <f>1196.53</f>
        <v>1196.53</v>
      </c>
      <c r="K4830">
        <f>3687.57</f>
        <v>3687.57</v>
      </c>
      <c r="L4830">
        <f>840.38</f>
        <v>840.38</v>
      </c>
      <c r="M4830">
        <f>3345.71</f>
        <v>3345.71</v>
      </c>
      <c r="N4830">
        <f>121.704</f>
        <v>121.70399999999999</v>
      </c>
      <c r="O4830">
        <f>1241.57</f>
        <v>1241.57</v>
      </c>
      <c r="P4830" t="e">
        <f>NA()</f>
        <v>#N/A</v>
      </c>
      <c r="Q4830" t="e">
        <f>NA()</f>
        <v>#N/A</v>
      </c>
      <c r="R4830" t="e">
        <f>NA()</f>
        <v>#N/A</v>
      </c>
      <c r="S4830">
        <f>1295.73</f>
        <v>1295.73</v>
      </c>
      <c r="T4830" t="e">
        <f>NA()</f>
        <v>#N/A</v>
      </c>
      <c r="U4830">
        <f>12529.23</f>
        <v>12529.23</v>
      </c>
      <c r="V4830" t="e">
        <f>NA()</f>
        <v>#N/A</v>
      </c>
    </row>
    <row r="4831" spans="1:22" x14ac:dyDescent="0.2">
      <c r="A4831" s="1">
        <v>38344</v>
      </c>
      <c r="B4831" t="e">
        <f>NA()</f>
        <v>#N/A</v>
      </c>
      <c r="C4831">
        <f>2834.74</f>
        <v>2834.74</v>
      </c>
      <c r="D4831">
        <f>2512.65</f>
        <v>2512.65</v>
      </c>
      <c r="E4831">
        <f>809.099</f>
        <v>809.09900000000005</v>
      </c>
      <c r="F4831">
        <f>1702.55</f>
        <v>1702.55</v>
      </c>
      <c r="G4831">
        <f>4957.159</f>
        <v>4957.1589999999997</v>
      </c>
      <c r="H4831">
        <f>1303.08</f>
        <v>1303.08</v>
      </c>
      <c r="I4831">
        <f>4753.22</f>
        <v>4753.22</v>
      </c>
      <c r="J4831">
        <f>1196.53</f>
        <v>1196.53</v>
      </c>
      <c r="K4831">
        <f>3687.57</f>
        <v>3687.57</v>
      </c>
      <c r="L4831">
        <f>837.75</f>
        <v>837.75</v>
      </c>
      <c r="M4831">
        <f>3336.12</f>
        <v>3336.12</v>
      </c>
      <c r="N4831">
        <f>121.902</f>
        <v>121.902</v>
      </c>
      <c r="O4831">
        <f>1241.05</f>
        <v>1241.05</v>
      </c>
      <c r="P4831" t="e">
        <f>NA()</f>
        <v>#N/A</v>
      </c>
      <c r="Q4831">
        <f>654.2</f>
        <v>654.20000000000005</v>
      </c>
      <c r="R4831">
        <f>1796.49</f>
        <v>1796.49</v>
      </c>
      <c r="S4831" t="e">
        <f>NA()</f>
        <v>#N/A</v>
      </c>
      <c r="T4831" t="e">
        <f>NA()</f>
        <v>#N/A</v>
      </c>
      <c r="U4831">
        <f>12504.06</f>
        <v>12504.06</v>
      </c>
      <c r="V4831" t="e">
        <f>NA()</f>
        <v>#N/A</v>
      </c>
    </row>
    <row r="4832" spans="1:22" x14ac:dyDescent="0.2">
      <c r="A4832" s="1">
        <v>38343</v>
      </c>
      <c r="B4832" t="e">
        <f>NA()</f>
        <v>#N/A</v>
      </c>
      <c r="C4832">
        <f>2811.53</f>
        <v>2811.53</v>
      </c>
      <c r="D4832">
        <f>2507.25</f>
        <v>2507.25</v>
      </c>
      <c r="E4832">
        <f>805.674</f>
        <v>805.67399999999998</v>
      </c>
      <c r="F4832">
        <f>1693.89</f>
        <v>1693.89</v>
      </c>
      <c r="G4832">
        <f>4929.688</f>
        <v>4929.6880000000001</v>
      </c>
      <c r="H4832">
        <f>1297.19</f>
        <v>1297.19</v>
      </c>
      <c r="I4832">
        <f>4702.552</f>
        <v>4702.5519999999997</v>
      </c>
      <c r="J4832">
        <f>1194.14</f>
        <v>1194.1400000000001</v>
      </c>
      <c r="K4832">
        <f>3685.36</f>
        <v>3685.36</v>
      </c>
      <c r="L4832">
        <f>833.12</f>
        <v>833.12</v>
      </c>
      <c r="M4832">
        <f>3323.97</f>
        <v>3323.97</v>
      </c>
      <c r="N4832">
        <f>122.106</f>
        <v>122.10599999999999</v>
      </c>
      <c r="O4832">
        <f>1240.17</f>
        <v>1240.17</v>
      </c>
      <c r="P4832" t="e">
        <f>NA()</f>
        <v>#N/A</v>
      </c>
      <c r="Q4832">
        <f>654.24</f>
        <v>654.24</v>
      </c>
      <c r="R4832">
        <f>1795.66</f>
        <v>1795.66</v>
      </c>
      <c r="S4832">
        <f>1281.88</f>
        <v>1281.8800000000001</v>
      </c>
      <c r="T4832" t="e">
        <f>NA()</f>
        <v>#N/A</v>
      </c>
      <c r="U4832">
        <f>12496.1</f>
        <v>12496.1</v>
      </c>
      <c r="V4832" t="e">
        <f>NA()</f>
        <v>#N/A</v>
      </c>
    </row>
    <row r="4833" spans="1:22" x14ac:dyDescent="0.2">
      <c r="A4833" s="1">
        <v>38342</v>
      </c>
      <c r="B4833" t="e">
        <f>NA()</f>
        <v>#N/A</v>
      </c>
      <c r="C4833">
        <f>2807.41</f>
        <v>2807.41</v>
      </c>
      <c r="D4833">
        <f>2483.72</f>
        <v>2483.7199999999998</v>
      </c>
      <c r="E4833">
        <f>805.025</f>
        <v>805.02499999999998</v>
      </c>
      <c r="F4833">
        <f>1688.14</f>
        <v>1688.14</v>
      </c>
      <c r="G4833">
        <f>4917.728</f>
        <v>4917.7280000000001</v>
      </c>
      <c r="H4833">
        <f>1286.92</f>
        <v>1286.92</v>
      </c>
      <c r="I4833">
        <f>4661.895</f>
        <v>4661.8950000000004</v>
      </c>
      <c r="J4833">
        <f>1187.71</f>
        <v>1187.71</v>
      </c>
      <c r="K4833">
        <f>3671.39</f>
        <v>3671.39</v>
      </c>
      <c r="L4833">
        <f>829.27</f>
        <v>829.27</v>
      </c>
      <c r="M4833">
        <f>3307.71</f>
        <v>3307.71</v>
      </c>
      <c r="N4833">
        <f>122.035</f>
        <v>122.035</v>
      </c>
      <c r="O4833">
        <f>1233.65</f>
        <v>1233.6500000000001</v>
      </c>
      <c r="P4833" t="e">
        <f>NA()</f>
        <v>#N/A</v>
      </c>
      <c r="Q4833">
        <f>651.41</f>
        <v>651.41</v>
      </c>
      <c r="R4833">
        <f>1788.93</f>
        <v>1788.93</v>
      </c>
      <c r="S4833">
        <f>1274.87</f>
        <v>1274.8699999999999</v>
      </c>
      <c r="T4833" t="e">
        <f>NA()</f>
        <v>#N/A</v>
      </c>
      <c r="U4833">
        <f>12450.63</f>
        <v>12450.63</v>
      </c>
      <c r="V4833" t="e">
        <f>NA()</f>
        <v>#N/A</v>
      </c>
    </row>
    <row r="4834" spans="1:22" x14ac:dyDescent="0.2">
      <c r="A4834" s="1">
        <v>38341</v>
      </c>
      <c r="B4834" t="e">
        <f>NA()</f>
        <v>#N/A</v>
      </c>
      <c r="C4834">
        <f>2784.09</f>
        <v>2784.09</v>
      </c>
      <c r="D4834">
        <f>2482.7</f>
        <v>2482.6999999999998</v>
      </c>
      <c r="E4834">
        <f>801.083</f>
        <v>801.08299999999997</v>
      </c>
      <c r="F4834">
        <f>1710.68</f>
        <v>1710.68</v>
      </c>
      <c r="G4834">
        <f>4972.91</f>
        <v>4972.91</v>
      </c>
      <c r="H4834">
        <f>1296.38</f>
        <v>1296.3800000000001</v>
      </c>
      <c r="I4834">
        <f>4670.853</f>
        <v>4670.8530000000001</v>
      </c>
      <c r="J4834">
        <f>1176.73</f>
        <v>1176.73</v>
      </c>
      <c r="K4834">
        <f>3637.24</f>
        <v>3637.24</v>
      </c>
      <c r="L4834">
        <f>828.39</f>
        <v>828.39</v>
      </c>
      <c r="M4834">
        <f>3296.27</f>
        <v>3296.27</v>
      </c>
      <c r="N4834">
        <f>122.681</f>
        <v>122.681</v>
      </c>
      <c r="O4834">
        <f>1237.04</f>
        <v>1237.04</v>
      </c>
      <c r="P4834" t="e">
        <f>NA()</f>
        <v>#N/A</v>
      </c>
      <c r="Q4834">
        <f>645.35</f>
        <v>645.35</v>
      </c>
      <c r="R4834">
        <f>1772.87</f>
        <v>1772.87</v>
      </c>
      <c r="S4834">
        <f>1267.36</f>
        <v>1267.3599999999999</v>
      </c>
      <c r="T4834" t="e">
        <f>NA()</f>
        <v>#N/A</v>
      </c>
      <c r="U4834">
        <f>12458.41</f>
        <v>12458.41</v>
      </c>
      <c r="V4834" t="e">
        <f>NA()</f>
        <v>#N/A</v>
      </c>
    </row>
    <row r="4835" spans="1:22" x14ac:dyDescent="0.2">
      <c r="A4835" s="1">
        <v>38338</v>
      </c>
      <c r="B4835" t="e">
        <f>NA()</f>
        <v>#N/A</v>
      </c>
      <c r="C4835">
        <f>2764.87</f>
        <v>2764.87</v>
      </c>
      <c r="D4835">
        <f>2464.73</f>
        <v>2464.73</v>
      </c>
      <c r="E4835">
        <f>794.943</f>
        <v>794.94299999999998</v>
      </c>
      <c r="F4835">
        <f>1680.49</f>
        <v>1680.49</v>
      </c>
      <c r="G4835">
        <f>4904.112</f>
        <v>4904.1120000000001</v>
      </c>
      <c r="H4835">
        <f>1295.75</f>
        <v>1295.75</v>
      </c>
      <c r="I4835">
        <f>4590.538</f>
        <v>4590.5379999999996</v>
      </c>
      <c r="J4835">
        <f>1174.8</f>
        <v>1174.8</v>
      </c>
      <c r="K4835">
        <f>3635.92</f>
        <v>3635.92</v>
      </c>
      <c r="L4835">
        <f>818.71</f>
        <v>818.71</v>
      </c>
      <c r="M4835">
        <f>3276.36</f>
        <v>3276.36</v>
      </c>
      <c r="N4835">
        <f>122.579</f>
        <v>122.57899999999999</v>
      </c>
      <c r="O4835">
        <f>1230.69</f>
        <v>1230.69</v>
      </c>
      <c r="P4835" t="e">
        <f>NA()</f>
        <v>#N/A</v>
      </c>
      <c r="Q4835">
        <f>646.42</f>
        <v>646.41999999999996</v>
      </c>
      <c r="R4835">
        <f>1772.19</f>
        <v>1772.19</v>
      </c>
      <c r="S4835">
        <f>1269.18</f>
        <v>1269.18</v>
      </c>
      <c r="T4835" t="e">
        <f>NA()</f>
        <v>#N/A</v>
      </c>
      <c r="U4835">
        <f>12389.8</f>
        <v>12389.8</v>
      </c>
      <c r="V4835" t="e">
        <f>NA()</f>
        <v>#N/A</v>
      </c>
    </row>
    <row r="4836" spans="1:22" x14ac:dyDescent="0.2">
      <c r="A4836" s="1">
        <v>38337</v>
      </c>
      <c r="B4836" t="e">
        <f>NA()</f>
        <v>#N/A</v>
      </c>
      <c r="C4836">
        <f>2769.02</f>
        <v>2769.02</v>
      </c>
      <c r="D4836">
        <f>2484.87</f>
        <v>2484.87</v>
      </c>
      <c r="E4836">
        <f>795.723</f>
        <v>795.72299999999996</v>
      </c>
      <c r="F4836">
        <f>1688.68</f>
        <v>1688.68</v>
      </c>
      <c r="G4836">
        <f>4938.12</f>
        <v>4938.12</v>
      </c>
      <c r="H4836">
        <f>1283.57</f>
        <v>1283.57</v>
      </c>
      <c r="I4836">
        <f>4646.564</f>
        <v>4646.5640000000003</v>
      </c>
      <c r="J4836">
        <f>1189.68</f>
        <v>1189.68</v>
      </c>
      <c r="K4836">
        <f>3661.87</f>
        <v>3661.87</v>
      </c>
      <c r="L4836">
        <f>823.7</f>
        <v>823.7</v>
      </c>
      <c r="M4836">
        <f>3295.82</f>
        <v>3295.82</v>
      </c>
      <c r="N4836">
        <f>122.93</f>
        <v>122.93</v>
      </c>
      <c r="O4836">
        <f>1241.5</f>
        <v>1241.5</v>
      </c>
      <c r="P4836" t="e">
        <f>NA()</f>
        <v>#N/A</v>
      </c>
      <c r="Q4836">
        <f>651.79</f>
        <v>651.79</v>
      </c>
      <c r="R4836">
        <f>1785.51</f>
        <v>1785.51</v>
      </c>
      <c r="S4836">
        <f>1257.44</f>
        <v>1257.44</v>
      </c>
      <c r="T4836" t="e">
        <f>NA()</f>
        <v>#N/A</v>
      </c>
      <c r="U4836" t="e">
        <f>NA()</f>
        <v>#N/A</v>
      </c>
      <c r="V4836" t="e">
        <f>NA()</f>
        <v>#N/A</v>
      </c>
    </row>
    <row r="4837" spans="1:22" x14ac:dyDescent="0.2">
      <c r="A4837" s="1">
        <v>38336</v>
      </c>
      <c r="B4837" t="e">
        <f>NA()</f>
        <v>#N/A</v>
      </c>
      <c r="C4837">
        <f>2758.48</f>
        <v>2758.48</v>
      </c>
      <c r="D4837">
        <f>2481.17</f>
        <v>2481.17</v>
      </c>
      <c r="E4837">
        <f>792.152</f>
        <v>792.15200000000004</v>
      </c>
      <c r="F4837">
        <f>1695.95</f>
        <v>1695.95</v>
      </c>
      <c r="G4837">
        <f>4954.271</f>
        <v>4954.2709999999997</v>
      </c>
      <c r="H4837">
        <f>1286.66</f>
        <v>1286.6600000000001</v>
      </c>
      <c r="I4837">
        <f>4685.257</f>
        <v>4685.2569999999996</v>
      </c>
      <c r="J4837">
        <f>1190.36</f>
        <v>1190.3599999999999</v>
      </c>
      <c r="K4837">
        <f>3670.09</f>
        <v>3670.09</v>
      </c>
      <c r="L4837">
        <f>827.4</f>
        <v>827.4</v>
      </c>
      <c r="M4837">
        <f>3308.32</f>
        <v>3308.32</v>
      </c>
      <c r="N4837">
        <f>122.647</f>
        <v>122.64700000000001</v>
      </c>
      <c r="O4837">
        <f>1236.99</f>
        <v>1236.99</v>
      </c>
      <c r="P4837" t="e">
        <f>NA()</f>
        <v>#N/A</v>
      </c>
      <c r="Q4837">
        <f>650.47</f>
        <v>650.47</v>
      </c>
      <c r="R4837">
        <f>1789.14</f>
        <v>1789.14</v>
      </c>
      <c r="S4837">
        <f>1258.19</f>
        <v>1258.19</v>
      </c>
      <c r="T4837" t="e">
        <f>NA()</f>
        <v>#N/A</v>
      </c>
      <c r="U4837">
        <f>12265.32</f>
        <v>12265.32</v>
      </c>
      <c r="V4837" t="e">
        <f>NA()</f>
        <v>#N/A</v>
      </c>
    </row>
    <row r="4838" spans="1:22" x14ac:dyDescent="0.2">
      <c r="A4838" s="1">
        <v>38335</v>
      </c>
      <c r="B4838" t="e">
        <f>NA()</f>
        <v>#N/A</v>
      </c>
      <c r="C4838">
        <f>2735.19</f>
        <v>2735.19</v>
      </c>
      <c r="D4838">
        <f>2478.2</f>
        <v>2478.1999999999998</v>
      </c>
      <c r="E4838">
        <f>782.147</f>
        <v>782.14700000000005</v>
      </c>
      <c r="F4838">
        <f>1666.51</f>
        <v>1666.51</v>
      </c>
      <c r="G4838">
        <f>4895.395</f>
        <v>4895.3950000000004</v>
      </c>
      <c r="H4838">
        <f>1266.01</f>
        <v>1266.01</v>
      </c>
      <c r="I4838">
        <f>4646.125</f>
        <v>4646.125</v>
      </c>
      <c r="J4838">
        <f>1185.62</f>
        <v>1185.6199999999999</v>
      </c>
      <c r="K4838">
        <f>3660.71</f>
        <v>3660.71</v>
      </c>
      <c r="L4838">
        <f>821.08</f>
        <v>821.08</v>
      </c>
      <c r="M4838">
        <f>3286.6</f>
        <v>3286.6</v>
      </c>
      <c r="N4838">
        <f>122.705</f>
        <v>122.705</v>
      </c>
      <c r="O4838">
        <f>1238.45</f>
        <v>1238.45</v>
      </c>
      <c r="P4838" t="e">
        <f>NA()</f>
        <v>#N/A</v>
      </c>
      <c r="Q4838">
        <f>650.11</f>
        <v>650.11</v>
      </c>
      <c r="R4838">
        <f>1785.51</f>
        <v>1785.51</v>
      </c>
      <c r="S4838">
        <f>1255.7</f>
        <v>1255.7</v>
      </c>
      <c r="T4838" t="e">
        <f>NA()</f>
        <v>#N/A</v>
      </c>
      <c r="U4838">
        <f>12219.59</f>
        <v>12219.59</v>
      </c>
      <c r="V4838" t="e">
        <f>NA()</f>
        <v>#N/A</v>
      </c>
    </row>
    <row r="4839" spans="1:22" x14ac:dyDescent="0.2">
      <c r="A4839" s="1">
        <v>38334</v>
      </c>
      <c r="B4839" t="e">
        <f>NA()</f>
        <v>#N/A</v>
      </c>
      <c r="C4839">
        <f>2714.8</f>
        <v>2714.8</v>
      </c>
      <c r="D4839">
        <f>2485.57</f>
        <v>2485.5700000000002</v>
      </c>
      <c r="E4839">
        <f>774.241</f>
        <v>774.24099999999999</v>
      </c>
      <c r="F4839">
        <f>1657.85</f>
        <v>1657.85</v>
      </c>
      <c r="G4839">
        <f>4903.5</f>
        <v>4903.5</v>
      </c>
      <c r="H4839">
        <f>1263.24</f>
        <v>1263.24</v>
      </c>
      <c r="I4839">
        <f>4641.027</f>
        <v>4641.027</v>
      </c>
      <c r="J4839">
        <f>1181.69</f>
        <v>1181.69</v>
      </c>
      <c r="K4839">
        <f>3645.41</f>
        <v>3645.41</v>
      </c>
      <c r="L4839">
        <f>819.73</f>
        <v>819.73</v>
      </c>
      <c r="M4839">
        <f>3276.89</f>
        <v>3276.89</v>
      </c>
      <c r="N4839">
        <f>122.461</f>
        <v>122.461</v>
      </c>
      <c r="O4839">
        <f>1237.26</f>
        <v>1237.26</v>
      </c>
      <c r="P4839" t="e">
        <f>NA()</f>
        <v>#N/A</v>
      </c>
      <c r="Q4839">
        <f>646.91</f>
        <v>646.91</v>
      </c>
      <c r="R4839">
        <f>1778.54</f>
        <v>1778.54</v>
      </c>
      <c r="S4839">
        <f>1240.05</f>
        <v>1240.05</v>
      </c>
      <c r="T4839" t="e">
        <f>NA()</f>
        <v>#N/A</v>
      </c>
      <c r="U4839">
        <f>12146.76</f>
        <v>12146.76</v>
      </c>
      <c r="V4839" t="e">
        <f>NA()</f>
        <v>#N/A</v>
      </c>
    </row>
    <row r="4840" spans="1:22" x14ac:dyDescent="0.2">
      <c r="A4840" s="1">
        <v>38331</v>
      </c>
      <c r="B4840" t="e">
        <f>NA()</f>
        <v>#N/A</v>
      </c>
      <c r="C4840">
        <f>2698.48</f>
        <v>2698.48</v>
      </c>
      <c r="D4840">
        <f>2463.12</f>
        <v>2463.12</v>
      </c>
      <c r="E4840">
        <f>768.723</f>
        <v>768.72299999999996</v>
      </c>
      <c r="F4840">
        <f>1636.39</f>
        <v>1636.39</v>
      </c>
      <c r="G4840">
        <f>4839.659</f>
        <v>4839.6589999999997</v>
      </c>
      <c r="H4840">
        <f>1248.26</f>
        <v>1248.26</v>
      </c>
      <c r="I4840">
        <f>4580.01</f>
        <v>4580.01</v>
      </c>
      <c r="J4840">
        <f>1167.54</f>
        <v>1167.54</v>
      </c>
      <c r="K4840">
        <f>3614.1</f>
        <v>3614.1</v>
      </c>
      <c r="L4840">
        <f>809.86</f>
        <v>809.86</v>
      </c>
      <c r="M4840">
        <f>3243.59</f>
        <v>3243.59</v>
      </c>
      <c r="N4840">
        <f>121.686</f>
        <v>121.68600000000001</v>
      </c>
      <c r="O4840">
        <f>1227.42</f>
        <v>1227.42</v>
      </c>
      <c r="P4840" t="e">
        <f>NA()</f>
        <v>#N/A</v>
      </c>
      <c r="Q4840">
        <f>641.31</f>
        <v>641.30999999999995</v>
      </c>
      <c r="R4840">
        <f>1762.51</f>
        <v>1762.51</v>
      </c>
      <c r="S4840">
        <f>1237.71</f>
        <v>1237.71</v>
      </c>
      <c r="T4840" t="e">
        <f>NA()</f>
        <v>#N/A</v>
      </c>
      <c r="U4840">
        <f>12135.49</f>
        <v>12135.49</v>
      </c>
      <c r="V4840" t="e">
        <f>NA()</f>
        <v>#N/A</v>
      </c>
    </row>
    <row r="4841" spans="1:22" x14ac:dyDescent="0.2">
      <c r="A4841" s="1">
        <v>38330</v>
      </c>
      <c r="B4841" t="e">
        <f>NA()</f>
        <v>#N/A</v>
      </c>
      <c r="C4841">
        <f>2703.02</f>
        <v>2703.02</v>
      </c>
      <c r="D4841">
        <f>2460.17</f>
        <v>2460.17</v>
      </c>
      <c r="E4841">
        <f>773.589</f>
        <v>773.58900000000006</v>
      </c>
      <c r="F4841">
        <f>1635.23</f>
        <v>1635.23</v>
      </c>
      <c r="G4841">
        <f>4839.323</f>
        <v>4839.3230000000003</v>
      </c>
      <c r="H4841">
        <f>1259.38</f>
        <v>1259.3800000000001</v>
      </c>
      <c r="I4841">
        <f>4571.308</f>
        <v>4571.308</v>
      </c>
      <c r="J4841">
        <f>1166.05</f>
        <v>1166.05</v>
      </c>
      <c r="K4841">
        <f>3617.89</f>
        <v>3617.89</v>
      </c>
      <c r="L4841">
        <f>809.13</f>
        <v>809.13</v>
      </c>
      <c r="M4841">
        <f>3247.65</f>
        <v>3247.65</v>
      </c>
      <c r="N4841">
        <f>120.734</f>
        <v>120.73399999999999</v>
      </c>
      <c r="O4841">
        <f>1222.36</f>
        <v>1222.3599999999999</v>
      </c>
      <c r="P4841" t="e">
        <f>NA()</f>
        <v>#N/A</v>
      </c>
      <c r="Q4841">
        <f>642.26</f>
        <v>642.26</v>
      </c>
      <c r="R4841">
        <f>1764.35</f>
        <v>1764.35</v>
      </c>
      <c r="S4841">
        <f>1242.01</f>
        <v>1242.01</v>
      </c>
      <c r="T4841" t="e">
        <f>NA()</f>
        <v>#N/A</v>
      </c>
      <c r="U4841">
        <f>12146.2</f>
        <v>12146.2</v>
      </c>
      <c r="V4841" t="e">
        <f>NA()</f>
        <v>#N/A</v>
      </c>
    </row>
    <row r="4842" spans="1:22" x14ac:dyDescent="0.2">
      <c r="A4842" s="1">
        <v>38329</v>
      </c>
      <c r="B4842" t="e">
        <f>NA()</f>
        <v>#N/A</v>
      </c>
      <c r="C4842">
        <f>2722.78</f>
        <v>2722.78</v>
      </c>
      <c r="D4842">
        <f>2468.32</f>
        <v>2468.3200000000002</v>
      </c>
      <c r="E4842">
        <f>779.56</f>
        <v>779.56</v>
      </c>
      <c r="F4842">
        <f>1656.99</f>
        <v>1656.99</v>
      </c>
      <c r="G4842">
        <f>4883.248</f>
        <v>4883.2479999999996</v>
      </c>
      <c r="H4842">
        <f>1273.71</f>
        <v>1273.71</v>
      </c>
      <c r="I4842">
        <f>4605.312</f>
        <v>4605.3119999999999</v>
      </c>
      <c r="J4842">
        <f>1160.37</f>
        <v>1160.3699999999999</v>
      </c>
      <c r="K4842">
        <f>3598.17</f>
        <v>3598.17</v>
      </c>
      <c r="L4842">
        <f>811.18</f>
        <v>811.18</v>
      </c>
      <c r="M4842">
        <f>3250.98</f>
        <v>3250.98</v>
      </c>
      <c r="N4842">
        <f>121.756</f>
        <v>121.756</v>
      </c>
      <c r="O4842">
        <f>1232.22</f>
        <v>1232.22</v>
      </c>
      <c r="P4842" t="e">
        <f>NA()</f>
        <v>#N/A</v>
      </c>
      <c r="Q4842">
        <f>639.39</f>
        <v>639.39</v>
      </c>
      <c r="R4842">
        <f>1754.75</f>
        <v>1754.75</v>
      </c>
      <c r="S4842">
        <f>1255.86</f>
        <v>1255.8599999999999</v>
      </c>
      <c r="T4842" t="e">
        <f>NA()</f>
        <v>#N/A</v>
      </c>
      <c r="U4842">
        <f>12205.18</f>
        <v>12205.18</v>
      </c>
      <c r="V4842" t="e">
        <f>NA()</f>
        <v>#N/A</v>
      </c>
    </row>
    <row r="4843" spans="1:22" x14ac:dyDescent="0.2">
      <c r="A4843" s="1">
        <v>38328</v>
      </c>
      <c r="B4843" t="e">
        <f>NA()</f>
        <v>#N/A</v>
      </c>
      <c r="C4843">
        <f>2763.67</f>
        <v>2763.67</v>
      </c>
      <c r="D4843">
        <f>2481.14</f>
        <v>2481.14</v>
      </c>
      <c r="E4843">
        <f>790.732</f>
        <v>790.73199999999997</v>
      </c>
      <c r="F4843">
        <f>1672.53</f>
        <v>1672.53</v>
      </c>
      <c r="G4843">
        <f>4943.822</f>
        <v>4943.8220000000001</v>
      </c>
      <c r="H4843">
        <f>1288.74</f>
        <v>1288.74</v>
      </c>
      <c r="I4843">
        <f>4673.974</f>
        <v>4673.9740000000002</v>
      </c>
      <c r="J4843">
        <f>1153.56</f>
        <v>1153.56</v>
      </c>
      <c r="K4843">
        <f>3579.77</f>
        <v>3579.77</v>
      </c>
      <c r="L4843">
        <f>817.49</f>
        <v>817.49</v>
      </c>
      <c r="M4843">
        <f>3263.86</f>
        <v>3263.86</v>
      </c>
      <c r="N4843">
        <f>122.682</f>
        <v>122.682</v>
      </c>
      <c r="O4843">
        <f>1234.6</f>
        <v>1234.5999999999999</v>
      </c>
      <c r="P4843" t="e">
        <f>NA()</f>
        <v>#N/A</v>
      </c>
      <c r="Q4843">
        <f>635.89</f>
        <v>635.89</v>
      </c>
      <c r="R4843">
        <f>1745.84</f>
        <v>1745.84</v>
      </c>
      <c r="S4843">
        <f>1248.99</f>
        <v>1248.99</v>
      </c>
      <c r="T4843" t="e">
        <f>NA()</f>
        <v>#N/A</v>
      </c>
      <c r="U4843">
        <f>12313.01</f>
        <v>12313.01</v>
      </c>
      <c r="V4843" t="e">
        <f>NA()</f>
        <v>#N/A</v>
      </c>
    </row>
    <row r="4844" spans="1:22" x14ac:dyDescent="0.2">
      <c r="A4844" s="1">
        <v>38327</v>
      </c>
      <c r="B4844" t="e">
        <f>NA()</f>
        <v>#N/A</v>
      </c>
      <c r="C4844">
        <f>2780.05</f>
        <v>2780.05</v>
      </c>
      <c r="D4844">
        <f>2478.03</f>
        <v>2478.0300000000002</v>
      </c>
      <c r="E4844">
        <f>795.629</f>
        <v>795.62900000000002</v>
      </c>
      <c r="F4844">
        <f>1671.08</f>
        <v>1671.08</v>
      </c>
      <c r="G4844">
        <f>4932.868</f>
        <v>4932.8680000000004</v>
      </c>
      <c r="H4844">
        <f>1300.67</f>
        <v>1300.67</v>
      </c>
      <c r="I4844">
        <f>4652.198</f>
        <v>4652.1980000000003</v>
      </c>
      <c r="J4844">
        <f>1163.72</f>
        <v>1163.72</v>
      </c>
      <c r="K4844">
        <f>3620.51</f>
        <v>3620.51</v>
      </c>
      <c r="L4844">
        <f>819.72</f>
        <v>819.72</v>
      </c>
      <c r="M4844">
        <f>3285.13</f>
        <v>3285.13</v>
      </c>
      <c r="N4844">
        <f>122.733</f>
        <v>122.733</v>
      </c>
      <c r="O4844">
        <f>1229.59</f>
        <v>1229.5899999999999</v>
      </c>
      <c r="P4844" t="e">
        <f>NA()</f>
        <v>#N/A</v>
      </c>
      <c r="Q4844">
        <f>641.96</f>
        <v>641.96</v>
      </c>
      <c r="R4844">
        <f>1765.33</f>
        <v>1765.33</v>
      </c>
      <c r="S4844">
        <f>1260.44</f>
        <v>1260.44</v>
      </c>
      <c r="T4844" t="e">
        <f>NA()</f>
        <v>#N/A</v>
      </c>
      <c r="U4844">
        <f>12306.22</f>
        <v>12306.22</v>
      </c>
      <c r="V4844" t="e">
        <f>NA()</f>
        <v>#N/A</v>
      </c>
    </row>
    <row r="4845" spans="1:22" x14ac:dyDescent="0.2">
      <c r="A4845" s="1">
        <v>38324</v>
      </c>
      <c r="B4845" t="e">
        <f>NA()</f>
        <v>#N/A</v>
      </c>
      <c r="C4845">
        <f>2766.86</f>
        <v>2766.86</v>
      </c>
      <c r="D4845">
        <f>2491.2</f>
        <v>2491.1999999999998</v>
      </c>
      <c r="E4845">
        <f>794.198</f>
        <v>794.19799999999998</v>
      </c>
      <c r="F4845">
        <f>1678.48</f>
        <v>1678.48</v>
      </c>
      <c r="G4845">
        <f>4950.73</f>
        <v>4950.7299999999996</v>
      </c>
      <c r="H4845">
        <f>1312.78</f>
        <v>1312.78</v>
      </c>
      <c r="I4845">
        <f>4646.802</f>
        <v>4646.8019999999997</v>
      </c>
      <c r="J4845">
        <f>1167.52</f>
        <v>1167.52</v>
      </c>
      <c r="K4845">
        <f>3622.85</f>
        <v>3622.85</v>
      </c>
      <c r="L4845">
        <f>819.46</f>
        <v>819.46</v>
      </c>
      <c r="M4845">
        <f>3289.53</f>
        <v>3289.53</v>
      </c>
      <c r="N4845">
        <f>123.294</f>
        <v>123.294</v>
      </c>
      <c r="O4845">
        <f>1234.47</f>
        <v>1234.47</v>
      </c>
      <c r="P4845" t="e">
        <f>NA()</f>
        <v>#N/A</v>
      </c>
      <c r="Q4845">
        <f>645.01</f>
        <v>645.01</v>
      </c>
      <c r="R4845">
        <f>1766.63</f>
        <v>1766.63</v>
      </c>
      <c r="S4845">
        <f>1268.24</f>
        <v>1268.24</v>
      </c>
      <c r="T4845" t="e">
        <f>NA()</f>
        <v>#N/A</v>
      </c>
      <c r="U4845">
        <f>12500.26</f>
        <v>12500.26</v>
      </c>
      <c r="V4845" t="e">
        <f>NA()</f>
        <v>#N/A</v>
      </c>
    </row>
    <row r="4846" spans="1:22" x14ac:dyDescent="0.2">
      <c r="A4846" s="1">
        <v>38323</v>
      </c>
      <c r="B4846" t="e">
        <f>NA()</f>
        <v>#N/A</v>
      </c>
      <c r="C4846">
        <f>2772.33</f>
        <v>2772.33</v>
      </c>
      <c r="D4846">
        <f>2492.93</f>
        <v>2492.9299999999998</v>
      </c>
      <c r="E4846">
        <f>795.263</f>
        <v>795.26300000000003</v>
      </c>
      <c r="F4846">
        <f>1667.09</f>
        <v>1667.09</v>
      </c>
      <c r="G4846">
        <f>4916.952</f>
        <v>4916.9520000000002</v>
      </c>
      <c r="H4846">
        <f>1301.78</f>
        <v>1301.78</v>
      </c>
      <c r="I4846">
        <f>4626.862</f>
        <v>4626.8620000000001</v>
      </c>
      <c r="J4846">
        <f>1171.63</f>
        <v>1171.6300000000001</v>
      </c>
      <c r="K4846">
        <f>3620.18</f>
        <v>3620.18</v>
      </c>
      <c r="L4846">
        <f>817.68</f>
        <v>817.68</v>
      </c>
      <c r="M4846">
        <f>3280.14</f>
        <v>3280.14</v>
      </c>
      <c r="N4846">
        <f>123.673</f>
        <v>123.673</v>
      </c>
      <c r="O4846">
        <f>1238.59</f>
        <v>1238.5899999999999</v>
      </c>
      <c r="P4846" t="e">
        <f>NA()</f>
        <v>#N/A</v>
      </c>
      <c r="Q4846">
        <f>645.85</f>
        <v>645.85</v>
      </c>
      <c r="R4846">
        <f>1765.37</f>
        <v>1765.37</v>
      </c>
      <c r="S4846">
        <f>1262.36</f>
        <v>1262.3599999999999</v>
      </c>
      <c r="T4846" t="e">
        <f>NA()</f>
        <v>#N/A</v>
      </c>
      <c r="U4846">
        <f>12608</f>
        <v>12608</v>
      </c>
      <c r="V4846" t="e">
        <f>NA()</f>
        <v>#N/A</v>
      </c>
    </row>
    <row r="4847" spans="1:22" x14ac:dyDescent="0.2">
      <c r="A4847" s="1">
        <v>38322</v>
      </c>
      <c r="B4847" t="e">
        <f>NA()</f>
        <v>#N/A</v>
      </c>
      <c r="C4847">
        <f>2759.94</f>
        <v>2759.94</v>
      </c>
      <c r="D4847">
        <f>2484.79</f>
        <v>2484.79</v>
      </c>
      <c r="E4847">
        <f>790.68</f>
        <v>790.68</v>
      </c>
      <c r="F4847">
        <f>1656.59</f>
        <v>1656.59</v>
      </c>
      <c r="G4847">
        <f>4909.587</f>
        <v>4909.5870000000004</v>
      </c>
      <c r="H4847">
        <f>1284.77</f>
        <v>1284.77</v>
      </c>
      <c r="I4847">
        <f>4620.276</f>
        <v>4620.2759999999998</v>
      </c>
      <c r="J4847">
        <f>1173.08</f>
        <v>1173.08</v>
      </c>
      <c r="K4847">
        <f>3624.07</f>
        <v>3624.07</v>
      </c>
      <c r="L4847">
        <f>818.76</f>
        <v>818.76</v>
      </c>
      <c r="M4847">
        <f>3275.53</f>
        <v>3275.53</v>
      </c>
      <c r="N4847">
        <f>123.274</f>
        <v>123.274</v>
      </c>
      <c r="O4847">
        <f>1234.18</f>
        <v>1234.18</v>
      </c>
      <c r="P4847" t="e">
        <f>NA()</f>
        <v>#N/A</v>
      </c>
      <c r="Q4847">
        <f>645.01</f>
        <v>645.01</v>
      </c>
      <c r="R4847">
        <f>1766.9</f>
        <v>1766.9</v>
      </c>
      <c r="S4847">
        <f>1241.77</f>
        <v>1241.77</v>
      </c>
      <c r="T4847" t="e">
        <f>NA()</f>
        <v>#N/A</v>
      </c>
      <c r="U4847">
        <f>12577.93</f>
        <v>12577.93</v>
      </c>
      <c r="V4847" t="e">
        <f>NA()</f>
        <v>#N/A</v>
      </c>
    </row>
    <row r="4848" spans="1:22" x14ac:dyDescent="0.2">
      <c r="A4848" s="1">
        <v>38321</v>
      </c>
      <c r="B4848" t="e">
        <f>NA()</f>
        <v>#N/A</v>
      </c>
      <c r="C4848">
        <f>2746.68</f>
        <v>2746.68</v>
      </c>
      <c r="D4848">
        <f>2466.81</f>
        <v>2466.81</v>
      </c>
      <c r="E4848">
        <f>789.755</f>
        <v>789.755</v>
      </c>
      <c r="F4848">
        <f>1628.17</f>
        <v>1628.17</v>
      </c>
      <c r="G4848">
        <f>4833.763</f>
        <v>4833.7629999999999</v>
      </c>
      <c r="H4848">
        <f>1300.32</f>
        <v>1300.32</v>
      </c>
      <c r="I4848">
        <f>4569.726</f>
        <v>4569.7259999999997</v>
      </c>
      <c r="J4848">
        <f>1158.52</f>
        <v>1158.52</v>
      </c>
      <c r="K4848">
        <f>3569.83</f>
        <v>3569.83</v>
      </c>
      <c r="L4848">
        <f>810.3</f>
        <v>810.3</v>
      </c>
      <c r="M4848">
        <f>3239.9</f>
        <v>3239.9</v>
      </c>
      <c r="N4848">
        <f>121.761</f>
        <v>121.761</v>
      </c>
      <c r="O4848">
        <f>1219.05</f>
        <v>1219.05</v>
      </c>
      <c r="P4848" t="e">
        <f>NA()</f>
        <v>#N/A</v>
      </c>
      <c r="Q4848">
        <f>635.85</f>
        <v>635.85</v>
      </c>
      <c r="R4848">
        <f>1740.33</f>
        <v>1740.33</v>
      </c>
      <c r="S4848">
        <f>1254.84</f>
        <v>1254.8399999999999</v>
      </c>
      <c r="T4848" t="e">
        <f>NA()</f>
        <v>#N/A</v>
      </c>
      <c r="U4848">
        <f>12490.79</f>
        <v>12490.79</v>
      </c>
      <c r="V4848" t="e">
        <f>NA()</f>
        <v>#N/A</v>
      </c>
    </row>
    <row r="4849" spans="1:22" x14ac:dyDescent="0.2">
      <c r="A4849" s="1">
        <v>38320</v>
      </c>
      <c r="B4849" t="e">
        <f>NA()</f>
        <v>#N/A</v>
      </c>
      <c r="C4849">
        <f>2735.63</f>
        <v>2735.63</v>
      </c>
      <c r="D4849">
        <f>2491.25</f>
        <v>2491.25</v>
      </c>
      <c r="E4849">
        <f>785.259</f>
        <v>785.25900000000001</v>
      </c>
      <c r="F4849">
        <f>1624.82</f>
        <v>1624.82</v>
      </c>
      <c r="G4849">
        <f>4834.257</f>
        <v>4834.2569999999996</v>
      </c>
      <c r="H4849">
        <f>1305.78</f>
        <v>1305.78</v>
      </c>
      <c r="I4849">
        <f>4597.212</f>
        <v>4597.2120000000004</v>
      </c>
      <c r="J4849">
        <f>1162.11</f>
        <v>1162.1099999999999</v>
      </c>
      <c r="K4849">
        <f>3584.34</f>
        <v>3584.34</v>
      </c>
      <c r="L4849">
        <f>812.75</f>
        <v>812.75</v>
      </c>
      <c r="M4849">
        <f>3254.73</f>
        <v>3254.73</v>
      </c>
      <c r="N4849">
        <f>122.396</f>
        <v>122.396</v>
      </c>
      <c r="O4849">
        <f>1225.19</f>
        <v>1225.19</v>
      </c>
      <c r="P4849" t="e">
        <f>NA()</f>
        <v>#N/A</v>
      </c>
      <c r="Q4849">
        <f>639.73</f>
        <v>639.73</v>
      </c>
      <c r="R4849">
        <f>1747.34</f>
        <v>1747.34</v>
      </c>
      <c r="S4849">
        <f>1260.31</f>
        <v>1260.31</v>
      </c>
      <c r="T4849" t="e">
        <f>NA()</f>
        <v>#N/A</v>
      </c>
      <c r="U4849">
        <f>12513.26</f>
        <v>12513.26</v>
      </c>
      <c r="V4849" t="e">
        <f>NA()</f>
        <v>#N/A</v>
      </c>
    </row>
    <row r="4850" spans="1:22" x14ac:dyDescent="0.2">
      <c r="A4850" s="1">
        <v>38317</v>
      </c>
      <c r="B4850" t="e">
        <f>NA()</f>
        <v>#N/A</v>
      </c>
      <c r="C4850">
        <f>2706.66</f>
        <v>2706.66</v>
      </c>
      <c r="D4850">
        <f>2486.93</f>
        <v>2486.9299999999998</v>
      </c>
      <c r="E4850">
        <f>780.162</f>
        <v>780.16200000000003</v>
      </c>
      <c r="F4850">
        <f>1618.32</f>
        <v>1618.32</v>
      </c>
      <c r="G4850">
        <f>4827.327</f>
        <v>4827.3270000000002</v>
      </c>
      <c r="H4850">
        <f>1290.86</f>
        <v>1290.8599999999999</v>
      </c>
      <c r="I4850">
        <f>4594.564</f>
        <v>4594.5640000000003</v>
      </c>
      <c r="J4850">
        <f>1167.31</f>
        <v>1167.31</v>
      </c>
      <c r="K4850">
        <f>3595.54</f>
        <v>3595.54</v>
      </c>
      <c r="L4850">
        <f>813.89</f>
        <v>813.89</v>
      </c>
      <c r="M4850">
        <f>3255.31</f>
        <v>3255.31</v>
      </c>
      <c r="N4850">
        <f>122.42</f>
        <v>122.42</v>
      </c>
      <c r="O4850">
        <f>1226.18</f>
        <v>1226.18</v>
      </c>
      <c r="P4850" t="e">
        <f>NA()</f>
        <v>#N/A</v>
      </c>
      <c r="Q4850">
        <f>642.09</f>
        <v>642.09</v>
      </c>
      <c r="R4850">
        <f>1753.09</f>
        <v>1753.09</v>
      </c>
      <c r="S4850">
        <f>1246.16</f>
        <v>1246.1600000000001</v>
      </c>
      <c r="T4850" t="e">
        <f>NA()</f>
        <v>#N/A</v>
      </c>
      <c r="U4850">
        <f>12438.51</f>
        <v>12438.51</v>
      </c>
      <c r="V4850" t="e">
        <f>NA()</f>
        <v>#N/A</v>
      </c>
    </row>
    <row r="4851" spans="1:22" x14ac:dyDescent="0.2">
      <c r="A4851" s="1">
        <v>38316</v>
      </c>
      <c r="B4851" t="e">
        <f>NA()</f>
        <v>#N/A</v>
      </c>
      <c r="C4851">
        <f>2689.52</f>
        <v>2689.52</v>
      </c>
      <c r="D4851">
        <f>2493.17</f>
        <v>2493.17</v>
      </c>
      <c r="E4851">
        <f>778.73</f>
        <v>778.73</v>
      </c>
      <c r="F4851">
        <f>1614.05</f>
        <v>1614.05</v>
      </c>
      <c r="G4851">
        <f>4827.396</f>
        <v>4827.3959999999997</v>
      </c>
      <c r="H4851">
        <f>1292.86</f>
        <v>1292.8599999999999</v>
      </c>
      <c r="I4851">
        <f>4595.198</f>
        <v>4595.1980000000003</v>
      </c>
      <c r="J4851">
        <f>1165.32</f>
        <v>1165.32</v>
      </c>
      <c r="K4851">
        <f>3592.51</f>
        <v>3592.51</v>
      </c>
      <c r="L4851">
        <f>813.33</f>
        <v>813.33</v>
      </c>
      <c r="M4851">
        <f>3255.37</f>
        <v>3255.37</v>
      </c>
      <c r="N4851">
        <f>122.671</f>
        <v>122.67100000000001</v>
      </c>
      <c r="O4851">
        <f>1228.11</f>
        <v>1228.1099999999999</v>
      </c>
      <c r="P4851" t="e">
        <f>NA()</f>
        <v>#N/A</v>
      </c>
      <c r="Q4851" t="e">
        <f>NA()</f>
        <v>#N/A</v>
      </c>
      <c r="R4851" t="e">
        <f>NA()</f>
        <v>#N/A</v>
      </c>
      <c r="S4851">
        <f>1249.86</f>
        <v>1249.8599999999999</v>
      </c>
      <c r="T4851" t="e">
        <f>NA()</f>
        <v>#N/A</v>
      </c>
      <c r="U4851">
        <f>12398.77</f>
        <v>12398.77</v>
      </c>
      <c r="V4851" t="e">
        <f>NA()</f>
        <v>#N/A</v>
      </c>
    </row>
    <row r="4852" spans="1:22" x14ac:dyDescent="0.2">
      <c r="A4852" s="1">
        <v>38315</v>
      </c>
      <c r="B4852" t="e">
        <f>NA()</f>
        <v>#N/A</v>
      </c>
      <c r="C4852">
        <f>2672.1</f>
        <v>2672.1</v>
      </c>
      <c r="D4852">
        <f>2475.33</f>
        <v>2475.33</v>
      </c>
      <c r="E4852">
        <f>775.28</f>
        <v>775.28</v>
      </c>
      <c r="F4852">
        <f>1609.79</f>
        <v>1609.79</v>
      </c>
      <c r="G4852">
        <f>4774.888</f>
        <v>4774.8879999999999</v>
      </c>
      <c r="H4852">
        <f>1279.29</f>
        <v>1279.29</v>
      </c>
      <c r="I4852">
        <f>4529.904</f>
        <v>4529.9040000000005</v>
      </c>
      <c r="J4852">
        <f>1165.32</f>
        <v>1165.32</v>
      </c>
      <c r="K4852">
        <f>3592.51</f>
        <v>3592.51</v>
      </c>
      <c r="L4852">
        <f>807.01</f>
        <v>807.01</v>
      </c>
      <c r="M4852">
        <f>3238.53</f>
        <v>3238.53</v>
      </c>
      <c r="N4852">
        <f>122.43</f>
        <v>122.43</v>
      </c>
      <c r="O4852">
        <f>1219.66</f>
        <v>1219.6600000000001</v>
      </c>
      <c r="P4852" t="e">
        <f>NA()</f>
        <v>#N/A</v>
      </c>
      <c r="Q4852">
        <f>640.54</f>
        <v>640.54</v>
      </c>
      <c r="R4852">
        <f>1751.55</f>
        <v>1751.55</v>
      </c>
      <c r="S4852">
        <f>1245.76</f>
        <v>1245.76</v>
      </c>
      <c r="T4852" t="e">
        <f>NA()</f>
        <v>#N/A</v>
      </c>
      <c r="U4852">
        <f>12283.61</f>
        <v>12283.61</v>
      </c>
      <c r="V4852" t="e">
        <f>NA()</f>
        <v>#N/A</v>
      </c>
    </row>
    <row r="4853" spans="1:22" x14ac:dyDescent="0.2">
      <c r="A4853" s="1">
        <v>38314</v>
      </c>
      <c r="B4853" t="e">
        <f>NA()</f>
        <v>#N/A</v>
      </c>
      <c r="C4853">
        <f>2648.8</f>
        <v>2648.8</v>
      </c>
      <c r="D4853">
        <f>2482.77</f>
        <v>2482.77</v>
      </c>
      <c r="E4853">
        <f>769.12</f>
        <v>769.12</v>
      </c>
      <c r="F4853">
        <f>1610.25</f>
        <v>1610.25</v>
      </c>
      <c r="G4853">
        <f>4762.969</f>
        <v>4762.9690000000001</v>
      </c>
      <c r="H4853">
        <f>1262.83</f>
        <v>1262.83</v>
      </c>
      <c r="I4853">
        <f>4500.317</f>
        <v>4500.317</v>
      </c>
      <c r="J4853">
        <f>1162.47</f>
        <v>1162.47</v>
      </c>
      <c r="K4853">
        <f>3577.16</f>
        <v>3577.16</v>
      </c>
      <c r="L4853">
        <f>804.05</f>
        <v>804.05</v>
      </c>
      <c r="M4853">
        <f>3222.59</f>
        <v>3222.59</v>
      </c>
      <c r="N4853">
        <f>122.696</f>
        <v>122.696</v>
      </c>
      <c r="O4853">
        <f>1220.21</f>
        <v>1220.21</v>
      </c>
      <c r="P4853" t="e">
        <f>NA()</f>
        <v>#N/A</v>
      </c>
      <c r="Q4853">
        <f>638.5</f>
        <v>638.5</v>
      </c>
      <c r="R4853">
        <f>1744.31</f>
        <v>1744.31</v>
      </c>
      <c r="S4853" t="e">
        <f>NA()</f>
        <v>#N/A</v>
      </c>
      <c r="T4853" t="e">
        <f>NA()</f>
        <v>#N/A</v>
      </c>
      <c r="U4853">
        <f>12246.28</f>
        <v>12246.28</v>
      </c>
      <c r="V4853" t="e">
        <f>NA()</f>
        <v>#N/A</v>
      </c>
    </row>
    <row r="4854" spans="1:22" x14ac:dyDescent="0.2">
      <c r="A4854" s="1">
        <v>38313</v>
      </c>
      <c r="B4854" t="e">
        <f>NA()</f>
        <v>#N/A</v>
      </c>
      <c r="C4854">
        <f>2632.93</f>
        <v>2632.93</v>
      </c>
      <c r="D4854">
        <f>2477.91</f>
        <v>2477.91</v>
      </c>
      <c r="E4854">
        <f>764.343</f>
        <v>764.34299999999996</v>
      </c>
      <c r="F4854">
        <f>1594.77</f>
        <v>1594.77</v>
      </c>
      <c r="G4854">
        <f>4719.097</f>
        <v>4719.0969999999998</v>
      </c>
      <c r="H4854">
        <f>1266.74</f>
        <v>1266.74</v>
      </c>
      <c r="I4854">
        <f>4489.132</f>
        <v>4489.1319999999996</v>
      </c>
      <c r="J4854">
        <f>1163.84</f>
        <v>1163.8399999999999</v>
      </c>
      <c r="K4854">
        <f>3578.13</f>
        <v>3578.13</v>
      </c>
      <c r="L4854">
        <f>801.02</f>
        <v>801.02</v>
      </c>
      <c r="M4854">
        <f>3218.26</f>
        <v>3218.26</v>
      </c>
      <c r="N4854">
        <f>122.72</f>
        <v>122.72</v>
      </c>
      <c r="O4854">
        <f>1219.03</f>
        <v>1219.03</v>
      </c>
      <c r="P4854" t="e">
        <f>NA()</f>
        <v>#N/A</v>
      </c>
      <c r="Q4854">
        <f>639.6</f>
        <v>639.6</v>
      </c>
      <c r="R4854">
        <f>1744.71</f>
        <v>1744.71</v>
      </c>
      <c r="S4854">
        <f>1244.44</f>
        <v>1244.44</v>
      </c>
      <c r="T4854" t="e">
        <f>NA()</f>
        <v>#N/A</v>
      </c>
      <c r="U4854">
        <f>12236.5</f>
        <v>12236.5</v>
      </c>
      <c r="V4854" t="e">
        <f>NA()</f>
        <v>#N/A</v>
      </c>
    </row>
    <row r="4855" spans="1:22" x14ac:dyDescent="0.2">
      <c r="A4855" s="1">
        <v>38310</v>
      </c>
      <c r="B4855" t="e">
        <f>NA()</f>
        <v>#N/A</v>
      </c>
      <c r="C4855">
        <f>2647.53</f>
        <v>2647.53</v>
      </c>
      <c r="D4855">
        <f>2492.44</f>
        <v>2492.44</v>
      </c>
      <c r="E4855">
        <f>771.096</f>
        <v>771.096</v>
      </c>
      <c r="F4855">
        <f>1603.24</f>
        <v>1603.24</v>
      </c>
      <c r="G4855">
        <f>4748.556</f>
        <v>4748.5559999999996</v>
      </c>
      <c r="H4855">
        <f>1295.1</f>
        <v>1295.0999999999999</v>
      </c>
      <c r="I4855">
        <f>4517.725</f>
        <v>4517.7250000000004</v>
      </c>
      <c r="J4855">
        <f>1158.21</f>
        <v>1158.21</v>
      </c>
      <c r="K4855">
        <f>3557.18</f>
        <v>3557.18</v>
      </c>
      <c r="L4855">
        <f>801.23</f>
        <v>801.23</v>
      </c>
      <c r="M4855">
        <f>3220.1</f>
        <v>3220.1</v>
      </c>
      <c r="N4855">
        <f>123.508</f>
        <v>123.508</v>
      </c>
      <c r="O4855">
        <f>1225.9</f>
        <v>1225.9000000000001</v>
      </c>
      <c r="P4855" t="e">
        <f>NA()</f>
        <v>#N/A</v>
      </c>
      <c r="Q4855">
        <f>635.24</f>
        <v>635.24</v>
      </c>
      <c r="R4855">
        <f>1734.45</f>
        <v>1734.45</v>
      </c>
      <c r="S4855">
        <f>1267.27</f>
        <v>1267.27</v>
      </c>
      <c r="T4855" t="e">
        <f>NA()</f>
        <v>#N/A</v>
      </c>
      <c r="U4855">
        <f>12337.31</f>
        <v>12337.31</v>
      </c>
      <c r="V4855" t="e">
        <f>NA()</f>
        <v>#N/A</v>
      </c>
    </row>
    <row r="4856" spans="1:22" x14ac:dyDescent="0.2">
      <c r="A4856" s="1">
        <v>38309</v>
      </c>
      <c r="B4856" t="e">
        <f>NA()</f>
        <v>#N/A</v>
      </c>
      <c r="C4856">
        <f>2662.04</f>
        <v>2662.04</v>
      </c>
      <c r="D4856">
        <f>2515.71</f>
        <v>2515.71</v>
      </c>
      <c r="E4856">
        <f>775.425</f>
        <v>775.42499999999995</v>
      </c>
      <c r="F4856">
        <f>1607.8</f>
        <v>1607.8</v>
      </c>
      <c r="G4856">
        <f>4772.913</f>
        <v>4772.9129999999996</v>
      </c>
      <c r="H4856">
        <f>1279.1</f>
        <v>1279.0999999999999</v>
      </c>
      <c r="I4856">
        <f>4522.265</f>
        <v>4522.2650000000003</v>
      </c>
      <c r="J4856">
        <f>1168.57</f>
        <v>1168.57</v>
      </c>
      <c r="K4856">
        <f>3597.46</f>
        <v>3597.46</v>
      </c>
      <c r="L4856">
        <f>803.51</f>
        <v>803.51</v>
      </c>
      <c r="M4856">
        <f>3236.72</f>
        <v>3236.72</v>
      </c>
      <c r="N4856">
        <f>124.318</f>
        <v>124.318</v>
      </c>
      <c r="O4856">
        <f>1235.66</f>
        <v>1235.6600000000001</v>
      </c>
      <c r="P4856" t="e">
        <f>NA()</f>
        <v>#N/A</v>
      </c>
      <c r="Q4856">
        <f>642.17</f>
        <v>642.16999999999996</v>
      </c>
      <c r="R4856">
        <f>1753.97</f>
        <v>1753.97</v>
      </c>
      <c r="S4856">
        <f>1267.82</f>
        <v>1267.82</v>
      </c>
      <c r="T4856" t="e">
        <f>NA()</f>
        <v>#N/A</v>
      </c>
      <c r="U4856">
        <f>12352.84</f>
        <v>12352.84</v>
      </c>
      <c r="V4856" t="e">
        <f>NA()</f>
        <v>#N/A</v>
      </c>
    </row>
    <row r="4857" spans="1:22" x14ac:dyDescent="0.2">
      <c r="A4857" s="1">
        <v>38308</v>
      </c>
      <c r="B4857" t="e">
        <f>NA()</f>
        <v>#N/A</v>
      </c>
      <c r="C4857">
        <f>2668.82</f>
        <v>2668.82</v>
      </c>
      <c r="D4857">
        <f>2510.78</f>
        <v>2510.7800000000002</v>
      </c>
      <c r="E4857">
        <f>774.515</f>
        <v>774.51499999999999</v>
      </c>
      <c r="F4857">
        <f>1611.51</f>
        <v>1611.51</v>
      </c>
      <c r="G4857">
        <f>4777.725</f>
        <v>4777.7250000000004</v>
      </c>
      <c r="H4857">
        <f>1284.15</f>
        <v>1284.1500000000001</v>
      </c>
      <c r="I4857">
        <f>4538.119</f>
        <v>4538.1189999999997</v>
      </c>
      <c r="J4857">
        <f>1167.05</f>
        <v>1167.05</v>
      </c>
      <c r="K4857">
        <f>3592.07</f>
        <v>3592.07</v>
      </c>
      <c r="L4857">
        <f>805.6</f>
        <v>805.6</v>
      </c>
      <c r="M4857">
        <f>3239.93</f>
        <v>3239.93</v>
      </c>
      <c r="N4857">
        <f>124.086</f>
        <v>124.086</v>
      </c>
      <c r="O4857">
        <f>1235.22</f>
        <v>1235.22</v>
      </c>
      <c r="P4857" t="e">
        <f>NA()</f>
        <v>#N/A</v>
      </c>
      <c r="Q4857">
        <f>642.31</f>
        <v>642.30999999999995</v>
      </c>
      <c r="R4857">
        <f>1751.57</f>
        <v>1751.57</v>
      </c>
      <c r="S4857">
        <f>1272.81</f>
        <v>1272.81</v>
      </c>
      <c r="T4857" t="e">
        <f>NA()</f>
        <v>#N/A</v>
      </c>
      <c r="U4857">
        <f>12251.62</f>
        <v>12251.62</v>
      </c>
      <c r="V4857" t="e">
        <f>NA()</f>
        <v>#N/A</v>
      </c>
    </row>
    <row r="4858" spans="1:22" x14ac:dyDescent="0.2">
      <c r="A4858" s="1">
        <v>38307</v>
      </c>
      <c r="B4858" t="e">
        <f>NA()</f>
        <v>#N/A</v>
      </c>
      <c r="C4858">
        <f>2631.95</f>
        <v>2631.95</v>
      </c>
      <c r="D4858">
        <f>2496.92</f>
        <v>2496.92</v>
      </c>
      <c r="E4858">
        <f>762.71</f>
        <v>762.71</v>
      </c>
      <c r="F4858">
        <f>1609.19</f>
        <v>1609.19</v>
      </c>
      <c r="G4858">
        <f>4748.104</f>
        <v>4748.1040000000003</v>
      </c>
      <c r="H4858">
        <f>1277.05</f>
        <v>1277.05</v>
      </c>
      <c r="I4858">
        <f>4466.179</f>
        <v>4466.1790000000001</v>
      </c>
      <c r="J4858">
        <f>1161.64</f>
        <v>1161.6400000000001</v>
      </c>
      <c r="K4858">
        <f>3571.06</f>
        <v>3571.06</v>
      </c>
      <c r="L4858">
        <f>799.52</f>
        <v>799.52</v>
      </c>
      <c r="M4858">
        <f>3214.3</f>
        <v>3214.3</v>
      </c>
      <c r="N4858">
        <f>123.926</f>
        <v>123.926</v>
      </c>
      <c r="O4858">
        <f>1224.24</f>
        <v>1224.24</v>
      </c>
      <c r="P4858" t="e">
        <f>NA()</f>
        <v>#N/A</v>
      </c>
      <c r="Q4858">
        <f>640.05</f>
        <v>640.04999999999995</v>
      </c>
      <c r="R4858">
        <f>1741.72</f>
        <v>1741.72</v>
      </c>
      <c r="S4858">
        <f>1279.38</f>
        <v>1279.3800000000001</v>
      </c>
      <c r="T4858" t="e">
        <f>NA()</f>
        <v>#N/A</v>
      </c>
      <c r="U4858">
        <f>12215.2</f>
        <v>12215.2</v>
      </c>
      <c r="V4858" t="e">
        <f>NA()</f>
        <v>#N/A</v>
      </c>
    </row>
    <row r="4859" spans="1:22" x14ac:dyDescent="0.2">
      <c r="A4859" s="1">
        <v>38306</v>
      </c>
      <c r="B4859" t="e">
        <f>NA()</f>
        <v>#N/A</v>
      </c>
      <c r="C4859">
        <f>2646.37</f>
        <v>2646.37</v>
      </c>
      <c r="D4859">
        <f>2514.05</f>
        <v>2514.0500000000002</v>
      </c>
      <c r="E4859">
        <f>764.668</f>
        <v>764.66800000000001</v>
      </c>
      <c r="F4859">
        <f>1624.57</f>
        <v>1624.57</v>
      </c>
      <c r="G4859">
        <f>4768.674</f>
        <v>4768.674</v>
      </c>
      <c r="H4859">
        <f>1282.37</f>
        <v>1282.3699999999999</v>
      </c>
      <c r="I4859">
        <f>4481.164</f>
        <v>4481.1639999999998</v>
      </c>
      <c r="J4859">
        <f>1168.06</f>
        <v>1168.06</v>
      </c>
      <c r="K4859">
        <f>3595.42</f>
        <v>3595.42</v>
      </c>
      <c r="L4859">
        <f>803.15</f>
        <v>803.15</v>
      </c>
      <c r="M4859">
        <f>3229.18</f>
        <v>3229.18</v>
      </c>
      <c r="N4859">
        <f>124.675</f>
        <v>124.675</v>
      </c>
      <c r="O4859">
        <f>1231.81</f>
        <v>1231.81</v>
      </c>
      <c r="P4859" t="e">
        <f>NA()</f>
        <v>#N/A</v>
      </c>
      <c r="Q4859">
        <f>644.25</f>
        <v>644.25</v>
      </c>
      <c r="R4859">
        <f>1753.99</f>
        <v>1753.99</v>
      </c>
      <c r="S4859">
        <f>1282.91</f>
        <v>1282.9100000000001</v>
      </c>
      <c r="T4859" t="e">
        <f>NA()</f>
        <v>#N/A</v>
      </c>
      <c r="U4859">
        <f>12263.87</f>
        <v>12263.87</v>
      </c>
      <c r="V4859" t="e">
        <f>NA()</f>
        <v>#N/A</v>
      </c>
    </row>
    <row r="4860" spans="1:22" x14ac:dyDescent="0.2">
      <c r="A4860" s="1">
        <v>38303</v>
      </c>
      <c r="B4860" t="e">
        <f>NA()</f>
        <v>#N/A</v>
      </c>
      <c r="C4860">
        <f>2628.59</f>
        <v>2628.59</v>
      </c>
      <c r="D4860">
        <f>2509.25</f>
        <v>2509.25</v>
      </c>
      <c r="E4860">
        <f>758.789</f>
        <v>758.78899999999999</v>
      </c>
      <c r="F4860">
        <f>1618.93</f>
        <v>1618.93</v>
      </c>
      <c r="G4860">
        <f>4761.789</f>
        <v>4761.7889999999998</v>
      </c>
      <c r="H4860">
        <f>1267.37</f>
        <v>1267.3699999999999</v>
      </c>
      <c r="I4860">
        <f>4488.561</f>
        <v>4488.5609999999997</v>
      </c>
      <c r="J4860">
        <f>1173.36</f>
        <v>1173.3599999999999</v>
      </c>
      <c r="K4860">
        <f>3595.83</f>
        <v>3595.83</v>
      </c>
      <c r="L4860">
        <f>804.49</f>
        <v>804.49</v>
      </c>
      <c r="M4860">
        <f>3223.8</f>
        <v>3223.8</v>
      </c>
      <c r="N4860">
        <f>124.847</f>
        <v>124.84699999999999</v>
      </c>
      <c r="O4860">
        <f>1233.84</f>
        <v>1233.8399999999999</v>
      </c>
      <c r="P4860" t="e">
        <f>NA()</f>
        <v>#N/A</v>
      </c>
      <c r="Q4860">
        <f>643.91</f>
        <v>643.91</v>
      </c>
      <c r="R4860">
        <f>1754.33</f>
        <v>1754.33</v>
      </c>
      <c r="S4860">
        <f>1260.71</f>
        <v>1260.71</v>
      </c>
      <c r="T4860" t="e">
        <f>NA()</f>
        <v>#N/A</v>
      </c>
      <c r="U4860">
        <f>12212.87</f>
        <v>12212.87</v>
      </c>
      <c r="V4860" t="e">
        <f>NA()</f>
        <v>#N/A</v>
      </c>
    </row>
    <row r="4861" spans="1:22" x14ac:dyDescent="0.2">
      <c r="A4861" s="1">
        <v>38302</v>
      </c>
      <c r="B4861" t="e">
        <f>NA()</f>
        <v>#N/A</v>
      </c>
      <c r="C4861">
        <f>2604.08</f>
        <v>2604.08</v>
      </c>
      <c r="D4861">
        <f>2500.32</f>
        <v>2500.3200000000002</v>
      </c>
      <c r="E4861">
        <f>750.769</f>
        <v>750.76900000000001</v>
      </c>
      <c r="F4861">
        <f>1609.54</f>
        <v>1609.54</v>
      </c>
      <c r="G4861">
        <f>4722.724</f>
        <v>4722.7240000000002</v>
      </c>
      <c r="H4861">
        <f>1242.32</f>
        <v>1242.32</v>
      </c>
      <c r="I4861">
        <f>4464.606</f>
        <v>4464.6059999999998</v>
      </c>
      <c r="J4861">
        <f>1162.16</f>
        <v>1162.1600000000001</v>
      </c>
      <c r="K4861">
        <f>3561.52</f>
        <v>3561.52</v>
      </c>
      <c r="L4861">
        <f>798.26</f>
        <v>798.26</v>
      </c>
      <c r="M4861">
        <f>3192.89</f>
        <v>3192.89</v>
      </c>
      <c r="N4861">
        <f>124.568</f>
        <v>124.568</v>
      </c>
      <c r="O4861">
        <f>1229.03</f>
        <v>1229.03</v>
      </c>
      <c r="P4861" t="e">
        <f>NA()</f>
        <v>#N/A</v>
      </c>
      <c r="Q4861">
        <f>639.63</f>
        <v>639.63</v>
      </c>
      <c r="R4861">
        <f>1738.32</f>
        <v>1738.32</v>
      </c>
      <c r="S4861">
        <f>1245.99</f>
        <v>1245.99</v>
      </c>
      <c r="T4861" t="e">
        <f>NA()</f>
        <v>#N/A</v>
      </c>
      <c r="U4861">
        <f>12322.14</f>
        <v>12322.14</v>
      </c>
      <c r="V4861" t="e">
        <f>NA()</f>
        <v>#N/A</v>
      </c>
    </row>
    <row r="4862" spans="1:22" x14ac:dyDescent="0.2">
      <c r="A4862" s="1">
        <v>38301</v>
      </c>
      <c r="B4862" t="e">
        <f>NA()</f>
        <v>#N/A</v>
      </c>
      <c r="C4862">
        <f>2598.43</f>
        <v>2598.4299999999998</v>
      </c>
      <c r="D4862">
        <f>2478.13</f>
        <v>2478.13</v>
      </c>
      <c r="E4862">
        <f>749.675</f>
        <v>749.67499999999995</v>
      </c>
      <c r="F4862">
        <f>1597.18</f>
        <v>1597.18</v>
      </c>
      <c r="G4862">
        <f>4691.289</f>
        <v>4691.2889999999998</v>
      </c>
      <c r="H4862">
        <f>1253.99</f>
        <v>1253.99</v>
      </c>
      <c r="I4862">
        <f>4428.535</f>
        <v>4428.5349999999999</v>
      </c>
      <c r="J4862">
        <f>1152.85</f>
        <v>1152.8499999999999</v>
      </c>
      <c r="K4862">
        <f>3529.42</f>
        <v>3529.42</v>
      </c>
      <c r="L4862">
        <f>793.55</f>
        <v>793.55</v>
      </c>
      <c r="M4862">
        <f>3171.18</f>
        <v>3171.18</v>
      </c>
      <c r="N4862">
        <f>123.13</f>
        <v>123.13</v>
      </c>
      <c r="O4862">
        <f>1218.23</f>
        <v>1218.23</v>
      </c>
      <c r="P4862" t="e">
        <f>NA()</f>
        <v>#N/A</v>
      </c>
      <c r="Q4862">
        <f>634.89</f>
        <v>634.89</v>
      </c>
      <c r="R4862">
        <f>1722.67</f>
        <v>1722.67</v>
      </c>
      <c r="S4862">
        <f>1256.96</f>
        <v>1256.96</v>
      </c>
      <c r="T4862" t="e">
        <f>NA()</f>
        <v>#N/A</v>
      </c>
      <c r="U4862">
        <f>12190.21</f>
        <v>12190.21</v>
      </c>
      <c r="V4862" t="e">
        <f>NA()</f>
        <v>#N/A</v>
      </c>
    </row>
    <row r="4863" spans="1:22" x14ac:dyDescent="0.2">
      <c r="A4863" s="1">
        <v>38300</v>
      </c>
      <c r="B4863" t="e">
        <f>NA()</f>
        <v>#N/A</v>
      </c>
      <c r="C4863">
        <f>2586.05</f>
        <v>2586.0500000000002</v>
      </c>
      <c r="D4863">
        <f>2467.17</f>
        <v>2467.17</v>
      </c>
      <c r="E4863">
        <f>745.768</f>
        <v>745.76800000000003</v>
      </c>
      <c r="F4863">
        <f>1598.53</f>
        <v>1598.53</v>
      </c>
      <c r="G4863">
        <f>4698.804</f>
        <v>4698.8040000000001</v>
      </c>
      <c r="H4863">
        <f>1263.74</f>
        <v>1263.74</v>
      </c>
      <c r="I4863">
        <f>4406.149</f>
        <v>4406.1490000000003</v>
      </c>
      <c r="J4863">
        <f>1150.91</f>
        <v>1150.9100000000001</v>
      </c>
      <c r="K4863">
        <f>3531.85</f>
        <v>3531.85</v>
      </c>
      <c r="L4863">
        <f>792.23</f>
        <v>792.23</v>
      </c>
      <c r="M4863">
        <f>3172.84</f>
        <v>3172.84</v>
      </c>
      <c r="N4863">
        <f>122.442</f>
        <v>122.44199999999999</v>
      </c>
      <c r="O4863">
        <f>1215.35</f>
        <v>1215.3499999999999</v>
      </c>
      <c r="P4863" t="e">
        <f>NA()</f>
        <v>#N/A</v>
      </c>
      <c r="Q4863">
        <f>634.25</f>
        <v>634.25</v>
      </c>
      <c r="R4863">
        <f>1724.08</f>
        <v>1724.08</v>
      </c>
      <c r="S4863">
        <f>1256.5</f>
        <v>1256.5</v>
      </c>
      <c r="T4863" t="e">
        <f>NA()</f>
        <v>#N/A</v>
      </c>
      <c r="U4863">
        <f>12229.63</f>
        <v>12229.63</v>
      </c>
      <c r="V4863" t="e">
        <f>NA()</f>
        <v>#N/A</v>
      </c>
    </row>
    <row r="4864" spans="1:22" x14ac:dyDescent="0.2">
      <c r="A4864" s="1">
        <v>38299</v>
      </c>
      <c r="B4864" t="e">
        <f>NA()</f>
        <v>#N/A</v>
      </c>
      <c r="C4864">
        <f>2575.69</f>
        <v>2575.69</v>
      </c>
      <c r="D4864">
        <f>2466.6</f>
        <v>2466.6</v>
      </c>
      <c r="E4864">
        <f>743.574</f>
        <v>743.57399999999996</v>
      </c>
      <c r="F4864">
        <f>1605.08</f>
        <v>1605.08</v>
      </c>
      <c r="G4864">
        <f>4702.461</f>
        <v>4702.4610000000002</v>
      </c>
      <c r="H4864">
        <f>1269.38</f>
        <v>1269.3800000000001</v>
      </c>
      <c r="I4864">
        <f>4427.615</f>
        <v>4427.6149999999998</v>
      </c>
      <c r="J4864">
        <f>1152.44</f>
        <v>1152.44</v>
      </c>
      <c r="K4864">
        <f>3533.31</f>
        <v>3533.31</v>
      </c>
      <c r="L4864">
        <f>794.84</f>
        <v>794.84</v>
      </c>
      <c r="M4864">
        <f>3178.23</f>
        <v>3178.23</v>
      </c>
      <c r="N4864">
        <f>122.523</f>
        <v>122.523</v>
      </c>
      <c r="O4864">
        <f>1216.39</f>
        <v>1216.3900000000001</v>
      </c>
      <c r="P4864" t="e">
        <f>NA()</f>
        <v>#N/A</v>
      </c>
      <c r="Q4864">
        <f>634.03</f>
        <v>634.03</v>
      </c>
      <c r="R4864">
        <f>1724.59</f>
        <v>1724.59</v>
      </c>
      <c r="S4864">
        <f>1259.21</f>
        <v>1259.21</v>
      </c>
      <c r="T4864" t="e">
        <f>NA()</f>
        <v>#N/A</v>
      </c>
      <c r="U4864">
        <f>12083.57</f>
        <v>12083.57</v>
      </c>
      <c r="V4864" t="e">
        <f>NA()</f>
        <v>#N/A</v>
      </c>
    </row>
    <row r="4865" spans="1:22" x14ac:dyDescent="0.2">
      <c r="A4865" s="1">
        <v>38296</v>
      </c>
      <c r="B4865" t="e">
        <f>NA()</f>
        <v>#N/A</v>
      </c>
      <c r="C4865">
        <f>2584.75</f>
        <v>2584.75</v>
      </c>
      <c r="D4865">
        <f>2478.73</f>
        <v>2478.73</v>
      </c>
      <c r="E4865">
        <f>747.424</f>
        <v>747.42399999999998</v>
      </c>
      <c r="F4865">
        <f>1601.65</f>
        <v>1601.65</v>
      </c>
      <c r="G4865">
        <f>4701.529</f>
        <v>4701.5290000000005</v>
      </c>
      <c r="H4865">
        <f>1275.05</f>
        <v>1275.05</v>
      </c>
      <c r="I4865">
        <f>4413.845</f>
        <v>4413.8450000000003</v>
      </c>
      <c r="J4865">
        <f>1153.74</f>
        <v>1153.74</v>
      </c>
      <c r="K4865">
        <f>3537.7</f>
        <v>3537.7</v>
      </c>
      <c r="L4865">
        <f>794.34</f>
        <v>794.34</v>
      </c>
      <c r="M4865">
        <f>3180.52</f>
        <v>3180.52</v>
      </c>
      <c r="N4865">
        <f>122.672</f>
        <v>122.672</v>
      </c>
      <c r="O4865">
        <f>1217.52</f>
        <v>1217.52</v>
      </c>
      <c r="P4865" t="e">
        <f>NA()</f>
        <v>#N/A</v>
      </c>
      <c r="Q4865">
        <f>633.95</f>
        <v>633.95000000000005</v>
      </c>
      <c r="R4865">
        <f>1726.34</f>
        <v>1726.34</v>
      </c>
      <c r="S4865">
        <f>1269.97</f>
        <v>1269.97</v>
      </c>
      <c r="T4865" t="e">
        <f>NA()</f>
        <v>#N/A</v>
      </c>
      <c r="U4865">
        <f>12062.85</f>
        <v>12062.85</v>
      </c>
      <c r="V4865" t="e">
        <f>NA()</f>
        <v>#N/A</v>
      </c>
    </row>
    <row r="4866" spans="1:22" x14ac:dyDescent="0.2">
      <c r="A4866" s="1">
        <v>38295</v>
      </c>
      <c r="B4866" t="e">
        <f>NA()</f>
        <v>#N/A</v>
      </c>
      <c r="C4866">
        <f>2559.05</f>
        <v>2559.0500000000002</v>
      </c>
      <c r="D4866">
        <f>2472.71</f>
        <v>2472.71</v>
      </c>
      <c r="E4866">
        <f>741.78</f>
        <v>741.78</v>
      </c>
      <c r="F4866">
        <f>1587.99</f>
        <v>1587.99</v>
      </c>
      <c r="G4866">
        <f>4674.44</f>
        <v>4674.4399999999996</v>
      </c>
      <c r="H4866">
        <f>1263.26</f>
        <v>1263.26</v>
      </c>
      <c r="I4866">
        <f>4374.639</f>
        <v>4374.6390000000001</v>
      </c>
      <c r="J4866">
        <f>1153.02</f>
        <v>1153.02</v>
      </c>
      <c r="K4866">
        <f>3524.69</f>
        <v>3524.69</v>
      </c>
      <c r="L4866">
        <f>792.16</f>
        <v>792.16</v>
      </c>
      <c r="M4866">
        <f>3161.9</f>
        <v>3161.9</v>
      </c>
      <c r="N4866">
        <f>121.655</f>
        <v>121.655</v>
      </c>
      <c r="O4866">
        <f>1210.6</f>
        <v>1210.5999999999999</v>
      </c>
      <c r="P4866" t="e">
        <f>NA()</f>
        <v>#N/A</v>
      </c>
      <c r="Q4866">
        <f>633.73</f>
        <v>633.73</v>
      </c>
      <c r="R4866">
        <f>1719.64</f>
        <v>1719.64</v>
      </c>
      <c r="S4866">
        <f>1258.28</f>
        <v>1258.28</v>
      </c>
      <c r="T4866" t="e">
        <f>NA()</f>
        <v>#N/A</v>
      </c>
      <c r="U4866">
        <f>11892.73</f>
        <v>11892.73</v>
      </c>
      <c r="V4866" t="e">
        <f>NA()</f>
        <v>#N/A</v>
      </c>
    </row>
    <row r="4867" spans="1:22" x14ac:dyDescent="0.2">
      <c r="A4867" s="1">
        <v>38294</v>
      </c>
      <c r="B4867" t="e">
        <f>NA()</f>
        <v>#N/A</v>
      </c>
      <c r="C4867">
        <f>2549.96</f>
        <v>2549.96</v>
      </c>
      <c r="D4867">
        <f>2467.58</f>
        <v>2467.58</v>
      </c>
      <c r="E4867">
        <f>740.409</f>
        <v>740.40899999999999</v>
      </c>
      <c r="F4867">
        <f>1595.23</f>
        <v>1595.23</v>
      </c>
      <c r="G4867">
        <f>4678.003</f>
        <v>4678.0029999999997</v>
      </c>
      <c r="H4867">
        <f>1255.57</f>
        <v>1255.57</v>
      </c>
      <c r="I4867">
        <f>4348.513</f>
        <v>4348.5129999999999</v>
      </c>
      <c r="J4867">
        <f>1130.46</f>
        <v>1130.46</v>
      </c>
      <c r="K4867">
        <f>3469.14</f>
        <v>3469.14</v>
      </c>
      <c r="L4867">
        <f>784.75</f>
        <v>784.75</v>
      </c>
      <c r="M4867">
        <f>3128.42</f>
        <v>3128.42</v>
      </c>
      <c r="N4867">
        <f>122.357</f>
        <v>122.357</v>
      </c>
      <c r="O4867">
        <f>1213.64</f>
        <v>1213.6400000000001</v>
      </c>
      <c r="P4867" t="e">
        <f>NA()</f>
        <v>#N/A</v>
      </c>
      <c r="Q4867">
        <f>621.44</f>
        <v>621.44000000000005</v>
      </c>
      <c r="R4867">
        <f>1692.22</f>
        <v>1692.22</v>
      </c>
      <c r="S4867" t="e">
        <f>NA()</f>
        <v>#N/A</v>
      </c>
      <c r="T4867" t="e">
        <f>NA()</f>
        <v>#N/A</v>
      </c>
      <c r="U4867">
        <f>11845.39</f>
        <v>11845.39</v>
      </c>
      <c r="V4867" t="e">
        <f>NA()</f>
        <v>#N/A</v>
      </c>
    </row>
    <row r="4868" spans="1:22" x14ac:dyDescent="0.2">
      <c r="A4868" s="1">
        <v>38293</v>
      </c>
      <c r="B4868" t="e">
        <f>NA()</f>
        <v>#N/A</v>
      </c>
      <c r="C4868">
        <f>2521.6</f>
        <v>2521.6</v>
      </c>
      <c r="D4868">
        <f>2452.43</f>
        <v>2452.4299999999998</v>
      </c>
      <c r="E4868">
        <f>730.09</f>
        <v>730.09</v>
      </c>
      <c r="F4868">
        <f>1579.63</f>
        <v>1579.63</v>
      </c>
      <c r="G4868">
        <f>4622.322</f>
        <v>4622.3220000000001</v>
      </c>
      <c r="H4868">
        <f>1254.51</f>
        <v>1254.51</v>
      </c>
      <c r="I4868">
        <f>4299.133</f>
        <v>4299.1329999999998</v>
      </c>
      <c r="J4868">
        <f>1115.59</f>
        <v>1115.5899999999999</v>
      </c>
      <c r="K4868">
        <f>3429.32</f>
        <v>3429.32</v>
      </c>
      <c r="L4868">
        <f>775.5</f>
        <v>775.5</v>
      </c>
      <c r="M4868">
        <f>3094.86</f>
        <v>3094.86</v>
      </c>
      <c r="N4868">
        <f>122.202</f>
        <v>122.202</v>
      </c>
      <c r="O4868">
        <f>1209.5</f>
        <v>1209.5</v>
      </c>
      <c r="P4868" t="e">
        <f>NA()</f>
        <v>#N/A</v>
      </c>
      <c r="Q4868">
        <f>614.63</f>
        <v>614.63</v>
      </c>
      <c r="R4868">
        <f>1673.16</f>
        <v>1673.16</v>
      </c>
      <c r="S4868">
        <f>1250.27</f>
        <v>1250.27</v>
      </c>
      <c r="T4868" t="e">
        <f>NA()</f>
        <v>#N/A</v>
      </c>
      <c r="U4868">
        <f>11805.98</f>
        <v>11805.98</v>
      </c>
      <c r="V4868" t="e">
        <f>NA()</f>
        <v>#N/A</v>
      </c>
    </row>
    <row r="4869" spans="1:22" x14ac:dyDescent="0.2">
      <c r="A4869" s="1">
        <v>38292</v>
      </c>
      <c r="B4869" t="e">
        <f>NA()</f>
        <v>#N/A</v>
      </c>
      <c r="C4869">
        <f>2505.06</f>
        <v>2505.06</v>
      </c>
      <c r="D4869">
        <f>2442.28</f>
        <v>2442.2800000000002</v>
      </c>
      <c r="E4869">
        <f>725.282</f>
        <v>725.28200000000004</v>
      </c>
      <c r="F4869">
        <f>1562.69</f>
        <v>1562.69</v>
      </c>
      <c r="G4869">
        <f>4590.626</f>
        <v>4590.6260000000002</v>
      </c>
      <c r="H4869">
        <f>1238.42</f>
        <v>1238.42</v>
      </c>
      <c r="I4869">
        <f>4278.304</f>
        <v>4278.3040000000001</v>
      </c>
      <c r="J4869">
        <f>1119.33</f>
        <v>1119.33</v>
      </c>
      <c r="K4869">
        <f>3429.97</f>
        <v>3429.97</v>
      </c>
      <c r="L4869">
        <f>774.28</f>
        <v>774.28</v>
      </c>
      <c r="M4869">
        <f>3085.28</f>
        <v>3085.28</v>
      </c>
      <c r="N4869">
        <f>121.02</f>
        <v>121.02</v>
      </c>
      <c r="O4869">
        <f>1198.57</f>
        <v>1198.57</v>
      </c>
      <c r="P4869" t="e">
        <f>NA()</f>
        <v>#N/A</v>
      </c>
      <c r="Q4869">
        <f>614.35</f>
        <v>614.35</v>
      </c>
      <c r="R4869">
        <f>1673.11</f>
        <v>1673.11</v>
      </c>
      <c r="S4869">
        <f>1233.85</f>
        <v>1233.8499999999999</v>
      </c>
      <c r="T4869" t="e">
        <f>NA()</f>
        <v>#N/A</v>
      </c>
      <c r="U4869">
        <f>11768.52</f>
        <v>11768.52</v>
      </c>
      <c r="V4869" t="e">
        <f>NA()</f>
        <v>#N/A</v>
      </c>
    </row>
    <row r="4870" spans="1:22" x14ac:dyDescent="0.2">
      <c r="A4870" s="1">
        <v>38289</v>
      </c>
      <c r="B4870" t="e">
        <f>NA()</f>
        <v>#N/A</v>
      </c>
      <c r="C4870">
        <f>2494.05</f>
        <v>2494.0500000000002</v>
      </c>
      <c r="D4870">
        <f>2416.37</f>
        <v>2416.37</v>
      </c>
      <c r="E4870">
        <f>722.805</f>
        <v>722.80499999999995</v>
      </c>
      <c r="F4870">
        <f>1541.78</f>
        <v>1541.78</v>
      </c>
      <c r="G4870">
        <f>4540.136</f>
        <v>4540.1360000000004</v>
      </c>
      <c r="H4870">
        <f>1242.05</f>
        <v>1242.05</v>
      </c>
      <c r="I4870">
        <f>4236.551</f>
        <v>4236.5510000000004</v>
      </c>
      <c r="J4870">
        <f>1120.18</f>
        <v>1120.18</v>
      </c>
      <c r="K4870">
        <f>3428.83</f>
        <v>3428.83</v>
      </c>
      <c r="L4870">
        <f>770.42</f>
        <v>770.42</v>
      </c>
      <c r="M4870">
        <f>3076.9</f>
        <v>3076.9</v>
      </c>
      <c r="N4870">
        <f>120.002</f>
        <v>120.002</v>
      </c>
      <c r="O4870">
        <f>1188.12</f>
        <v>1188.1199999999999</v>
      </c>
      <c r="P4870" t="e">
        <f>NA()</f>
        <v>#N/A</v>
      </c>
      <c r="Q4870">
        <f>614.94</f>
        <v>614.94000000000005</v>
      </c>
      <c r="R4870">
        <f>1672.65</f>
        <v>1672.65</v>
      </c>
      <c r="S4870">
        <f>1239.48</f>
        <v>1239.48</v>
      </c>
      <c r="T4870" t="e">
        <f>NA()</f>
        <v>#N/A</v>
      </c>
      <c r="U4870">
        <f>11655.31</f>
        <v>11655.31</v>
      </c>
      <c r="V4870" t="e">
        <f>NA()</f>
        <v>#N/A</v>
      </c>
    </row>
    <row r="4871" spans="1:22" x14ac:dyDescent="0.2">
      <c r="A4871" s="1">
        <v>38288</v>
      </c>
      <c r="B4871" t="e">
        <f>NA()</f>
        <v>#N/A</v>
      </c>
      <c r="C4871">
        <f>2490.77</f>
        <v>2490.77</v>
      </c>
      <c r="D4871">
        <f>2426.09</f>
        <v>2426.09</v>
      </c>
      <c r="E4871">
        <f>719.966</f>
        <v>719.96600000000001</v>
      </c>
      <c r="F4871">
        <f>1550.9</f>
        <v>1550.9</v>
      </c>
      <c r="G4871">
        <f>4553.67</f>
        <v>4553.67</v>
      </c>
      <c r="H4871">
        <f>1242.6</f>
        <v>1242.5999999999999</v>
      </c>
      <c r="I4871">
        <f>4255.364</f>
        <v>4255.3639999999996</v>
      </c>
      <c r="J4871">
        <f>1116.79</f>
        <v>1116.79</v>
      </c>
      <c r="K4871">
        <f>3420.25</f>
        <v>3420.25</v>
      </c>
      <c r="L4871">
        <f>770.45</f>
        <v>770.45</v>
      </c>
      <c r="M4871">
        <f>3076.76</f>
        <v>3076.76</v>
      </c>
      <c r="N4871">
        <f>120.42</f>
        <v>120.42</v>
      </c>
      <c r="O4871">
        <f>1191.62</f>
        <v>1191.6199999999999</v>
      </c>
      <c r="P4871" t="e">
        <f>NA()</f>
        <v>#N/A</v>
      </c>
      <c r="Q4871">
        <f>611.64</f>
        <v>611.64</v>
      </c>
      <c r="R4871">
        <f>1668.55</f>
        <v>1668.55</v>
      </c>
      <c r="S4871">
        <f>1244.98</f>
        <v>1244.98</v>
      </c>
      <c r="T4871" t="e">
        <f>NA()</f>
        <v>#N/A</v>
      </c>
      <c r="U4871">
        <f>11629.78</f>
        <v>11629.78</v>
      </c>
      <c r="V4871" t="e">
        <f>NA()</f>
        <v>#N/A</v>
      </c>
    </row>
    <row r="4872" spans="1:22" x14ac:dyDescent="0.2">
      <c r="A4872" s="1">
        <v>38287</v>
      </c>
      <c r="B4872" t="e">
        <f>NA()</f>
        <v>#N/A</v>
      </c>
      <c r="C4872">
        <f>2489.24</f>
        <v>2489.2399999999998</v>
      </c>
      <c r="D4872">
        <f>2419.44</f>
        <v>2419.44</v>
      </c>
      <c r="E4872">
        <f>715.805</f>
        <v>715.80499999999995</v>
      </c>
      <c r="F4872">
        <f>1548.92</f>
        <v>1548.92</v>
      </c>
      <c r="G4872">
        <f>4555.318</f>
        <v>4555.3180000000002</v>
      </c>
      <c r="H4872">
        <f>1230.56</f>
        <v>1230.56</v>
      </c>
      <c r="I4872">
        <f>4229.936</f>
        <v>4229.9359999999997</v>
      </c>
      <c r="J4872">
        <f>1114.44</f>
        <v>1114.44</v>
      </c>
      <c r="K4872">
        <f>3413.1</f>
        <v>3413.1</v>
      </c>
      <c r="L4872">
        <f>767.61</f>
        <v>767.61</v>
      </c>
      <c r="M4872">
        <f>3063.56</f>
        <v>3063.56</v>
      </c>
      <c r="N4872">
        <f>120.126</f>
        <v>120.126</v>
      </c>
      <c r="O4872">
        <f>1184.3</f>
        <v>1184.3</v>
      </c>
      <c r="P4872" t="e">
        <f>NA()</f>
        <v>#N/A</v>
      </c>
      <c r="Q4872">
        <f>610.73</f>
        <v>610.73</v>
      </c>
      <c r="R4872">
        <f>1665.01</f>
        <v>1665.01</v>
      </c>
      <c r="S4872">
        <f>1226.75</f>
        <v>1226.75</v>
      </c>
      <c r="T4872" t="e">
        <f>NA()</f>
        <v>#N/A</v>
      </c>
      <c r="U4872">
        <f>11796.63</f>
        <v>11796.63</v>
      </c>
      <c r="V4872" t="e">
        <f>NA()</f>
        <v>#N/A</v>
      </c>
    </row>
    <row r="4873" spans="1:22" x14ac:dyDescent="0.2">
      <c r="A4873" s="1">
        <v>38286</v>
      </c>
      <c r="B4873" t="e">
        <f>NA()</f>
        <v>#N/A</v>
      </c>
      <c r="C4873">
        <f>2462.53</f>
        <v>2462.5300000000002</v>
      </c>
      <c r="D4873">
        <f>2394.93</f>
        <v>2394.9299999999998</v>
      </c>
      <c r="E4873">
        <f>710.049</f>
        <v>710.04899999999998</v>
      </c>
      <c r="F4873">
        <f>1541.46</f>
        <v>1541.46</v>
      </c>
      <c r="G4873">
        <f>4510.505</f>
        <v>4510.5050000000001</v>
      </c>
      <c r="H4873">
        <f>1226.11</f>
        <v>1226.1099999999999</v>
      </c>
      <c r="I4873">
        <f>4176.714</f>
        <v>4176.7139999999999</v>
      </c>
      <c r="J4873">
        <f>1105.49</f>
        <v>1105.49</v>
      </c>
      <c r="K4873">
        <f>3369.51</f>
        <v>3369.51</v>
      </c>
      <c r="L4873">
        <f>760.79</f>
        <v>760.79</v>
      </c>
      <c r="M4873">
        <f>3029.71</f>
        <v>3029.71</v>
      </c>
      <c r="N4873">
        <f>119.647</f>
        <v>119.64700000000001</v>
      </c>
      <c r="O4873">
        <f>1170.06</f>
        <v>1170.06</v>
      </c>
      <c r="P4873" t="e">
        <f>NA()</f>
        <v>#N/A</v>
      </c>
      <c r="Q4873">
        <f>604.12</f>
        <v>604.12</v>
      </c>
      <c r="R4873">
        <f>1643.57</f>
        <v>1643.57</v>
      </c>
      <c r="S4873">
        <f>1225.51</f>
        <v>1225.51</v>
      </c>
      <c r="T4873" t="e">
        <f>NA()</f>
        <v>#N/A</v>
      </c>
      <c r="U4873">
        <f>11793.27</f>
        <v>11793.27</v>
      </c>
      <c r="V4873" t="e">
        <f>NA()</f>
        <v>#N/A</v>
      </c>
    </row>
    <row r="4874" spans="1:22" x14ac:dyDescent="0.2">
      <c r="A4874" s="1">
        <v>38285</v>
      </c>
      <c r="B4874" t="e">
        <f>NA()</f>
        <v>#N/A</v>
      </c>
      <c r="C4874">
        <f>2451</f>
        <v>2451</v>
      </c>
      <c r="D4874">
        <f>2385.1</f>
        <v>2385.1</v>
      </c>
      <c r="E4874">
        <f>707.609</f>
        <v>707.60900000000004</v>
      </c>
      <c r="F4874">
        <f>1529.37</f>
        <v>1529.37</v>
      </c>
      <c r="G4874">
        <f>4497.041</f>
        <v>4497.0410000000002</v>
      </c>
      <c r="H4874">
        <f>1226.99</f>
        <v>1226.99</v>
      </c>
      <c r="I4874">
        <f>4167.18</f>
        <v>4167.18</v>
      </c>
      <c r="J4874">
        <f>1089.27</f>
        <v>1089.27</v>
      </c>
      <c r="K4874">
        <f>3320.47</f>
        <v>3320.47</v>
      </c>
      <c r="L4874">
        <f>755.92</f>
        <v>755.92</v>
      </c>
      <c r="M4874">
        <f>3002.52</f>
        <v>3002.52</v>
      </c>
      <c r="N4874">
        <f>118.741</f>
        <v>118.741</v>
      </c>
      <c r="O4874">
        <f>1165.88</f>
        <v>1165.8800000000001</v>
      </c>
      <c r="P4874" t="e">
        <f>NA()</f>
        <v>#N/A</v>
      </c>
      <c r="Q4874">
        <f>594.89</f>
        <v>594.89</v>
      </c>
      <c r="R4874">
        <f>1619.48</f>
        <v>1619.48</v>
      </c>
      <c r="S4874">
        <f>1227.69</f>
        <v>1227.69</v>
      </c>
      <c r="T4874" t="e">
        <f>NA()</f>
        <v>#N/A</v>
      </c>
      <c r="U4874">
        <f>11622.43</f>
        <v>11622.43</v>
      </c>
      <c r="V4874" t="e">
        <f>NA()</f>
        <v>#N/A</v>
      </c>
    </row>
    <row r="4875" spans="1:22" x14ac:dyDescent="0.2">
      <c r="A4875" s="1">
        <v>38282</v>
      </c>
      <c r="B4875" t="e">
        <f>NA()</f>
        <v>#N/A</v>
      </c>
      <c r="C4875">
        <f>2468.62</f>
        <v>2468.62</v>
      </c>
      <c r="D4875">
        <f>2411.67</f>
        <v>2411.67</v>
      </c>
      <c r="E4875">
        <f>713.347</f>
        <v>713.34699999999998</v>
      </c>
      <c r="F4875">
        <f>1536.39</f>
        <v>1536.39</v>
      </c>
      <c r="G4875">
        <f>4517.023</f>
        <v>4517.0230000000001</v>
      </c>
      <c r="H4875">
        <f>1233.99</f>
        <v>1233.99</v>
      </c>
      <c r="I4875">
        <f>4191.09</f>
        <v>4191.09</v>
      </c>
      <c r="J4875">
        <f>1092.27</f>
        <v>1092.27</v>
      </c>
      <c r="K4875">
        <f>3324.37</f>
        <v>3324.37</v>
      </c>
      <c r="L4875">
        <f>758.07</f>
        <v>758.07</v>
      </c>
      <c r="M4875">
        <f>3010.37</f>
        <v>3010.37</v>
      </c>
      <c r="N4875">
        <f>120.706</f>
        <v>120.706</v>
      </c>
      <c r="O4875">
        <f>1185.97</f>
        <v>1185.97</v>
      </c>
      <c r="P4875" t="e">
        <f>NA()</f>
        <v>#N/A</v>
      </c>
      <c r="Q4875">
        <f>594.25</f>
        <v>594.25</v>
      </c>
      <c r="R4875">
        <f>1620.85</f>
        <v>1620.85</v>
      </c>
      <c r="S4875">
        <f>1245.64</f>
        <v>1245.6400000000001</v>
      </c>
      <c r="T4875" t="e">
        <f>NA()</f>
        <v>#N/A</v>
      </c>
      <c r="U4875">
        <f>11647.15</f>
        <v>11647.15</v>
      </c>
      <c r="V4875" t="e">
        <f>NA()</f>
        <v>#N/A</v>
      </c>
    </row>
    <row r="4876" spans="1:22" x14ac:dyDescent="0.2">
      <c r="A4876" s="1">
        <v>38281</v>
      </c>
      <c r="B4876" t="e">
        <f>NA()</f>
        <v>#N/A</v>
      </c>
      <c r="C4876">
        <f>2460.19</f>
        <v>2460.19</v>
      </c>
      <c r="D4876">
        <f>2412.69</f>
        <v>2412.69</v>
      </c>
      <c r="E4876">
        <f>710.019</f>
        <v>710.01900000000001</v>
      </c>
      <c r="F4876">
        <f>1540.46</f>
        <v>1540.46</v>
      </c>
      <c r="G4876">
        <f>4518.168</f>
        <v>4518.1679999999997</v>
      </c>
      <c r="H4876">
        <f>1230.36</f>
        <v>1230.3599999999999</v>
      </c>
      <c r="I4876">
        <f>4181.994</f>
        <v>4181.9939999999997</v>
      </c>
      <c r="J4876">
        <f>1098.69</f>
        <v>1098.69</v>
      </c>
      <c r="K4876">
        <f>3357.75</f>
        <v>3357.75</v>
      </c>
      <c r="L4876">
        <f>759.25</f>
        <v>759.25</v>
      </c>
      <c r="M4876">
        <f>3024.24</f>
        <v>3024.24</v>
      </c>
      <c r="N4876">
        <f>120.617</f>
        <v>120.617</v>
      </c>
      <c r="O4876">
        <f>1187.22</f>
        <v>1187.22</v>
      </c>
      <c r="P4876" t="e">
        <f>NA()</f>
        <v>#N/A</v>
      </c>
      <c r="Q4876">
        <f>598.59</f>
        <v>598.59</v>
      </c>
      <c r="R4876">
        <f>1636.76</f>
        <v>1636.76</v>
      </c>
      <c r="S4876">
        <f>1239.09</f>
        <v>1239.0899999999999</v>
      </c>
      <c r="T4876" t="e">
        <f>NA()</f>
        <v>#N/A</v>
      </c>
      <c r="U4876">
        <f>11655.85</f>
        <v>11655.85</v>
      </c>
      <c r="V4876" t="e">
        <f>NA()</f>
        <v>#N/A</v>
      </c>
    </row>
    <row r="4877" spans="1:22" x14ac:dyDescent="0.2">
      <c r="A4877" s="1">
        <v>38280</v>
      </c>
      <c r="B4877" t="e">
        <f>NA()</f>
        <v>#N/A</v>
      </c>
      <c r="C4877">
        <f>2432.04</f>
        <v>2432.04</v>
      </c>
      <c r="D4877">
        <f>2412.17</f>
        <v>2412.17</v>
      </c>
      <c r="E4877">
        <f>706.065</f>
        <v>706.06500000000005</v>
      </c>
      <c r="F4877">
        <f>1535.38</f>
        <v>1535.38</v>
      </c>
      <c r="G4877">
        <f>4484.908</f>
        <v>4484.9080000000004</v>
      </c>
      <c r="H4877">
        <f>1225.83</f>
        <v>1225.83</v>
      </c>
      <c r="I4877">
        <f>4160.758</f>
        <v>4160.7579999999998</v>
      </c>
      <c r="J4877">
        <f>1100.59</f>
        <v>1100.5899999999999</v>
      </c>
      <c r="K4877">
        <f>3348.82</f>
        <v>3348.82</v>
      </c>
      <c r="L4877">
        <f>757.46</f>
        <v>757.46</v>
      </c>
      <c r="M4877">
        <f>3013.88</f>
        <v>3013.88</v>
      </c>
      <c r="N4877">
        <f>119.378</f>
        <v>119.378</v>
      </c>
      <c r="O4877">
        <f>1180.81</f>
        <v>1180.81</v>
      </c>
      <c r="P4877" t="e">
        <f>NA()</f>
        <v>#N/A</v>
      </c>
      <c r="Q4877">
        <f>597.96</f>
        <v>597.96</v>
      </c>
      <c r="R4877">
        <f>1632.49</f>
        <v>1632.49</v>
      </c>
      <c r="S4877">
        <f>1249.18</f>
        <v>1249.18</v>
      </c>
      <c r="T4877" t="e">
        <f>NA()</f>
        <v>#N/A</v>
      </c>
      <c r="U4877">
        <f>11604.06</f>
        <v>11604.06</v>
      </c>
      <c r="V4877" t="e">
        <f>NA()</f>
        <v>#N/A</v>
      </c>
    </row>
    <row r="4878" spans="1:22" x14ac:dyDescent="0.2">
      <c r="A4878" s="1">
        <v>38279</v>
      </c>
      <c r="B4878" t="e">
        <f>NA()</f>
        <v>#N/A</v>
      </c>
      <c r="C4878">
        <f>2463.81</f>
        <v>2463.81</v>
      </c>
      <c r="D4878">
        <f>2431.53</f>
        <v>2431.5300000000002</v>
      </c>
      <c r="E4878">
        <f>715.335</f>
        <v>715.33500000000004</v>
      </c>
      <c r="F4878">
        <f>1542.61</f>
        <v>1542.61</v>
      </c>
      <c r="G4878">
        <f>4498.861</f>
        <v>4498.8609999999999</v>
      </c>
      <c r="H4878">
        <f>1235.83</f>
        <v>1235.83</v>
      </c>
      <c r="I4878">
        <f>4172.047</f>
        <v>4172.0469999999996</v>
      </c>
      <c r="J4878">
        <f>1102.61</f>
        <v>1102.6099999999999</v>
      </c>
      <c r="K4878">
        <f>3347.13</f>
        <v>3347.13</v>
      </c>
      <c r="L4878">
        <f>758.7</f>
        <v>758.7</v>
      </c>
      <c r="M4878">
        <f>3017.32</f>
        <v>3017.32</v>
      </c>
      <c r="N4878">
        <f>120.38</f>
        <v>120.38</v>
      </c>
      <c r="O4878">
        <f>1192.1</f>
        <v>1192.0999999999999</v>
      </c>
      <c r="P4878" t="e">
        <f>NA()</f>
        <v>#N/A</v>
      </c>
      <c r="Q4878">
        <f>598.01</f>
        <v>598.01</v>
      </c>
      <c r="R4878">
        <f>1631.74</f>
        <v>1631.74</v>
      </c>
      <c r="S4878">
        <f>1265.98</f>
        <v>1265.98</v>
      </c>
      <c r="T4878" t="e">
        <f>NA()</f>
        <v>#N/A</v>
      </c>
      <c r="U4878">
        <f>11692.71</f>
        <v>11692.71</v>
      </c>
      <c r="V4878" t="e">
        <f>NA()</f>
        <v>#N/A</v>
      </c>
    </row>
    <row r="4879" spans="1:22" x14ac:dyDescent="0.2">
      <c r="A4879" s="1">
        <v>38278</v>
      </c>
      <c r="B4879" t="e">
        <f>NA()</f>
        <v>#N/A</v>
      </c>
      <c r="C4879">
        <f>2467.13</f>
        <v>2467.13</v>
      </c>
      <c r="D4879">
        <f>2416.56</f>
        <v>2416.56</v>
      </c>
      <c r="E4879">
        <f>712.001</f>
        <v>712.00099999999998</v>
      </c>
      <c r="F4879">
        <f>1528.82</f>
        <v>1528.82</v>
      </c>
      <c r="G4879">
        <f>4460.379</f>
        <v>4460.3789999999999</v>
      </c>
      <c r="H4879">
        <f>1223.62</f>
        <v>1223.6199999999999</v>
      </c>
      <c r="I4879">
        <f>4129.516</f>
        <v>4129.5159999999996</v>
      </c>
      <c r="J4879">
        <f>1115.67</f>
        <v>1115.67</v>
      </c>
      <c r="K4879">
        <f>3378.99</f>
        <v>3378.99</v>
      </c>
      <c r="L4879">
        <f>759.21</f>
        <v>759.21</v>
      </c>
      <c r="M4879">
        <f>3020.32</f>
        <v>3020.32</v>
      </c>
      <c r="N4879">
        <f>119.149</f>
        <v>119.149</v>
      </c>
      <c r="O4879">
        <f>1180.52</f>
        <v>1180.52</v>
      </c>
      <c r="P4879" t="e">
        <f>NA()</f>
        <v>#N/A</v>
      </c>
      <c r="Q4879">
        <f>602.94</f>
        <v>602.94000000000005</v>
      </c>
      <c r="R4879">
        <f>1647.7</f>
        <v>1647.7</v>
      </c>
      <c r="S4879">
        <f>1257.37</f>
        <v>1257.3699999999999</v>
      </c>
      <c r="T4879" t="e">
        <f>NA()</f>
        <v>#N/A</v>
      </c>
      <c r="U4879">
        <f>11741.57</f>
        <v>11741.57</v>
      </c>
      <c r="V4879" t="e">
        <f>NA()</f>
        <v>#N/A</v>
      </c>
    </row>
    <row r="4880" spans="1:22" x14ac:dyDescent="0.2">
      <c r="A4880" s="1">
        <v>38275</v>
      </c>
      <c r="B4880" t="e">
        <f>NA()</f>
        <v>#N/A</v>
      </c>
      <c r="C4880">
        <f>2460.77</f>
        <v>2460.77</v>
      </c>
      <c r="D4880">
        <f>2414.56</f>
        <v>2414.56</v>
      </c>
      <c r="E4880">
        <f>710.584</f>
        <v>710.58399999999995</v>
      </c>
      <c r="F4880">
        <f>1534.76</f>
        <v>1534.76</v>
      </c>
      <c r="G4880">
        <f>4470.682</f>
        <v>4470.6819999999998</v>
      </c>
      <c r="H4880">
        <f>1228.35</f>
        <v>1228.3499999999999</v>
      </c>
      <c r="I4880">
        <f>4123.569</f>
        <v>4123.5690000000004</v>
      </c>
      <c r="J4880">
        <f>1113.72</f>
        <v>1113.72</v>
      </c>
      <c r="K4880">
        <f>3360.85</f>
        <v>3360.85</v>
      </c>
      <c r="L4880">
        <f>759.7</f>
        <v>759.7</v>
      </c>
      <c r="M4880">
        <f>3013.98</f>
        <v>3013.98</v>
      </c>
      <c r="N4880">
        <f>119.437</f>
        <v>119.437</v>
      </c>
      <c r="O4880">
        <f>1183.77</f>
        <v>1183.77</v>
      </c>
      <c r="P4880" t="e">
        <f>NA()</f>
        <v>#N/A</v>
      </c>
      <c r="Q4880">
        <f>600.26</f>
        <v>600.26</v>
      </c>
      <c r="R4880">
        <f>1639.08</f>
        <v>1639.08</v>
      </c>
      <c r="S4880">
        <f>1262.25</f>
        <v>1262.25</v>
      </c>
      <c r="T4880" t="e">
        <f>NA()</f>
        <v>#N/A</v>
      </c>
      <c r="U4880">
        <f>11834.82</f>
        <v>11834.82</v>
      </c>
      <c r="V4880" t="e">
        <f>NA()</f>
        <v>#N/A</v>
      </c>
    </row>
    <row r="4881" spans="1:22" x14ac:dyDescent="0.2">
      <c r="A4881" s="1">
        <v>38274</v>
      </c>
      <c r="B4881" t="e">
        <f>NA()</f>
        <v>#N/A</v>
      </c>
      <c r="C4881">
        <f>2440.89</f>
        <v>2440.89</v>
      </c>
      <c r="D4881">
        <f>2418.02</f>
        <v>2418.02</v>
      </c>
      <c r="E4881">
        <f>707.743</f>
        <v>707.74300000000005</v>
      </c>
      <c r="F4881">
        <f>1530.04</f>
        <v>1530.04</v>
      </c>
      <c r="G4881">
        <f>4451.784</f>
        <v>4451.7839999999997</v>
      </c>
      <c r="H4881">
        <f>1226.67</f>
        <v>1226.67</v>
      </c>
      <c r="I4881">
        <f>4100.073</f>
        <v>4100.0730000000003</v>
      </c>
      <c r="J4881">
        <f>1105.89</f>
        <v>1105.8900000000001</v>
      </c>
      <c r="K4881">
        <f>3346.91</f>
        <v>3346.91</v>
      </c>
      <c r="L4881">
        <f>755.44</f>
        <v>755.44</v>
      </c>
      <c r="M4881">
        <f>3001.88</f>
        <v>3001.88</v>
      </c>
      <c r="N4881">
        <f>120.361</f>
        <v>120.361</v>
      </c>
      <c r="O4881">
        <f>1187.03</f>
        <v>1187.03</v>
      </c>
      <c r="P4881" t="e">
        <f>NA()</f>
        <v>#N/A</v>
      </c>
      <c r="Q4881">
        <f>594.92</f>
        <v>594.91999999999996</v>
      </c>
      <c r="R4881">
        <f>1631.81</f>
        <v>1631.81</v>
      </c>
      <c r="S4881">
        <f>1267.11</f>
        <v>1267.1099999999999</v>
      </c>
      <c r="T4881" t="e">
        <f>NA()</f>
        <v>#N/A</v>
      </c>
      <c r="U4881">
        <f>11816.87</f>
        <v>11816.87</v>
      </c>
      <c r="V4881" t="e">
        <f>NA()</f>
        <v>#N/A</v>
      </c>
    </row>
    <row r="4882" spans="1:22" x14ac:dyDescent="0.2">
      <c r="A4882" s="1">
        <v>38273</v>
      </c>
      <c r="B4882" t="e">
        <f>NA()</f>
        <v>#N/A</v>
      </c>
      <c r="C4882">
        <f>2449.97</f>
        <v>2449.9699999999998</v>
      </c>
      <c r="D4882">
        <f>2420.84</f>
        <v>2420.84</v>
      </c>
      <c r="E4882">
        <f>712.1</f>
        <v>712.1</v>
      </c>
      <c r="F4882">
        <f>1527.04</f>
        <v>1527.04</v>
      </c>
      <c r="G4882">
        <f>4441.44</f>
        <v>4441.4399999999996</v>
      </c>
      <c r="H4882">
        <f>1239.38</f>
        <v>1239.3800000000001</v>
      </c>
      <c r="I4882">
        <f>4085.357</f>
        <v>4085.357</v>
      </c>
      <c r="J4882">
        <f>1115.01</f>
        <v>1115.01</v>
      </c>
      <c r="K4882">
        <f>3377.99</f>
        <v>3377.99</v>
      </c>
      <c r="L4882">
        <f>755.53</f>
        <v>755.53</v>
      </c>
      <c r="M4882">
        <f>3015.2</f>
        <v>3015.2</v>
      </c>
      <c r="N4882">
        <f>121.638</f>
        <v>121.63800000000001</v>
      </c>
      <c r="O4882">
        <f>1195.3</f>
        <v>1195.3</v>
      </c>
      <c r="P4882" t="e">
        <f>NA()</f>
        <v>#N/A</v>
      </c>
      <c r="Q4882">
        <f>597.8</f>
        <v>597.79999999999995</v>
      </c>
      <c r="R4882">
        <f>1647.13</f>
        <v>1647.13</v>
      </c>
      <c r="S4882">
        <f>1282.88</f>
        <v>1282.8800000000001</v>
      </c>
      <c r="T4882" t="e">
        <f>NA()</f>
        <v>#N/A</v>
      </c>
      <c r="U4882">
        <f>11796.93</f>
        <v>11796.93</v>
      </c>
      <c r="V4882" t="e">
        <f>NA()</f>
        <v>#N/A</v>
      </c>
    </row>
    <row r="4883" spans="1:22" x14ac:dyDescent="0.2">
      <c r="A4883" s="1">
        <v>38272</v>
      </c>
      <c r="B4883" t="e">
        <f>NA()</f>
        <v>#N/A</v>
      </c>
      <c r="C4883">
        <f>2489.69</f>
        <v>2489.69</v>
      </c>
      <c r="D4883">
        <f>2427.39</f>
        <v>2427.39</v>
      </c>
      <c r="E4883">
        <f>718.64</f>
        <v>718.64</v>
      </c>
      <c r="F4883">
        <f>1526.46</f>
        <v>1526.46</v>
      </c>
      <c r="G4883">
        <f>4449.837</f>
        <v>4449.8370000000004</v>
      </c>
      <c r="H4883">
        <f>1243.94</f>
        <v>1243.94</v>
      </c>
      <c r="I4883">
        <f>4082.803</f>
        <v>4082.8029999999999</v>
      </c>
      <c r="J4883">
        <f>1126.87</f>
        <v>1126.8699999999999</v>
      </c>
      <c r="K4883">
        <f>3401.73</f>
        <v>3401.73</v>
      </c>
      <c r="L4883">
        <f>760.26</f>
        <v>760.26</v>
      </c>
      <c r="M4883">
        <f>3029.94</f>
        <v>3029.94</v>
      </c>
      <c r="N4883">
        <f>120.833</f>
        <v>120.833</v>
      </c>
      <c r="O4883">
        <f>1191.93</f>
        <v>1191.93</v>
      </c>
      <c r="P4883" t="e">
        <f>NA()</f>
        <v>#N/A</v>
      </c>
      <c r="Q4883">
        <f>602.89</f>
        <v>602.89</v>
      </c>
      <c r="R4883">
        <f>1659.07</f>
        <v>1659.07</v>
      </c>
      <c r="S4883">
        <f>1286.69</f>
        <v>1286.69</v>
      </c>
      <c r="T4883" t="e">
        <f>NA()</f>
        <v>#N/A</v>
      </c>
      <c r="U4883">
        <f>11918.98</f>
        <v>11918.98</v>
      </c>
      <c r="V4883" t="e">
        <f>NA()</f>
        <v>#N/A</v>
      </c>
    </row>
    <row r="4884" spans="1:22" x14ac:dyDescent="0.2">
      <c r="A4884" s="1">
        <v>38271</v>
      </c>
      <c r="B4884" t="e">
        <f>NA()</f>
        <v>#N/A</v>
      </c>
      <c r="C4884">
        <f>2524.28</f>
        <v>2524.2800000000002</v>
      </c>
      <c r="D4884">
        <f>2447.01</f>
        <v>2447.0100000000002</v>
      </c>
      <c r="E4884">
        <f>730.927</f>
        <v>730.92700000000002</v>
      </c>
      <c r="F4884">
        <f>1546.26</f>
        <v>1546.26</v>
      </c>
      <c r="G4884">
        <f>4505.312</f>
        <v>4505.3119999999999</v>
      </c>
      <c r="H4884">
        <f>1260.9</f>
        <v>1260.9000000000001</v>
      </c>
      <c r="I4884">
        <f>4144.402</f>
        <v>4144.402</v>
      </c>
      <c r="J4884">
        <f>1129.31</f>
        <v>1129.31</v>
      </c>
      <c r="K4884">
        <f>3409.15</f>
        <v>3409.15</v>
      </c>
      <c r="L4884">
        <f>765.31</f>
        <v>765.31</v>
      </c>
      <c r="M4884">
        <f>3052.18</f>
        <v>3052.18</v>
      </c>
      <c r="N4884">
        <f>121.68</f>
        <v>121.68</v>
      </c>
      <c r="O4884">
        <f>1201.73</f>
        <v>1201.73</v>
      </c>
      <c r="P4884" t="e">
        <f>NA()</f>
        <v>#N/A</v>
      </c>
      <c r="Q4884">
        <f>604.67</f>
        <v>604.66999999999996</v>
      </c>
      <c r="R4884">
        <f>1662.84</f>
        <v>1662.84</v>
      </c>
      <c r="S4884" t="e">
        <f>NA()</f>
        <v>#N/A</v>
      </c>
      <c r="T4884" t="e">
        <f>NA()</f>
        <v>#N/A</v>
      </c>
      <c r="U4884">
        <f>12063.11</f>
        <v>12063.11</v>
      </c>
      <c r="V4884" t="e">
        <f>NA()</f>
        <v>#N/A</v>
      </c>
    </row>
    <row r="4885" spans="1:22" x14ac:dyDescent="0.2">
      <c r="A4885" s="1">
        <v>38268</v>
      </c>
      <c r="B4885" t="e">
        <f>NA()</f>
        <v>#N/A</v>
      </c>
      <c r="C4885">
        <f>2525.6</f>
        <v>2525.6</v>
      </c>
      <c r="D4885">
        <f>2453.99</f>
        <v>2453.9899999999998</v>
      </c>
      <c r="E4885">
        <f>733.38</f>
        <v>733.38</v>
      </c>
      <c r="F4885">
        <f>1545.95</f>
        <v>1545.95</v>
      </c>
      <c r="G4885">
        <f>4514.484</f>
        <v>4514.4840000000004</v>
      </c>
      <c r="H4885">
        <f>1254.87</f>
        <v>1254.8699999999999</v>
      </c>
      <c r="I4885">
        <f>4161.746</f>
        <v>4161.7460000000001</v>
      </c>
      <c r="J4885">
        <f>1127.11</f>
        <v>1127.1099999999999</v>
      </c>
      <c r="K4885">
        <f>3402.03</f>
        <v>3402.03</v>
      </c>
      <c r="L4885">
        <f>765.61</f>
        <v>765.61</v>
      </c>
      <c r="M4885">
        <f>3050.53</f>
        <v>3050.53</v>
      </c>
      <c r="N4885">
        <f>121.373</f>
        <v>121.373</v>
      </c>
      <c r="O4885">
        <f>1201.81</f>
        <v>1201.81</v>
      </c>
      <c r="P4885" t="e">
        <f>NA()</f>
        <v>#N/A</v>
      </c>
      <c r="Q4885">
        <f>603.18</f>
        <v>603.17999999999995</v>
      </c>
      <c r="R4885">
        <f>1659.51</f>
        <v>1659.51</v>
      </c>
      <c r="S4885">
        <f>1301.84</f>
        <v>1301.8399999999999</v>
      </c>
      <c r="T4885" t="e">
        <f>NA()</f>
        <v>#N/A</v>
      </c>
      <c r="U4885">
        <f>12115.36</f>
        <v>12115.36</v>
      </c>
      <c r="V4885" t="e">
        <f>NA()</f>
        <v>#N/A</v>
      </c>
    </row>
    <row r="4886" spans="1:22" x14ac:dyDescent="0.2">
      <c r="A4886" s="1">
        <v>38267</v>
      </c>
      <c r="B4886" t="e">
        <f>NA()</f>
        <v>#N/A</v>
      </c>
      <c r="C4886">
        <f>2514</f>
        <v>2514</v>
      </c>
      <c r="D4886">
        <f>2453.89</f>
        <v>2453.89</v>
      </c>
      <c r="E4886">
        <f>733.067</f>
        <v>733.06700000000001</v>
      </c>
      <c r="F4886">
        <f>1539.04</f>
        <v>1539.04</v>
      </c>
      <c r="G4886">
        <f>4484.071</f>
        <v>4484.0709999999999</v>
      </c>
      <c r="H4886">
        <f>1236.47</f>
        <v>1236.47</v>
      </c>
      <c r="I4886">
        <f>4138.548</f>
        <v>4138.5479999999998</v>
      </c>
      <c r="J4886">
        <f>1130.85</f>
        <v>1130.8499999999999</v>
      </c>
      <c r="K4886">
        <f>3427.04</f>
        <v>3427.04</v>
      </c>
      <c r="L4886">
        <f>763.13</f>
        <v>763.13</v>
      </c>
      <c r="M4886">
        <f>3052.69</f>
        <v>3052.69</v>
      </c>
      <c r="N4886">
        <f>121.772</f>
        <v>121.77200000000001</v>
      </c>
      <c r="O4886">
        <f>1207.64</f>
        <v>1207.6400000000001</v>
      </c>
      <c r="P4886" t="e">
        <f>NA()</f>
        <v>#N/A</v>
      </c>
      <c r="Q4886">
        <f>607.04</f>
        <v>607.04</v>
      </c>
      <c r="R4886">
        <f>1672.08</f>
        <v>1672.08</v>
      </c>
      <c r="S4886">
        <f>1303.87</f>
        <v>1303.8699999999999</v>
      </c>
      <c r="T4886" t="e">
        <f>NA()</f>
        <v>#N/A</v>
      </c>
      <c r="U4886">
        <f>12087.27</f>
        <v>12087.27</v>
      </c>
      <c r="V4886" t="e">
        <f>NA()</f>
        <v>#N/A</v>
      </c>
    </row>
    <row r="4887" spans="1:22" x14ac:dyDescent="0.2">
      <c r="A4887" s="1">
        <v>38266</v>
      </c>
      <c r="B4887" t="e">
        <f>NA()</f>
        <v>#N/A</v>
      </c>
      <c r="C4887">
        <f>2510.94</f>
        <v>2510.94</v>
      </c>
      <c r="D4887">
        <f>2457.89</f>
        <v>2457.89</v>
      </c>
      <c r="E4887">
        <f>731.409</f>
        <v>731.40899999999999</v>
      </c>
      <c r="F4887">
        <f>1532.62</f>
        <v>1532.62</v>
      </c>
      <c r="G4887">
        <f>4485.328</f>
        <v>4485.3280000000004</v>
      </c>
      <c r="H4887">
        <f>1242.75</f>
        <v>1242.75</v>
      </c>
      <c r="I4887">
        <f>4149.344</f>
        <v>4149.3440000000001</v>
      </c>
      <c r="J4887">
        <f>1139.88</f>
        <v>1139.8800000000001</v>
      </c>
      <c r="K4887">
        <f>3461.71</f>
        <v>3461.71</v>
      </c>
      <c r="L4887">
        <f>765.76</f>
        <v>765.76</v>
      </c>
      <c r="M4887">
        <f>3072.73</f>
        <v>3072.73</v>
      </c>
      <c r="N4887">
        <f>121.623</f>
        <v>121.623</v>
      </c>
      <c r="O4887">
        <f>1208.43</f>
        <v>1208.43</v>
      </c>
      <c r="P4887" t="e">
        <f>NA()</f>
        <v>#N/A</v>
      </c>
      <c r="Q4887">
        <f>613.28</f>
        <v>613.28</v>
      </c>
      <c r="R4887">
        <f>1688.83</f>
        <v>1688.83</v>
      </c>
      <c r="S4887">
        <f>1310.56</f>
        <v>1310.56</v>
      </c>
      <c r="T4887" t="e">
        <f>NA()</f>
        <v>#N/A</v>
      </c>
      <c r="U4887">
        <f>11925</f>
        <v>11925</v>
      </c>
      <c r="V4887" t="e">
        <f>NA()</f>
        <v>#N/A</v>
      </c>
    </row>
    <row r="4888" spans="1:22" x14ac:dyDescent="0.2">
      <c r="A4888" s="1">
        <v>38265</v>
      </c>
      <c r="B4888" t="e">
        <f>NA()</f>
        <v>#N/A</v>
      </c>
      <c r="C4888">
        <f>2509.76</f>
        <v>2509.7600000000002</v>
      </c>
      <c r="D4888">
        <f>2458.11</f>
        <v>2458.11</v>
      </c>
      <c r="E4888">
        <f>731.176</f>
        <v>731.17600000000004</v>
      </c>
      <c r="F4888">
        <f>1537.59</f>
        <v>1537.59</v>
      </c>
      <c r="G4888">
        <f>4494.208</f>
        <v>4494.2079999999996</v>
      </c>
      <c r="H4888">
        <f>1238.48</f>
        <v>1238.48</v>
      </c>
      <c r="I4888">
        <f>4151.832</f>
        <v>4151.8320000000003</v>
      </c>
      <c r="J4888">
        <f>1132.31</f>
        <v>1132.31</v>
      </c>
      <c r="K4888">
        <f>3438.18</f>
        <v>3438.18</v>
      </c>
      <c r="L4888">
        <f>763.36</f>
        <v>763.36</v>
      </c>
      <c r="M4888">
        <f>3059.6</f>
        <v>3059.6</v>
      </c>
      <c r="N4888">
        <f>121.618</f>
        <v>121.61799999999999</v>
      </c>
      <c r="O4888">
        <f>1208.92</f>
        <v>1208.92</v>
      </c>
      <c r="P4888" t="e">
        <f>NA()</f>
        <v>#N/A</v>
      </c>
      <c r="Q4888">
        <f>610.86</f>
        <v>610.86</v>
      </c>
      <c r="R4888">
        <f>1677.09</f>
        <v>1677.09</v>
      </c>
      <c r="S4888">
        <f>1301.91</f>
        <v>1301.9100000000001</v>
      </c>
      <c r="T4888" t="e">
        <f>NA()</f>
        <v>#N/A</v>
      </c>
      <c r="U4888">
        <f>11857.01</f>
        <v>11857.01</v>
      </c>
      <c r="V4888" t="e">
        <f>NA()</f>
        <v>#N/A</v>
      </c>
    </row>
    <row r="4889" spans="1:22" x14ac:dyDescent="0.2">
      <c r="A4889" s="1">
        <v>38264</v>
      </c>
      <c r="B4889" t="e">
        <f>NA()</f>
        <v>#N/A</v>
      </c>
      <c r="C4889">
        <f>2509.92</f>
        <v>2509.92</v>
      </c>
      <c r="D4889">
        <f>2444.85</f>
        <v>2444.85</v>
      </c>
      <c r="E4889">
        <f>731.388</f>
        <v>731.38800000000003</v>
      </c>
      <c r="F4889">
        <f>1538.17</f>
        <v>1538.17</v>
      </c>
      <c r="G4889">
        <f>4475.418</f>
        <v>4475.4179999999997</v>
      </c>
      <c r="H4889">
        <f>1234.97</f>
        <v>1234.97</v>
      </c>
      <c r="I4889">
        <f>4131.158</f>
        <v>4131.1580000000004</v>
      </c>
      <c r="J4889">
        <f>1132.76</f>
        <v>1132.76</v>
      </c>
      <c r="K4889">
        <f>3440.88</f>
        <v>3440.88</v>
      </c>
      <c r="L4889">
        <f>760.6</f>
        <v>760.6</v>
      </c>
      <c r="M4889">
        <f>3055.26</f>
        <v>3055.26</v>
      </c>
      <c r="N4889">
        <f>121.619</f>
        <v>121.619</v>
      </c>
      <c r="O4889">
        <f>1206.79</f>
        <v>1206.79</v>
      </c>
      <c r="P4889" t="e">
        <f>NA()</f>
        <v>#N/A</v>
      </c>
      <c r="Q4889">
        <f>611.98</f>
        <v>611.98</v>
      </c>
      <c r="R4889">
        <f>1678.1</f>
        <v>1678.1</v>
      </c>
      <c r="S4889">
        <f>1301.14</f>
        <v>1301.1400000000001</v>
      </c>
      <c r="T4889" t="e">
        <f>NA()</f>
        <v>#N/A</v>
      </c>
      <c r="U4889">
        <f>11795.02</f>
        <v>11795.02</v>
      </c>
      <c r="V4889" t="e">
        <f>NA()</f>
        <v>#N/A</v>
      </c>
    </row>
    <row r="4890" spans="1:22" x14ac:dyDescent="0.2">
      <c r="A4890" s="1">
        <v>38261</v>
      </c>
      <c r="B4890" t="e">
        <f>NA()</f>
        <v>#N/A</v>
      </c>
      <c r="C4890">
        <f>2477.2</f>
        <v>2477.1999999999998</v>
      </c>
      <c r="D4890">
        <f>2433.31</f>
        <v>2433.31</v>
      </c>
      <c r="E4890">
        <f>716.201</f>
        <v>716.20100000000002</v>
      </c>
      <c r="F4890">
        <f>1531.71</f>
        <v>1531.71</v>
      </c>
      <c r="G4890">
        <f>4483.125</f>
        <v>4483.125</v>
      </c>
      <c r="H4890">
        <f>1226.09</f>
        <v>1226.0899999999999</v>
      </c>
      <c r="I4890">
        <f>4133.978</f>
        <v>4133.9780000000001</v>
      </c>
      <c r="J4890">
        <f>1130.31</f>
        <v>1130.31</v>
      </c>
      <c r="K4890">
        <f>3428.93</f>
        <v>3428.93</v>
      </c>
      <c r="L4890">
        <f>760.81</f>
        <v>760.81</v>
      </c>
      <c r="M4890">
        <f>3045.69</f>
        <v>3045.69</v>
      </c>
      <c r="N4890">
        <f>120.109</f>
        <v>120.10899999999999</v>
      </c>
      <c r="O4890">
        <f>1196.19</f>
        <v>1196.19</v>
      </c>
      <c r="P4890" t="e">
        <f>NA()</f>
        <v>#N/A</v>
      </c>
      <c r="Q4890">
        <f>609.97</f>
        <v>609.97</v>
      </c>
      <c r="R4890">
        <f>1672.49</f>
        <v>1672.49</v>
      </c>
      <c r="S4890">
        <f>1275.84</f>
        <v>1275.8399999999999</v>
      </c>
      <c r="T4890" t="e">
        <f>NA()</f>
        <v>#N/A</v>
      </c>
      <c r="U4890">
        <f>11871.82</f>
        <v>11871.82</v>
      </c>
      <c r="V4890" t="e">
        <f>NA()</f>
        <v>#N/A</v>
      </c>
    </row>
    <row r="4891" spans="1:22" x14ac:dyDescent="0.2">
      <c r="A4891" s="1">
        <v>38260</v>
      </c>
      <c r="B4891" t="e">
        <f>NA()</f>
        <v>#N/A</v>
      </c>
      <c r="C4891">
        <f>2440.28</f>
        <v>2440.2800000000002</v>
      </c>
      <c r="D4891">
        <f>2386.89</f>
        <v>2386.89</v>
      </c>
      <c r="E4891">
        <f>705.894</f>
        <v>705.89400000000001</v>
      </c>
      <c r="F4891">
        <f>1514.4</f>
        <v>1514.4</v>
      </c>
      <c r="G4891">
        <f>4432.157</f>
        <v>4432.1570000000002</v>
      </c>
      <c r="H4891">
        <f>1213.15</f>
        <v>1213.1500000000001</v>
      </c>
      <c r="I4891">
        <f>4061.934</f>
        <v>4061.9340000000002</v>
      </c>
      <c r="J4891">
        <f>1116.16</f>
        <v>1116.1600000000001</v>
      </c>
      <c r="K4891">
        <f>3377.19</f>
        <v>3377.19</v>
      </c>
      <c r="L4891">
        <f>750.99</f>
        <v>750.99</v>
      </c>
      <c r="M4891">
        <f>3002.7</f>
        <v>3002.7</v>
      </c>
      <c r="N4891">
        <f>118.765</f>
        <v>118.765</v>
      </c>
      <c r="O4891">
        <f>1174.87</f>
        <v>1174.8699999999999</v>
      </c>
      <c r="P4891" t="e">
        <f>NA()</f>
        <v>#N/A</v>
      </c>
      <c r="Q4891">
        <f>604.41</f>
        <v>604.41</v>
      </c>
      <c r="R4891">
        <f>1647.48</f>
        <v>1647.48</v>
      </c>
      <c r="S4891">
        <f>1258.51</f>
        <v>1258.51</v>
      </c>
      <c r="T4891" t="e">
        <f>NA()</f>
        <v>#N/A</v>
      </c>
      <c r="U4891">
        <f>11761</f>
        <v>11761</v>
      </c>
      <c r="V4891" t="e">
        <f>NA()</f>
        <v>#N/A</v>
      </c>
    </row>
    <row r="4892" spans="1:22" x14ac:dyDescent="0.2">
      <c r="A4892" s="1">
        <v>38259</v>
      </c>
      <c r="B4892" t="e">
        <f>NA()</f>
        <v>#N/A</v>
      </c>
      <c r="C4892">
        <f>2429.66</f>
        <v>2429.66</v>
      </c>
      <c r="D4892">
        <f>2395.93</f>
        <v>2395.9299999999998</v>
      </c>
      <c r="E4892">
        <f>702.233</f>
        <v>702.23299999999995</v>
      </c>
      <c r="F4892">
        <f>1512.15</f>
        <v>1512.15</v>
      </c>
      <c r="G4892">
        <f>4425.124</f>
        <v>4425.1239999999998</v>
      </c>
      <c r="H4892">
        <f>1195.36</f>
        <v>1195.3599999999999</v>
      </c>
      <c r="I4892">
        <f>4055.461</f>
        <v>4055.4609999999998</v>
      </c>
      <c r="J4892">
        <f>1124.22</f>
        <v>1124.22</v>
      </c>
      <c r="K4892">
        <f>3378.09</f>
        <v>3378.09</v>
      </c>
      <c r="L4892">
        <f>752.57</f>
        <v>752.57</v>
      </c>
      <c r="M4892">
        <f>2994.06</f>
        <v>2994.06</v>
      </c>
      <c r="N4892">
        <f>118.776</f>
        <v>118.776</v>
      </c>
      <c r="O4892">
        <f>1182.61</f>
        <v>1182.6099999999999</v>
      </c>
      <c r="P4892" t="e">
        <f>NA()</f>
        <v>#N/A</v>
      </c>
      <c r="Q4892">
        <f>605.55</f>
        <v>605.54999999999995</v>
      </c>
      <c r="R4892">
        <f>1647.79</f>
        <v>1647.79</v>
      </c>
      <c r="S4892">
        <f>1243.55</f>
        <v>1243.55</v>
      </c>
      <c r="T4892" t="e">
        <f>NA()</f>
        <v>#N/A</v>
      </c>
      <c r="U4892">
        <f>11709.7</f>
        <v>11709.7</v>
      </c>
      <c r="V4892" t="e">
        <f>NA()</f>
        <v>#N/A</v>
      </c>
    </row>
    <row r="4893" spans="1:22" x14ac:dyDescent="0.2">
      <c r="A4893" s="1">
        <v>38258</v>
      </c>
      <c r="B4893" t="e">
        <f>NA()</f>
        <v>#N/A</v>
      </c>
      <c r="C4893">
        <f>2423.86</f>
        <v>2423.86</v>
      </c>
      <c r="D4893">
        <f>2384.57</f>
        <v>2384.5700000000002</v>
      </c>
      <c r="E4893">
        <f>700.338</f>
        <v>700.33799999999997</v>
      </c>
      <c r="F4893">
        <f>1507.03</f>
        <v>1507.03</v>
      </c>
      <c r="G4893">
        <f>4433.312</f>
        <v>4433.3119999999999</v>
      </c>
      <c r="H4893">
        <f>1190.34</f>
        <v>1190.3399999999999</v>
      </c>
      <c r="I4893">
        <f>4026.432</f>
        <v>4026.4319999999998</v>
      </c>
      <c r="J4893">
        <f>1121.69</f>
        <v>1121.69</v>
      </c>
      <c r="K4893">
        <f>3362.84</f>
        <v>3362.84</v>
      </c>
      <c r="L4893">
        <f>751.43</f>
        <v>751.43</v>
      </c>
      <c r="M4893">
        <f>2981.48</f>
        <v>2981.48</v>
      </c>
      <c r="N4893">
        <f>118.602</f>
        <v>118.602</v>
      </c>
      <c r="O4893">
        <f>1178.97</f>
        <v>1178.97</v>
      </c>
      <c r="P4893" t="e">
        <f>NA()</f>
        <v>#N/A</v>
      </c>
      <c r="Q4893">
        <f>603.44</f>
        <v>603.44000000000005</v>
      </c>
      <c r="R4893">
        <f>1640.62</f>
        <v>1640.62</v>
      </c>
      <c r="S4893">
        <f>1245.09</f>
        <v>1245.0899999999999</v>
      </c>
      <c r="T4893" t="e">
        <f>NA()</f>
        <v>#N/A</v>
      </c>
      <c r="U4893">
        <f>11602.38</f>
        <v>11602.38</v>
      </c>
      <c r="V4893" t="e">
        <f>NA()</f>
        <v>#N/A</v>
      </c>
    </row>
    <row r="4894" spans="1:22" x14ac:dyDescent="0.2">
      <c r="A4894" s="1">
        <v>38257</v>
      </c>
      <c r="B4894" t="e">
        <f>NA()</f>
        <v>#N/A</v>
      </c>
      <c r="C4894">
        <f>2405.43</f>
        <v>2405.4299999999998</v>
      </c>
      <c r="D4894">
        <f>2370.95</f>
        <v>2370.9499999999998</v>
      </c>
      <c r="E4894">
        <f>698.14</f>
        <v>698.14</v>
      </c>
      <c r="F4894">
        <f>1500.12</f>
        <v>1500.12</v>
      </c>
      <c r="G4894">
        <f>4399.385</f>
        <v>4399.3850000000002</v>
      </c>
      <c r="H4894">
        <f>1191.29</f>
        <v>1191.29</v>
      </c>
      <c r="I4894">
        <f>4006.901</f>
        <v>4006.9009999999998</v>
      </c>
      <c r="J4894">
        <f>1112.98</f>
        <v>1112.98</v>
      </c>
      <c r="K4894">
        <f>3343.36</f>
        <v>3343.36</v>
      </c>
      <c r="L4894">
        <f>746.33</f>
        <v>746.33</v>
      </c>
      <c r="M4894">
        <f>2966.89</f>
        <v>2966.89</v>
      </c>
      <c r="N4894">
        <f>118.249</f>
        <v>118.249</v>
      </c>
      <c r="O4894">
        <f>1172.96</f>
        <v>1172.96</v>
      </c>
      <c r="P4894" t="e">
        <f>NA()</f>
        <v>#N/A</v>
      </c>
      <c r="Q4894">
        <f>599.34</f>
        <v>599.34</v>
      </c>
      <c r="R4894">
        <f>1630.67</f>
        <v>1630.67</v>
      </c>
      <c r="S4894">
        <f>1250.65</f>
        <v>1250.6500000000001</v>
      </c>
      <c r="T4894" t="e">
        <f>NA()</f>
        <v>#N/A</v>
      </c>
      <c r="U4894">
        <f>11451.13</f>
        <v>11451.13</v>
      </c>
      <c r="V4894" t="e">
        <f>NA()</f>
        <v>#N/A</v>
      </c>
    </row>
    <row r="4895" spans="1:22" x14ac:dyDescent="0.2">
      <c r="A4895" s="1">
        <v>38254</v>
      </c>
      <c r="B4895" t="e">
        <f>NA()</f>
        <v>#N/A</v>
      </c>
      <c r="C4895">
        <f>2418.23</f>
        <v>2418.23</v>
      </c>
      <c r="D4895">
        <f>2390.21</f>
        <v>2390.21</v>
      </c>
      <c r="E4895">
        <f>701.475</f>
        <v>701.47500000000002</v>
      </c>
      <c r="F4895">
        <f>1507.62</f>
        <v>1507.62</v>
      </c>
      <c r="G4895">
        <f>4422.611</f>
        <v>4422.6109999999999</v>
      </c>
      <c r="H4895">
        <f>1199.55</f>
        <v>1199.55</v>
      </c>
      <c r="I4895">
        <f>4020.07</f>
        <v>4020.07</v>
      </c>
      <c r="J4895">
        <f>1117.34</f>
        <v>1117.3399999999999</v>
      </c>
      <c r="K4895">
        <f>3363.46</f>
        <v>3363.46</v>
      </c>
      <c r="L4895">
        <f>748.3</f>
        <v>748.3</v>
      </c>
      <c r="M4895">
        <f>2982.91</f>
        <v>2982.91</v>
      </c>
      <c r="N4895">
        <f>119.172</f>
        <v>119.172</v>
      </c>
      <c r="O4895">
        <f>1181.48</f>
        <v>1181.48</v>
      </c>
      <c r="P4895" t="e">
        <f>NA()</f>
        <v>#N/A</v>
      </c>
      <c r="Q4895">
        <f>602.73</f>
        <v>602.73</v>
      </c>
      <c r="R4895">
        <f>1640.4</f>
        <v>1640.4</v>
      </c>
      <c r="S4895">
        <f>1254.08</f>
        <v>1254.08</v>
      </c>
      <c r="T4895" t="e">
        <f>NA()</f>
        <v>#N/A</v>
      </c>
      <c r="U4895" t="e">
        <f>NA()</f>
        <v>#N/A</v>
      </c>
      <c r="V4895" t="e">
        <f>NA()</f>
        <v>#N/A</v>
      </c>
    </row>
    <row r="4896" spans="1:22" x14ac:dyDescent="0.2">
      <c r="A4896" s="1">
        <v>38253</v>
      </c>
      <c r="B4896" t="e">
        <f>NA()</f>
        <v>#N/A</v>
      </c>
      <c r="C4896">
        <f>2416.62</f>
        <v>2416.62</v>
      </c>
      <c r="D4896">
        <f>2385.09</f>
        <v>2385.09</v>
      </c>
      <c r="E4896">
        <f>702.647</f>
        <v>702.64700000000005</v>
      </c>
      <c r="F4896">
        <f>1496.49</f>
        <v>1496.49</v>
      </c>
      <c r="G4896">
        <f>4403.417</f>
        <v>4403.4170000000004</v>
      </c>
      <c r="H4896">
        <f>1212.46</f>
        <v>1212.46</v>
      </c>
      <c r="I4896">
        <f>4026.62</f>
        <v>4026.62</v>
      </c>
      <c r="J4896">
        <f>1114.44</f>
        <v>1114.44</v>
      </c>
      <c r="K4896">
        <f>3358.42</f>
        <v>3358.42</v>
      </c>
      <c r="L4896">
        <f>746.86</f>
        <v>746.86</v>
      </c>
      <c r="M4896">
        <f>2984.83</f>
        <v>2984.83</v>
      </c>
      <c r="N4896">
        <f>118.692</f>
        <v>118.69199999999999</v>
      </c>
      <c r="O4896">
        <f>1177.59</f>
        <v>1177.5899999999999</v>
      </c>
      <c r="P4896" t="e">
        <f>NA()</f>
        <v>#N/A</v>
      </c>
      <c r="Q4896">
        <f>600.52</f>
        <v>600.52</v>
      </c>
      <c r="R4896">
        <f>1637.82</f>
        <v>1637.82</v>
      </c>
      <c r="S4896" t="e">
        <f>NA()</f>
        <v>#N/A</v>
      </c>
      <c r="T4896" t="e">
        <f>NA()</f>
        <v>#N/A</v>
      </c>
      <c r="U4896">
        <f>11515.07</f>
        <v>11515.07</v>
      </c>
      <c r="V4896" t="e">
        <f>NA()</f>
        <v>#N/A</v>
      </c>
    </row>
    <row r="4897" spans="1:22" x14ac:dyDescent="0.2">
      <c r="A4897" s="1">
        <v>38252</v>
      </c>
      <c r="B4897" t="e">
        <f>NA()</f>
        <v>#N/A</v>
      </c>
      <c r="C4897">
        <f>2409.19</f>
        <v>2409.19</v>
      </c>
      <c r="D4897">
        <f>2397.61</f>
        <v>2397.61</v>
      </c>
      <c r="E4897">
        <f>703.565</f>
        <v>703.56500000000005</v>
      </c>
      <c r="F4897">
        <f>1502.45</f>
        <v>1502.45</v>
      </c>
      <c r="G4897">
        <f>4413.556</f>
        <v>4413.5559999999996</v>
      </c>
      <c r="H4897">
        <f>1209.12</f>
        <v>1209.1199999999999</v>
      </c>
      <c r="I4897">
        <f>4039.283</f>
        <v>4039.2829999999999</v>
      </c>
      <c r="J4897">
        <f>1125.39</f>
        <v>1125.3900000000001</v>
      </c>
      <c r="K4897">
        <f>3374.12</f>
        <v>3374.12</v>
      </c>
      <c r="L4897">
        <f>750.76</f>
        <v>750.76</v>
      </c>
      <c r="M4897">
        <f>2993.31</f>
        <v>2993.31</v>
      </c>
      <c r="N4897">
        <f>119.591</f>
        <v>119.59099999999999</v>
      </c>
      <c r="O4897">
        <f>1186.21</f>
        <v>1186.21</v>
      </c>
      <c r="P4897" t="e">
        <f>NA()</f>
        <v>#N/A</v>
      </c>
      <c r="Q4897">
        <f>602.87</f>
        <v>602.87</v>
      </c>
      <c r="R4897">
        <f>1645.17</f>
        <v>1645.17</v>
      </c>
      <c r="S4897">
        <f>1267.4</f>
        <v>1267.4000000000001</v>
      </c>
      <c r="T4897" t="e">
        <f>NA()</f>
        <v>#N/A</v>
      </c>
      <c r="U4897">
        <f>11559.78</f>
        <v>11559.78</v>
      </c>
      <c r="V4897" t="e">
        <f>NA()</f>
        <v>#N/A</v>
      </c>
    </row>
    <row r="4898" spans="1:22" x14ac:dyDescent="0.2">
      <c r="A4898" s="1">
        <v>38251</v>
      </c>
      <c r="B4898" t="e">
        <f>NA()</f>
        <v>#N/A</v>
      </c>
      <c r="C4898">
        <f>2425.84</f>
        <v>2425.84</v>
      </c>
      <c r="D4898">
        <f>2405.53</f>
        <v>2405.5300000000002</v>
      </c>
      <c r="E4898">
        <f>709.451</f>
        <v>709.45100000000002</v>
      </c>
      <c r="F4898">
        <f>1505.11</f>
        <v>1505.11</v>
      </c>
      <c r="G4898">
        <f>4427.771</f>
        <v>4427.7709999999997</v>
      </c>
      <c r="H4898">
        <f>1215.55</f>
        <v>1215.55</v>
      </c>
      <c r="I4898">
        <f>4076.83</f>
        <v>4076.83</v>
      </c>
      <c r="J4898">
        <f>1140.16</f>
        <v>1140.1600000000001</v>
      </c>
      <c r="K4898">
        <f>3421.03</f>
        <v>3421.03</v>
      </c>
      <c r="L4898">
        <f>756.95</f>
        <v>756.95</v>
      </c>
      <c r="M4898">
        <f>3023.73</f>
        <v>3023.73</v>
      </c>
      <c r="N4898">
        <f>119.611</f>
        <v>119.611</v>
      </c>
      <c r="O4898">
        <f>1193.54</f>
        <v>1193.54</v>
      </c>
      <c r="P4898" t="e">
        <f>NA()</f>
        <v>#N/A</v>
      </c>
      <c r="Q4898">
        <f>609.31</f>
        <v>609.30999999999995</v>
      </c>
      <c r="R4898">
        <f>1668.39</f>
        <v>1668.39</v>
      </c>
      <c r="S4898">
        <f>1269.62</f>
        <v>1269.6199999999999</v>
      </c>
      <c r="T4898" t="e">
        <f>NA()</f>
        <v>#N/A</v>
      </c>
      <c r="U4898">
        <f>11513.85</f>
        <v>11513.85</v>
      </c>
      <c r="V4898" t="e">
        <f>NA()</f>
        <v>#N/A</v>
      </c>
    </row>
    <row r="4899" spans="1:22" x14ac:dyDescent="0.2">
      <c r="A4899" s="1">
        <v>38250</v>
      </c>
      <c r="B4899" t="e">
        <f>NA()</f>
        <v>#N/A</v>
      </c>
      <c r="C4899">
        <f>2410.23</f>
        <v>2410.23</v>
      </c>
      <c r="D4899">
        <f>2390.44</f>
        <v>2390.44</v>
      </c>
      <c r="E4899">
        <f>704.726</f>
        <v>704.726</v>
      </c>
      <c r="F4899">
        <f>1494.84</f>
        <v>1494.84</v>
      </c>
      <c r="G4899">
        <f>4378.494</f>
        <v>4378.4939999999997</v>
      </c>
      <c r="H4899">
        <f>1213.64</f>
        <v>1213.6400000000001</v>
      </c>
      <c r="I4899">
        <f>4016.403</f>
        <v>4016.4029999999998</v>
      </c>
      <c r="J4899">
        <f>1132.05</f>
        <v>1132.05</v>
      </c>
      <c r="K4899">
        <f>3399.02</f>
        <v>3399.02</v>
      </c>
      <c r="L4899">
        <f>749.08</f>
        <v>749.08</v>
      </c>
      <c r="M4899">
        <f>2999.65</f>
        <v>2999.65</v>
      </c>
      <c r="N4899">
        <f>119.478</f>
        <v>119.47799999999999</v>
      </c>
      <c r="O4899">
        <f>1187.93</f>
        <v>1187.93</v>
      </c>
      <c r="P4899" t="e">
        <f>NA()</f>
        <v>#N/A</v>
      </c>
      <c r="Q4899">
        <f>607.21</f>
        <v>607.21</v>
      </c>
      <c r="R4899">
        <f>1657.88</f>
        <v>1657.88</v>
      </c>
      <c r="S4899" t="e">
        <f>NA()</f>
        <v>#N/A</v>
      </c>
      <c r="T4899" t="e">
        <f>NA()</f>
        <v>#N/A</v>
      </c>
      <c r="U4899">
        <f>11459.78</f>
        <v>11459.78</v>
      </c>
      <c r="V4899" t="e">
        <f>NA()</f>
        <v>#N/A</v>
      </c>
    </row>
    <row r="4900" spans="1:22" x14ac:dyDescent="0.2">
      <c r="A4900" s="1">
        <v>38247</v>
      </c>
      <c r="B4900" t="e">
        <f>NA()</f>
        <v>#N/A</v>
      </c>
      <c r="C4900">
        <f>2394.91</f>
        <v>2394.91</v>
      </c>
      <c r="D4900">
        <f>2396.42</f>
        <v>2396.42</v>
      </c>
      <c r="E4900">
        <f>700.425</f>
        <v>700.42499999999995</v>
      </c>
      <c r="F4900">
        <f>1508</f>
        <v>1508</v>
      </c>
      <c r="G4900">
        <f>4405.505</f>
        <v>4405.5050000000001</v>
      </c>
      <c r="H4900">
        <f>1211.33</f>
        <v>1211.33</v>
      </c>
      <c r="I4900">
        <f>4032.054</f>
        <v>4032.0540000000001</v>
      </c>
      <c r="J4900">
        <f>1141.89</f>
        <v>1141.8900000000001</v>
      </c>
      <c r="K4900">
        <f>3416.82</f>
        <v>3416.82</v>
      </c>
      <c r="L4900">
        <f>753.6</f>
        <v>753.6</v>
      </c>
      <c r="M4900">
        <f>3011.18</f>
        <v>3011.18</v>
      </c>
      <c r="N4900">
        <f>119.842</f>
        <v>119.842</v>
      </c>
      <c r="O4900">
        <f>1192.01</f>
        <v>1192.01</v>
      </c>
      <c r="P4900" t="e">
        <f>NA()</f>
        <v>#N/A</v>
      </c>
      <c r="Q4900">
        <f>612.2</f>
        <v>612.20000000000005</v>
      </c>
      <c r="R4900">
        <f>1667.25</f>
        <v>1667.25</v>
      </c>
      <c r="S4900">
        <f>1272.5</f>
        <v>1272.5</v>
      </c>
      <c r="T4900" t="e">
        <f>NA()</f>
        <v>#N/A</v>
      </c>
      <c r="U4900">
        <f>11513.26</f>
        <v>11513.26</v>
      </c>
      <c r="V4900" t="e">
        <f>NA()</f>
        <v>#N/A</v>
      </c>
    </row>
    <row r="4901" spans="1:22" x14ac:dyDescent="0.2">
      <c r="A4901" s="1">
        <v>38246</v>
      </c>
      <c r="B4901" t="e">
        <f>NA()</f>
        <v>#N/A</v>
      </c>
      <c r="C4901">
        <f>2382.39</f>
        <v>2382.39</v>
      </c>
      <c r="D4901">
        <f>2378.42</f>
        <v>2378.42</v>
      </c>
      <c r="E4901">
        <f>699.532</f>
        <v>699.53200000000004</v>
      </c>
      <c r="F4901">
        <f>1497.35</f>
        <v>1497.35</v>
      </c>
      <c r="G4901">
        <f>4371.091</f>
        <v>4371.0910000000003</v>
      </c>
      <c r="H4901">
        <f>1217.54</f>
        <v>1217.54</v>
      </c>
      <c r="I4901">
        <f>4001.143</f>
        <v>4001.143</v>
      </c>
      <c r="J4901">
        <f>1135.36</f>
        <v>1135.3599999999999</v>
      </c>
      <c r="K4901">
        <f>3402.23</f>
        <v>3402.23</v>
      </c>
      <c r="L4901">
        <f>749.35</f>
        <v>749.35</v>
      </c>
      <c r="M4901">
        <f>3000.23</f>
        <v>3000.23</v>
      </c>
      <c r="N4901">
        <f>119.211</f>
        <v>119.211</v>
      </c>
      <c r="O4901">
        <f>1184.02</f>
        <v>1184.02</v>
      </c>
      <c r="P4901" t="e">
        <f>NA()</f>
        <v>#N/A</v>
      </c>
      <c r="Q4901">
        <f>610.92</f>
        <v>610.91999999999996</v>
      </c>
      <c r="R4901">
        <f>1659.78</f>
        <v>1659.78</v>
      </c>
      <c r="S4901">
        <f>1276.43</f>
        <v>1276.43</v>
      </c>
      <c r="T4901" t="e">
        <f>NA()</f>
        <v>#N/A</v>
      </c>
      <c r="U4901">
        <f>11412.55</f>
        <v>11412.55</v>
      </c>
      <c r="V4901" t="e">
        <f>NA()</f>
        <v>#N/A</v>
      </c>
    </row>
    <row r="4902" spans="1:22" x14ac:dyDescent="0.2">
      <c r="A4902" s="1">
        <v>38245</v>
      </c>
      <c r="B4902" t="e">
        <f>NA()</f>
        <v>#N/A</v>
      </c>
      <c r="C4902">
        <f>2353.9</f>
        <v>2353.9</v>
      </c>
      <c r="D4902">
        <f>2374.23</f>
        <v>2374.23</v>
      </c>
      <c r="E4902">
        <f>693.157</f>
        <v>693.15700000000004</v>
      </c>
      <c r="F4902">
        <f>1477.23</f>
        <v>1477.23</v>
      </c>
      <c r="G4902">
        <f>4332.354</f>
        <v>4332.3540000000003</v>
      </c>
      <c r="H4902">
        <f>1216.32</f>
        <v>1216.32</v>
      </c>
      <c r="I4902">
        <f>3999.636</f>
        <v>3999.636</v>
      </c>
      <c r="J4902">
        <f>1130.6</f>
        <v>1130.5999999999999</v>
      </c>
      <c r="K4902">
        <f>3391.86</f>
        <v>3391.86</v>
      </c>
      <c r="L4902">
        <f>745.55</f>
        <v>745.55</v>
      </c>
      <c r="M4902">
        <f>2991</f>
        <v>2991</v>
      </c>
      <c r="N4902">
        <f>118.632</f>
        <v>118.63200000000001</v>
      </c>
      <c r="O4902">
        <f>1179.9</f>
        <v>1179.9000000000001</v>
      </c>
      <c r="P4902" t="e">
        <f>NA()</f>
        <v>#N/A</v>
      </c>
      <c r="Q4902">
        <f>609.19</f>
        <v>609.19000000000005</v>
      </c>
      <c r="R4902">
        <f>1655.1</f>
        <v>1655.1</v>
      </c>
      <c r="S4902">
        <f>1283.74</f>
        <v>1283.74</v>
      </c>
      <c r="T4902" t="e">
        <f>NA()</f>
        <v>#N/A</v>
      </c>
      <c r="U4902">
        <f>11219.67</f>
        <v>11219.67</v>
      </c>
      <c r="V4902" t="e">
        <f>NA()</f>
        <v>#N/A</v>
      </c>
    </row>
    <row r="4903" spans="1:22" x14ac:dyDescent="0.2">
      <c r="A4903" s="1">
        <v>38244</v>
      </c>
      <c r="B4903" t="e">
        <f>NA()</f>
        <v>#N/A</v>
      </c>
      <c r="C4903">
        <f>2366.47</f>
        <v>2366.4699999999998</v>
      </c>
      <c r="D4903">
        <f>2371.3</f>
        <v>2371.3000000000002</v>
      </c>
      <c r="E4903">
        <f>695.6</f>
        <v>695.6</v>
      </c>
      <c r="F4903">
        <f>1493.27</f>
        <v>1493.27</v>
      </c>
      <c r="G4903">
        <f>4381.621</f>
        <v>4381.6210000000001</v>
      </c>
      <c r="H4903">
        <f>1231.69</f>
        <v>1231.69</v>
      </c>
      <c r="I4903">
        <f>4052.745</f>
        <v>4052.7449999999999</v>
      </c>
      <c r="J4903">
        <f>1135.81</f>
        <v>1135.81</v>
      </c>
      <c r="K4903">
        <f>3416.29</f>
        <v>3416.29</v>
      </c>
      <c r="L4903">
        <f>751.98</f>
        <v>751.98</v>
      </c>
      <c r="M4903">
        <f>3020.63</f>
        <v>3020.63</v>
      </c>
      <c r="N4903">
        <f>118.963</f>
        <v>118.96299999999999</v>
      </c>
      <c r="O4903">
        <f>1182.31</f>
        <v>1182.31</v>
      </c>
      <c r="P4903" t="e">
        <f>NA()</f>
        <v>#N/A</v>
      </c>
      <c r="Q4903">
        <f>612.91</f>
        <v>612.91</v>
      </c>
      <c r="R4903">
        <f>1666.82</f>
        <v>1666.82</v>
      </c>
      <c r="S4903">
        <f>1298.83</f>
        <v>1298.83</v>
      </c>
      <c r="T4903" t="e">
        <f>NA()</f>
        <v>#N/A</v>
      </c>
      <c r="U4903">
        <f>11266.42</f>
        <v>11266.42</v>
      </c>
      <c r="V4903" t="e">
        <f>NA()</f>
        <v>#N/A</v>
      </c>
    </row>
    <row r="4904" spans="1:22" x14ac:dyDescent="0.2">
      <c r="A4904" s="1">
        <v>38243</v>
      </c>
      <c r="B4904" t="e">
        <f>NA()</f>
        <v>#N/A</v>
      </c>
      <c r="C4904">
        <f>2348.06</f>
        <v>2348.06</v>
      </c>
      <c r="D4904">
        <f>2378.02</f>
        <v>2378.02</v>
      </c>
      <c r="E4904">
        <f>690.372</f>
        <v>690.37199999999996</v>
      </c>
      <c r="F4904">
        <f>1492.9</f>
        <v>1492.9</v>
      </c>
      <c r="G4904">
        <f>4384.083</f>
        <v>4384.0829999999996</v>
      </c>
      <c r="H4904">
        <f>1224.88</f>
        <v>1224.8800000000001</v>
      </c>
      <c r="I4904">
        <f>4054.098</f>
        <v>4054.098</v>
      </c>
      <c r="J4904">
        <f>1134.53</f>
        <v>1134.53</v>
      </c>
      <c r="K4904">
        <f>3409.52</f>
        <v>3409.52</v>
      </c>
      <c r="L4904">
        <f>750.67</f>
        <v>750.67</v>
      </c>
      <c r="M4904">
        <f>3014</f>
        <v>3014</v>
      </c>
      <c r="N4904">
        <f>119.278</f>
        <v>119.27800000000001</v>
      </c>
      <c r="O4904">
        <f>1185.54</f>
        <v>1185.54</v>
      </c>
      <c r="P4904" t="e">
        <f>NA()</f>
        <v>#N/A</v>
      </c>
      <c r="Q4904">
        <f>612.07</f>
        <v>612.07000000000005</v>
      </c>
      <c r="R4904">
        <f>1663.1</f>
        <v>1663.1</v>
      </c>
      <c r="S4904">
        <f>1295.58</f>
        <v>1295.58</v>
      </c>
      <c r="T4904" t="e">
        <f>NA()</f>
        <v>#N/A</v>
      </c>
      <c r="U4904">
        <f>11238.02</f>
        <v>11238.02</v>
      </c>
      <c r="V4904" t="e">
        <f>NA()</f>
        <v>#N/A</v>
      </c>
    </row>
    <row r="4905" spans="1:22" x14ac:dyDescent="0.2">
      <c r="A4905" s="1">
        <v>38240</v>
      </c>
      <c r="B4905" t="e">
        <f>NA()</f>
        <v>#N/A</v>
      </c>
      <c r="C4905">
        <f>2335.82</f>
        <v>2335.8200000000002</v>
      </c>
      <c r="D4905">
        <f>2371</f>
        <v>2371</v>
      </c>
      <c r="E4905">
        <f>684.532</f>
        <v>684.53200000000004</v>
      </c>
      <c r="F4905">
        <f>1488.96</f>
        <v>1488.96</v>
      </c>
      <c r="G4905">
        <f>4382.024</f>
        <v>4382.0240000000003</v>
      </c>
      <c r="H4905">
        <f>1223.42</f>
        <v>1223.42</v>
      </c>
      <c r="I4905">
        <f>4027.617</f>
        <v>4027.6170000000002</v>
      </c>
      <c r="J4905">
        <f>1133.68</f>
        <v>1133.68</v>
      </c>
      <c r="K4905">
        <f>3401.77</f>
        <v>3401.77</v>
      </c>
      <c r="L4905">
        <f>749.43</f>
        <v>749.43</v>
      </c>
      <c r="M4905">
        <f>3004.28</f>
        <v>3004.28</v>
      </c>
      <c r="N4905">
        <f>118.232</f>
        <v>118.232</v>
      </c>
      <c r="O4905">
        <f>1175.59</f>
        <v>1175.5899999999999</v>
      </c>
      <c r="P4905" t="e">
        <f>NA()</f>
        <v>#N/A</v>
      </c>
      <c r="Q4905">
        <f>609.58</f>
        <v>609.58000000000004</v>
      </c>
      <c r="R4905">
        <f>1659.84</f>
        <v>1659.84</v>
      </c>
      <c r="S4905">
        <f>1281.39</f>
        <v>1281.3900000000001</v>
      </c>
      <c r="T4905" t="e">
        <f>NA()</f>
        <v>#N/A</v>
      </c>
      <c r="U4905">
        <f>11226.82</f>
        <v>11226.82</v>
      </c>
      <c r="V4905" t="e">
        <f>NA()</f>
        <v>#N/A</v>
      </c>
    </row>
    <row r="4906" spans="1:22" x14ac:dyDescent="0.2">
      <c r="A4906" s="1">
        <v>38239</v>
      </c>
      <c r="B4906" t="e">
        <f>NA()</f>
        <v>#N/A</v>
      </c>
      <c r="C4906">
        <f>2320.12</f>
        <v>2320.12</v>
      </c>
      <c r="D4906">
        <f>2367.35</f>
        <v>2367.35</v>
      </c>
      <c r="E4906">
        <f>678.153</f>
        <v>678.15300000000002</v>
      </c>
      <c r="F4906">
        <f>1473.43</f>
        <v>1473.43</v>
      </c>
      <c r="G4906">
        <f>4333.19</f>
        <v>4333.1899999999996</v>
      </c>
      <c r="H4906">
        <f>1224.71</f>
        <v>1224.71</v>
      </c>
      <c r="I4906">
        <f>3965.488</f>
        <v>3965.4879999999998</v>
      </c>
      <c r="J4906">
        <f>1132.25</f>
        <v>1132.25</v>
      </c>
      <c r="K4906">
        <f>3385.41</f>
        <v>3385.41</v>
      </c>
      <c r="L4906">
        <f>743.8</f>
        <v>743.8</v>
      </c>
      <c r="M4906">
        <f>2983.55</f>
        <v>2983.55</v>
      </c>
      <c r="N4906">
        <f>117.814</f>
        <v>117.81399999999999</v>
      </c>
      <c r="O4906">
        <f>1171.18</f>
        <v>1171.18</v>
      </c>
      <c r="P4906" t="e">
        <f>NA()</f>
        <v>#N/A</v>
      </c>
      <c r="Q4906">
        <f>607.79</f>
        <v>607.79</v>
      </c>
      <c r="R4906">
        <f>1651.65</f>
        <v>1651.65</v>
      </c>
      <c r="S4906">
        <f>1289.07</f>
        <v>1289.07</v>
      </c>
      <c r="T4906" t="e">
        <f>NA()</f>
        <v>#N/A</v>
      </c>
      <c r="U4906">
        <f>11253.61</f>
        <v>11253.61</v>
      </c>
      <c r="V4906" t="e">
        <f>NA()</f>
        <v>#N/A</v>
      </c>
    </row>
    <row r="4907" spans="1:22" x14ac:dyDescent="0.2">
      <c r="A4907" s="1">
        <v>38238</v>
      </c>
      <c r="B4907" t="e">
        <f>NA()</f>
        <v>#N/A</v>
      </c>
      <c r="C4907">
        <f>2312.27</f>
        <v>2312.27</v>
      </c>
      <c r="D4907">
        <f>2377.98</f>
        <v>2377.98</v>
      </c>
      <c r="E4907">
        <f>676.706</f>
        <v>676.70600000000002</v>
      </c>
      <c r="F4907">
        <f>1475.18</f>
        <v>1475.18</v>
      </c>
      <c r="G4907">
        <f>4353.38</f>
        <v>4353.38</v>
      </c>
      <c r="H4907">
        <f>1242.26</f>
        <v>1242.26</v>
      </c>
      <c r="I4907">
        <f>3972.058</f>
        <v>3972.058</v>
      </c>
      <c r="J4907">
        <f>1130.77</f>
        <v>1130.77</v>
      </c>
      <c r="K4907">
        <f>3378.74</f>
        <v>3378.74</v>
      </c>
      <c r="L4907">
        <f>744.46</f>
        <v>744.46</v>
      </c>
      <c r="M4907">
        <f>2987.22</f>
        <v>2987.22</v>
      </c>
      <c r="N4907">
        <f>118.627</f>
        <v>118.627</v>
      </c>
      <c r="O4907">
        <f>1179.57</f>
        <v>1179.57</v>
      </c>
      <c r="P4907" t="e">
        <f>NA()</f>
        <v>#N/A</v>
      </c>
      <c r="Q4907">
        <f>608.8</f>
        <v>608.79999999999995</v>
      </c>
      <c r="R4907">
        <f>1648.52</f>
        <v>1648.52</v>
      </c>
      <c r="S4907">
        <f>1301.6</f>
        <v>1301.5999999999999</v>
      </c>
      <c r="T4907" t="e">
        <f>NA()</f>
        <v>#N/A</v>
      </c>
      <c r="U4907">
        <f>11183.74</f>
        <v>11183.74</v>
      </c>
      <c r="V4907" t="e">
        <f>NA()</f>
        <v>#N/A</v>
      </c>
    </row>
    <row r="4908" spans="1:22" x14ac:dyDescent="0.2">
      <c r="A4908" s="1">
        <v>38237</v>
      </c>
      <c r="B4908" t="e">
        <f>NA()</f>
        <v>#N/A</v>
      </c>
      <c r="C4908">
        <f>2307.68</f>
        <v>2307.6799999999998</v>
      </c>
      <c r="D4908">
        <f>2381.17</f>
        <v>2381.17</v>
      </c>
      <c r="E4908">
        <f>675.659</f>
        <v>675.65899999999999</v>
      </c>
      <c r="F4908">
        <f>1471.71</f>
        <v>1471.71</v>
      </c>
      <c r="G4908">
        <f>4331.325</f>
        <v>4331.3249999999998</v>
      </c>
      <c r="H4908">
        <f>1242.42</f>
        <v>1242.42</v>
      </c>
      <c r="I4908">
        <f>3960.791</f>
        <v>3960.7910000000002</v>
      </c>
      <c r="J4908">
        <f>1135.72</f>
        <v>1135.72</v>
      </c>
      <c r="K4908">
        <f>3393.09</f>
        <v>3393.09</v>
      </c>
      <c r="L4908">
        <f>745.42</f>
        <v>745.42</v>
      </c>
      <c r="M4908">
        <f>2991.23</f>
        <v>2991.23</v>
      </c>
      <c r="N4908">
        <f>118.727</f>
        <v>118.727</v>
      </c>
      <c r="O4908">
        <f>1179.86</f>
        <v>1179.8599999999999</v>
      </c>
      <c r="P4908" t="e">
        <f>NA()</f>
        <v>#N/A</v>
      </c>
      <c r="Q4908">
        <f>613.13</f>
        <v>613.13</v>
      </c>
      <c r="R4908">
        <f>1655.65</f>
        <v>1655.65</v>
      </c>
      <c r="S4908">
        <f>1302.25</f>
        <v>1302.25</v>
      </c>
      <c r="T4908" t="e">
        <f>NA()</f>
        <v>#N/A</v>
      </c>
      <c r="U4908">
        <f>11136.36</f>
        <v>11136.36</v>
      </c>
      <c r="V4908" t="e">
        <f>NA()</f>
        <v>#N/A</v>
      </c>
    </row>
    <row r="4909" spans="1:22" x14ac:dyDescent="0.2">
      <c r="A4909" s="1">
        <v>38236</v>
      </c>
      <c r="B4909" t="e">
        <f>NA()</f>
        <v>#N/A</v>
      </c>
      <c r="C4909">
        <f>2313.31</f>
        <v>2313.31</v>
      </c>
      <c r="D4909">
        <f>2380.2</f>
        <v>2380.1999999999998</v>
      </c>
      <c r="E4909">
        <f>675.073</f>
        <v>675.07299999999998</v>
      </c>
      <c r="F4909">
        <f>1475.16</f>
        <v>1475.16</v>
      </c>
      <c r="G4909">
        <f>4345.417</f>
        <v>4345.4170000000004</v>
      </c>
      <c r="H4909">
        <f>1234.93</f>
        <v>1234.93</v>
      </c>
      <c r="I4909">
        <f>3956.697</f>
        <v>3956.6970000000001</v>
      </c>
      <c r="J4909">
        <f>1127.1</f>
        <v>1127.0999999999999</v>
      </c>
      <c r="K4909">
        <f>3370.13</f>
        <v>3370.13</v>
      </c>
      <c r="L4909">
        <f>743.13</f>
        <v>743.13</v>
      </c>
      <c r="M4909">
        <f>2976.57</f>
        <v>2976.57</v>
      </c>
      <c r="N4909">
        <f>118.688</f>
        <v>118.688</v>
      </c>
      <c r="O4909">
        <f>1180.97</f>
        <v>1180.97</v>
      </c>
      <c r="P4909" t="e">
        <f>NA()</f>
        <v>#N/A</v>
      </c>
      <c r="Q4909" t="e">
        <f>NA()</f>
        <v>#N/A</v>
      </c>
      <c r="R4909" t="e">
        <f>NA()</f>
        <v>#N/A</v>
      </c>
      <c r="S4909">
        <f>1300.36</f>
        <v>1300.3599999999999</v>
      </c>
      <c r="T4909" t="e">
        <f>NA()</f>
        <v>#N/A</v>
      </c>
      <c r="U4909">
        <f>11244.21</f>
        <v>11244.21</v>
      </c>
      <c r="V4909" t="e">
        <f>NA()</f>
        <v>#N/A</v>
      </c>
    </row>
    <row r="4910" spans="1:22" x14ac:dyDescent="0.2">
      <c r="A4910" s="1">
        <v>38233</v>
      </c>
      <c r="B4910" t="e">
        <f>NA()</f>
        <v>#N/A</v>
      </c>
      <c r="C4910">
        <f>2294.9</f>
        <v>2294.9</v>
      </c>
      <c r="D4910">
        <f>2373.45</f>
        <v>2373.4499999999998</v>
      </c>
      <c r="E4910">
        <f>671.619</f>
        <v>671.61900000000003</v>
      </c>
      <c r="F4910">
        <f>1467.08</f>
        <v>1467.08</v>
      </c>
      <c r="G4910">
        <f>4324.451</f>
        <v>4324.451</v>
      </c>
      <c r="H4910">
        <f>1213.47</f>
        <v>1213.47</v>
      </c>
      <c r="I4910">
        <f>3934.758</f>
        <v>3934.7579999999998</v>
      </c>
      <c r="J4910">
        <f>1127.1</f>
        <v>1127.0999999999999</v>
      </c>
      <c r="K4910">
        <f>3370.13</f>
        <v>3370.13</v>
      </c>
      <c r="L4910">
        <f>741.61</f>
        <v>741.61</v>
      </c>
      <c r="M4910">
        <f>2965.72</f>
        <v>2965.72</v>
      </c>
      <c r="N4910">
        <f>118.085</f>
        <v>118.08499999999999</v>
      </c>
      <c r="O4910">
        <f>1177.03</f>
        <v>1177.03</v>
      </c>
      <c r="P4910" t="e">
        <f>NA()</f>
        <v>#N/A</v>
      </c>
      <c r="Q4910">
        <f>608.55</f>
        <v>608.54999999999995</v>
      </c>
      <c r="R4910">
        <f>1644.25</f>
        <v>1644.25</v>
      </c>
      <c r="S4910">
        <f>1279.43</f>
        <v>1279.43</v>
      </c>
      <c r="T4910" t="e">
        <f>NA()</f>
        <v>#N/A</v>
      </c>
      <c r="U4910">
        <f>11223.91</f>
        <v>11223.91</v>
      </c>
      <c r="V4910" t="e">
        <f>NA()</f>
        <v>#N/A</v>
      </c>
    </row>
    <row r="4911" spans="1:22" x14ac:dyDescent="0.2">
      <c r="A4911" s="1">
        <v>38232</v>
      </c>
      <c r="B4911" t="e">
        <f>NA()</f>
        <v>#N/A</v>
      </c>
      <c r="C4911">
        <f>2302</f>
        <v>2302</v>
      </c>
      <c r="D4911">
        <f>2356.63</f>
        <v>2356.63</v>
      </c>
      <c r="E4911">
        <f>676.19</f>
        <v>676.19</v>
      </c>
      <c r="F4911">
        <f>1466.49</f>
        <v>1466.49</v>
      </c>
      <c r="G4911">
        <f>4326.517</f>
        <v>4326.5169999999998</v>
      </c>
      <c r="H4911">
        <f>1234.27</f>
        <v>1234.27</v>
      </c>
      <c r="I4911">
        <f>3936.861</f>
        <v>3936.8609999999999</v>
      </c>
      <c r="J4911">
        <f>1127.02</f>
        <v>1127.02</v>
      </c>
      <c r="K4911">
        <f>3384.53</f>
        <v>3384.53</v>
      </c>
      <c r="L4911">
        <f>742.03</f>
        <v>742.03</v>
      </c>
      <c r="M4911">
        <f>2980.7</f>
        <v>2980.7</v>
      </c>
      <c r="N4911">
        <f>117.013</f>
        <v>117.01300000000001</v>
      </c>
      <c r="O4911">
        <f>1167.45</f>
        <v>1167.45</v>
      </c>
      <c r="P4911" t="e">
        <f>NA()</f>
        <v>#N/A</v>
      </c>
      <c r="Q4911">
        <f>607.52</f>
        <v>607.52</v>
      </c>
      <c r="R4911">
        <f>1651.14</f>
        <v>1651.14</v>
      </c>
      <c r="S4911">
        <f>1294.16</f>
        <v>1294.1600000000001</v>
      </c>
      <c r="T4911" t="e">
        <f>NA()</f>
        <v>#N/A</v>
      </c>
      <c r="U4911">
        <f>11152.19</f>
        <v>11152.19</v>
      </c>
      <c r="V4911" t="e">
        <f>NA()</f>
        <v>#N/A</v>
      </c>
    </row>
    <row r="4912" spans="1:22" x14ac:dyDescent="0.2">
      <c r="A4912" s="1">
        <v>38231</v>
      </c>
      <c r="B4912" t="e">
        <f>NA()</f>
        <v>#N/A</v>
      </c>
      <c r="C4912">
        <f>2286.97</f>
        <v>2286.9699999999998</v>
      </c>
      <c r="D4912">
        <f>2348.01</f>
        <v>2348.0100000000002</v>
      </c>
      <c r="E4912">
        <f>672.933</f>
        <v>672.93299999999999</v>
      </c>
      <c r="F4912">
        <f>1465.62</f>
        <v>1465.62</v>
      </c>
      <c r="G4912">
        <f>4320.823</f>
        <v>4320.8230000000003</v>
      </c>
      <c r="H4912">
        <f>1229.67</f>
        <v>1229.67</v>
      </c>
      <c r="I4912">
        <f>3924.376</f>
        <v>3924.3760000000002</v>
      </c>
      <c r="J4912">
        <f>1116.47</f>
        <v>1116.47</v>
      </c>
      <c r="K4912">
        <f>3347.9</f>
        <v>3347.9</v>
      </c>
      <c r="L4912">
        <f>738.23</f>
        <v>738.23</v>
      </c>
      <c r="M4912">
        <f>2960.21</f>
        <v>2960.21</v>
      </c>
      <c r="N4912">
        <f>116.452</f>
        <v>116.452</v>
      </c>
      <c r="O4912">
        <f>1162.64</f>
        <v>1162.6400000000001</v>
      </c>
      <c r="P4912" t="e">
        <f>NA()</f>
        <v>#N/A</v>
      </c>
      <c r="Q4912">
        <f>600.67</f>
        <v>600.66999999999996</v>
      </c>
      <c r="R4912">
        <f>1632.82</f>
        <v>1632.82</v>
      </c>
      <c r="S4912">
        <f>1291.91</f>
        <v>1291.9100000000001</v>
      </c>
      <c r="T4912" t="e">
        <f>NA()</f>
        <v>#N/A</v>
      </c>
      <c r="U4912">
        <f>11145.12</f>
        <v>11145.12</v>
      </c>
      <c r="V4912" t="e">
        <f>NA()</f>
        <v>#N/A</v>
      </c>
    </row>
    <row r="4913" spans="1:22" x14ac:dyDescent="0.2">
      <c r="A4913" s="1">
        <v>38230</v>
      </c>
      <c r="B4913" t="e">
        <f>NA()</f>
        <v>#N/A</v>
      </c>
      <c r="C4913">
        <f>2272.06</f>
        <v>2272.06</v>
      </c>
      <c r="D4913">
        <f>2325.45</f>
        <v>2325.4499999999998</v>
      </c>
      <c r="E4913">
        <f>667.35</f>
        <v>667.35</v>
      </c>
      <c r="F4913">
        <f>1454.69</f>
        <v>1454.69</v>
      </c>
      <c r="G4913">
        <f>4294.034</f>
        <v>4294.0339999999997</v>
      </c>
      <c r="H4913">
        <f>1222.35</f>
        <v>1222.3499999999999</v>
      </c>
      <c r="I4913">
        <f>3887.671</f>
        <v>3887.6709999999998</v>
      </c>
      <c r="J4913">
        <f>1115.72</f>
        <v>1115.72</v>
      </c>
      <c r="K4913">
        <f>3340.51</f>
        <v>3340.51</v>
      </c>
      <c r="L4913">
        <f>734.69</f>
        <v>734.69</v>
      </c>
      <c r="M4913">
        <f>2946.02</f>
        <v>2946.02</v>
      </c>
      <c r="N4913">
        <f>115.94</f>
        <v>115.94</v>
      </c>
      <c r="O4913">
        <f>1154.65</f>
        <v>1154.6500000000001</v>
      </c>
      <c r="P4913" t="e">
        <f>NA()</f>
        <v>#N/A</v>
      </c>
      <c r="Q4913">
        <f>599.76</f>
        <v>599.76</v>
      </c>
      <c r="R4913">
        <f>1629.83</f>
        <v>1629.83</v>
      </c>
      <c r="S4913">
        <f>1285.01</f>
        <v>1285.01</v>
      </c>
      <c r="T4913" t="e">
        <f>NA()</f>
        <v>#N/A</v>
      </c>
      <c r="U4913">
        <f>11160.44</f>
        <v>11160.44</v>
      </c>
      <c r="V4913" t="e">
        <f>NA()</f>
        <v>#N/A</v>
      </c>
    </row>
    <row r="4914" spans="1:22" x14ac:dyDescent="0.2">
      <c r="A4914" s="1">
        <v>38229</v>
      </c>
      <c r="B4914" t="e">
        <f>NA()</f>
        <v>#N/A</v>
      </c>
      <c r="C4914">
        <f>2261.57</f>
        <v>2261.5700000000002</v>
      </c>
      <c r="D4914" t="e">
        <f>NA()</f>
        <v>#N/A</v>
      </c>
      <c r="E4914">
        <f>665.934</f>
        <v>665.93399999999997</v>
      </c>
      <c r="F4914">
        <f>1455.98</f>
        <v>1455.98</v>
      </c>
      <c r="G4914">
        <f>4310.063</f>
        <v>4310.0630000000001</v>
      </c>
      <c r="H4914">
        <f>1219.03</f>
        <v>1219.03</v>
      </c>
      <c r="I4914">
        <f>3882.851</f>
        <v>3882.8510000000001</v>
      </c>
      <c r="J4914">
        <f>1107.49</f>
        <v>1107.49</v>
      </c>
      <c r="K4914">
        <f>3324.24</f>
        <v>3324.24</v>
      </c>
      <c r="L4914">
        <f>731.41</f>
        <v>731.41</v>
      </c>
      <c r="M4914">
        <f>2938.38</f>
        <v>2938.38</v>
      </c>
      <c r="N4914">
        <f>117.268</f>
        <v>117.268</v>
      </c>
      <c r="O4914">
        <f>1166.01</f>
        <v>1166.01</v>
      </c>
      <c r="P4914" t="e">
        <f>NA()</f>
        <v>#N/A</v>
      </c>
      <c r="Q4914">
        <f>595.74</f>
        <v>595.74</v>
      </c>
      <c r="R4914">
        <f>1622.28</f>
        <v>1622.28</v>
      </c>
      <c r="S4914">
        <f>1294.64</f>
        <v>1294.6400000000001</v>
      </c>
      <c r="T4914" t="e">
        <f>NA()</f>
        <v>#N/A</v>
      </c>
      <c r="U4914">
        <f>11158</f>
        <v>11158</v>
      </c>
      <c r="V4914" t="e">
        <f>NA()</f>
        <v>#N/A</v>
      </c>
    </row>
    <row r="4915" spans="1:22" x14ac:dyDescent="0.2">
      <c r="A4915" s="1">
        <v>38226</v>
      </c>
      <c r="B4915" t="e">
        <f>NA()</f>
        <v>#N/A</v>
      </c>
      <c r="C4915">
        <f>2254.07</f>
        <v>2254.0700000000002</v>
      </c>
      <c r="D4915">
        <f>2341.51</f>
        <v>2341.5100000000002</v>
      </c>
      <c r="E4915">
        <f>664.811</f>
        <v>664.81100000000004</v>
      </c>
      <c r="F4915">
        <f>1456.39</f>
        <v>1456.39</v>
      </c>
      <c r="G4915">
        <f>4311.264</f>
        <v>4311.2640000000001</v>
      </c>
      <c r="H4915">
        <f>1221.71</f>
        <v>1221.71</v>
      </c>
      <c r="I4915">
        <f>3888.64</f>
        <v>3888.64</v>
      </c>
      <c r="J4915">
        <f>1113.55</f>
        <v>1113.55</v>
      </c>
      <c r="K4915">
        <f>3350.31</f>
        <v>3350.31</v>
      </c>
      <c r="L4915">
        <f>733.05</f>
        <v>733.05</v>
      </c>
      <c r="M4915">
        <f>2954.11</f>
        <v>2954.11</v>
      </c>
      <c r="N4915">
        <f>117.44</f>
        <v>117.44</v>
      </c>
      <c r="O4915">
        <f>1168.13</f>
        <v>1168.1300000000001</v>
      </c>
      <c r="P4915" t="e">
        <f>NA()</f>
        <v>#N/A</v>
      </c>
      <c r="Q4915">
        <f>598.6</f>
        <v>598.6</v>
      </c>
      <c r="R4915">
        <f>1634.83</f>
        <v>1634.83</v>
      </c>
      <c r="S4915">
        <f>1294.36</f>
        <v>1294.3599999999999</v>
      </c>
      <c r="T4915" t="e">
        <f>NA()</f>
        <v>#N/A</v>
      </c>
      <c r="U4915">
        <f>11163.35</f>
        <v>11163.35</v>
      </c>
      <c r="V4915" t="e">
        <f>NA()</f>
        <v>#N/A</v>
      </c>
    </row>
    <row r="4916" spans="1:22" x14ac:dyDescent="0.2">
      <c r="A4916" s="1">
        <v>38225</v>
      </c>
      <c r="B4916" t="e">
        <f>NA()</f>
        <v>#N/A</v>
      </c>
      <c r="C4916">
        <f>2251.49</f>
        <v>2251.4899999999998</v>
      </c>
      <c r="D4916">
        <f>2322.62</f>
        <v>2322.62</v>
      </c>
      <c r="E4916">
        <f>664</f>
        <v>664</v>
      </c>
      <c r="F4916">
        <f>1448.97</f>
        <v>1448.97</v>
      </c>
      <c r="G4916">
        <f>4277.203</f>
        <v>4277.2030000000004</v>
      </c>
      <c r="H4916">
        <f>1214.32</f>
        <v>1214.32</v>
      </c>
      <c r="I4916">
        <f>3886.641</f>
        <v>3886.6410000000001</v>
      </c>
      <c r="J4916">
        <f>1109.7</f>
        <v>1109.7</v>
      </c>
      <c r="K4916">
        <f>3341.08</f>
        <v>3341.08</v>
      </c>
      <c r="L4916">
        <f>730.3</f>
        <v>730.3</v>
      </c>
      <c r="M4916">
        <f>2944.33</f>
        <v>2944.33</v>
      </c>
      <c r="N4916">
        <f>116.291</f>
        <v>116.291</v>
      </c>
      <c r="O4916">
        <f>1158.92</f>
        <v>1158.92</v>
      </c>
      <c r="P4916" t="e">
        <f>NA()</f>
        <v>#N/A</v>
      </c>
      <c r="Q4916">
        <f>597.52</f>
        <v>597.52</v>
      </c>
      <c r="R4916">
        <f>1630.68</f>
        <v>1630.68</v>
      </c>
      <c r="S4916">
        <f>1285.59</f>
        <v>1285.5899999999999</v>
      </c>
      <c r="T4916" t="e">
        <f>NA()</f>
        <v>#N/A</v>
      </c>
      <c r="U4916">
        <f>11017.06</f>
        <v>11017.06</v>
      </c>
      <c r="V4916" t="e">
        <f>NA()</f>
        <v>#N/A</v>
      </c>
    </row>
    <row r="4917" spans="1:22" x14ac:dyDescent="0.2">
      <c r="A4917" s="1">
        <v>38224</v>
      </c>
      <c r="B4917" t="e">
        <f>NA()</f>
        <v>#N/A</v>
      </c>
      <c r="C4917">
        <f>2238.13</f>
        <v>2238.13</v>
      </c>
      <c r="D4917">
        <f>2300.55</f>
        <v>2300.5500000000002</v>
      </c>
      <c r="E4917">
        <f>658.267</f>
        <v>658.26700000000005</v>
      </c>
      <c r="F4917">
        <f>1444.81</f>
        <v>1444.81</v>
      </c>
      <c r="G4917">
        <f>4248.768</f>
        <v>4248.768</v>
      </c>
      <c r="H4917">
        <f>1210.34</f>
        <v>1210.3399999999999</v>
      </c>
      <c r="I4917">
        <f>3854.511</f>
        <v>3854.511</v>
      </c>
      <c r="J4917">
        <f>1109.13</f>
        <v>1109.1300000000001</v>
      </c>
      <c r="K4917">
        <f>3340.23</f>
        <v>3340.23</v>
      </c>
      <c r="L4917">
        <f>728.03</f>
        <v>728.03</v>
      </c>
      <c r="M4917">
        <f>2936.22</f>
        <v>2936.22</v>
      </c>
      <c r="N4917">
        <f>115.226</f>
        <v>115.226</v>
      </c>
      <c r="O4917">
        <f>1148.69</f>
        <v>1148.69</v>
      </c>
      <c r="P4917" t="e">
        <f>NA()</f>
        <v>#N/A</v>
      </c>
      <c r="Q4917">
        <f>597.51</f>
        <v>597.51</v>
      </c>
      <c r="R4917">
        <f>1630.49</f>
        <v>1630.49</v>
      </c>
      <c r="S4917">
        <f>1284.08</f>
        <v>1284.08</v>
      </c>
      <c r="T4917" t="e">
        <f>NA()</f>
        <v>#N/A</v>
      </c>
      <c r="U4917">
        <f>10970.4</f>
        <v>10970.4</v>
      </c>
      <c r="V4917" t="e">
        <f>NA()</f>
        <v>#N/A</v>
      </c>
    </row>
    <row r="4918" spans="1:22" x14ac:dyDescent="0.2">
      <c r="A4918" s="1">
        <v>38223</v>
      </c>
      <c r="B4918" t="e">
        <f>NA()</f>
        <v>#N/A</v>
      </c>
      <c r="C4918">
        <f>2228.64</f>
        <v>2228.64</v>
      </c>
      <c r="D4918">
        <f>2297.32</f>
        <v>2297.3200000000002</v>
      </c>
      <c r="E4918">
        <f>655.23</f>
        <v>655.23</v>
      </c>
      <c r="F4918">
        <f>1434.7</f>
        <v>1434.7</v>
      </c>
      <c r="G4918">
        <f>4233.09</f>
        <v>4233.09</v>
      </c>
      <c r="H4918">
        <f>1201.25</f>
        <v>1201.25</v>
      </c>
      <c r="I4918">
        <f>3855.323</f>
        <v>3855.3229999999999</v>
      </c>
      <c r="J4918">
        <f>1101.65</f>
        <v>1101.6500000000001</v>
      </c>
      <c r="K4918">
        <f>3313.88</f>
        <v>3313.88</v>
      </c>
      <c r="L4918">
        <f>725.2</f>
        <v>725.2</v>
      </c>
      <c r="M4918">
        <f>2920.13</f>
        <v>2920.13</v>
      </c>
      <c r="N4918">
        <f>115.047</f>
        <v>115.047</v>
      </c>
      <c r="O4918">
        <f>1145.75</f>
        <v>1145.75</v>
      </c>
      <c r="P4918" t="e">
        <f>NA()</f>
        <v>#N/A</v>
      </c>
      <c r="Q4918">
        <f>595.45</f>
        <v>595.45000000000005</v>
      </c>
      <c r="R4918">
        <f>1617.46</f>
        <v>1617.46</v>
      </c>
      <c r="S4918">
        <f>1270.07</f>
        <v>1270.07</v>
      </c>
      <c r="T4918" t="e">
        <f>NA()</f>
        <v>#N/A</v>
      </c>
      <c r="U4918">
        <f>11042.21</f>
        <v>11042.21</v>
      </c>
      <c r="V4918" t="e">
        <f>NA()</f>
        <v>#N/A</v>
      </c>
    </row>
    <row r="4919" spans="1:22" x14ac:dyDescent="0.2">
      <c r="A4919" s="1">
        <v>38222</v>
      </c>
      <c r="B4919" t="e">
        <f>NA()</f>
        <v>#N/A</v>
      </c>
      <c r="C4919">
        <f>2239.2</f>
        <v>2239.1999999999998</v>
      </c>
      <c r="D4919">
        <f>2296.2</f>
        <v>2296.1999999999998</v>
      </c>
      <c r="E4919">
        <f>654.55</f>
        <v>654.54999999999995</v>
      </c>
      <c r="F4919">
        <f>1438.14</f>
        <v>1438.14</v>
      </c>
      <c r="G4919">
        <f>4273.755</f>
        <v>4273.7550000000001</v>
      </c>
      <c r="H4919">
        <f>1203.44</f>
        <v>1203.44</v>
      </c>
      <c r="I4919">
        <f>3883.611</f>
        <v>3883.6109999999999</v>
      </c>
      <c r="J4919">
        <f>1099.25</f>
        <v>1099.25</v>
      </c>
      <c r="K4919">
        <f>3311.91</f>
        <v>3311.91</v>
      </c>
      <c r="L4919">
        <f>727.72</f>
        <v>727.72</v>
      </c>
      <c r="M4919">
        <f>2925.89</f>
        <v>2925.89</v>
      </c>
      <c r="N4919">
        <f>114.842</f>
        <v>114.842</v>
      </c>
      <c r="O4919">
        <f>1147.41</f>
        <v>1147.4100000000001</v>
      </c>
      <c r="P4919" t="e">
        <f>NA()</f>
        <v>#N/A</v>
      </c>
      <c r="Q4919">
        <f>594.54</f>
        <v>594.54</v>
      </c>
      <c r="R4919">
        <f>1616.68</f>
        <v>1616.68</v>
      </c>
      <c r="S4919">
        <f>1267.39</f>
        <v>1267.3900000000001</v>
      </c>
      <c r="T4919" t="e">
        <f>NA()</f>
        <v>#N/A</v>
      </c>
      <c r="U4919">
        <f>11166.09</f>
        <v>11166.09</v>
      </c>
      <c r="V4919" t="e">
        <f>NA()</f>
        <v>#N/A</v>
      </c>
    </row>
    <row r="4920" spans="1:22" x14ac:dyDescent="0.2">
      <c r="A4920" s="1">
        <v>38219</v>
      </c>
      <c r="B4920" t="e">
        <f>NA()</f>
        <v>#N/A</v>
      </c>
      <c r="C4920">
        <f>2242.65</f>
        <v>2242.65</v>
      </c>
      <c r="D4920">
        <f>2277.37</f>
        <v>2277.37</v>
      </c>
      <c r="E4920">
        <f>655.372</f>
        <v>655.37199999999996</v>
      </c>
      <c r="F4920">
        <f>1433.24</f>
        <v>1433.24</v>
      </c>
      <c r="G4920">
        <f>4253.623</f>
        <v>4253.6229999999996</v>
      </c>
      <c r="H4920">
        <f>1205.13</f>
        <v>1205.1300000000001</v>
      </c>
      <c r="I4920">
        <f>3871.964</f>
        <v>3871.9639999999999</v>
      </c>
      <c r="J4920">
        <f>1103.38</f>
        <v>1103.3800000000001</v>
      </c>
      <c r="K4920">
        <f>3320.25</f>
        <v>3320.25</v>
      </c>
      <c r="L4920">
        <f>728.16</f>
        <v>728.16</v>
      </c>
      <c r="M4920">
        <f>2926.83</f>
        <v>2926.83</v>
      </c>
      <c r="N4920">
        <f>113.713</f>
        <v>113.71299999999999</v>
      </c>
      <c r="O4920">
        <f>1131.85</f>
        <v>1131.8499999999999</v>
      </c>
      <c r="P4920" t="e">
        <f>NA()</f>
        <v>#N/A</v>
      </c>
      <c r="Q4920">
        <f>597.01</f>
        <v>597.01</v>
      </c>
      <c r="R4920">
        <f>1620.47</f>
        <v>1620.47</v>
      </c>
      <c r="S4920">
        <f>1262.38</f>
        <v>1262.3800000000001</v>
      </c>
      <c r="T4920" t="e">
        <f>NA()</f>
        <v>#N/A</v>
      </c>
      <c r="U4920">
        <f>10938.15</f>
        <v>10938.15</v>
      </c>
      <c r="V4920" t="e">
        <f>NA()</f>
        <v>#N/A</v>
      </c>
    </row>
    <row r="4921" spans="1:22" x14ac:dyDescent="0.2">
      <c r="A4921" s="1">
        <v>38218</v>
      </c>
      <c r="B4921" t="e">
        <f>NA()</f>
        <v>#N/A</v>
      </c>
      <c r="C4921">
        <f>2233.77</f>
        <v>2233.77</v>
      </c>
      <c r="D4921">
        <f>2273.96</f>
        <v>2273.96</v>
      </c>
      <c r="E4921">
        <f>655.149</f>
        <v>655.149</v>
      </c>
      <c r="F4921">
        <f>1438.45</f>
        <v>1438.45</v>
      </c>
      <c r="G4921">
        <f>4273.28</f>
        <v>4273.28</v>
      </c>
      <c r="H4921">
        <f>1204.57</f>
        <v>1204.57</v>
      </c>
      <c r="I4921">
        <f>3892.269</f>
        <v>3892.2689999999998</v>
      </c>
      <c r="J4921">
        <f>1096.36</f>
        <v>1096.3599999999999</v>
      </c>
      <c r="K4921">
        <f>3297.22</f>
        <v>3297.22</v>
      </c>
      <c r="L4921">
        <f>726.82</f>
        <v>726.82</v>
      </c>
      <c r="M4921">
        <f>2918.71</f>
        <v>2918.71</v>
      </c>
      <c r="N4921">
        <f>113.938</f>
        <v>113.938</v>
      </c>
      <c r="O4921">
        <f>1133.95</f>
        <v>1133.95</v>
      </c>
      <c r="P4921" t="e">
        <f>NA()</f>
        <v>#N/A</v>
      </c>
      <c r="Q4921">
        <f>593.59</f>
        <v>593.59</v>
      </c>
      <c r="R4921">
        <f>1609.97</f>
        <v>1609.97</v>
      </c>
      <c r="S4921">
        <f>1259.7</f>
        <v>1259.7</v>
      </c>
      <c r="T4921" t="e">
        <f>NA()</f>
        <v>#N/A</v>
      </c>
      <c r="U4921">
        <f>10881.24</f>
        <v>10881.24</v>
      </c>
      <c r="V4921" t="e">
        <f>NA()</f>
        <v>#N/A</v>
      </c>
    </row>
    <row r="4922" spans="1:22" x14ac:dyDescent="0.2">
      <c r="A4922" s="1">
        <v>38217</v>
      </c>
      <c r="B4922" t="e">
        <f>NA()</f>
        <v>#N/A</v>
      </c>
      <c r="C4922">
        <f>2208.51</f>
        <v>2208.5100000000002</v>
      </c>
      <c r="D4922">
        <f>2270.11</f>
        <v>2270.11</v>
      </c>
      <c r="E4922">
        <f>645.704</f>
        <v>645.70399999999995</v>
      </c>
      <c r="F4922">
        <f>1432.91</f>
        <v>1432.91</v>
      </c>
      <c r="G4922">
        <f>4243.682</f>
        <v>4243.6819999999998</v>
      </c>
      <c r="H4922">
        <f>1197.43</f>
        <v>1197.43</v>
      </c>
      <c r="I4922">
        <f>3862.812</f>
        <v>3862.8119999999999</v>
      </c>
      <c r="J4922">
        <f>1099.77</f>
        <v>1099.77</v>
      </c>
      <c r="K4922">
        <f>3309.81</f>
        <v>3309.81</v>
      </c>
      <c r="L4922">
        <f>724.18</f>
        <v>724.18</v>
      </c>
      <c r="M4922">
        <f>2911.6</f>
        <v>2911.6</v>
      </c>
      <c r="N4922">
        <f>113.886</f>
        <v>113.886</v>
      </c>
      <c r="O4922">
        <f>1131.77</f>
        <v>1131.77</v>
      </c>
      <c r="P4922" t="e">
        <f>NA()</f>
        <v>#N/A</v>
      </c>
      <c r="Q4922">
        <f>596.48</f>
        <v>596.48</v>
      </c>
      <c r="R4922">
        <f>1615.72</f>
        <v>1615.72</v>
      </c>
      <c r="S4922">
        <f>1245.37</f>
        <v>1245.3699999999999</v>
      </c>
      <c r="T4922" t="e">
        <f>NA()</f>
        <v>#N/A</v>
      </c>
      <c r="U4922">
        <f>10687.33</f>
        <v>10687.33</v>
      </c>
      <c r="V4922" t="e">
        <f>NA()</f>
        <v>#N/A</v>
      </c>
    </row>
    <row r="4923" spans="1:22" x14ac:dyDescent="0.2">
      <c r="A4923" s="1">
        <v>38216</v>
      </c>
      <c r="B4923" t="e">
        <f>NA()</f>
        <v>#N/A</v>
      </c>
      <c r="C4923">
        <f>2200.2</f>
        <v>2200.1999999999998</v>
      </c>
      <c r="D4923">
        <f>2267.75</f>
        <v>2267.75</v>
      </c>
      <c r="E4923">
        <f>642.951</f>
        <v>642.95100000000002</v>
      </c>
      <c r="F4923">
        <f>1435.36</f>
        <v>1435.36</v>
      </c>
      <c r="G4923">
        <f>4251.061</f>
        <v>4251.0609999999997</v>
      </c>
      <c r="H4923">
        <f>1194.57</f>
        <v>1194.57</v>
      </c>
      <c r="I4923">
        <f>3870.657</f>
        <v>3870.6570000000002</v>
      </c>
      <c r="J4923">
        <f>1087.89</f>
        <v>1087.8900000000001</v>
      </c>
      <c r="K4923">
        <f>3267.97</f>
        <v>3267.97</v>
      </c>
      <c r="L4923">
        <f>721.9</f>
        <v>721.9</v>
      </c>
      <c r="M4923">
        <f>2890.64</f>
        <v>2890.64</v>
      </c>
      <c r="N4923">
        <f>113.676</f>
        <v>113.676</v>
      </c>
      <c r="O4923">
        <f>1131.17</f>
        <v>1131.17</v>
      </c>
      <c r="P4923" t="e">
        <f>NA()</f>
        <v>#N/A</v>
      </c>
      <c r="Q4923">
        <f>590.58</f>
        <v>590.58000000000004</v>
      </c>
      <c r="R4923">
        <f>1595.57</f>
        <v>1595.57</v>
      </c>
      <c r="S4923">
        <f>1239.74</f>
        <v>1239.74</v>
      </c>
      <c r="T4923" t="e">
        <f>NA()</f>
        <v>#N/A</v>
      </c>
      <c r="U4923">
        <f>10745.53</f>
        <v>10745.53</v>
      </c>
      <c r="V4923" t="e">
        <f>NA()</f>
        <v>#N/A</v>
      </c>
    </row>
    <row r="4924" spans="1:22" x14ac:dyDescent="0.2">
      <c r="A4924" s="1">
        <v>38215</v>
      </c>
      <c r="B4924" t="e">
        <f>NA()</f>
        <v>#N/A</v>
      </c>
      <c r="C4924">
        <f>2190.13</f>
        <v>2190.13</v>
      </c>
      <c r="D4924">
        <f>2263.32</f>
        <v>2263.3200000000002</v>
      </c>
      <c r="E4924">
        <f>640.077</f>
        <v>640.077</v>
      </c>
      <c r="F4924">
        <f>1441.02</f>
        <v>1441.02</v>
      </c>
      <c r="G4924">
        <f>4271.667</f>
        <v>4271.6670000000004</v>
      </c>
      <c r="H4924">
        <f>1183.99</f>
        <v>1183.99</v>
      </c>
      <c r="I4924">
        <f>3858.781</f>
        <v>3858.7809999999999</v>
      </c>
      <c r="J4924">
        <f>1088.24</f>
        <v>1088.24</v>
      </c>
      <c r="K4924">
        <f>3259.15</f>
        <v>3259.15</v>
      </c>
      <c r="L4924">
        <f>722.98</f>
        <v>722.98</v>
      </c>
      <c r="M4924">
        <f>2883.21</f>
        <v>2883.21</v>
      </c>
      <c r="N4924">
        <f>113.823</f>
        <v>113.82299999999999</v>
      </c>
      <c r="O4924">
        <f>1129.9</f>
        <v>1129.9000000000001</v>
      </c>
      <c r="P4924" t="e">
        <f>NA()</f>
        <v>#N/A</v>
      </c>
      <c r="Q4924">
        <f>588.69</f>
        <v>588.69000000000005</v>
      </c>
      <c r="R4924">
        <f>1591.94</f>
        <v>1591.94</v>
      </c>
      <c r="S4924">
        <f>1233.69</f>
        <v>1233.69</v>
      </c>
      <c r="T4924" t="e">
        <f>NA()</f>
        <v>#N/A</v>
      </c>
      <c r="U4924">
        <f>10823.87</f>
        <v>10823.87</v>
      </c>
      <c r="V4924" t="e">
        <f>NA()</f>
        <v>#N/A</v>
      </c>
    </row>
    <row r="4925" spans="1:22" x14ac:dyDescent="0.2">
      <c r="A4925" s="1">
        <v>38212</v>
      </c>
      <c r="B4925" t="e">
        <f>NA()</f>
        <v>#N/A</v>
      </c>
      <c r="C4925">
        <f>2178.45</f>
        <v>2178.4499999999998</v>
      </c>
      <c r="D4925">
        <f>2238.02</f>
        <v>2238.02</v>
      </c>
      <c r="E4925">
        <f>639.247</f>
        <v>639.24699999999996</v>
      </c>
      <c r="F4925">
        <f>1432.4</f>
        <v>1432.4</v>
      </c>
      <c r="G4925">
        <f>4230.046</f>
        <v>4230.0460000000003</v>
      </c>
      <c r="H4925">
        <f>1190.05</f>
        <v>1190.05</v>
      </c>
      <c r="I4925">
        <f>3826.851</f>
        <v>3826.8510000000001</v>
      </c>
      <c r="J4925">
        <f>1074.77</f>
        <v>1074.77</v>
      </c>
      <c r="K4925">
        <f>3215.88</f>
        <v>3215.88</v>
      </c>
      <c r="L4925">
        <f>717.11</f>
        <v>717.11</v>
      </c>
      <c r="M4925">
        <f>2856.86</f>
        <v>2856.86</v>
      </c>
      <c r="N4925">
        <f>112.783</f>
        <v>112.783</v>
      </c>
      <c r="O4925">
        <f>1118.76</f>
        <v>1118.76</v>
      </c>
      <c r="P4925" t="e">
        <f>NA()</f>
        <v>#N/A</v>
      </c>
      <c r="Q4925">
        <f>580.07</f>
        <v>580.07000000000005</v>
      </c>
      <c r="R4925">
        <f>1570.44</f>
        <v>1570.44</v>
      </c>
      <c r="S4925">
        <f>1247.53</f>
        <v>1247.53</v>
      </c>
      <c r="T4925" t="e">
        <f>NA()</f>
        <v>#N/A</v>
      </c>
      <c r="U4925">
        <f>10567.57</f>
        <v>10567.57</v>
      </c>
      <c r="V4925" t="e">
        <f>NA()</f>
        <v>#N/A</v>
      </c>
    </row>
    <row r="4926" spans="1:22" x14ac:dyDescent="0.2">
      <c r="A4926" s="1">
        <v>38211</v>
      </c>
      <c r="B4926" t="e">
        <f>NA()</f>
        <v>#N/A</v>
      </c>
      <c r="C4926">
        <f>2171.55</f>
        <v>2171.5500000000002</v>
      </c>
      <c r="D4926">
        <f>2251.85</f>
        <v>2251.85</v>
      </c>
      <c r="E4926">
        <f>637.379</f>
        <v>637.37900000000002</v>
      </c>
      <c r="F4926">
        <f>1424.62</f>
        <v>1424.62</v>
      </c>
      <c r="G4926">
        <f>4208.101</f>
        <v>4208.1009999999997</v>
      </c>
      <c r="H4926">
        <f>1202.06</f>
        <v>1202.06</v>
      </c>
      <c r="I4926">
        <f>3799.806</f>
        <v>3799.806</v>
      </c>
      <c r="J4926">
        <f>1073.21</f>
        <v>1073.21</v>
      </c>
      <c r="K4926">
        <f>3211.05</f>
        <v>3211.05</v>
      </c>
      <c r="L4926">
        <f>714.95</f>
        <v>714.95</v>
      </c>
      <c r="M4926">
        <f>2852.09</f>
        <v>2852.09</v>
      </c>
      <c r="N4926">
        <f>113.134</f>
        <v>113.134</v>
      </c>
      <c r="O4926">
        <f>1122.86</f>
        <v>1122.8599999999999</v>
      </c>
      <c r="P4926" t="e">
        <f>NA()</f>
        <v>#N/A</v>
      </c>
      <c r="Q4926">
        <f>580.71</f>
        <v>580.71</v>
      </c>
      <c r="R4926">
        <f>1567.95</f>
        <v>1567.95</v>
      </c>
      <c r="S4926">
        <f>1270.75</f>
        <v>1270.75</v>
      </c>
      <c r="T4926" t="e">
        <f>NA()</f>
        <v>#N/A</v>
      </c>
      <c r="U4926">
        <f>10496.33</f>
        <v>10496.33</v>
      </c>
      <c r="V4926" t="e">
        <f>NA()</f>
        <v>#N/A</v>
      </c>
    </row>
    <row r="4927" spans="1:22" x14ac:dyDescent="0.2">
      <c r="A4927" s="1">
        <v>38210</v>
      </c>
      <c r="B4927" t="e">
        <f>NA()</f>
        <v>#N/A</v>
      </c>
      <c r="C4927">
        <f>2163.74</f>
        <v>2163.7399999999998</v>
      </c>
      <c r="D4927">
        <f>2243.55</f>
        <v>2243.5500000000002</v>
      </c>
      <c r="E4927">
        <f>635.287</f>
        <v>635.28700000000003</v>
      </c>
      <c r="F4927">
        <f>1422.61</f>
        <v>1422.61</v>
      </c>
      <c r="G4927">
        <f>4208.723</f>
        <v>4208.723</v>
      </c>
      <c r="H4927">
        <f>1203.71</f>
        <v>1203.71</v>
      </c>
      <c r="I4927">
        <f>3799.261</f>
        <v>3799.261</v>
      </c>
      <c r="J4927">
        <f>1082.5</f>
        <v>1082.5</v>
      </c>
      <c r="K4927">
        <f>3249.76</f>
        <v>3249.76</v>
      </c>
      <c r="L4927">
        <f>716.53</f>
        <v>716.53</v>
      </c>
      <c r="M4927">
        <f>2873.1</f>
        <v>2873.1</v>
      </c>
      <c r="N4927">
        <f>113.099</f>
        <v>113.099</v>
      </c>
      <c r="O4927">
        <f>1124.53</f>
        <v>1124.53</v>
      </c>
      <c r="P4927" t="e">
        <f>NA()</f>
        <v>#N/A</v>
      </c>
      <c r="Q4927">
        <f>584.53</f>
        <v>584.53</v>
      </c>
      <c r="R4927">
        <f>1586.43</f>
        <v>1586.43</v>
      </c>
      <c r="S4927">
        <f>1275.18</f>
        <v>1275.18</v>
      </c>
      <c r="T4927" t="e">
        <f>NA()</f>
        <v>#N/A</v>
      </c>
      <c r="U4927">
        <f>10154.3</f>
        <v>10154.299999999999</v>
      </c>
      <c r="V4927" t="e">
        <f>NA()</f>
        <v>#N/A</v>
      </c>
    </row>
    <row r="4928" spans="1:22" x14ac:dyDescent="0.2">
      <c r="A4928" s="1">
        <v>38209</v>
      </c>
      <c r="B4928" t="e">
        <f>NA()</f>
        <v>#N/A</v>
      </c>
      <c r="C4928">
        <f>2183.05</f>
        <v>2183.0500000000002</v>
      </c>
      <c r="D4928">
        <f>2255.28</f>
        <v>2255.2800000000002</v>
      </c>
      <c r="E4928">
        <f>641.086</f>
        <v>641.08600000000001</v>
      </c>
      <c r="F4928">
        <f>1435.63</f>
        <v>1435.63</v>
      </c>
      <c r="G4928">
        <f>4258.292</f>
        <v>4258.2920000000004</v>
      </c>
      <c r="H4928">
        <f>1193.8</f>
        <v>1193.8</v>
      </c>
      <c r="I4928">
        <f>3863.68</f>
        <v>3863.68</v>
      </c>
      <c r="J4928">
        <f>1077.08</f>
        <v>1077.08</v>
      </c>
      <c r="K4928">
        <f>3257.71</f>
        <v>3257.71</v>
      </c>
      <c r="L4928">
        <f>720.28</f>
        <v>720.28</v>
      </c>
      <c r="M4928">
        <f>2887.85</f>
        <v>2887.85</v>
      </c>
      <c r="N4928">
        <f>113.197</f>
        <v>113.197</v>
      </c>
      <c r="O4928">
        <f>1131.65</f>
        <v>1131.6500000000001</v>
      </c>
      <c r="P4928" t="e">
        <f>NA()</f>
        <v>#N/A</v>
      </c>
      <c r="Q4928">
        <f>582.04</f>
        <v>582.04</v>
      </c>
      <c r="R4928">
        <f>1590.35</f>
        <v>1590.35</v>
      </c>
      <c r="S4928">
        <f>1256.88</f>
        <v>1256.8800000000001</v>
      </c>
      <c r="T4928" t="e">
        <f>NA()</f>
        <v>#N/A</v>
      </c>
      <c r="U4928">
        <f>10180.41</f>
        <v>10180.41</v>
      </c>
      <c r="V4928" t="e">
        <f>NA()</f>
        <v>#N/A</v>
      </c>
    </row>
    <row r="4929" spans="1:22" x14ac:dyDescent="0.2">
      <c r="A4929" s="1">
        <v>38208</v>
      </c>
      <c r="B4929" t="e">
        <f>NA()</f>
        <v>#N/A</v>
      </c>
      <c r="C4929">
        <f>2181.8</f>
        <v>2181.8000000000002</v>
      </c>
      <c r="D4929">
        <f>2236.38</f>
        <v>2236.38</v>
      </c>
      <c r="E4929">
        <f>640.055</f>
        <v>640.05499999999995</v>
      </c>
      <c r="F4929">
        <f>1425.84</f>
        <v>1425.84</v>
      </c>
      <c r="G4929">
        <f>4222.68</f>
        <v>4222.68</v>
      </c>
      <c r="H4929">
        <f>1202.95</f>
        <v>1202.95</v>
      </c>
      <c r="I4929">
        <f>3816.961</f>
        <v>3816.9609999999998</v>
      </c>
      <c r="J4929">
        <f>1065.94</f>
        <v>1065.94</v>
      </c>
      <c r="K4929">
        <f>3216.11</f>
        <v>3216.11</v>
      </c>
      <c r="L4929">
        <f>714.08</f>
        <v>714.08</v>
      </c>
      <c r="M4929">
        <f>2858.55</f>
        <v>2858.55</v>
      </c>
      <c r="N4929">
        <f>112.857</f>
        <v>112.857</v>
      </c>
      <c r="O4929">
        <f>1124.77</f>
        <v>1124.77</v>
      </c>
      <c r="P4929" t="e">
        <f>NA()</f>
        <v>#N/A</v>
      </c>
      <c r="Q4929">
        <f>575.28</f>
        <v>575.28</v>
      </c>
      <c r="R4929">
        <f>1569.96</f>
        <v>1569.96</v>
      </c>
      <c r="S4929">
        <f>1252.95</f>
        <v>1252.95</v>
      </c>
      <c r="T4929" t="e">
        <f>NA()</f>
        <v>#N/A</v>
      </c>
      <c r="U4929" t="e">
        <f>NA()</f>
        <v>#N/A</v>
      </c>
      <c r="V4929" t="e">
        <f>NA()</f>
        <v>#N/A</v>
      </c>
    </row>
    <row r="4930" spans="1:22" x14ac:dyDescent="0.2">
      <c r="A4930" s="1">
        <v>38205</v>
      </c>
      <c r="B4930" t="e">
        <f>NA()</f>
        <v>#N/A</v>
      </c>
      <c r="C4930">
        <f>2169.13</f>
        <v>2169.13</v>
      </c>
      <c r="D4930">
        <f>2248.55</f>
        <v>2248.5500000000002</v>
      </c>
      <c r="E4930">
        <f>638.2</f>
        <v>638.20000000000005</v>
      </c>
      <c r="F4930">
        <f>1438.57</f>
        <v>1438.57</v>
      </c>
      <c r="G4930">
        <f>4257.119</f>
        <v>4257.1189999999997</v>
      </c>
      <c r="H4930">
        <f>1212.94</f>
        <v>1212.94</v>
      </c>
      <c r="I4930">
        <f>3851.058</f>
        <v>3851.058</v>
      </c>
      <c r="J4930">
        <f>1062.47</f>
        <v>1062.47</v>
      </c>
      <c r="K4930">
        <f>3212.27</f>
        <v>3212.27</v>
      </c>
      <c r="L4930">
        <f>715.88</f>
        <v>715.88</v>
      </c>
      <c r="M4930">
        <f>2867.18</f>
        <v>2867.18</v>
      </c>
      <c r="N4930">
        <f>114.29</f>
        <v>114.29</v>
      </c>
      <c r="O4930">
        <f>1134.14</f>
        <v>1134.1400000000001</v>
      </c>
      <c r="P4930" t="e">
        <f>NA()</f>
        <v>#N/A</v>
      </c>
      <c r="Q4930">
        <f>573.51</f>
        <v>573.51</v>
      </c>
      <c r="R4930">
        <f>1568.07</f>
        <v>1568.07</v>
      </c>
      <c r="S4930">
        <f>1259.26</f>
        <v>1259.26</v>
      </c>
      <c r="T4930" t="e">
        <f>NA()</f>
        <v>#N/A</v>
      </c>
      <c r="U4930">
        <f>10227.51</f>
        <v>10227.51</v>
      </c>
      <c r="V4930" t="e">
        <f>NA()</f>
        <v>#N/A</v>
      </c>
    </row>
    <row r="4931" spans="1:22" x14ac:dyDescent="0.2">
      <c r="A4931" s="1">
        <v>38204</v>
      </c>
      <c r="B4931" t="e">
        <f>NA()</f>
        <v>#N/A</v>
      </c>
      <c r="C4931">
        <f>2179.55</f>
        <v>2179.5500000000002</v>
      </c>
      <c r="D4931">
        <f>2287.68</f>
        <v>2287.6799999999998</v>
      </c>
      <c r="E4931">
        <f>642.063</f>
        <v>642.06299999999999</v>
      </c>
      <c r="F4931">
        <f>1432.23</f>
        <v>1432.23</v>
      </c>
      <c r="G4931">
        <f>4279.93</f>
        <v>4279.93</v>
      </c>
      <c r="H4931">
        <f>1199.91</f>
        <v>1199.9100000000001</v>
      </c>
      <c r="I4931">
        <f>3872.259</f>
        <v>3872.259</v>
      </c>
      <c r="J4931">
        <f>1074.27</f>
        <v>1074.27</v>
      </c>
      <c r="K4931">
        <f>3262.33</f>
        <v>3262.33</v>
      </c>
      <c r="L4931">
        <f>719.32</f>
        <v>719.32</v>
      </c>
      <c r="M4931">
        <f>2894.19</f>
        <v>2894.19</v>
      </c>
      <c r="N4931">
        <f>116.145</f>
        <v>116.145</v>
      </c>
      <c r="O4931">
        <f>1160.91</f>
        <v>1160.9100000000001</v>
      </c>
      <c r="P4931" t="e">
        <f>NA()</f>
        <v>#N/A</v>
      </c>
      <c r="Q4931">
        <f>581.74</f>
        <v>581.74</v>
      </c>
      <c r="R4931">
        <f>1592.64</f>
        <v>1592.64</v>
      </c>
      <c r="S4931">
        <f>1270.33</f>
        <v>1270.33</v>
      </c>
      <c r="T4931" t="e">
        <f>NA()</f>
        <v>#N/A</v>
      </c>
      <c r="U4931">
        <f>10419.49</f>
        <v>10419.49</v>
      </c>
      <c r="V4931" t="e">
        <f>NA()</f>
        <v>#N/A</v>
      </c>
    </row>
    <row r="4932" spans="1:22" x14ac:dyDescent="0.2">
      <c r="A4932" s="1">
        <v>38203</v>
      </c>
      <c r="B4932" t="e">
        <f>NA()</f>
        <v>#N/A</v>
      </c>
      <c r="C4932">
        <f>2181.04</f>
        <v>2181.04</v>
      </c>
      <c r="D4932">
        <f>2284.93</f>
        <v>2284.9299999999998</v>
      </c>
      <c r="E4932">
        <f>637.122</f>
        <v>637.12199999999996</v>
      </c>
      <c r="F4932">
        <f>1422.94</f>
        <v>1422.94</v>
      </c>
      <c r="G4932">
        <f>4280.465</f>
        <v>4280.4650000000001</v>
      </c>
      <c r="H4932">
        <f>1198.56</f>
        <v>1198.56</v>
      </c>
      <c r="I4932">
        <f>3866.893</f>
        <v>3866.893</v>
      </c>
      <c r="J4932">
        <f>1090.39</f>
        <v>1090.3900000000001</v>
      </c>
      <c r="K4932">
        <f>3315.25</f>
        <v>3315.25</v>
      </c>
      <c r="L4932">
        <f>723.06</f>
        <v>723.06</v>
      </c>
      <c r="M4932">
        <f>2920.22</f>
        <v>2920.22</v>
      </c>
      <c r="N4932">
        <f>115.367</f>
        <v>115.367</v>
      </c>
      <c r="O4932">
        <f>1159.15</f>
        <v>1159.1500000000001</v>
      </c>
      <c r="P4932" t="e">
        <f>NA()</f>
        <v>#N/A</v>
      </c>
      <c r="Q4932">
        <f>590.84</f>
        <v>590.84</v>
      </c>
      <c r="R4932">
        <f>1619</f>
        <v>1619</v>
      </c>
      <c r="S4932">
        <f>1267.95</f>
        <v>1267.95</v>
      </c>
      <c r="T4932" t="e">
        <f>NA()</f>
        <v>#N/A</v>
      </c>
      <c r="U4932">
        <f>10447.73</f>
        <v>10447.73</v>
      </c>
      <c r="V4932" t="e">
        <f>NA()</f>
        <v>#N/A</v>
      </c>
    </row>
    <row r="4933" spans="1:22" x14ac:dyDescent="0.2">
      <c r="A4933" s="1">
        <v>38202</v>
      </c>
      <c r="B4933" t="e">
        <f>NA()</f>
        <v>#N/A</v>
      </c>
      <c r="C4933">
        <f>2179.06</f>
        <v>2179.06</v>
      </c>
      <c r="D4933">
        <f>2293.18</f>
        <v>2293.1799999999998</v>
      </c>
      <c r="E4933">
        <f>638.726</f>
        <v>638.726</v>
      </c>
      <c r="F4933">
        <f>1422.23</f>
        <v>1422.23</v>
      </c>
      <c r="G4933">
        <f>4296.404</f>
        <v>4296.4040000000005</v>
      </c>
      <c r="H4933">
        <f>1215.12</f>
        <v>1215.1199999999999</v>
      </c>
      <c r="I4933">
        <f>3908.117</f>
        <v>3908.1170000000002</v>
      </c>
      <c r="J4933">
        <f>1090.89</f>
        <v>1090.8900000000001</v>
      </c>
      <c r="K4933">
        <f>3318.31</f>
        <v>3318.31</v>
      </c>
      <c r="L4933">
        <f>725.13</f>
        <v>725.13</v>
      </c>
      <c r="M4933">
        <f>2934.27</f>
        <v>2934.27</v>
      </c>
      <c r="N4933">
        <f>115.217</f>
        <v>115.217</v>
      </c>
      <c r="O4933">
        <f>1168.11</f>
        <v>1168.1099999999999</v>
      </c>
      <c r="P4933" t="e">
        <f>NA()</f>
        <v>#N/A</v>
      </c>
      <c r="Q4933">
        <f>590.65</f>
        <v>590.65</v>
      </c>
      <c r="R4933">
        <f>1620.28</f>
        <v>1620.28</v>
      </c>
      <c r="S4933">
        <f>1281.91</f>
        <v>1281.9100000000001</v>
      </c>
      <c r="T4933" t="e">
        <f>NA()</f>
        <v>#N/A</v>
      </c>
      <c r="U4933">
        <f>10433.17</f>
        <v>10433.17</v>
      </c>
      <c r="V4933" t="e">
        <f>NA()</f>
        <v>#N/A</v>
      </c>
    </row>
    <row r="4934" spans="1:22" x14ac:dyDescent="0.2">
      <c r="A4934" s="1">
        <v>38201</v>
      </c>
      <c r="B4934" t="e">
        <f>NA()</f>
        <v>#N/A</v>
      </c>
      <c r="C4934">
        <f>2173.54</f>
        <v>2173.54</v>
      </c>
      <c r="D4934">
        <f>2285.96</f>
        <v>2285.96</v>
      </c>
      <c r="E4934">
        <f>637.282</f>
        <v>637.28200000000004</v>
      </c>
      <c r="F4934">
        <f>1423.71</f>
        <v>1423.71</v>
      </c>
      <c r="G4934">
        <f>4290.838</f>
        <v>4290.8379999999997</v>
      </c>
      <c r="H4934">
        <f>1217.24</f>
        <v>1217.24</v>
      </c>
      <c r="I4934">
        <f>3876.973</f>
        <v>3876.973</v>
      </c>
      <c r="J4934">
        <f>1093.38</f>
        <v>1093.3800000000001</v>
      </c>
      <c r="K4934">
        <f>3338.7</f>
        <v>3338.7</v>
      </c>
      <c r="L4934">
        <f>722.76</f>
        <v>722.76</v>
      </c>
      <c r="M4934">
        <f>2939.39</f>
        <v>2939.39</v>
      </c>
      <c r="N4934">
        <f>115.39</f>
        <v>115.39</v>
      </c>
      <c r="O4934">
        <f>1163.83</f>
        <v>1163.83</v>
      </c>
      <c r="P4934" t="e">
        <f>NA()</f>
        <v>#N/A</v>
      </c>
      <c r="Q4934">
        <f>593.55</f>
        <v>593.54999999999995</v>
      </c>
      <c r="R4934">
        <f>1630.48</f>
        <v>1630.48</v>
      </c>
      <c r="S4934">
        <f>1291.7</f>
        <v>1291.7</v>
      </c>
      <c r="T4934" t="e">
        <f>NA()</f>
        <v>#N/A</v>
      </c>
      <c r="U4934">
        <f>10360.19</f>
        <v>10360.19</v>
      </c>
      <c r="V4934" t="e">
        <f>NA()</f>
        <v>#N/A</v>
      </c>
    </row>
    <row r="4935" spans="1:22" x14ac:dyDescent="0.2">
      <c r="A4935" s="1">
        <v>38198</v>
      </c>
      <c r="B4935" t="e">
        <f>NA()</f>
        <v>#N/A</v>
      </c>
      <c r="C4935">
        <f>2180.66</f>
        <v>2180.66</v>
      </c>
      <c r="D4935">
        <f>2284.59</f>
        <v>2284.59</v>
      </c>
      <c r="E4935">
        <f>640.537</f>
        <v>640.53700000000003</v>
      </c>
      <c r="F4935">
        <f>1407.51</f>
        <v>1407.51</v>
      </c>
      <c r="G4935">
        <f>4269.551</f>
        <v>4269.5510000000004</v>
      </c>
      <c r="H4935">
        <f>1210.37</f>
        <v>1210.3699999999999</v>
      </c>
      <c r="I4935">
        <f>3896.18</f>
        <v>3896.18</v>
      </c>
      <c r="J4935">
        <f>1088.91</f>
        <v>1088.9100000000001</v>
      </c>
      <c r="K4935">
        <f>3323.49</f>
        <v>3323.49</v>
      </c>
      <c r="L4935">
        <f>720.63</f>
        <v>720.63</v>
      </c>
      <c r="M4935">
        <f>2931.96</f>
        <v>2931.96</v>
      </c>
      <c r="N4935">
        <f>114.931</f>
        <v>114.931</v>
      </c>
      <c r="O4935">
        <f>1165.46</f>
        <v>1165.46</v>
      </c>
      <c r="P4935" t="e">
        <f>NA()</f>
        <v>#N/A</v>
      </c>
      <c r="Q4935">
        <f>590.13</f>
        <v>590.13</v>
      </c>
      <c r="R4935">
        <f>1623.26</f>
        <v>1623.26</v>
      </c>
      <c r="S4935">
        <f>1295.86</f>
        <v>1295.8599999999999</v>
      </c>
      <c r="T4935" t="e">
        <f>NA()</f>
        <v>#N/A</v>
      </c>
      <c r="U4935">
        <f>10305.89</f>
        <v>10305.89</v>
      </c>
      <c r="V4935" t="e">
        <f>NA()</f>
        <v>#N/A</v>
      </c>
    </row>
    <row r="4936" spans="1:22" x14ac:dyDescent="0.2">
      <c r="A4936" s="1">
        <v>38197</v>
      </c>
      <c r="B4936" t="e">
        <f>NA()</f>
        <v>#N/A</v>
      </c>
      <c r="C4936">
        <f>2158.39</f>
        <v>2158.39</v>
      </c>
      <c r="D4936">
        <f>2287.5</f>
        <v>2287.5</v>
      </c>
      <c r="E4936">
        <f>634.188</f>
        <v>634.18799999999999</v>
      </c>
      <c r="F4936">
        <f>1409.23</f>
        <v>1409.23</v>
      </c>
      <c r="G4936">
        <f>4270.891</f>
        <v>4270.8909999999996</v>
      </c>
      <c r="H4936">
        <f>1190.26</f>
        <v>1190.26</v>
      </c>
      <c r="I4936">
        <f>3902.321</f>
        <v>3902.3209999999999</v>
      </c>
      <c r="J4936">
        <f>1088.94</f>
        <v>1088.94</v>
      </c>
      <c r="K4936">
        <f>3318.97</f>
        <v>3318.97</v>
      </c>
      <c r="L4936">
        <f>719.91</f>
        <v>719.91</v>
      </c>
      <c r="M4936">
        <f>2924</f>
        <v>2924</v>
      </c>
      <c r="N4936">
        <f>115.059</f>
        <v>115.059</v>
      </c>
      <c r="O4936">
        <f>1162.89</f>
        <v>1162.8900000000001</v>
      </c>
      <c r="P4936" t="e">
        <f>NA()</f>
        <v>#N/A</v>
      </c>
      <c r="Q4936">
        <f>590.85</f>
        <v>590.85</v>
      </c>
      <c r="R4936">
        <f>1621.35</f>
        <v>1621.35</v>
      </c>
      <c r="S4936">
        <f>1276.16</f>
        <v>1276.1600000000001</v>
      </c>
      <c r="T4936" t="e">
        <f>NA()</f>
        <v>#N/A</v>
      </c>
      <c r="U4936">
        <f>10245.15</f>
        <v>10245.15</v>
      </c>
      <c r="V4936" t="e">
        <f>NA()</f>
        <v>#N/A</v>
      </c>
    </row>
    <row r="4937" spans="1:22" x14ac:dyDescent="0.2">
      <c r="A4937" s="1">
        <v>38196</v>
      </c>
      <c r="B4937" t="e">
        <f>NA()</f>
        <v>#N/A</v>
      </c>
      <c r="C4937">
        <f>2154.22</f>
        <v>2154.2199999999998</v>
      </c>
      <c r="D4937">
        <f>2255.17</f>
        <v>2255.17</v>
      </c>
      <c r="E4937">
        <f>635.344</f>
        <v>635.34400000000005</v>
      </c>
      <c r="F4937">
        <f>1399.28</f>
        <v>1399.28</v>
      </c>
      <c r="G4937">
        <f>4225.311</f>
        <v>4225.3109999999997</v>
      </c>
      <c r="H4937">
        <f>1190.88</f>
        <v>1190.8800000000001</v>
      </c>
      <c r="I4937">
        <f>3839.715</f>
        <v>3839.7150000000001</v>
      </c>
      <c r="J4937">
        <f>1085.01</f>
        <v>1085.01</v>
      </c>
      <c r="K4937">
        <f>3302.12</f>
        <v>3302.12</v>
      </c>
      <c r="L4937">
        <f>713.5</f>
        <v>713.5</v>
      </c>
      <c r="M4937">
        <f>2905.16</f>
        <v>2905.16</v>
      </c>
      <c r="N4937">
        <f>114.35</f>
        <v>114.35</v>
      </c>
      <c r="O4937">
        <f>1148.46</f>
        <v>1148.46</v>
      </c>
      <c r="P4937" t="e">
        <f>NA()</f>
        <v>#N/A</v>
      </c>
      <c r="Q4937">
        <f>588.49</f>
        <v>588.49</v>
      </c>
      <c r="R4937">
        <f>1613.5</f>
        <v>1613.5</v>
      </c>
      <c r="S4937">
        <f>1284.88</f>
        <v>1284.8800000000001</v>
      </c>
      <c r="T4937" t="e">
        <f>NA()</f>
        <v>#N/A</v>
      </c>
      <c r="U4937">
        <f>10228.52</f>
        <v>10228.52</v>
      </c>
      <c r="V4937" t="e">
        <f>NA()</f>
        <v>#N/A</v>
      </c>
    </row>
    <row r="4938" spans="1:22" x14ac:dyDescent="0.2">
      <c r="A4938" s="1">
        <v>38195</v>
      </c>
      <c r="B4938" t="e">
        <f>NA()</f>
        <v>#N/A</v>
      </c>
      <c r="C4938">
        <f>2146.48</f>
        <v>2146.48</v>
      </c>
      <c r="D4938">
        <f>2238.87</f>
        <v>2238.87</v>
      </c>
      <c r="E4938">
        <f>635.144</f>
        <v>635.14400000000001</v>
      </c>
      <c r="F4938">
        <f>1391.77</f>
        <v>1391.77</v>
      </c>
      <c r="G4938">
        <f>4201.026</f>
        <v>4201.0259999999998</v>
      </c>
      <c r="H4938">
        <f>1191.26</f>
        <v>1191.26</v>
      </c>
      <c r="I4938">
        <f>3846.949</f>
        <v>3846.9490000000001</v>
      </c>
      <c r="J4938">
        <f>1080.56</f>
        <v>1080.56</v>
      </c>
      <c r="K4938">
        <f>3300.27</f>
        <v>3300.27</v>
      </c>
      <c r="L4938">
        <f>711.61</f>
        <v>711.61</v>
      </c>
      <c r="M4938">
        <f>2901.02</f>
        <v>2901.02</v>
      </c>
      <c r="N4938">
        <f>113.999</f>
        <v>113.999</v>
      </c>
      <c r="O4938">
        <f>1145.06</f>
        <v>1145.06</v>
      </c>
      <c r="P4938" t="e">
        <f>NA()</f>
        <v>#N/A</v>
      </c>
      <c r="Q4938">
        <f>588.2</f>
        <v>588.20000000000005</v>
      </c>
      <c r="R4938">
        <f>1612.33</f>
        <v>1612.33</v>
      </c>
      <c r="S4938">
        <f>1267.53</f>
        <v>1267.53</v>
      </c>
      <c r="T4938" t="e">
        <f>NA()</f>
        <v>#N/A</v>
      </c>
      <c r="U4938">
        <f>10163.43</f>
        <v>10163.43</v>
      </c>
      <c r="V4938" t="e">
        <f>NA()</f>
        <v>#N/A</v>
      </c>
    </row>
    <row r="4939" spans="1:22" x14ac:dyDescent="0.2">
      <c r="A4939" s="1">
        <v>38194</v>
      </c>
      <c r="B4939" t="e">
        <f>NA()</f>
        <v>#N/A</v>
      </c>
      <c r="C4939">
        <f>2137.49</f>
        <v>2137.4899999999998</v>
      </c>
      <c r="D4939">
        <f>2219.3</f>
        <v>2219.3000000000002</v>
      </c>
      <c r="E4939">
        <f>633.067</f>
        <v>633.06700000000001</v>
      </c>
      <c r="F4939">
        <f>1389.84</f>
        <v>1389.84</v>
      </c>
      <c r="G4939">
        <f>4201.901</f>
        <v>4201.9009999999998</v>
      </c>
      <c r="H4939">
        <f>1209.2</f>
        <v>1209.2</v>
      </c>
      <c r="I4939">
        <f>3836.89</f>
        <v>3836.89</v>
      </c>
      <c r="J4939">
        <f>1072.04</f>
        <v>1072.04</v>
      </c>
      <c r="K4939">
        <f>3268.52</f>
        <v>3268.52</v>
      </c>
      <c r="L4939">
        <f>709.42</f>
        <v>709.42</v>
      </c>
      <c r="M4939">
        <f>2890.64</f>
        <v>2890.64</v>
      </c>
      <c r="N4939">
        <f>113.62</f>
        <v>113.62</v>
      </c>
      <c r="O4939">
        <f>1135.18</f>
        <v>1135.18</v>
      </c>
      <c r="P4939" t="e">
        <f>NA()</f>
        <v>#N/A</v>
      </c>
      <c r="Q4939">
        <f>582.36</f>
        <v>582.36</v>
      </c>
      <c r="R4939">
        <f>1596.48</f>
        <v>1596.48</v>
      </c>
      <c r="S4939">
        <f>1281.75</f>
        <v>1281.75</v>
      </c>
      <c r="T4939" t="e">
        <f>NA()</f>
        <v>#N/A</v>
      </c>
      <c r="U4939">
        <f>10072.86</f>
        <v>10072.86</v>
      </c>
      <c r="V4939" t="e">
        <f>NA()</f>
        <v>#N/A</v>
      </c>
    </row>
    <row r="4940" spans="1:22" x14ac:dyDescent="0.2">
      <c r="A4940" s="1">
        <v>38191</v>
      </c>
      <c r="B4940" t="e">
        <f>NA()</f>
        <v>#N/A</v>
      </c>
      <c r="C4940">
        <f>2150.86</f>
        <v>2150.86</v>
      </c>
      <c r="D4940">
        <f>2239.64</f>
        <v>2239.64</v>
      </c>
      <c r="E4940">
        <f>637.391</f>
        <v>637.39099999999996</v>
      </c>
      <c r="F4940">
        <f>1396.34</f>
        <v>1396.34</v>
      </c>
      <c r="G4940">
        <f>4223.371</f>
        <v>4223.3710000000001</v>
      </c>
      <c r="H4940">
        <f>1209.19</f>
        <v>1209.19</v>
      </c>
      <c r="I4940">
        <f>3862.714</f>
        <v>3862.7139999999999</v>
      </c>
      <c r="J4940">
        <f>1072.54</f>
        <v>1072.54</v>
      </c>
      <c r="K4940">
        <f>3276.55</f>
        <v>3276.55</v>
      </c>
      <c r="L4940">
        <f>710.51</f>
        <v>710.51</v>
      </c>
      <c r="M4940">
        <f>2901.68</f>
        <v>2901.68</v>
      </c>
      <c r="N4940">
        <f>114.252</f>
        <v>114.252</v>
      </c>
      <c r="O4940">
        <f>1145.41</f>
        <v>1145.4100000000001</v>
      </c>
      <c r="P4940" t="e">
        <f>NA()</f>
        <v>#N/A</v>
      </c>
      <c r="Q4940">
        <f>584.3</f>
        <v>584.29999999999995</v>
      </c>
      <c r="R4940">
        <f>1599.62</f>
        <v>1599.62</v>
      </c>
      <c r="S4940">
        <f>1291.26</f>
        <v>1291.26</v>
      </c>
      <c r="T4940" t="e">
        <f>NA()</f>
        <v>#N/A</v>
      </c>
      <c r="U4940">
        <f>10063.79</f>
        <v>10063.790000000001</v>
      </c>
      <c r="V4940" t="e">
        <f>NA()</f>
        <v>#N/A</v>
      </c>
    </row>
    <row r="4941" spans="1:22" x14ac:dyDescent="0.2">
      <c r="A4941" s="1">
        <v>38190</v>
      </c>
      <c r="B4941" t="e">
        <f>NA()</f>
        <v>#N/A</v>
      </c>
      <c r="C4941">
        <f>2159.37</f>
        <v>2159.37</v>
      </c>
      <c r="D4941">
        <f>2229.24</f>
        <v>2229.2399999999998</v>
      </c>
      <c r="E4941">
        <f>641.09</f>
        <v>641.09</v>
      </c>
      <c r="F4941">
        <f>1398.46</f>
        <v>1398.46</v>
      </c>
      <c r="G4941">
        <f>4244.292</f>
        <v>4244.2920000000004</v>
      </c>
      <c r="H4941">
        <f>1223.71</f>
        <v>1223.71</v>
      </c>
      <c r="I4941">
        <f>3916.771</f>
        <v>3916.7710000000002</v>
      </c>
      <c r="J4941">
        <f>1078.54</f>
        <v>1078.54</v>
      </c>
      <c r="K4941">
        <f>3309.43</f>
        <v>3309.43</v>
      </c>
      <c r="L4941">
        <f>714.57</f>
        <v>714.57</v>
      </c>
      <c r="M4941">
        <f>2932.89</f>
        <v>2932.89</v>
      </c>
      <c r="N4941">
        <f>113.967</f>
        <v>113.967</v>
      </c>
      <c r="O4941">
        <f>1142.44</f>
        <v>1142.44</v>
      </c>
      <c r="P4941" t="e">
        <f>NA()</f>
        <v>#N/A</v>
      </c>
      <c r="Q4941">
        <f>588.39</f>
        <v>588.39</v>
      </c>
      <c r="R4941">
        <f>1615.27</f>
        <v>1615.27</v>
      </c>
      <c r="S4941">
        <f>1301.52</f>
        <v>1301.52</v>
      </c>
      <c r="T4941" t="e">
        <f>NA()</f>
        <v>#N/A</v>
      </c>
      <c r="U4941">
        <f>9989.22</f>
        <v>9989.2199999999993</v>
      </c>
      <c r="V4941" t="e">
        <f>NA()</f>
        <v>#N/A</v>
      </c>
    </row>
    <row r="4942" spans="1:22" x14ac:dyDescent="0.2">
      <c r="A4942" s="1">
        <v>38189</v>
      </c>
      <c r="B4942" t="e">
        <f>NA()</f>
        <v>#N/A</v>
      </c>
      <c r="C4942">
        <f>2185.46</f>
        <v>2185.46</v>
      </c>
      <c r="D4942">
        <f>2266.02</f>
        <v>2266.02</v>
      </c>
      <c r="E4942">
        <f>647.561</f>
        <v>647.56100000000004</v>
      </c>
      <c r="F4942">
        <f>1414.68</f>
        <v>1414.68</v>
      </c>
      <c r="G4942">
        <f>4286</f>
        <v>4286</v>
      </c>
      <c r="H4942">
        <f>1230.06</f>
        <v>1230.06</v>
      </c>
      <c r="I4942">
        <f>3966.949</f>
        <v>3966.9490000000001</v>
      </c>
      <c r="J4942">
        <f>1076.55</f>
        <v>1076.55</v>
      </c>
      <c r="K4942">
        <f>3300.13</f>
        <v>3300.13</v>
      </c>
      <c r="L4942">
        <f>717.7</f>
        <v>717.7</v>
      </c>
      <c r="M4942">
        <f>2940.07</f>
        <v>2940.07</v>
      </c>
      <c r="N4942">
        <f>115.353</f>
        <v>115.35299999999999</v>
      </c>
      <c r="O4942">
        <f>1160.64</f>
        <v>1160.6400000000001</v>
      </c>
      <c r="P4942" t="e">
        <f>NA()</f>
        <v>#N/A</v>
      </c>
      <c r="Q4942">
        <f>587.98</f>
        <v>587.98</v>
      </c>
      <c r="R4942">
        <f>1610.88</f>
        <v>1610.88</v>
      </c>
      <c r="S4942">
        <f>1312.27</f>
        <v>1312.27</v>
      </c>
      <c r="T4942" t="e">
        <f>NA()</f>
        <v>#N/A</v>
      </c>
      <c r="U4942">
        <f>10131.27</f>
        <v>10131.27</v>
      </c>
      <c r="V4942" t="e">
        <f>NA()</f>
        <v>#N/A</v>
      </c>
    </row>
    <row r="4943" spans="1:22" x14ac:dyDescent="0.2">
      <c r="A4943" s="1">
        <v>38188</v>
      </c>
      <c r="B4943" t="e">
        <f>NA()</f>
        <v>#N/A</v>
      </c>
      <c r="C4943">
        <f>2189.26</f>
        <v>2189.2600000000002</v>
      </c>
      <c r="D4943">
        <f>2246.03</f>
        <v>2246.0300000000002</v>
      </c>
      <c r="E4943">
        <f>644.979</f>
        <v>644.97900000000004</v>
      </c>
      <c r="F4943">
        <f>1407.88</f>
        <v>1407.88</v>
      </c>
      <c r="G4943">
        <f>4291.352</f>
        <v>4291.3519999999999</v>
      </c>
      <c r="H4943">
        <f>1241.39</f>
        <v>1241.3900000000001</v>
      </c>
      <c r="I4943">
        <f>3980.176</f>
        <v>3980.1759999999999</v>
      </c>
      <c r="J4943">
        <f>1088.49</f>
        <v>1088.49</v>
      </c>
      <c r="K4943">
        <f>3345.8</f>
        <v>3345.8</v>
      </c>
      <c r="L4943">
        <f>722.81</f>
        <v>722.81</v>
      </c>
      <c r="M4943">
        <f>2966.56</f>
        <v>2966.56</v>
      </c>
      <c r="N4943">
        <f>113.822</f>
        <v>113.822</v>
      </c>
      <c r="O4943">
        <f>1149.32</f>
        <v>1149.32</v>
      </c>
      <c r="P4943" t="e">
        <f>NA()</f>
        <v>#N/A</v>
      </c>
      <c r="Q4943">
        <f>594.11</f>
        <v>594.11</v>
      </c>
      <c r="R4943">
        <f>1632.52</f>
        <v>1632.52</v>
      </c>
      <c r="S4943">
        <f>1296.08</f>
        <v>1296.08</v>
      </c>
      <c r="T4943" t="e">
        <f>NA()</f>
        <v>#N/A</v>
      </c>
      <c r="U4943">
        <f>9911.43</f>
        <v>9911.43</v>
      </c>
      <c r="V4943" t="e">
        <f>NA()</f>
        <v>#N/A</v>
      </c>
    </row>
    <row r="4944" spans="1:22" x14ac:dyDescent="0.2">
      <c r="A4944" s="1">
        <v>38187</v>
      </c>
      <c r="B4944" t="e">
        <f>NA()</f>
        <v>#N/A</v>
      </c>
      <c r="C4944">
        <f>2209.4</f>
        <v>2209.4</v>
      </c>
      <c r="D4944">
        <f>2236.57</f>
        <v>2236.5700000000002</v>
      </c>
      <c r="E4944">
        <f>650.481</f>
        <v>650.48099999999999</v>
      </c>
      <c r="F4944">
        <f>1412.35</f>
        <v>1412.35</v>
      </c>
      <c r="G4944">
        <f>4314.038</f>
        <v>4314.0379999999996</v>
      </c>
      <c r="H4944">
        <f>1247.48</f>
        <v>1247.48</v>
      </c>
      <c r="I4944">
        <f>3977.521</f>
        <v>3977.5210000000002</v>
      </c>
      <c r="J4944">
        <f>1086.43</f>
        <v>1086.43</v>
      </c>
      <c r="K4944">
        <f>3322.44</f>
        <v>3322.44</v>
      </c>
      <c r="L4944">
        <f>723.64</f>
        <v>723.64</v>
      </c>
      <c r="M4944">
        <f>2961.06</f>
        <v>2961.06</v>
      </c>
      <c r="N4944">
        <f>113.589</f>
        <v>113.589</v>
      </c>
      <c r="O4944">
        <f>1146.64</f>
        <v>1146.6400000000001</v>
      </c>
      <c r="P4944" t="e">
        <f>NA()</f>
        <v>#N/A</v>
      </c>
      <c r="Q4944">
        <f>591.12</f>
        <v>591.12</v>
      </c>
      <c r="R4944">
        <f>1621.09</f>
        <v>1621.09</v>
      </c>
      <c r="S4944" t="e">
        <f>NA()</f>
        <v>#N/A</v>
      </c>
      <c r="T4944" t="e">
        <f>NA()</f>
        <v>#N/A</v>
      </c>
      <c r="U4944">
        <f>9904.92</f>
        <v>9904.92</v>
      </c>
      <c r="V4944" t="e">
        <f>NA()</f>
        <v>#N/A</v>
      </c>
    </row>
    <row r="4945" spans="1:22" x14ac:dyDescent="0.2">
      <c r="A4945" s="1">
        <v>38184</v>
      </c>
      <c r="B4945" t="e">
        <f>NA()</f>
        <v>#N/A</v>
      </c>
      <c r="C4945">
        <f>2200.62</f>
        <v>2200.62</v>
      </c>
      <c r="D4945">
        <f>2245.95</f>
        <v>2245.9499999999998</v>
      </c>
      <c r="E4945">
        <f>647.529</f>
        <v>647.529</v>
      </c>
      <c r="F4945">
        <f>1414.98</f>
        <v>1414.98</v>
      </c>
      <c r="G4945">
        <f>4335.039</f>
        <v>4335.0389999999998</v>
      </c>
      <c r="H4945">
        <f>1242.72</f>
        <v>1242.72</v>
      </c>
      <c r="I4945">
        <f>4009.469</f>
        <v>4009.4690000000001</v>
      </c>
      <c r="J4945">
        <f>1084.25</f>
        <v>1084.25</v>
      </c>
      <c r="K4945">
        <f>3323.92</f>
        <v>3323.92</v>
      </c>
      <c r="L4945">
        <f>723.84</f>
        <v>723.84</v>
      </c>
      <c r="M4945">
        <f>2965.35</f>
        <v>2965.35</v>
      </c>
      <c r="N4945">
        <f>113.776</f>
        <v>113.776</v>
      </c>
      <c r="O4945">
        <f>1152.14</f>
        <v>1152.1400000000001</v>
      </c>
      <c r="P4945" t="e">
        <f>NA()</f>
        <v>#N/A</v>
      </c>
      <c r="Q4945">
        <f>592.2</f>
        <v>592.20000000000005</v>
      </c>
      <c r="R4945">
        <f>1621.81</f>
        <v>1621.81</v>
      </c>
      <c r="S4945">
        <f>1309.32</f>
        <v>1309.32</v>
      </c>
      <c r="T4945" t="e">
        <f>NA()</f>
        <v>#N/A</v>
      </c>
      <c r="U4945">
        <f>10018.07</f>
        <v>10018.07</v>
      </c>
      <c r="V4945" t="e">
        <f>NA()</f>
        <v>#N/A</v>
      </c>
    </row>
    <row r="4946" spans="1:22" x14ac:dyDescent="0.2">
      <c r="A4946" s="1">
        <v>38183</v>
      </c>
      <c r="B4946" t="e">
        <f>NA()</f>
        <v>#N/A</v>
      </c>
      <c r="C4946">
        <f>2184.19</f>
        <v>2184.19</v>
      </c>
      <c r="D4946">
        <f>2246.72</f>
        <v>2246.7199999999998</v>
      </c>
      <c r="E4946">
        <f>641.729</f>
        <v>641.72900000000004</v>
      </c>
      <c r="F4946">
        <f>1396.33</f>
        <v>1396.33</v>
      </c>
      <c r="G4946">
        <f>4287.049</f>
        <v>4287.049</v>
      </c>
      <c r="H4946">
        <f>1231.7</f>
        <v>1231.7</v>
      </c>
      <c r="I4946">
        <f>3983.455</f>
        <v>3983.4549999999999</v>
      </c>
      <c r="J4946">
        <f>1084.01</f>
        <v>1084.01</v>
      </c>
      <c r="K4946">
        <f>3339.25</f>
        <v>3339.25</v>
      </c>
      <c r="L4946">
        <f>718.98</f>
        <v>718.98</v>
      </c>
      <c r="M4946">
        <f>2962.16</f>
        <v>2962.16</v>
      </c>
      <c r="N4946">
        <f>113.521</f>
        <v>113.521</v>
      </c>
      <c r="O4946">
        <f>1150.58</f>
        <v>1150.58</v>
      </c>
      <c r="P4946" t="e">
        <f>NA()</f>
        <v>#N/A</v>
      </c>
      <c r="Q4946">
        <f>594.05</f>
        <v>594.04999999999995</v>
      </c>
      <c r="R4946">
        <f>1629.58</f>
        <v>1629.58</v>
      </c>
      <c r="S4946">
        <f>1309.27</f>
        <v>1309.27</v>
      </c>
      <c r="T4946" t="e">
        <f>NA()</f>
        <v>#N/A</v>
      </c>
      <c r="U4946">
        <f>10131.11</f>
        <v>10131.11</v>
      </c>
      <c r="V4946" t="e">
        <f>NA()</f>
        <v>#N/A</v>
      </c>
    </row>
    <row r="4947" spans="1:22" x14ac:dyDescent="0.2">
      <c r="A4947" s="1">
        <v>38182</v>
      </c>
      <c r="B4947" t="e">
        <f>NA()</f>
        <v>#N/A</v>
      </c>
      <c r="C4947">
        <f>2176.57</f>
        <v>2176.5700000000002</v>
      </c>
      <c r="D4947">
        <f>2263.2</f>
        <v>2263.1999999999998</v>
      </c>
      <c r="E4947">
        <f>644.112</f>
        <v>644.11199999999997</v>
      </c>
      <c r="F4947">
        <f>1414.39</f>
        <v>1414.39</v>
      </c>
      <c r="G4947">
        <f>4324.913</f>
        <v>4324.9129999999996</v>
      </c>
      <c r="H4947">
        <f>1233.35</f>
        <v>1233.3499999999999</v>
      </c>
      <c r="I4947">
        <f>4039.273</f>
        <v>4039.2730000000001</v>
      </c>
      <c r="J4947">
        <f>1089.46</f>
        <v>1089.46</v>
      </c>
      <c r="K4947">
        <f>3353.15</f>
        <v>3353.15</v>
      </c>
      <c r="L4947">
        <f>724.16</f>
        <v>724.16</v>
      </c>
      <c r="M4947">
        <f>2980.81</f>
        <v>2980.81</v>
      </c>
      <c r="N4947">
        <f>114.724</f>
        <v>114.724</v>
      </c>
      <c r="O4947">
        <f>1162.82</f>
        <v>1162.82</v>
      </c>
      <c r="P4947" t="e">
        <f>NA()</f>
        <v>#N/A</v>
      </c>
      <c r="Q4947">
        <f>596.3</f>
        <v>596.29999999999995</v>
      </c>
      <c r="R4947">
        <f>1636.62</f>
        <v>1636.62</v>
      </c>
      <c r="S4947">
        <f>1309.69</f>
        <v>1309.69</v>
      </c>
      <c r="T4947" t="e">
        <f>NA()</f>
        <v>#N/A</v>
      </c>
      <c r="U4947">
        <f>10099.28</f>
        <v>10099.280000000001</v>
      </c>
      <c r="V4947" t="e">
        <f>NA()</f>
        <v>#N/A</v>
      </c>
    </row>
    <row r="4948" spans="1:22" x14ac:dyDescent="0.2">
      <c r="A4948" s="1">
        <v>38181</v>
      </c>
      <c r="B4948" t="e">
        <f>NA()</f>
        <v>#N/A</v>
      </c>
      <c r="C4948">
        <f>2186.29</f>
        <v>2186.29</v>
      </c>
      <c r="D4948">
        <f>2255.4</f>
        <v>2255.4</v>
      </c>
      <c r="E4948">
        <f>650.044</f>
        <v>650.04399999999998</v>
      </c>
      <c r="F4948">
        <f>1414.21</f>
        <v>1414.21</v>
      </c>
      <c r="G4948">
        <f>4311.846</f>
        <v>4311.8459999999995</v>
      </c>
      <c r="H4948">
        <f>1249.74</f>
        <v>1249.74</v>
      </c>
      <c r="I4948">
        <f>4022.917</f>
        <v>4022.9169999999999</v>
      </c>
      <c r="J4948">
        <f>1090.2</f>
        <v>1090.2</v>
      </c>
      <c r="K4948">
        <f>3364.55</f>
        <v>3364.55</v>
      </c>
      <c r="L4948">
        <f>724.21</f>
        <v>724.21</v>
      </c>
      <c r="M4948">
        <f>2987.4</f>
        <v>2987.4</v>
      </c>
      <c r="N4948">
        <f>115.124</f>
        <v>115.124</v>
      </c>
      <c r="O4948">
        <f>1164.4</f>
        <v>1164.4000000000001</v>
      </c>
      <c r="P4948" t="e">
        <f>NA()</f>
        <v>#N/A</v>
      </c>
      <c r="Q4948">
        <f>598.45</f>
        <v>598.45000000000005</v>
      </c>
      <c r="R4948">
        <f>1641.96</f>
        <v>1641.96</v>
      </c>
      <c r="S4948">
        <f>1326.72</f>
        <v>1326.72</v>
      </c>
      <c r="T4948" t="e">
        <f>NA()</f>
        <v>#N/A</v>
      </c>
      <c r="U4948">
        <f>10173.05</f>
        <v>10173.049999999999</v>
      </c>
      <c r="V4948" t="e">
        <f>NA()</f>
        <v>#N/A</v>
      </c>
    </row>
    <row r="4949" spans="1:22" x14ac:dyDescent="0.2">
      <c r="A4949" s="1">
        <v>38180</v>
      </c>
      <c r="B4949" t="e">
        <f>NA()</f>
        <v>#N/A</v>
      </c>
      <c r="C4949">
        <f>2180.32</f>
        <v>2180.3200000000002</v>
      </c>
      <c r="D4949">
        <f>2256.55</f>
        <v>2256.5500000000002</v>
      </c>
      <c r="E4949">
        <f>649.429</f>
        <v>649.42899999999997</v>
      </c>
      <c r="F4949">
        <f>1417.32</f>
        <v>1417.32</v>
      </c>
      <c r="G4949">
        <f>4330.051</f>
        <v>4330.0510000000004</v>
      </c>
      <c r="H4949">
        <f>1254.03</f>
        <v>1254.03</v>
      </c>
      <c r="I4949">
        <f>4047.058</f>
        <v>4047.058</v>
      </c>
      <c r="J4949">
        <f>1088.97</f>
        <v>1088.97</v>
      </c>
      <c r="K4949">
        <f>3361.84</f>
        <v>3361.84</v>
      </c>
      <c r="L4949">
        <f>726.27</f>
        <v>726.27</v>
      </c>
      <c r="M4949">
        <f>2992.37</f>
        <v>2992.37</v>
      </c>
      <c r="N4949">
        <f>114.466</f>
        <v>114.46599999999999</v>
      </c>
      <c r="O4949">
        <f>1162.34</f>
        <v>1162.3399999999999</v>
      </c>
      <c r="P4949" t="e">
        <f>NA()</f>
        <v>#N/A</v>
      </c>
      <c r="Q4949">
        <f>595.93</f>
        <v>595.92999999999995</v>
      </c>
      <c r="R4949">
        <f>1640.73</f>
        <v>1640.73</v>
      </c>
      <c r="S4949">
        <f>1321.28</f>
        <v>1321.28</v>
      </c>
      <c r="T4949" t="e">
        <f>NA()</f>
        <v>#N/A</v>
      </c>
      <c r="U4949">
        <f>10029.16</f>
        <v>10029.16</v>
      </c>
      <c r="V4949" t="e">
        <f>NA()</f>
        <v>#N/A</v>
      </c>
    </row>
    <row r="4950" spans="1:22" x14ac:dyDescent="0.2">
      <c r="A4950" s="1">
        <v>38177</v>
      </c>
      <c r="B4950" t="e">
        <f>NA()</f>
        <v>#N/A</v>
      </c>
      <c r="C4950">
        <f>2167.24</f>
        <v>2167.2399999999998</v>
      </c>
      <c r="D4950">
        <f>2273.74</f>
        <v>2273.7399999999998</v>
      </c>
      <c r="E4950">
        <f>648.177</f>
        <v>648.17700000000002</v>
      </c>
      <c r="F4950">
        <f>1417.28</f>
        <v>1417.28</v>
      </c>
      <c r="G4950">
        <f>4338.11</f>
        <v>4338.1099999999997</v>
      </c>
      <c r="H4950">
        <f>1239.48</f>
        <v>1239.48</v>
      </c>
      <c r="I4950">
        <f>4060.937</f>
        <v>4060.9369999999999</v>
      </c>
      <c r="J4950">
        <f>1085.15</f>
        <v>1085.1500000000001</v>
      </c>
      <c r="K4950">
        <f>3358.35</f>
        <v>3358.35</v>
      </c>
      <c r="L4950">
        <f>726.14</f>
        <v>726.14</v>
      </c>
      <c r="M4950">
        <f>2989.3</f>
        <v>2989.3</v>
      </c>
      <c r="N4950">
        <f>114.869</f>
        <v>114.869</v>
      </c>
      <c r="O4950">
        <f>1168.27</f>
        <v>1168.27</v>
      </c>
      <c r="P4950" t="e">
        <f>NA()</f>
        <v>#N/A</v>
      </c>
      <c r="Q4950">
        <f>593.32</f>
        <v>593.32000000000005</v>
      </c>
      <c r="R4950">
        <f>1638.42</f>
        <v>1638.42</v>
      </c>
      <c r="S4950">
        <f>1304.49</f>
        <v>1304.49</v>
      </c>
      <c r="T4950" t="e">
        <f>NA()</f>
        <v>#N/A</v>
      </c>
      <c r="U4950">
        <f>10044.72</f>
        <v>10044.719999999999</v>
      </c>
      <c r="V4950" t="e">
        <f>NA()</f>
        <v>#N/A</v>
      </c>
    </row>
    <row r="4951" spans="1:22" x14ac:dyDescent="0.2">
      <c r="A4951" s="1">
        <v>38176</v>
      </c>
      <c r="B4951" t="e">
        <f>NA()</f>
        <v>#N/A</v>
      </c>
      <c r="C4951">
        <f>2159.29</f>
        <v>2159.29</v>
      </c>
      <c r="D4951">
        <f>2267.49</f>
        <v>2267.4899999999998</v>
      </c>
      <c r="E4951">
        <f>644.844</f>
        <v>644.84400000000005</v>
      </c>
      <c r="F4951">
        <f>1420.38</f>
        <v>1420.38</v>
      </c>
      <c r="G4951">
        <f>4337.442</f>
        <v>4337.442</v>
      </c>
      <c r="H4951">
        <f>1225.88</f>
        <v>1225.8800000000001</v>
      </c>
      <c r="I4951">
        <f>4071.23</f>
        <v>4071.23</v>
      </c>
      <c r="J4951">
        <f>1081.83</f>
        <v>1081.83</v>
      </c>
      <c r="K4951">
        <f>3346.33</f>
        <v>3346.33</v>
      </c>
      <c r="L4951">
        <f>725.13</f>
        <v>725.13</v>
      </c>
      <c r="M4951">
        <f>2980.47</f>
        <v>2980.47</v>
      </c>
      <c r="N4951">
        <f>115.123</f>
        <v>115.123</v>
      </c>
      <c r="O4951">
        <f>1168.64</f>
        <v>1168.6400000000001</v>
      </c>
      <c r="P4951" t="e">
        <f>NA()</f>
        <v>#N/A</v>
      </c>
      <c r="Q4951">
        <f>591.53</f>
        <v>591.53</v>
      </c>
      <c r="R4951">
        <f>1632.89</f>
        <v>1632.89</v>
      </c>
      <c r="S4951">
        <f>1290.93</f>
        <v>1290.93</v>
      </c>
      <c r="T4951" t="e">
        <f>NA()</f>
        <v>#N/A</v>
      </c>
      <c r="U4951">
        <f>9942.76</f>
        <v>9942.76</v>
      </c>
      <c r="V4951" t="e">
        <f>NA()</f>
        <v>#N/A</v>
      </c>
    </row>
    <row r="4952" spans="1:22" x14ac:dyDescent="0.2">
      <c r="A4952" s="1">
        <v>38175</v>
      </c>
      <c r="B4952" t="e">
        <f>NA()</f>
        <v>#N/A</v>
      </c>
      <c r="C4952">
        <f>2176.91</f>
        <v>2176.91</v>
      </c>
      <c r="D4952">
        <f>2255.72</f>
        <v>2255.7199999999998</v>
      </c>
      <c r="E4952">
        <f>652.196</f>
        <v>652.19600000000003</v>
      </c>
      <c r="F4952">
        <f>1415.83</f>
        <v>1415.83</v>
      </c>
      <c r="G4952">
        <f>4310.94</f>
        <v>4310.9399999999996</v>
      </c>
      <c r="H4952">
        <f>1226.74</f>
        <v>1226.74</v>
      </c>
      <c r="I4952">
        <f>4047.057</f>
        <v>4047.0569999999998</v>
      </c>
      <c r="J4952">
        <f>1087.43</f>
        <v>1087.43</v>
      </c>
      <c r="K4952">
        <f>3374.19</f>
        <v>3374.19</v>
      </c>
      <c r="L4952">
        <f>724.78</f>
        <v>724.78</v>
      </c>
      <c r="M4952">
        <f>2991.26</f>
        <v>2991.26</v>
      </c>
      <c r="N4952">
        <f>115.094</f>
        <v>115.09399999999999</v>
      </c>
      <c r="O4952">
        <f>1164.31</f>
        <v>1164.31</v>
      </c>
      <c r="P4952" t="e">
        <f>NA()</f>
        <v>#N/A</v>
      </c>
      <c r="Q4952">
        <f>596.57</f>
        <v>596.57000000000005</v>
      </c>
      <c r="R4952">
        <f>1646.36</f>
        <v>1646.36</v>
      </c>
      <c r="S4952">
        <f>1296.48</f>
        <v>1296.48</v>
      </c>
      <c r="T4952" t="e">
        <f>NA()</f>
        <v>#N/A</v>
      </c>
      <c r="U4952">
        <f>10037.74</f>
        <v>10037.74</v>
      </c>
      <c r="V4952" t="e">
        <f>NA()</f>
        <v>#N/A</v>
      </c>
    </row>
    <row r="4953" spans="1:22" x14ac:dyDescent="0.2">
      <c r="A4953" s="1">
        <v>38174</v>
      </c>
      <c r="B4953" t="e">
        <f>NA()</f>
        <v>#N/A</v>
      </c>
      <c r="C4953">
        <f>2152.74</f>
        <v>2152.7399999999998</v>
      </c>
      <c r="D4953">
        <f>2261.21</f>
        <v>2261.21</v>
      </c>
      <c r="E4953">
        <f>648.148</f>
        <v>648.14800000000002</v>
      </c>
      <c r="F4953">
        <f>1406.19</f>
        <v>1406.19</v>
      </c>
      <c r="G4953">
        <f>4289.636</f>
        <v>4289.6360000000004</v>
      </c>
      <c r="H4953">
        <f>1223.06</f>
        <v>1223.06</v>
      </c>
      <c r="I4953">
        <f>4021.367</f>
        <v>4021.3670000000002</v>
      </c>
      <c r="J4953">
        <f>1085.2</f>
        <v>1085.2</v>
      </c>
      <c r="K4953">
        <f>3366.34</f>
        <v>3366.34</v>
      </c>
      <c r="L4953">
        <f>721.29</f>
        <v>721.29</v>
      </c>
      <c r="M4953">
        <f>2981.24</f>
        <v>2981.24</v>
      </c>
      <c r="N4953">
        <f>115.357</f>
        <v>115.357</v>
      </c>
      <c r="O4953">
        <f>1165.7</f>
        <v>1165.7</v>
      </c>
      <c r="P4953" t="e">
        <f>NA()</f>
        <v>#N/A</v>
      </c>
      <c r="Q4953">
        <f>595.85</f>
        <v>595.85</v>
      </c>
      <c r="R4953">
        <f>1642.84</f>
        <v>1642.84</v>
      </c>
      <c r="S4953">
        <f>1306.84</f>
        <v>1306.8399999999999</v>
      </c>
      <c r="T4953" t="e">
        <f>NA()</f>
        <v>#N/A</v>
      </c>
      <c r="U4953">
        <f>10083.93</f>
        <v>10083.93</v>
      </c>
      <c r="V4953" t="e">
        <f>NA()</f>
        <v>#N/A</v>
      </c>
    </row>
    <row r="4954" spans="1:22" x14ac:dyDescent="0.2">
      <c r="A4954" s="1">
        <v>38173</v>
      </c>
      <c r="B4954" t="e">
        <f>NA()</f>
        <v>#N/A</v>
      </c>
      <c r="C4954">
        <f>2156.44</f>
        <v>2156.44</v>
      </c>
      <c r="D4954">
        <f>2278.05</f>
        <v>2278.0500000000002</v>
      </c>
      <c r="E4954">
        <f>648.427</f>
        <v>648.42700000000002</v>
      </c>
      <c r="F4954">
        <f>1408.59</f>
        <v>1408.59</v>
      </c>
      <c r="G4954">
        <f>4293.522</f>
        <v>4293.5219999999999</v>
      </c>
      <c r="H4954">
        <f>1224.7</f>
        <v>1224.7</v>
      </c>
      <c r="I4954">
        <f>4049.978</f>
        <v>4049.9780000000001</v>
      </c>
      <c r="J4954">
        <f>1089.13</f>
        <v>1089.1300000000001</v>
      </c>
      <c r="K4954">
        <f>3394.64</f>
        <v>3394.64</v>
      </c>
      <c r="L4954">
        <f>722.72</f>
        <v>722.72</v>
      </c>
      <c r="M4954">
        <f>3000.04</f>
        <v>3000.04</v>
      </c>
      <c r="N4954">
        <f>116.159</f>
        <v>116.15900000000001</v>
      </c>
      <c r="O4954">
        <f>1172.39</f>
        <v>1172.3900000000001</v>
      </c>
      <c r="P4954" t="e">
        <f>NA()</f>
        <v>#N/A</v>
      </c>
      <c r="Q4954" t="e">
        <f>NA()</f>
        <v>#N/A</v>
      </c>
      <c r="R4954" t="e">
        <f>NA()</f>
        <v>#N/A</v>
      </c>
      <c r="S4954">
        <f>1315.42</f>
        <v>1315.42</v>
      </c>
      <c r="T4954" t="e">
        <f>NA()</f>
        <v>#N/A</v>
      </c>
      <c r="U4954">
        <f>10092.99</f>
        <v>10092.99</v>
      </c>
      <c r="V4954" t="e">
        <f>NA()</f>
        <v>#N/A</v>
      </c>
    </row>
    <row r="4955" spans="1:22" x14ac:dyDescent="0.2">
      <c r="A4955" s="1">
        <v>38170</v>
      </c>
      <c r="B4955" t="e">
        <f>NA()</f>
        <v>#N/A</v>
      </c>
      <c r="C4955">
        <f>2155.99</f>
        <v>2155.9899999999998</v>
      </c>
      <c r="D4955">
        <f>2280.18</f>
        <v>2280.1799999999998</v>
      </c>
      <c r="E4955">
        <f>649.029</f>
        <v>649.029</v>
      </c>
      <c r="F4955">
        <f>1407.52</f>
        <v>1407.52</v>
      </c>
      <c r="G4955">
        <f>4297.982</f>
        <v>4297.982</v>
      </c>
      <c r="H4955">
        <f>1246.96</f>
        <v>1246.96</v>
      </c>
      <c r="I4955">
        <f>4065.379</f>
        <v>4065.3789999999999</v>
      </c>
      <c r="J4955">
        <f>1089.13</f>
        <v>1089.1300000000001</v>
      </c>
      <c r="K4955">
        <f>3394.64</f>
        <v>3394.64</v>
      </c>
      <c r="L4955">
        <f>723.11</f>
        <v>723.11</v>
      </c>
      <c r="M4955">
        <f>3008.49</f>
        <v>3008.49</v>
      </c>
      <c r="N4955">
        <f>116.216</f>
        <v>116.21599999999999</v>
      </c>
      <c r="O4955">
        <f>1172.59</f>
        <v>1172.5899999999999</v>
      </c>
      <c r="P4955" t="e">
        <f>NA()</f>
        <v>#N/A</v>
      </c>
      <c r="Q4955">
        <f>598.44</f>
        <v>598.44000000000005</v>
      </c>
      <c r="R4955">
        <f>1656.33</f>
        <v>1656.33</v>
      </c>
      <c r="S4955">
        <f>1334.77</f>
        <v>1334.77</v>
      </c>
      <c r="T4955" t="e">
        <f>NA()</f>
        <v>#N/A</v>
      </c>
      <c r="U4955">
        <f>10053.47</f>
        <v>10053.469999999999</v>
      </c>
      <c r="V4955" t="e">
        <f>NA()</f>
        <v>#N/A</v>
      </c>
    </row>
    <row r="4956" spans="1:22" x14ac:dyDescent="0.2">
      <c r="A4956" s="1">
        <v>38169</v>
      </c>
      <c r="B4956" t="e">
        <f>NA()</f>
        <v>#N/A</v>
      </c>
      <c r="C4956">
        <f>2163.08</f>
        <v>2163.08</v>
      </c>
      <c r="D4956">
        <f>2289.14</f>
        <v>2289.14</v>
      </c>
      <c r="E4956">
        <f>653.7</f>
        <v>653.70000000000005</v>
      </c>
      <c r="F4956">
        <f>1407.3</f>
        <v>1407.3</v>
      </c>
      <c r="G4956">
        <f>4282.397</f>
        <v>4282.3969999999999</v>
      </c>
      <c r="H4956">
        <f>1260.05</f>
        <v>1260.05</v>
      </c>
      <c r="I4956">
        <f>4041.219</f>
        <v>4041.2190000000001</v>
      </c>
      <c r="J4956">
        <f>1089.96</f>
        <v>1089.96</v>
      </c>
      <c r="K4956">
        <f>3404.87</f>
        <v>3404.87</v>
      </c>
      <c r="L4956">
        <f>720.86</f>
        <v>720.86</v>
      </c>
      <c r="M4956">
        <f>3013.24</f>
        <v>3013.24</v>
      </c>
      <c r="N4956">
        <f>117.397</f>
        <v>117.39700000000001</v>
      </c>
      <c r="O4956">
        <f>1180.92</f>
        <v>1180.92</v>
      </c>
      <c r="P4956" t="e">
        <f>NA()</f>
        <v>#N/A</v>
      </c>
      <c r="Q4956">
        <f>600.2</f>
        <v>600.20000000000005</v>
      </c>
      <c r="R4956">
        <f>1661.53</f>
        <v>1661.53</v>
      </c>
      <c r="S4956">
        <f>1351.69</f>
        <v>1351.69</v>
      </c>
      <c r="T4956" t="e">
        <f>NA()</f>
        <v>#N/A</v>
      </c>
      <c r="U4956">
        <f>10138.23</f>
        <v>10138.23</v>
      </c>
      <c r="V4956" t="e">
        <f>NA()</f>
        <v>#N/A</v>
      </c>
    </row>
    <row r="4957" spans="1:22" x14ac:dyDescent="0.2">
      <c r="A4957" s="1">
        <v>38168</v>
      </c>
      <c r="B4957" t="e">
        <f>NA()</f>
        <v>#N/A</v>
      </c>
      <c r="C4957">
        <f>2150.76</f>
        <v>2150.7600000000002</v>
      </c>
      <c r="D4957">
        <f>2309.5</f>
        <v>2309.5</v>
      </c>
      <c r="E4957">
        <f>652.067</f>
        <v>652.06700000000001</v>
      </c>
      <c r="F4957">
        <f>1417.68</f>
        <v>1417.68</v>
      </c>
      <c r="G4957">
        <f>4312.444</f>
        <v>4312.4440000000004</v>
      </c>
      <c r="H4957">
        <f>1245.59</f>
        <v>1245.5899999999999</v>
      </c>
      <c r="I4957">
        <f>4047.114</f>
        <v>4047.114</v>
      </c>
      <c r="J4957">
        <f>1098.75</f>
        <v>1098.75</v>
      </c>
      <c r="K4957">
        <f>3440.64</f>
        <v>3440.64</v>
      </c>
      <c r="L4957">
        <f>724.09</f>
        <v>724.09</v>
      </c>
      <c r="M4957">
        <f>3030.09</f>
        <v>3030.09</v>
      </c>
      <c r="N4957">
        <f>117.502</f>
        <v>117.502</v>
      </c>
      <c r="O4957">
        <f>1183.48</f>
        <v>1183.48</v>
      </c>
      <c r="P4957" t="e">
        <f>NA()</f>
        <v>#N/A</v>
      </c>
      <c r="Q4957">
        <f>606.15</f>
        <v>606.15</v>
      </c>
      <c r="R4957">
        <f>1678.83</f>
        <v>1678.83</v>
      </c>
      <c r="S4957">
        <f>1353.03</f>
        <v>1353.03</v>
      </c>
      <c r="T4957" t="e">
        <f>NA()</f>
        <v>#N/A</v>
      </c>
      <c r="U4957">
        <f>10108.61</f>
        <v>10108.61</v>
      </c>
      <c r="V4957" t="e">
        <f>NA()</f>
        <v>#N/A</v>
      </c>
    </row>
    <row r="4958" spans="1:22" x14ac:dyDescent="0.2">
      <c r="A4958" s="1">
        <v>38167</v>
      </c>
      <c r="B4958" t="e">
        <f>NA()</f>
        <v>#N/A</v>
      </c>
      <c r="C4958">
        <f>2136.69</f>
        <v>2136.69</v>
      </c>
      <c r="D4958">
        <f>2333.57</f>
        <v>2333.5700000000002</v>
      </c>
      <c r="E4958">
        <f>645.892</f>
        <v>645.89200000000005</v>
      </c>
      <c r="F4958">
        <f>1419.53</f>
        <v>1419.53</v>
      </c>
      <c r="G4958">
        <f>4341.417</f>
        <v>4341.4170000000004</v>
      </c>
      <c r="H4958">
        <f>1255.06</f>
        <v>1255.06</v>
      </c>
      <c r="I4958">
        <f>4049.335</f>
        <v>4049.335</v>
      </c>
      <c r="J4958">
        <f>1096.05</f>
        <v>1096.05</v>
      </c>
      <c r="K4958">
        <f>3425.82</f>
        <v>3425.82</v>
      </c>
      <c r="L4958">
        <f>723.9</f>
        <v>723.9</v>
      </c>
      <c r="M4958">
        <f>3025.52</f>
        <v>3025.52</v>
      </c>
      <c r="N4958">
        <f>118.636</f>
        <v>118.636</v>
      </c>
      <c r="O4958">
        <f>1193.35</f>
        <v>1193.3499999999999</v>
      </c>
      <c r="P4958" t="e">
        <f>NA()</f>
        <v>#N/A</v>
      </c>
      <c r="Q4958">
        <f>605.06</f>
        <v>605.05999999999995</v>
      </c>
      <c r="R4958">
        <f>1671.84</f>
        <v>1671.84</v>
      </c>
      <c r="S4958">
        <f>1349.48</f>
        <v>1349.48</v>
      </c>
      <c r="T4958" t="e">
        <f>NA()</f>
        <v>#N/A</v>
      </c>
      <c r="U4958">
        <f>10129.88</f>
        <v>10129.879999999999</v>
      </c>
      <c r="V4958" t="e">
        <f>NA()</f>
        <v>#N/A</v>
      </c>
    </row>
    <row r="4959" spans="1:22" x14ac:dyDescent="0.2">
      <c r="A4959" s="1">
        <v>38166</v>
      </c>
      <c r="B4959" t="e">
        <f>NA()</f>
        <v>#N/A</v>
      </c>
      <c r="C4959">
        <f>2142.79</f>
        <v>2142.79</v>
      </c>
      <c r="D4959">
        <f>2336.81</f>
        <v>2336.81</v>
      </c>
      <c r="E4959">
        <f>646.725</f>
        <v>646.72500000000002</v>
      </c>
      <c r="F4959">
        <f>1437.71</f>
        <v>1437.71</v>
      </c>
      <c r="G4959">
        <f>4396.085</f>
        <v>4396.085</v>
      </c>
      <c r="H4959">
        <f>1262.67</f>
        <v>1262.67</v>
      </c>
      <c r="I4959">
        <f>4087.494</f>
        <v>4087.4940000000001</v>
      </c>
      <c r="J4959">
        <f>1095.46</f>
        <v>1095.46</v>
      </c>
      <c r="K4959">
        <f>3417.03</f>
        <v>3417.03</v>
      </c>
      <c r="L4959">
        <f>728.3</f>
        <v>728.3</v>
      </c>
      <c r="M4959">
        <f>3032.82</f>
        <v>3032.82</v>
      </c>
      <c r="N4959">
        <f>119.143</f>
        <v>119.143</v>
      </c>
      <c r="O4959">
        <f>1199.01</f>
        <v>1199.01</v>
      </c>
      <c r="P4959" t="e">
        <f>NA()</f>
        <v>#N/A</v>
      </c>
      <c r="Q4959">
        <f>605.93</f>
        <v>605.92999999999995</v>
      </c>
      <c r="R4959">
        <f>1667.61</f>
        <v>1667.61</v>
      </c>
      <c r="S4959">
        <f>1349.02</f>
        <v>1349.02</v>
      </c>
      <c r="T4959" t="e">
        <f>NA()</f>
        <v>#N/A</v>
      </c>
      <c r="U4959">
        <f>10152.05</f>
        <v>10152.049999999999</v>
      </c>
      <c r="V4959" t="e">
        <f>NA()</f>
        <v>#N/A</v>
      </c>
    </row>
    <row r="4960" spans="1:22" x14ac:dyDescent="0.2">
      <c r="A4960" s="1">
        <v>38163</v>
      </c>
      <c r="B4960" t="e">
        <f>NA()</f>
        <v>#N/A</v>
      </c>
      <c r="C4960">
        <f>2151.21</f>
        <v>2151.21</v>
      </c>
      <c r="D4960">
        <f>2324.08</f>
        <v>2324.08</v>
      </c>
      <c r="E4960">
        <f>650.226</f>
        <v>650.226</v>
      </c>
      <c r="F4960">
        <f>1420.22</f>
        <v>1420.22</v>
      </c>
      <c r="G4960">
        <f>4354.303</f>
        <v>4354.3029999999999</v>
      </c>
      <c r="H4960">
        <f>1258.61</f>
        <v>1258.6099999999999</v>
      </c>
      <c r="I4960">
        <f>4040.7</f>
        <v>4040.7</v>
      </c>
      <c r="J4960">
        <f>1092.18</f>
        <v>1092.18</v>
      </c>
      <c r="K4960">
        <f>3419.24</f>
        <v>3419.24</v>
      </c>
      <c r="L4960">
        <f>723.91</f>
        <v>723.91</v>
      </c>
      <c r="M4960">
        <f>3021.26</f>
        <v>3021.26</v>
      </c>
      <c r="N4960">
        <f>118.936</f>
        <v>118.93600000000001</v>
      </c>
      <c r="O4960">
        <f>1191.1</f>
        <v>1191.0999999999999</v>
      </c>
      <c r="P4960" t="e">
        <f>NA()</f>
        <v>#N/A</v>
      </c>
      <c r="Q4960">
        <f>604.44</f>
        <v>604.44000000000005</v>
      </c>
      <c r="R4960">
        <f>1668.93</f>
        <v>1668.93</v>
      </c>
      <c r="S4960">
        <f>1332.92</f>
        <v>1332.92</v>
      </c>
      <c r="T4960" t="e">
        <f>NA()</f>
        <v>#N/A</v>
      </c>
      <c r="U4960">
        <f>10220.14</f>
        <v>10220.14</v>
      </c>
      <c r="V4960" t="e">
        <f>NA()</f>
        <v>#N/A</v>
      </c>
    </row>
    <row r="4961" spans="1:22" x14ac:dyDescent="0.2">
      <c r="A4961" s="1">
        <v>38162</v>
      </c>
      <c r="B4961" t="e">
        <f>NA()</f>
        <v>#N/A</v>
      </c>
      <c r="C4961">
        <f>2140.65</f>
        <v>2140.65</v>
      </c>
      <c r="D4961">
        <f>2328.8</f>
        <v>2328.8000000000002</v>
      </c>
      <c r="E4961">
        <f>645.077</f>
        <v>645.077</v>
      </c>
      <c r="F4961">
        <f>1423.17</f>
        <v>1423.17</v>
      </c>
      <c r="G4961">
        <f>4362.114</f>
        <v>4362.1139999999996</v>
      </c>
      <c r="H4961">
        <f>1262.24</f>
        <v>1262.24</v>
      </c>
      <c r="I4961">
        <f>4058.067</f>
        <v>4058.067</v>
      </c>
      <c r="J4961">
        <f>1104.77</f>
        <v>1104.77</v>
      </c>
      <c r="K4961">
        <f>3438.73</f>
        <v>3438.73</v>
      </c>
      <c r="L4961">
        <f>728.36</f>
        <v>728.36</v>
      </c>
      <c r="M4961">
        <f>3035.46</f>
        <v>3035.46</v>
      </c>
      <c r="N4961">
        <f>118.891</f>
        <v>118.89100000000001</v>
      </c>
      <c r="O4961">
        <f>1191.81</f>
        <v>1191.81</v>
      </c>
      <c r="P4961" t="e">
        <f>NA()</f>
        <v>#N/A</v>
      </c>
      <c r="Q4961">
        <f>609.11</f>
        <v>609.11</v>
      </c>
      <c r="R4961">
        <f>1678.07</f>
        <v>1678.07</v>
      </c>
      <c r="S4961">
        <f>1328.6</f>
        <v>1328.6</v>
      </c>
      <c r="T4961" t="e">
        <f>NA()</f>
        <v>#N/A</v>
      </c>
      <c r="U4961">
        <f>10188.87</f>
        <v>10188.870000000001</v>
      </c>
      <c r="V4961" t="e">
        <f>NA()</f>
        <v>#N/A</v>
      </c>
    </row>
    <row r="4962" spans="1:22" x14ac:dyDescent="0.2">
      <c r="A4962" s="1">
        <v>38161</v>
      </c>
      <c r="B4962" t="e">
        <f>NA()</f>
        <v>#N/A</v>
      </c>
      <c r="C4962">
        <f>2108.9</f>
        <v>2108.9</v>
      </c>
      <c r="D4962">
        <f>2320.29</f>
        <v>2320.29</v>
      </c>
      <c r="E4962">
        <f>633.633</f>
        <v>633.63300000000004</v>
      </c>
      <c r="F4962">
        <f>1418.57</f>
        <v>1418.57</v>
      </c>
      <c r="G4962">
        <f>4344.044</f>
        <v>4344.0439999999999</v>
      </c>
      <c r="H4962">
        <f>1236.26</f>
        <v>1236.26</v>
      </c>
      <c r="I4962">
        <f>3995.444</f>
        <v>3995.444</v>
      </c>
      <c r="J4962">
        <f>1107.46</f>
        <v>1107.46</v>
      </c>
      <c r="K4962">
        <f>3448.23</f>
        <v>3448.23</v>
      </c>
      <c r="L4962">
        <f>724.93</f>
        <v>724.93</v>
      </c>
      <c r="M4962">
        <f>3020.23</f>
        <v>3020.23</v>
      </c>
      <c r="N4962">
        <f>118.488</f>
        <v>118.488</v>
      </c>
      <c r="O4962">
        <f>1186.23</f>
        <v>1186.23</v>
      </c>
      <c r="P4962" t="e">
        <f>NA()</f>
        <v>#N/A</v>
      </c>
      <c r="Q4962">
        <f>611.25</f>
        <v>611.25</v>
      </c>
      <c r="R4962">
        <f>1682.75</f>
        <v>1682.75</v>
      </c>
      <c r="S4962">
        <f>1314.05</f>
        <v>1314.05</v>
      </c>
      <c r="T4962" t="e">
        <f>NA()</f>
        <v>#N/A</v>
      </c>
      <c r="U4962">
        <f>9982.09</f>
        <v>9982.09</v>
      </c>
      <c r="V4962" t="e">
        <f>NA()</f>
        <v>#N/A</v>
      </c>
    </row>
    <row r="4963" spans="1:22" x14ac:dyDescent="0.2">
      <c r="A4963" s="1">
        <v>38160</v>
      </c>
      <c r="B4963" t="e">
        <f>NA()</f>
        <v>#N/A</v>
      </c>
      <c r="C4963">
        <f>2094.97</f>
        <v>2094.9699999999998</v>
      </c>
      <c r="D4963">
        <f>2310.47</f>
        <v>2310.4699999999998</v>
      </c>
      <c r="E4963">
        <f>629.522</f>
        <v>629.52200000000005</v>
      </c>
      <c r="F4963">
        <f>1416.66</f>
        <v>1416.66</v>
      </c>
      <c r="G4963">
        <f>4329.344</f>
        <v>4329.3440000000001</v>
      </c>
      <c r="H4963">
        <f>1230.09</f>
        <v>1230.0899999999999</v>
      </c>
      <c r="I4963">
        <f>3982.071</f>
        <v>3982.0709999999999</v>
      </c>
      <c r="J4963">
        <f>1098</f>
        <v>1098</v>
      </c>
      <c r="K4963">
        <f>3418.57</f>
        <v>3418.57</v>
      </c>
      <c r="L4963">
        <f>721.3</f>
        <v>721.3</v>
      </c>
      <c r="M4963">
        <f>3002.25</f>
        <v>3002.25</v>
      </c>
      <c r="N4963">
        <f>118.963</f>
        <v>118.96299999999999</v>
      </c>
      <c r="O4963">
        <f>1182.49</f>
        <v>1182.49</v>
      </c>
      <c r="P4963" t="e">
        <f>NA()</f>
        <v>#N/A</v>
      </c>
      <c r="Q4963">
        <f>607.63</f>
        <v>607.63</v>
      </c>
      <c r="R4963">
        <f>1668.55</f>
        <v>1668.55</v>
      </c>
      <c r="S4963">
        <f>1321.05</f>
        <v>1321.05</v>
      </c>
      <c r="T4963" t="e">
        <f>NA()</f>
        <v>#N/A</v>
      </c>
      <c r="U4963">
        <f>10043.95</f>
        <v>10043.950000000001</v>
      </c>
      <c r="V4963" t="e">
        <f>NA()</f>
        <v>#N/A</v>
      </c>
    </row>
    <row r="4964" spans="1:22" x14ac:dyDescent="0.2">
      <c r="A4964" s="1">
        <v>38159</v>
      </c>
      <c r="B4964" t="e">
        <f>NA()</f>
        <v>#N/A</v>
      </c>
      <c r="C4964">
        <f>2106.67</f>
        <v>2106.67</v>
      </c>
      <c r="D4964">
        <f>2327.89</f>
        <v>2327.89</v>
      </c>
      <c r="E4964">
        <f>632.107</f>
        <v>632.10699999999997</v>
      </c>
      <c r="F4964">
        <f>1430.42</f>
        <v>1430.42</v>
      </c>
      <c r="G4964">
        <f>4382.35</f>
        <v>4382.3500000000004</v>
      </c>
      <c r="H4964">
        <f>1231.32</f>
        <v>1231.32</v>
      </c>
      <c r="I4964">
        <f>4020.973</f>
        <v>4020.973</v>
      </c>
      <c r="J4964">
        <f>1095.6</f>
        <v>1095.5999999999999</v>
      </c>
      <c r="K4964">
        <f>3405.64</f>
        <v>3405.64</v>
      </c>
      <c r="L4964">
        <f>724.47</f>
        <v>724.47</v>
      </c>
      <c r="M4964">
        <f>3006.97</f>
        <v>3006.97</v>
      </c>
      <c r="N4964">
        <f>120.037</f>
        <v>120.03700000000001</v>
      </c>
      <c r="O4964">
        <f>1194.86</f>
        <v>1194.8599999999999</v>
      </c>
      <c r="P4964" t="e">
        <f>NA()</f>
        <v>#N/A</v>
      </c>
      <c r="Q4964">
        <f>605.42</f>
        <v>605.41999999999996</v>
      </c>
      <c r="R4964">
        <f>1662.46</f>
        <v>1662.46</v>
      </c>
      <c r="S4964">
        <f>1324.39</f>
        <v>1324.39</v>
      </c>
      <c r="T4964" t="e">
        <f>NA()</f>
        <v>#N/A</v>
      </c>
      <c r="U4964">
        <f>10109.52</f>
        <v>10109.52</v>
      </c>
      <c r="V4964" t="e">
        <f>NA()</f>
        <v>#N/A</v>
      </c>
    </row>
    <row r="4965" spans="1:22" x14ac:dyDescent="0.2">
      <c r="A4965" s="1">
        <v>38156</v>
      </c>
      <c r="B4965" t="e">
        <f>NA()</f>
        <v>#N/A</v>
      </c>
      <c r="C4965">
        <f>2099.42</f>
        <v>2099.42</v>
      </c>
      <c r="D4965">
        <f>2329.76</f>
        <v>2329.7600000000002</v>
      </c>
      <c r="E4965">
        <f>628.832</f>
        <v>628.83199999999999</v>
      </c>
      <c r="F4965">
        <f>1434.15</f>
        <v>1434.15</v>
      </c>
      <c r="G4965">
        <f>4404.766</f>
        <v>4404.7659999999996</v>
      </c>
      <c r="H4965">
        <f>1209.95</f>
        <v>1209.95</v>
      </c>
      <c r="I4965">
        <f>4029.092</f>
        <v>4029.0920000000001</v>
      </c>
      <c r="J4965">
        <f>1097.61</f>
        <v>1097.6099999999999</v>
      </c>
      <c r="K4965">
        <f>3420.37</f>
        <v>3420.37</v>
      </c>
      <c r="L4965">
        <f>725.94</f>
        <v>725.94</v>
      </c>
      <c r="M4965">
        <f>3011.46</f>
        <v>3011.46</v>
      </c>
      <c r="N4965">
        <f>120.156</f>
        <v>120.15600000000001</v>
      </c>
      <c r="O4965">
        <f>1195.65</f>
        <v>1195.6500000000001</v>
      </c>
      <c r="P4965" t="e">
        <f>NA()</f>
        <v>#N/A</v>
      </c>
      <c r="Q4965">
        <f>604.54</f>
        <v>604.54</v>
      </c>
      <c r="R4965">
        <f>1669.39</f>
        <v>1669.39</v>
      </c>
      <c r="S4965">
        <f>1306.91</f>
        <v>1306.9100000000001</v>
      </c>
      <c r="T4965" t="e">
        <f>NA()</f>
        <v>#N/A</v>
      </c>
      <c r="U4965">
        <f>10179.44</f>
        <v>10179.44</v>
      </c>
      <c r="V4965" t="e">
        <f>NA()</f>
        <v>#N/A</v>
      </c>
    </row>
    <row r="4966" spans="1:22" x14ac:dyDescent="0.2">
      <c r="A4966" s="1">
        <v>38155</v>
      </c>
      <c r="B4966" t="e">
        <f>NA()</f>
        <v>#N/A</v>
      </c>
      <c r="C4966">
        <f>2095</f>
        <v>2095</v>
      </c>
      <c r="D4966">
        <f>2323.29</f>
        <v>2323.29</v>
      </c>
      <c r="E4966">
        <f>631.198</f>
        <v>631.19799999999998</v>
      </c>
      <c r="F4966">
        <f>1432.55</f>
        <v>1432.55</v>
      </c>
      <c r="G4966">
        <f>4380.479</f>
        <v>4380.4790000000003</v>
      </c>
      <c r="H4966">
        <f>1216.42</f>
        <v>1216.42</v>
      </c>
      <c r="I4966">
        <f>3986.888</f>
        <v>3986.8879999999999</v>
      </c>
      <c r="J4966">
        <f>1093.21</f>
        <v>1093.21</v>
      </c>
      <c r="K4966">
        <f>3411.64</f>
        <v>3411.64</v>
      </c>
      <c r="L4966">
        <f>721.15</f>
        <v>721.15</v>
      </c>
      <c r="M4966">
        <f>3001.42</f>
        <v>3001.42</v>
      </c>
      <c r="N4966">
        <f>120.139</f>
        <v>120.139</v>
      </c>
      <c r="O4966">
        <f>1194.91</f>
        <v>1194.9100000000001</v>
      </c>
      <c r="P4966" t="e">
        <f>NA()</f>
        <v>#N/A</v>
      </c>
      <c r="Q4966">
        <f>602.94</f>
        <v>602.94000000000005</v>
      </c>
      <c r="R4966">
        <f>1665.02</f>
        <v>1665.02</v>
      </c>
      <c r="S4966">
        <f>1326.13</f>
        <v>1326.13</v>
      </c>
      <c r="T4966" t="e">
        <f>NA()</f>
        <v>#N/A</v>
      </c>
      <c r="U4966">
        <f>10182.3</f>
        <v>10182.299999999999</v>
      </c>
      <c r="V4966" t="e">
        <f>NA()</f>
        <v>#N/A</v>
      </c>
    </row>
    <row r="4967" spans="1:22" x14ac:dyDescent="0.2">
      <c r="A4967" s="1">
        <v>38154</v>
      </c>
      <c r="B4967" t="e">
        <f>NA()</f>
        <v>#N/A</v>
      </c>
      <c r="C4967">
        <f>2072.64</f>
        <v>2072.64</v>
      </c>
      <c r="D4967">
        <f>2322.17</f>
        <v>2322.17</v>
      </c>
      <c r="E4967">
        <f>625.389</f>
        <v>625.38900000000001</v>
      </c>
      <c r="F4967">
        <f>1431.2</f>
        <v>1431.2</v>
      </c>
      <c r="G4967">
        <f>4363.738</f>
        <v>4363.7380000000003</v>
      </c>
      <c r="H4967">
        <f>1213.24</f>
        <v>1213.24</v>
      </c>
      <c r="I4967">
        <f>3973.008</f>
        <v>3973.0079999999998</v>
      </c>
      <c r="J4967">
        <f>1091.78</f>
        <v>1091.78</v>
      </c>
      <c r="K4967">
        <f>3416.36</f>
        <v>3416.36</v>
      </c>
      <c r="L4967">
        <f>719.35</f>
        <v>719.35</v>
      </c>
      <c r="M4967">
        <f>2999.22</f>
        <v>2999.22</v>
      </c>
      <c r="N4967">
        <f>120.193</f>
        <v>120.193</v>
      </c>
      <c r="O4967">
        <f>1192.49</f>
        <v>1192.49</v>
      </c>
      <c r="P4967" t="e">
        <f>NA()</f>
        <v>#N/A</v>
      </c>
      <c r="Q4967">
        <f>601.49</f>
        <v>601.49</v>
      </c>
      <c r="R4967">
        <f>1667.23</f>
        <v>1667.23</v>
      </c>
      <c r="S4967">
        <f>1326.48</f>
        <v>1326.48</v>
      </c>
      <c r="T4967" t="e">
        <f>NA()</f>
        <v>#N/A</v>
      </c>
      <c r="U4967" t="e">
        <f>NA()</f>
        <v>#N/A</v>
      </c>
      <c r="V4967" t="e">
        <f>NA()</f>
        <v>#N/A</v>
      </c>
    </row>
    <row r="4968" spans="1:22" x14ac:dyDescent="0.2">
      <c r="A4968" s="1">
        <v>38153</v>
      </c>
      <c r="B4968" t="e">
        <f>NA()</f>
        <v>#N/A</v>
      </c>
      <c r="C4968">
        <f>2075.47</f>
        <v>2075.4699999999998</v>
      </c>
      <c r="D4968">
        <f>2305.03</f>
        <v>2305.0300000000002</v>
      </c>
      <c r="E4968">
        <f>625.506</f>
        <v>625.50599999999997</v>
      </c>
      <c r="F4968">
        <f>1420.4</f>
        <v>1420.4</v>
      </c>
      <c r="G4968">
        <f>4312.962</f>
        <v>4312.9620000000004</v>
      </c>
      <c r="H4968">
        <f>1197.54</f>
        <v>1197.54</v>
      </c>
      <c r="I4968">
        <f>3972.344</f>
        <v>3972.3440000000001</v>
      </c>
      <c r="J4968">
        <f>1087.54</f>
        <v>1087.54</v>
      </c>
      <c r="K4968">
        <f>3410.96</f>
        <v>3410.96</v>
      </c>
      <c r="L4968">
        <f>715.81</f>
        <v>715.81</v>
      </c>
      <c r="M4968">
        <f>2987.48</f>
        <v>2987.48</v>
      </c>
      <c r="N4968">
        <f>118.632</f>
        <v>118.63200000000001</v>
      </c>
      <c r="O4968">
        <f>1180.21</f>
        <v>1180.21</v>
      </c>
      <c r="P4968" t="e">
        <f>NA()</f>
        <v>#N/A</v>
      </c>
      <c r="Q4968">
        <f>601.85</f>
        <v>601.85</v>
      </c>
      <c r="R4968">
        <f>1664.92</f>
        <v>1664.92</v>
      </c>
      <c r="S4968">
        <f>1308.53</f>
        <v>1308.53</v>
      </c>
      <c r="T4968" t="e">
        <f>NA()</f>
        <v>#N/A</v>
      </c>
      <c r="U4968">
        <f>10100.9</f>
        <v>10100.9</v>
      </c>
      <c r="V4968" t="e">
        <f>NA()</f>
        <v>#N/A</v>
      </c>
    </row>
    <row r="4969" spans="1:22" x14ac:dyDescent="0.2">
      <c r="A4969" s="1">
        <v>38152</v>
      </c>
      <c r="B4969" t="e">
        <f>NA()</f>
        <v>#N/A</v>
      </c>
      <c r="C4969">
        <f>2063.2</f>
        <v>2063.1999999999998</v>
      </c>
      <c r="D4969">
        <f>2291.88</f>
        <v>2291.88</v>
      </c>
      <c r="E4969">
        <f>621.062</f>
        <v>621.06200000000001</v>
      </c>
      <c r="F4969">
        <f>1415.14</f>
        <v>1415.14</v>
      </c>
      <c r="G4969">
        <f>4286.713</f>
        <v>4286.7129999999997</v>
      </c>
      <c r="H4969">
        <f>1191.78</f>
        <v>1191.78</v>
      </c>
      <c r="I4969">
        <f>3942.292</f>
        <v>3942.2919999999999</v>
      </c>
      <c r="J4969">
        <f>1079.86</f>
        <v>1079.8599999999999</v>
      </c>
      <c r="K4969">
        <f>3389.26</f>
        <v>3389.26</v>
      </c>
      <c r="L4969">
        <f>711.68</f>
        <v>711.68</v>
      </c>
      <c r="M4969">
        <f>2970.07</f>
        <v>2970.07</v>
      </c>
      <c r="N4969">
        <f>117.938</f>
        <v>117.938</v>
      </c>
      <c r="O4969">
        <f>1170.62</f>
        <v>1170.6199999999999</v>
      </c>
      <c r="P4969" t="e">
        <f>NA()</f>
        <v>#N/A</v>
      </c>
      <c r="Q4969">
        <f>598.4</f>
        <v>598.4</v>
      </c>
      <c r="R4969">
        <f>1655</f>
        <v>1655</v>
      </c>
      <c r="S4969">
        <f>1316.76</f>
        <v>1316.76</v>
      </c>
      <c r="T4969" t="e">
        <f>NA()</f>
        <v>#N/A</v>
      </c>
      <c r="U4969">
        <f>10181.31</f>
        <v>10181.31</v>
      </c>
      <c r="V4969" t="e">
        <f>NA()</f>
        <v>#N/A</v>
      </c>
    </row>
    <row r="4970" spans="1:22" x14ac:dyDescent="0.2">
      <c r="A4970" s="1">
        <v>38149</v>
      </c>
      <c r="B4970" t="e">
        <f>NA()</f>
        <v>#N/A</v>
      </c>
      <c r="C4970">
        <f>2093.27</f>
        <v>2093.27</v>
      </c>
      <c r="D4970">
        <f>2318.13</f>
        <v>2318.13</v>
      </c>
      <c r="E4970">
        <f>631.529</f>
        <v>631.529</v>
      </c>
      <c r="F4970">
        <f>1431.76</f>
        <v>1431.76</v>
      </c>
      <c r="G4970">
        <f>4335.045</f>
        <v>4335.0450000000001</v>
      </c>
      <c r="H4970">
        <f>1202.03</f>
        <v>1202.03</v>
      </c>
      <c r="I4970">
        <f>3966.923</f>
        <v>3966.9229999999998</v>
      </c>
      <c r="J4970">
        <f>1089.32</f>
        <v>1089.32</v>
      </c>
      <c r="K4970">
        <f>3422.41</f>
        <v>3422.41</v>
      </c>
      <c r="L4970">
        <f>718.07</f>
        <v>718.07</v>
      </c>
      <c r="M4970">
        <f>2997.51</f>
        <v>2997.51</v>
      </c>
      <c r="N4970">
        <f>119.917</f>
        <v>119.917</v>
      </c>
      <c r="O4970">
        <f>1188.27</f>
        <v>1188.27</v>
      </c>
      <c r="P4970" t="e">
        <f>NA()</f>
        <v>#N/A</v>
      </c>
      <c r="Q4970" t="e">
        <f>NA()</f>
        <v>#N/A</v>
      </c>
      <c r="R4970" t="e">
        <f>NA()</f>
        <v>#N/A</v>
      </c>
      <c r="S4970">
        <f>1318.75</f>
        <v>1318.75</v>
      </c>
      <c r="T4970" t="e">
        <f>NA()</f>
        <v>#N/A</v>
      </c>
      <c r="U4970">
        <f>10203.66</f>
        <v>10203.66</v>
      </c>
      <c r="V4970" t="e">
        <f>NA()</f>
        <v>#N/A</v>
      </c>
    </row>
    <row r="4971" spans="1:22" x14ac:dyDescent="0.2">
      <c r="A4971" s="1">
        <v>38148</v>
      </c>
      <c r="B4971" t="e">
        <f>NA()</f>
        <v>#N/A</v>
      </c>
      <c r="C4971">
        <f>2116.76</f>
        <v>2116.7600000000002</v>
      </c>
      <c r="D4971">
        <f>2319.24</f>
        <v>2319.2399999999998</v>
      </c>
      <c r="E4971">
        <f>642.701</f>
        <v>642.70100000000002</v>
      </c>
      <c r="F4971">
        <f>1444.67</f>
        <v>1444.67</v>
      </c>
      <c r="G4971">
        <f>4367.74</f>
        <v>4367.74</v>
      </c>
      <c r="H4971">
        <f>1212.52</f>
        <v>1212.52</v>
      </c>
      <c r="I4971">
        <f>3997.73</f>
        <v>3997.73</v>
      </c>
      <c r="J4971">
        <f>1090.61</f>
        <v>1090.6099999999999</v>
      </c>
      <c r="K4971">
        <f>3423.76</f>
        <v>3423.76</v>
      </c>
      <c r="L4971">
        <f>720.9</f>
        <v>720.9</v>
      </c>
      <c r="M4971">
        <f>3007.68</f>
        <v>3007.68</v>
      </c>
      <c r="N4971">
        <f>120.32</f>
        <v>120.32</v>
      </c>
      <c r="O4971">
        <f>1190.74</f>
        <v>1190.74</v>
      </c>
      <c r="P4971" t="e">
        <f>NA()</f>
        <v>#N/A</v>
      </c>
      <c r="Q4971">
        <f>604.38</f>
        <v>604.38</v>
      </c>
      <c r="R4971">
        <f>1671.02</f>
        <v>1671.02</v>
      </c>
      <c r="S4971">
        <f>1320.76</f>
        <v>1320.76</v>
      </c>
      <c r="T4971" t="e">
        <f>NA()</f>
        <v>#N/A</v>
      </c>
      <c r="U4971">
        <f>10315.76</f>
        <v>10315.76</v>
      </c>
      <c r="V4971" t="e">
        <f>NA()</f>
        <v>#N/A</v>
      </c>
    </row>
    <row r="4972" spans="1:22" x14ac:dyDescent="0.2">
      <c r="A4972" s="1">
        <v>38147</v>
      </c>
      <c r="B4972" t="e">
        <f>NA()</f>
        <v>#N/A</v>
      </c>
      <c r="C4972">
        <f>2127.59</f>
        <v>2127.59</v>
      </c>
      <c r="D4972">
        <f>2320.99</f>
        <v>2320.9899999999998</v>
      </c>
      <c r="E4972">
        <f>648.021</f>
        <v>648.02099999999996</v>
      </c>
      <c r="F4972">
        <f>1441.82</f>
        <v>1441.82</v>
      </c>
      <c r="G4972">
        <f>4366.12</f>
        <v>4366.12</v>
      </c>
      <c r="H4972">
        <f>1206.16</f>
        <v>1206.1600000000001</v>
      </c>
      <c r="I4972">
        <f>3988.856</f>
        <v>3988.8560000000002</v>
      </c>
      <c r="J4972">
        <f>1084.36</f>
        <v>1084.3599999999999</v>
      </c>
      <c r="K4972">
        <f>3408.14</f>
        <v>3408.14</v>
      </c>
      <c r="L4972">
        <f>717.7</f>
        <v>717.7</v>
      </c>
      <c r="M4972">
        <f>2996.07</f>
        <v>2996.07</v>
      </c>
      <c r="N4972">
        <f>119.925</f>
        <v>119.925</v>
      </c>
      <c r="O4972">
        <f>1187.77</f>
        <v>1187.77</v>
      </c>
      <c r="P4972" t="e">
        <f>NA()</f>
        <v>#N/A</v>
      </c>
      <c r="Q4972">
        <f>602.53</f>
        <v>602.53</v>
      </c>
      <c r="R4972">
        <f>1663.38</f>
        <v>1663.38</v>
      </c>
      <c r="S4972">
        <f>1310.2</f>
        <v>1310.2</v>
      </c>
      <c r="T4972" t="e">
        <f>NA()</f>
        <v>#N/A</v>
      </c>
      <c r="U4972">
        <f>10419.52</f>
        <v>10419.52</v>
      </c>
      <c r="V4972" t="e">
        <f>NA()</f>
        <v>#N/A</v>
      </c>
    </row>
    <row r="4973" spans="1:22" x14ac:dyDescent="0.2">
      <c r="A4973" s="1">
        <v>38146</v>
      </c>
      <c r="B4973" t="e">
        <f>NA()</f>
        <v>#N/A</v>
      </c>
      <c r="C4973">
        <f>2150.36</f>
        <v>2150.36</v>
      </c>
      <c r="D4973">
        <f>2328.17</f>
        <v>2328.17</v>
      </c>
      <c r="E4973">
        <f>654.338</f>
        <v>654.33799999999997</v>
      </c>
      <c r="F4973">
        <f>1445.08</f>
        <v>1445.08</v>
      </c>
      <c r="G4973">
        <f>4394.858</f>
        <v>4394.8580000000002</v>
      </c>
      <c r="H4973">
        <f>1202.16</f>
        <v>1202.1600000000001</v>
      </c>
      <c r="I4973">
        <f>4060.635</f>
        <v>4060.6350000000002</v>
      </c>
      <c r="J4973">
        <f>1092.35</f>
        <v>1092.3499999999999</v>
      </c>
      <c r="K4973">
        <f>3440.46</f>
        <v>3440.46</v>
      </c>
      <c r="L4973">
        <f>725.46</f>
        <v>725.46</v>
      </c>
      <c r="M4973">
        <f>3026.95</f>
        <v>3026.95</v>
      </c>
      <c r="N4973">
        <f>119.468</f>
        <v>119.468</v>
      </c>
      <c r="O4973">
        <f>1186.48</f>
        <v>1186.48</v>
      </c>
      <c r="P4973" t="e">
        <f>NA()</f>
        <v>#N/A</v>
      </c>
      <c r="Q4973">
        <f>606.95</f>
        <v>606.95000000000005</v>
      </c>
      <c r="R4973">
        <f>1679.21</f>
        <v>1679.21</v>
      </c>
      <c r="S4973">
        <f>1316.06</f>
        <v>1316.06</v>
      </c>
      <c r="T4973" t="e">
        <f>NA()</f>
        <v>#N/A</v>
      </c>
      <c r="U4973">
        <f>10483.79</f>
        <v>10483.790000000001</v>
      </c>
      <c r="V4973" t="e">
        <f>NA()</f>
        <v>#N/A</v>
      </c>
    </row>
    <row r="4974" spans="1:22" x14ac:dyDescent="0.2">
      <c r="A4974" s="1">
        <v>38145</v>
      </c>
      <c r="B4974" t="e">
        <f>NA()</f>
        <v>#N/A</v>
      </c>
      <c r="C4974">
        <f>2158.08</f>
        <v>2158.08</v>
      </c>
      <c r="D4974">
        <f>2321.33</f>
        <v>2321.33</v>
      </c>
      <c r="E4974">
        <f>654.541</f>
        <v>654.54100000000005</v>
      </c>
      <c r="F4974">
        <f>1447.09</f>
        <v>1447.09</v>
      </c>
      <c r="G4974">
        <f>4383.805</f>
        <v>4383.8050000000003</v>
      </c>
      <c r="H4974">
        <f>1195.11</f>
        <v>1195.1099999999999</v>
      </c>
      <c r="I4974">
        <f>4072.245</f>
        <v>4072.2449999999999</v>
      </c>
      <c r="J4974">
        <f>1092.84</f>
        <v>1092.8399999999999</v>
      </c>
      <c r="K4974">
        <f>3435.82</f>
        <v>3435.82</v>
      </c>
      <c r="L4974">
        <f>725.97</f>
        <v>725.97</v>
      </c>
      <c r="M4974">
        <f>3023.81</f>
        <v>3023.81</v>
      </c>
      <c r="N4974">
        <f>118.68</f>
        <v>118.68</v>
      </c>
      <c r="O4974">
        <f>1183.87</f>
        <v>1183.8699999999999</v>
      </c>
      <c r="P4974" t="e">
        <f>NA()</f>
        <v>#N/A</v>
      </c>
      <c r="Q4974">
        <f>605.7</f>
        <v>605.70000000000005</v>
      </c>
      <c r="R4974">
        <f>1676.48</f>
        <v>1676.48</v>
      </c>
      <c r="S4974">
        <f>1308.94</f>
        <v>1308.94</v>
      </c>
      <c r="T4974" t="e">
        <f>NA()</f>
        <v>#N/A</v>
      </c>
      <c r="U4974">
        <f>10366.11</f>
        <v>10366.11</v>
      </c>
      <c r="V4974" t="e">
        <f>NA()</f>
        <v>#N/A</v>
      </c>
    </row>
    <row r="4975" spans="1:22" x14ac:dyDescent="0.2">
      <c r="A4975" s="1">
        <v>38142</v>
      </c>
      <c r="B4975" t="e">
        <f>NA()</f>
        <v>#N/A</v>
      </c>
      <c r="C4975">
        <f>2099.09</f>
        <v>2099.09</v>
      </c>
      <c r="D4975">
        <f>2302.13</f>
        <v>2302.13</v>
      </c>
      <c r="E4975">
        <f>635.811</f>
        <v>635.81100000000004</v>
      </c>
      <c r="F4975">
        <f>1433.1</f>
        <v>1433.1</v>
      </c>
      <c r="G4975">
        <f>4350.428</f>
        <v>4350.4279999999999</v>
      </c>
      <c r="H4975">
        <f>1158.3</f>
        <v>1158.3</v>
      </c>
      <c r="I4975">
        <f>4009.88</f>
        <v>4009.88</v>
      </c>
      <c r="J4975">
        <f>1077.7</f>
        <v>1077.7</v>
      </c>
      <c r="K4975">
        <f>3381.9</f>
        <v>3381.9</v>
      </c>
      <c r="L4975">
        <f>716.71</f>
        <v>716.71</v>
      </c>
      <c r="M4975">
        <f>2971.77</f>
        <v>2971.77</v>
      </c>
      <c r="N4975">
        <f>118.157</f>
        <v>118.157</v>
      </c>
      <c r="O4975">
        <f>1174.41</f>
        <v>1174.4100000000001</v>
      </c>
      <c r="P4975" t="e">
        <f>NA()</f>
        <v>#N/A</v>
      </c>
      <c r="Q4975">
        <f>598.82</f>
        <v>598.82000000000005</v>
      </c>
      <c r="R4975">
        <f>1650.08</f>
        <v>1650.08</v>
      </c>
      <c r="S4975">
        <f>1278.6</f>
        <v>1278.5999999999999</v>
      </c>
      <c r="T4975" t="e">
        <f>NA()</f>
        <v>#N/A</v>
      </c>
      <c r="U4975">
        <f>10191.33</f>
        <v>10191.33</v>
      </c>
      <c r="V4975" t="e">
        <f>NA()</f>
        <v>#N/A</v>
      </c>
    </row>
    <row r="4976" spans="1:22" x14ac:dyDescent="0.2">
      <c r="A4976" s="1">
        <v>38141</v>
      </c>
      <c r="B4976" t="e">
        <f>NA()</f>
        <v>#N/A</v>
      </c>
      <c r="C4976">
        <f>2092.43</f>
        <v>2092.4299999999998</v>
      </c>
      <c r="D4976">
        <f>2292.29</f>
        <v>2292.29</v>
      </c>
      <c r="E4976">
        <f>632.556</f>
        <v>632.55600000000004</v>
      </c>
      <c r="F4976">
        <f>1427.93</f>
        <v>1427.93</v>
      </c>
      <c r="G4976">
        <f>4342.161</f>
        <v>4342.1610000000001</v>
      </c>
      <c r="H4976">
        <f>1152.14</f>
        <v>1152.1400000000001</v>
      </c>
      <c r="I4976">
        <f>3971.362</f>
        <v>3971.3620000000001</v>
      </c>
      <c r="J4976">
        <f>1073.72</f>
        <v>1073.72</v>
      </c>
      <c r="K4976">
        <f>3364.23</f>
        <v>3364.23</v>
      </c>
      <c r="L4976">
        <f>713.87</f>
        <v>713.87</v>
      </c>
      <c r="M4976">
        <f>2955.67</f>
        <v>2955.67</v>
      </c>
      <c r="N4976">
        <f>117.467</f>
        <v>117.467</v>
      </c>
      <c r="O4976">
        <f>1167.21</f>
        <v>1167.21</v>
      </c>
      <c r="P4976" t="e">
        <f>NA()</f>
        <v>#N/A</v>
      </c>
      <c r="Q4976">
        <f>596.69</f>
        <v>596.69000000000005</v>
      </c>
      <c r="R4976">
        <f>1641.43</f>
        <v>1641.43</v>
      </c>
      <c r="S4976">
        <f>1272.45</f>
        <v>1272.45</v>
      </c>
      <c r="T4976" t="e">
        <f>NA()</f>
        <v>#N/A</v>
      </c>
      <c r="U4976">
        <f>10228.75</f>
        <v>10228.75</v>
      </c>
      <c r="V4976" t="e">
        <f>NA()</f>
        <v>#N/A</v>
      </c>
    </row>
    <row r="4977" spans="1:22" x14ac:dyDescent="0.2">
      <c r="A4977" s="1">
        <v>38140</v>
      </c>
      <c r="B4977" t="e">
        <f>NA()</f>
        <v>#N/A</v>
      </c>
      <c r="C4977">
        <f>2126.44</f>
        <v>2126.44</v>
      </c>
      <c r="D4977">
        <f>2285.77</f>
        <v>2285.77</v>
      </c>
      <c r="E4977">
        <f>647.291</f>
        <v>647.29100000000005</v>
      </c>
      <c r="F4977">
        <f>1428.12</f>
        <v>1428.12</v>
      </c>
      <c r="G4977">
        <f>4333.618</f>
        <v>4333.6180000000004</v>
      </c>
      <c r="H4977">
        <f>1175.15</f>
        <v>1175.1500000000001</v>
      </c>
      <c r="I4977">
        <f>3966.595</f>
        <v>3966.5949999999998</v>
      </c>
      <c r="J4977">
        <f>1080.89</f>
        <v>1080.8900000000001</v>
      </c>
      <c r="K4977">
        <f>3390.5</f>
        <v>3390.5</v>
      </c>
      <c r="L4977">
        <f>715.92</f>
        <v>715.92</v>
      </c>
      <c r="M4977">
        <f>2975.59</f>
        <v>2975.59</v>
      </c>
      <c r="N4977">
        <f>117.32</f>
        <v>117.32</v>
      </c>
      <c r="O4977">
        <f>1161.57</f>
        <v>1161.57</v>
      </c>
      <c r="P4977" t="e">
        <f>NA()</f>
        <v>#N/A</v>
      </c>
      <c r="Q4977">
        <f>599.71</f>
        <v>599.71</v>
      </c>
      <c r="R4977">
        <f>1653.67</f>
        <v>1653.67</v>
      </c>
      <c r="S4977">
        <f>1292.13</f>
        <v>1292.1300000000001</v>
      </c>
      <c r="T4977" t="e">
        <f>NA()</f>
        <v>#N/A</v>
      </c>
      <c r="U4977">
        <f>10317.88</f>
        <v>10317.879999999999</v>
      </c>
      <c r="V4977" t="e">
        <f>NA()</f>
        <v>#N/A</v>
      </c>
    </row>
    <row r="4978" spans="1:22" x14ac:dyDescent="0.2">
      <c r="A4978" s="1">
        <v>38139</v>
      </c>
      <c r="B4978" t="e">
        <f>NA()</f>
        <v>#N/A</v>
      </c>
      <c r="C4978">
        <f>2128.48</f>
        <v>2128.48</v>
      </c>
      <c r="D4978">
        <f>2282.66</f>
        <v>2282.66</v>
      </c>
      <c r="E4978">
        <f>649.72</f>
        <v>649.72</v>
      </c>
      <c r="F4978">
        <f>1419.96</f>
        <v>1419.96</v>
      </c>
      <c r="G4978">
        <f>4311.235</f>
        <v>4311.2349999999997</v>
      </c>
      <c r="H4978">
        <f>1179.42</f>
        <v>1179.42</v>
      </c>
      <c r="I4978">
        <f>3924.291</f>
        <v>3924.2910000000002</v>
      </c>
      <c r="J4978">
        <f>1077.11</f>
        <v>1077.1099999999999</v>
      </c>
      <c r="K4978">
        <f>3378.5</f>
        <v>3378.5</v>
      </c>
      <c r="L4978">
        <f>712.23</f>
        <v>712.23</v>
      </c>
      <c r="M4978">
        <f>2965.18</f>
        <v>2965.18</v>
      </c>
      <c r="N4978">
        <f>117.139</f>
        <v>117.139</v>
      </c>
      <c r="O4978">
        <f>1157.59</f>
        <v>1157.5899999999999</v>
      </c>
      <c r="P4978" t="e">
        <f>NA()</f>
        <v>#N/A</v>
      </c>
      <c r="Q4978">
        <f>596.97</f>
        <v>596.97</v>
      </c>
      <c r="R4978">
        <f>1647.57</f>
        <v>1647.57</v>
      </c>
      <c r="S4978">
        <f>1300.54</f>
        <v>1300.54</v>
      </c>
      <c r="T4978" t="e">
        <f>NA()</f>
        <v>#N/A</v>
      </c>
      <c r="U4978">
        <f>10308.47</f>
        <v>10308.469999999999</v>
      </c>
      <c r="V4978" t="e">
        <f>NA()</f>
        <v>#N/A</v>
      </c>
    </row>
    <row r="4979" spans="1:22" x14ac:dyDescent="0.2">
      <c r="A4979" s="1">
        <v>38138</v>
      </c>
      <c r="B4979" t="e">
        <f>NA()</f>
        <v>#N/A</v>
      </c>
      <c r="C4979">
        <f>2130.09</f>
        <v>2130.09</v>
      </c>
      <c r="D4979" t="e">
        <f>NA()</f>
        <v>#N/A</v>
      </c>
      <c r="E4979">
        <f>649.102</f>
        <v>649.10199999999998</v>
      </c>
      <c r="F4979">
        <f>1416.27</f>
        <v>1416.27</v>
      </c>
      <c r="G4979">
        <f>4311.66</f>
        <v>4311.66</v>
      </c>
      <c r="H4979">
        <f>1174.28</f>
        <v>1174.28</v>
      </c>
      <c r="I4979">
        <f>3960.697</f>
        <v>3960.6970000000001</v>
      </c>
      <c r="J4979">
        <f>1075.25</f>
        <v>1075.25</v>
      </c>
      <c r="K4979">
        <f>3376.85</f>
        <v>3376.85</v>
      </c>
      <c r="L4979">
        <f>712.73</f>
        <v>712.73</v>
      </c>
      <c r="M4979">
        <f>2967.88</f>
        <v>2967.88</v>
      </c>
      <c r="N4979" t="e">
        <f>NA()</f>
        <v>#N/A</v>
      </c>
      <c r="O4979">
        <f>1165.43</f>
        <v>1165.43</v>
      </c>
      <c r="P4979" t="e">
        <f>NA()</f>
        <v>#N/A</v>
      </c>
      <c r="Q4979" t="e">
        <f>NA()</f>
        <v>#N/A</v>
      </c>
      <c r="R4979" t="e">
        <f>NA()</f>
        <v>#N/A</v>
      </c>
      <c r="S4979">
        <f>1295.62</f>
        <v>1295.6199999999999</v>
      </c>
      <c r="T4979" t="e">
        <f>NA()</f>
        <v>#N/A</v>
      </c>
      <c r="U4979">
        <f>10413.81</f>
        <v>10413.81</v>
      </c>
      <c r="V4979" t="e">
        <f>NA()</f>
        <v>#N/A</v>
      </c>
    </row>
    <row r="4980" spans="1:22" x14ac:dyDescent="0.2">
      <c r="A4980" s="1">
        <v>38135</v>
      </c>
      <c r="B4980" t="e">
        <f>NA()</f>
        <v>#N/A</v>
      </c>
      <c r="C4980">
        <f>2130.46</f>
        <v>2130.46</v>
      </c>
      <c r="D4980">
        <f>2286.79</f>
        <v>2286.79</v>
      </c>
      <c r="E4980">
        <f>653.365</f>
        <v>653.36500000000001</v>
      </c>
      <c r="F4980">
        <f>1416.27</f>
        <v>1416.27</v>
      </c>
      <c r="G4980">
        <f>4311.66</f>
        <v>4311.66</v>
      </c>
      <c r="H4980">
        <f>1169.99</f>
        <v>1169.99</v>
      </c>
      <c r="I4980">
        <f>3949.307</f>
        <v>3949.3069999999998</v>
      </c>
      <c r="J4980">
        <f>1075.25</f>
        <v>1075.25</v>
      </c>
      <c r="K4980">
        <f>3376.85</f>
        <v>3376.85</v>
      </c>
      <c r="L4980">
        <f>711.85</f>
        <v>711.85</v>
      </c>
      <c r="M4980">
        <f>2965.62</f>
        <v>2965.62</v>
      </c>
      <c r="N4980">
        <f>117.74</f>
        <v>117.74</v>
      </c>
      <c r="O4980">
        <f>1162.67</f>
        <v>1162.67</v>
      </c>
      <c r="P4980" t="e">
        <f>NA()</f>
        <v>#N/A</v>
      </c>
      <c r="Q4980">
        <f>597.28</f>
        <v>597.28</v>
      </c>
      <c r="R4980">
        <f>1646.8</f>
        <v>1646.8</v>
      </c>
      <c r="S4980">
        <f>1298.38</f>
        <v>1298.3800000000001</v>
      </c>
      <c r="T4980" t="e">
        <f>NA()</f>
        <v>#N/A</v>
      </c>
      <c r="U4980">
        <f>10307.22</f>
        <v>10307.219999999999</v>
      </c>
      <c r="V4980" t="e">
        <f>NA()</f>
        <v>#N/A</v>
      </c>
    </row>
    <row r="4981" spans="1:22" x14ac:dyDescent="0.2">
      <c r="A4981" s="1">
        <v>38134</v>
      </c>
      <c r="B4981" t="e">
        <f>NA()</f>
        <v>#N/A</v>
      </c>
      <c r="C4981">
        <f>2130.36</f>
        <v>2130.36</v>
      </c>
      <c r="D4981">
        <f>2298.63</f>
        <v>2298.63</v>
      </c>
      <c r="E4981">
        <f>651.82</f>
        <v>651.82000000000005</v>
      </c>
      <c r="F4981">
        <f>1415.73</f>
        <v>1415.73</v>
      </c>
      <c r="G4981">
        <f>4336.87</f>
        <v>4336.87</v>
      </c>
      <c r="H4981">
        <f>1159.78</f>
        <v>1159.78</v>
      </c>
      <c r="I4981">
        <f>3983.363</f>
        <v>3983.3629999999998</v>
      </c>
      <c r="J4981">
        <f>1077.36</f>
        <v>1077.3599999999999</v>
      </c>
      <c r="K4981">
        <f>3379.28</f>
        <v>3379.28</v>
      </c>
      <c r="L4981">
        <f>714.7</f>
        <v>714.7</v>
      </c>
      <c r="M4981">
        <f>2971.1</f>
        <v>2971.1</v>
      </c>
      <c r="N4981">
        <f>117.8</f>
        <v>117.8</v>
      </c>
      <c r="O4981">
        <f>1167.45</f>
        <v>1167.45</v>
      </c>
      <c r="P4981" t="e">
        <f>NA()</f>
        <v>#N/A</v>
      </c>
      <c r="Q4981">
        <f>597</f>
        <v>597</v>
      </c>
      <c r="R4981">
        <f>1647.65</f>
        <v>1647.65</v>
      </c>
      <c r="S4981">
        <f>1280.48</f>
        <v>1280.48</v>
      </c>
      <c r="T4981" t="e">
        <f>NA()</f>
        <v>#N/A</v>
      </c>
      <c r="U4981">
        <f>10388.14</f>
        <v>10388.14</v>
      </c>
      <c r="V4981" t="e">
        <f>NA()</f>
        <v>#N/A</v>
      </c>
    </row>
    <row r="4982" spans="1:22" x14ac:dyDescent="0.2">
      <c r="A4982" s="1">
        <v>38133</v>
      </c>
      <c r="B4982" t="e">
        <f>NA()</f>
        <v>#N/A</v>
      </c>
      <c r="C4982">
        <f>2097.21</f>
        <v>2097.21</v>
      </c>
      <c r="D4982">
        <f>2290.71</f>
        <v>2290.71</v>
      </c>
      <c r="E4982">
        <f>641.235</f>
        <v>641.23500000000001</v>
      </c>
      <c r="F4982">
        <f>1387.77</f>
        <v>1387.77</v>
      </c>
      <c r="G4982">
        <f>4275.122</f>
        <v>4275.1220000000003</v>
      </c>
      <c r="H4982">
        <f>1151.33</f>
        <v>1151.33</v>
      </c>
      <c r="I4982">
        <f>3896.337</f>
        <v>3896.337</v>
      </c>
      <c r="J4982">
        <f>1073.24</f>
        <v>1073.24</v>
      </c>
      <c r="K4982">
        <f>3360.61</f>
        <v>3360.61</v>
      </c>
      <c r="L4982">
        <f>707.55</f>
        <v>707.55</v>
      </c>
      <c r="M4982">
        <f>2939.83</f>
        <v>2939.83</v>
      </c>
      <c r="N4982">
        <f>117.033</f>
        <v>117.033</v>
      </c>
      <c r="O4982">
        <f>1160.69</f>
        <v>1160.69</v>
      </c>
      <c r="P4982" t="e">
        <f>NA()</f>
        <v>#N/A</v>
      </c>
      <c r="Q4982">
        <f>592.36</f>
        <v>592.36</v>
      </c>
      <c r="R4982">
        <f>1638.16</f>
        <v>1638.16</v>
      </c>
      <c r="S4982">
        <f>1281.16</f>
        <v>1281.1600000000001</v>
      </c>
      <c r="T4982" t="e">
        <f>NA()</f>
        <v>#N/A</v>
      </c>
      <c r="U4982">
        <f>10200.57</f>
        <v>10200.57</v>
      </c>
      <c r="V4982" t="e">
        <f>NA()</f>
        <v>#N/A</v>
      </c>
    </row>
    <row r="4983" spans="1:22" x14ac:dyDescent="0.2">
      <c r="A4983" s="1">
        <v>38132</v>
      </c>
      <c r="B4983" t="e">
        <f>NA()</f>
        <v>#N/A</v>
      </c>
      <c r="C4983">
        <f>2069.03</f>
        <v>2069.0300000000002</v>
      </c>
      <c r="D4983">
        <f>2279.76</f>
        <v>2279.7600000000002</v>
      </c>
      <c r="E4983">
        <f>635.585</f>
        <v>635.58500000000004</v>
      </c>
      <c r="F4983">
        <f>1374.78</f>
        <v>1374.78</v>
      </c>
      <c r="G4983">
        <f>4244.749</f>
        <v>4244.7489999999998</v>
      </c>
      <c r="H4983">
        <f>1133.07</f>
        <v>1133.07</v>
      </c>
      <c r="I4983">
        <f>3863.833</f>
        <v>3863.8330000000001</v>
      </c>
      <c r="J4983">
        <f>1071.59</f>
        <v>1071.5899999999999</v>
      </c>
      <c r="K4983">
        <f>3354.2</f>
        <v>3354.2</v>
      </c>
      <c r="L4983">
        <f>704.4</f>
        <v>704.4</v>
      </c>
      <c r="M4983">
        <f>2924.85</f>
        <v>2924.85</v>
      </c>
      <c r="N4983">
        <f>116.498</f>
        <v>116.498</v>
      </c>
      <c r="O4983">
        <f>1151.11</f>
        <v>1151.1099999999999</v>
      </c>
      <c r="P4983" t="e">
        <f>NA()</f>
        <v>#N/A</v>
      </c>
      <c r="Q4983">
        <f>590.77</f>
        <v>590.77</v>
      </c>
      <c r="R4983">
        <f>1635.14</f>
        <v>1635.14</v>
      </c>
      <c r="S4983">
        <f>1267.92</f>
        <v>1267.92</v>
      </c>
      <c r="T4983" t="e">
        <f>NA()</f>
        <v>#N/A</v>
      </c>
      <c r="U4983">
        <f>10051.85</f>
        <v>10051.85</v>
      </c>
      <c r="V4983" t="e">
        <f>NA()</f>
        <v>#N/A</v>
      </c>
    </row>
    <row r="4984" spans="1:22" x14ac:dyDescent="0.2">
      <c r="A4984" s="1">
        <v>38131</v>
      </c>
      <c r="B4984" t="e">
        <f>NA()</f>
        <v>#N/A</v>
      </c>
      <c r="C4984">
        <f>2057.89</f>
        <v>2057.89</v>
      </c>
      <c r="D4984">
        <f>2285.37</f>
        <v>2285.37</v>
      </c>
      <c r="E4984">
        <f>636.625</f>
        <v>636.625</v>
      </c>
      <c r="F4984">
        <f>1360.11</f>
        <v>1360.11</v>
      </c>
      <c r="G4984">
        <f>4209.684</f>
        <v>4209.6840000000002</v>
      </c>
      <c r="H4984">
        <f>1141.01</f>
        <v>1141.01</v>
      </c>
      <c r="I4984">
        <f>3843.827</f>
        <v>3843.8270000000002</v>
      </c>
      <c r="J4984">
        <f>1057.74</f>
        <v>1057.74</v>
      </c>
      <c r="K4984">
        <f>3300.99</f>
        <v>3300.99</v>
      </c>
      <c r="L4984">
        <f>696.2</f>
        <v>696.2</v>
      </c>
      <c r="M4984">
        <f>2895.39</f>
        <v>2895.39</v>
      </c>
      <c r="N4984">
        <f>116.93</f>
        <v>116.93</v>
      </c>
      <c r="O4984">
        <f>1156.26</f>
        <v>1156.26</v>
      </c>
      <c r="P4984" t="e">
        <f>NA()</f>
        <v>#N/A</v>
      </c>
      <c r="Q4984">
        <f>581.67</f>
        <v>581.66999999999996</v>
      </c>
      <c r="R4984">
        <f>1609.22</f>
        <v>1609.22</v>
      </c>
      <c r="S4984">
        <f>1285.22</f>
        <v>1285.22</v>
      </c>
      <c r="T4984" t="e">
        <f>NA()</f>
        <v>#N/A</v>
      </c>
      <c r="U4984">
        <f>9989.2</f>
        <v>9989.2000000000007</v>
      </c>
      <c r="V4984" t="e">
        <f>NA()</f>
        <v>#N/A</v>
      </c>
    </row>
    <row r="4985" spans="1:22" x14ac:dyDescent="0.2">
      <c r="A4985" s="1">
        <v>38128</v>
      </c>
      <c r="B4985" t="e">
        <f>NA()</f>
        <v>#N/A</v>
      </c>
      <c r="C4985">
        <f>2044.48</f>
        <v>2044.48</v>
      </c>
      <c r="D4985">
        <f>2286.69</f>
        <v>2286.69</v>
      </c>
      <c r="E4985">
        <f>630.868</f>
        <v>630.86800000000005</v>
      </c>
      <c r="F4985">
        <f>1358.63</f>
        <v>1358.63</v>
      </c>
      <c r="G4985">
        <f>4210.495</f>
        <v>4210.4949999999999</v>
      </c>
      <c r="H4985">
        <f>1138.86</f>
        <v>1138.8599999999999</v>
      </c>
      <c r="I4985">
        <f>3828.422</f>
        <v>3828.422</v>
      </c>
      <c r="J4985">
        <f>1058.67</f>
        <v>1058.67</v>
      </c>
      <c r="K4985">
        <f>3295.14</f>
        <v>3295.14</v>
      </c>
      <c r="L4985">
        <f>695.41</f>
        <v>695.41</v>
      </c>
      <c r="M4985">
        <f>2890.07</f>
        <v>2890.07</v>
      </c>
      <c r="N4985">
        <f>116.192</f>
        <v>116.19199999999999</v>
      </c>
      <c r="O4985">
        <f>1148.8</f>
        <v>1148.8</v>
      </c>
      <c r="P4985" t="e">
        <f>NA()</f>
        <v>#N/A</v>
      </c>
      <c r="Q4985">
        <f>581.27</f>
        <v>581.27</v>
      </c>
      <c r="R4985">
        <f>1606.49</f>
        <v>1606.49</v>
      </c>
      <c r="S4985">
        <f>1278.77</f>
        <v>1278.77</v>
      </c>
      <c r="T4985" t="e">
        <f>NA()</f>
        <v>#N/A</v>
      </c>
      <c r="U4985">
        <f>10157.47</f>
        <v>10157.469999999999</v>
      </c>
      <c r="V4985" t="e">
        <f>NA()</f>
        <v>#N/A</v>
      </c>
    </row>
    <row r="4986" spans="1:22" x14ac:dyDescent="0.2">
      <c r="A4986" s="1">
        <v>38127</v>
      </c>
      <c r="B4986" t="e">
        <f>NA()</f>
        <v>#N/A</v>
      </c>
      <c r="C4986">
        <f>2025.8</f>
        <v>2025.8</v>
      </c>
      <c r="D4986">
        <f>2285.28</f>
        <v>2285.2800000000002</v>
      </c>
      <c r="E4986">
        <f>622.933</f>
        <v>622.93299999999999</v>
      </c>
      <c r="F4986">
        <f>1341.43</f>
        <v>1341.43</v>
      </c>
      <c r="G4986">
        <f>4164.518</f>
        <v>4164.518</v>
      </c>
      <c r="H4986">
        <f>1112.36</f>
        <v>1112.3599999999999</v>
      </c>
      <c r="I4986">
        <f>3814.143</f>
        <v>3814.143</v>
      </c>
      <c r="J4986">
        <f>1054.43</f>
        <v>1054.43</v>
      </c>
      <c r="K4986">
        <f>3282</f>
        <v>3282</v>
      </c>
      <c r="L4986">
        <f>690.3</f>
        <v>690.3</v>
      </c>
      <c r="M4986">
        <f>2868.11</f>
        <v>2868.11</v>
      </c>
      <c r="N4986">
        <f>115.948</f>
        <v>115.94799999999999</v>
      </c>
      <c r="O4986">
        <f>1149.68</f>
        <v>1149.68</v>
      </c>
      <c r="P4986" t="e">
        <f>NA()</f>
        <v>#N/A</v>
      </c>
      <c r="Q4986">
        <f>578.17</f>
        <v>578.16999999999996</v>
      </c>
      <c r="R4986">
        <f>1600.06</f>
        <v>1600.06</v>
      </c>
      <c r="S4986">
        <f>1255.68</f>
        <v>1255.68</v>
      </c>
      <c r="T4986" t="e">
        <f>NA()</f>
        <v>#N/A</v>
      </c>
      <c r="U4986">
        <f>10049.25</f>
        <v>10049.25</v>
      </c>
      <c r="V4986" t="e">
        <f>NA()</f>
        <v>#N/A</v>
      </c>
    </row>
    <row r="4987" spans="1:22" x14ac:dyDescent="0.2">
      <c r="A4987" s="1">
        <v>38126</v>
      </c>
      <c r="B4987" t="e">
        <f>NA()</f>
        <v>#N/A</v>
      </c>
      <c r="C4987">
        <f>2052.95</f>
        <v>2052.9499999999998</v>
      </c>
      <c r="D4987">
        <f>2307.52</f>
        <v>2307.52</v>
      </c>
      <c r="E4987">
        <f>630.745</f>
        <v>630.745</v>
      </c>
      <c r="F4987">
        <f>1363.99</f>
        <v>1363.99</v>
      </c>
      <c r="G4987">
        <f>4230.836</f>
        <v>4230.8360000000002</v>
      </c>
      <c r="H4987">
        <f>1120.95</f>
        <v>1120.95</v>
      </c>
      <c r="I4987">
        <f>3870.496</f>
        <v>3870.4960000000001</v>
      </c>
      <c r="J4987">
        <f>1053.13</f>
        <v>1053.1300000000001</v>
      </c>
      <c r="K4987">
        <f>3279.59</f>
        <v>3279.59</v>
      </c>
      <c r="L4987">
        <f>695.18</f>
        <v>695.18</v>
      </c>
      <c r="M4987">
        <f>2883.76</f>
        <v>2883.76</v>
      </c>
      <c r="N4987">
        <f>116.446</f>
        <v>116.446</v>
      </c>
      <c r="O4987">
        <f>1158.14</f>
        <v>1158.1400000000001</v>
      </c>
      <c r="P4987" t="e">
        <f>NA()</f>
        <v>#N/A</v>
      </c>
      <c r="Q4987">
        <f>577.28</f>
        <v>577.28</v>
      </c>
      <c r="R4987">
        <f>1599.29</f>
        <v>1599.29</v>
      </c>
      <c r="S4987">
        <f>1257.12</f>
        <v>1257.1199999999999</v>
      </c>
      <c r="T4987" t="e">
        <f>NA()</f>
        <v>#N/A</v>
      </c>
      <c r="U4987">
        <f>10090.76</f>
        <v>10090.76</v>
      </c>
      <c r="V4987" t="e">
        <f>NA()</f>
        <v>#N/A</v>
      </c>
    </row>
    <row r="4988" spans="1:22" x14ac:dyDescent="0.2">
      <c r="A4988" s="1">
        <v>38125</v>
      </c>
      <c r="B4988" t="e">
        <f>NA()</f>
        <v>#N/A</v>
      </c>
      <c r="C4988">
        <f>1976.17</f>
        <v>1976.17</v>
      </c>
      <c r="D4988">
        <f>2275.41</f>
        <v>2275.41</v>
      </c>
      <c r="E4988">
        <f>605.429</f>
        <v>605.42899999999997</v>
      </c>
      <c r="F4988">
        <f>1333.47</f>
        <v>1333.47</v>
      </c>
      <c r="G4988">
        <f>4146.217</f>
        <v>4146.2169999999996</v>
      </c>
      <c r="H4988">
        <f>1080.08</f>
        <v>1080.08</v>
      </c>
      <c r="I4988">
        <f>3778.328</f>
        <v>3778.328</v>
      </c>
      <c r="J4988">
        <f>1056.75</f>
        <v>1056.75</v>
      </c>
      <c r="K4988">
        <f>3287.36</f>
        <v>3287.36</v>
      </c>
      <c r="L4988">
        <f>687.8</f>
        <v>687.8</v>
      </c>
      <c r="M4988">
        <f>2853.96</f>
        <v>2853.96</v>
      </c>
      <c r="N4988">
        <f>115.5</f>
        <v>115.5</v>
      </c>
      <c r="O4988">
        <f>1137.27</f>
        <v>1137.27</v>
      </c>
      <c r="P4988" t="e">
        <f>NA()</f>
        <v>#N/A</v>
      </c>
      <c r="Q4988">
        <f>578.77</f>
        <v>578.77</v>
      </c>
      <c r="R4988">
        <f>1603.14</f>
        <v>1603.14</v>
      </c>
      <c r="S4988">
        <f>1223.09</f>
        <v>1223.0899999999999</v>
      </c>
      <c r="T4988" t="e">
        <f>NA()</f>
        <v>#N/A</v>
      </c>
      <c r="U4988">
        <f>9748.1</f>
        <v>9748.1</v>
      </c>
      <c r="V4988" t="e">
        <f>NA()</f>
        <v>#N/A</v>
      </c>
    </row>
    <row r="4989" spans="1:22" x14ac:dyDescent="0.2">
      <c r="A4989" s="1">
        <v>38124</v>
      </c>
      <c r="B4989" t="e">
        <f>NA()</f>
        <v>#N/A</v>
      </c>
      <c r="C4989">
        <f>1961.64</f>
        <v>1961.64</v>
      </c>
      <c r="D4989">
        <f>2269.54</f>
        <v>2269.54</v>
      </c>
      <c r="E4989">
        <f>595.061</f>
        <v>595.06100000000004</v>
      </c>
      <c r="F4989">
        <f>1325.19</f>
        <v>1325.19</v>
      </c>
      <c r="G4989">
        <f>4126.191</f>
        <v>4126.1909999999998</v>
      </c>
      <c r="H4989">
        <f>1069.67</f>
        <v>1069.67</v>
      </c>
      <c r="I4989">
        <f>3761.69</f>
        <v>3761.69</v>
      </c>
      <c r="J4989">
        <f>1051.28</f>
        <v>1051.28</v>
      </c>
      <c r="K4989">
        <f>3264.44</f>
        <v>3264.44</v>
      </c>
      <c r="L4989">
        <f>685.62</f>
        <v>685.62</v>
      </c>
      <c r="M4989">
        <f>2834</f>
        <v>2834</v>
      </c>
      <c r="N4989">
        <f>114.587</f>
        <v>114.587</v>
      </c>
      <c r="O4989">
        <f>1129.62</f>
        <v>1129.6199999999999</v>
      </c>
      <c r="P4989" t="e">
        <f>NA()</f>
        <v>#N/A</v>
      </c>
      <c r="Q4989">
        <f>574.35</f>
        <v>574.35</v>
      </c>
      <c r="R4989">
        <f>1592.23</f>
        <v>1592.23</v>
      </c>
      <c r="S4989">
        <f>1197.58</f>
        <v>1197.58</v>
      </c>
      <c r="T4989" t="e">
        <f>NA()</f>
        <v>#N/A</v>
      </c>
      <c r="U4989">
        <f>9808.31</f>
        <v>9808.31</v>
      </c>
      <c r="V4989" t="e">
        <f>NA()</f>
        <v>#N/A</v>
      </c>
    </row>
    <row r="4990" spans="1:22" x14ac:dyDescent="0.2">
      <c r="A4990" s="1">
        <v>38121</v>
      </c>
      <c r="B4990" t="e">
        <f>NA()</f>
        <v>#N/A</v>
      </c>
      <c r="C4990">
        <f>2003.33</f>
        <v>2003.33</v>
      </c>
      <c r="D4990">
        <f>2289.53</f>
        <v>2289.5300000000002</v>
      </c>
      <c r="E4990">
        <f>614.897</f>
        <v>614.89700000000005</v>
      </c>
      <c r="F4990">
        <f>1335.82</f>
        <v>1335.82</v>
      </c>
      <c r="G4990">
        <f>4146.701</f>
        <v>4146.701</v>
      </c>
      <c r="H4990">
        <f>1092.68</f>
        <v>1092.68</v>
      </c>
      <c r="I4990">
        <f>3766.496</f>
        <v>3766.4960000000001</v>
      </c>
      <c r="J4990">
        <f>1061.21</f>
        <v>1061.21</v>
      </c>
      <c r="K4990">
        <f>3299.45</f>
        <v>3299.45</v>
      </c>
      <c r="L4990">
        <f>689.63</f>
        <v>689.63</v>
      </c>
      <c r="M4990">
        <f>2861.91</f>
        <v>2861.91</v>
      </c>
      <c r="N4990">
        <f>116.285</f>
        <v>116.285</v>
      </c>
      <c r="O4990">
        <f>1144.88</f>
        <v>1144.8800000000001</v>
      </c>
      <c r="P4990" t="e">
        <f>NA()</f>
        <v>#N/A</v>
      </c>
      <c r="Q4990">
        <f>579.21</f>
        <v>579.21</v>
      </c>
      <c r="R4990">
        <f>1609.12</f>
        <v>1609.12</v>
      </c>
      <c r="S4990">
        <f>1240.47</f>
        <v>1240.47</v>
      </c>
      <c r="T4990" t="e">
        <f>NA()</f>
        <v>#N/A</v>
      </c>
      <c r="U4990">
        <f>9766.72</f>
        <v>9766.7199999999993</v>
      </c>
      <c r="V4990" t="e">
        <f>NA()</f>
        <v>#N/A</v>
      </c>
    </row>
    <row r="4991" spans="1:22" x14ac:dyDescent="0.2">
      <c r="A4991" s="1">
        <v>38120</v>
      </c>
      <c r="B4991" t="e">
        <f>NA()</f>
        <v>#N/A</v>
      </c>
      <c r="C4991">
        <f>2037.05</f>
        <v>2037.05</v>
      </c>
      <c r="D4991">
        <f>2295.72</f>
        <v>2295.7199999999998</v>
      </c>
      <c r="E4991">
        <f>626.545</f>
        <v>626.54499999999996</v>
      </c>
      <c r="F4991">
        <f>1341.88</f>
        <v>1341.88</v>
      </c>
      <c r="G4991">
        <f>4165.538</f>
        <v>4165.5379999999996</v>
      </c>
      <c r="H4991">
        <f>1090.66</f>
        <v>1090.6600000000001</v>
      </c>
      <c r="I4991">
        <f>3782.288</f>
        <v>3782.288</v>
      </c>
      <c r="J4991">
        <f>1057.59</f>
        <v>1057.5899999999999</v>
      </c>
      <c r="K4991">
        <f>3302.73</f>
        <v>3302.73</v>
      </c>
      <c r="L4991">
        <f>689.39</f>
        <v>689.39</v>
      </c>
      <c r="M4991">
        <f>2868.05</f>
        <v>2868.05</v>
      </c>
      <c r="N4991">
        <f>117.405</f>
        <v>117.405</v>
      </c>
      <c r="O4991">
        <f>1152.91</f>
        <v>1152.9100000000001</v>
      </c>
      <c r="P4991" t="e">
        <f>NA()</f>
        <v>#N/A</v>
      </c>
      <c r="Q4991">
        <f>577.84</f>
        <v>577.84</v>
      </c>
      <c r="R4991">
        <f>1610.05</f>
        <v>1610.05</v>
      </c>
      <c r="S4991">
        <f>1245.49</f>
        <v>1245.49</v>
      </c>
      <c r="T4991" t="e">
        <f>NA()</f>
        <v>#N/A</v>
      </c>
      <c r="U4991">
        <f>10031.19</f>
        <v>10031.19</v>
      </c>
      <c r="V4991" t="e">
        <f>NA()</f>
        <v>#N/A</v>
      </c>
    </row>
    <row r="4992" spans="1:22" x14ac:dyDescent="0.2">
      <c r="A4992" s="1">
        <v>38119</v>
      </c>
      <c r="B4992" t="e">
        <f>NA()</f>
        <v>#N/A</v>
      </c>
      <c r="C4992">
        <f>2039.56</f>
        <v>2039.56</v>
      </c>
      <c r="D4992">
        <f>2274.65</f>
        <v>2274.65</v>
      </c>
      <c r="E4992">
        <f>633.861</f>
        <v>633.86099999999999</v>
      </c>
      <c r="F4992">
        <f>1337.24</f>
        <v>1337.24</v>
      </c>
      <c r="G4992">
        <f>4154.394</f>
        <v>4154.3940000000002</v>
      </c>
      <c r="H4992">
        <f>1121.63</f>
        <v>1121.6300000000001</v>
      </c>
      <c r="I4992">
        <f>3754.94</f>
        <v>3754.94</v>
      </c>
      <c r="J4992">
        <f>1059.78</f>
        <v>1059.78</v>
      </c>
      <c r="K4992">
        <f>3305.04</f>
        <v>3305.04</v>
      </c>
      <c r="L4992">
        <f>689.13</f>
        <v>689.13</v>
      </c>
      <c r="M4992">
        <f>2875.7</f>
        <v>2875.7</v>
      </c>
      <c r="N4992">
        <f>116.171</f>
        <v>116.17100000000001</v>
      </c>
      <c r="O4992">
        <f>1139.55</f>
        <v>1139.55</v>
      </c>
      <c r="P4992" t="e">
        <f>NA()</f>
        <v>#N/A</v>
      </c>
      <c r="Q4992">
        <f>577.69</f>
        <v>577.69000000000005</v>
      </c>
      <c r="R4992">
        <f>1611.15</f>
        <v>1611.15</v>
      </c>
      <c r="S4992">
        <f>1275.47</f>
        <v>1275.47</v>
      </c>
      <c r="T4992" t="e">
        <f>NA()</f>
        <v>#N/A</v>
      </c>
      <c r="U4992">
        <f>10016.38</f>
        <v>10016.379999999999</v>
      </c>
      <c r="V4992" t="e">
        <f>NA()</f>
        <v>#N/A</v>
      </c>
    </row>
    <row r="4993" spans="1:22" x14ac:dyDescent="0.2">
      <c r="A4993" s="1">
        <v>38118</v>
      </c>
      <c r="B4993" t="e">
        <f>NA()</f>
        <v>#N/A</v>
      </c>
      <c r="C4993">
        <f>2027.59</f>
        <v>2027.59</v>
      </c>
      <c r="D4993">
        <f>2292.91</f>
        <v>2292.91</v>
      </c>
      <c r="E4993">
        <f>624.81</f>
        <v>624.80999999999995</v>
      </c>
      <c r="F4993">
        <f>1335.15</f>
        <v>1335.15</v>
      </c>
      <c r="G4993">
        <f>4141.777</f>
        <v>4141.777</v>
      </c>
      <c r="H4993">
        <f>1091.99</f>
        <v>1091.99</v>
      </c>
      <c r="I4993">
        <f>3775.089</f>
        <v>3775.0889999999999</v>
      </c>
      <c r="J4993">
        <f>1054.85</f>
        <v>1054.8499999999999</v>
      </c>
      <c r="K4993">
        <f>3299.14</f>
        <v>3299.14</v>
      </c>
      <c r="L4993">
        <f>686.85</f>
        <v>686.85</v>
      </c>
      <c r="M4993">
        <f>2864.76</f>
        <v>2864.76</v>
      </c>
      <c r="N4993">
        <f>117.476</f>
        <v>117.476</v>
      </c>
      <c r="O4993">
        <f>1151.3</f>
        <v>1151.3</v>
      </c>
      <c r="P4993" t="e">
        <f>NA()</f>
        <v>#N/A</v>
      </c>
      <c r="Q4993">
        <f>577.83</f>
        <v>577.83000000000004</v>
      </c>
      <c r="R4993">
        <f>1607.94</f>
        <v>1607.94</v>
      </c>
      <c r="S4993">
        <f>1237.49</f>
        <v>1237.49</v>
      </c>
      <c r="T4993" t="e">
        <f>NA()</f>
        <v>#N/A</v>
      </c>
      <c r="U4993">
        <f>10127.6</f>
        <v>10127.6</v>
      </c>
      <c r="V4993" t="e">
        <f>NA()</f>
        <v>#N/A</v>
      </c>
    </row>
    <row r="4994" spans="1:22" x14ac:dyDescent="0.2">
      <c r="A4994" s="1">
        <v>38117</v>
      </c>
      <c r="B4994" t="e">
        <f>NA()</f>
        <v>#N/A</v>
      </c>
      <c r="C4994">
        <f>1997.47</f>
        <v>1997.47</v>
      </c>
      <c r="D4994">
        <f>2262.25</f>
        <v>2262.25</v>
      </c>
      <c r="E4994">
        <f>620.16</f>
        <v>620.16</v>
      </c>
      <c r="F4994">
        <f>1329.49</f>
        <v>1329.49</v>
      </c>
      <c r="G4994">
        <f>4137.222</f>
        <v>4137.2219999999998</v>
      </c>
      <c r="H4994">
        <f>1092.04</f>
        <v>1092.04</v>
      </c>
      <c r="I4994">
        <f>3737.42</f>
        <v>3737.42</v>
      </c>
      <c r="J4994">
        <f>1049.93</f>
        <v>1049.93</v>
      </c>
      <c r="K4994">
        <f>3272.8</f>
        <v>3272.8</v>
      </c>
      <c r="L4994">
        <f>683.73</f>
        <v>683.73</v>
      </c>
      <c r="M4994">
        <f>2844.43</f>
        <v>2844.43</v>
      </c>
      <c r="N4994">
        <f>116.449</f>
        <v>116.449</v>
      </c>
      <c r="O4994">
        <f>1139.13</f>
        <v>1139.1300000000001</v>
      </c>
      <c r="P4994" t="e">
        <f>NA()</f>
        <v>#N/A</v>
      </c>
      <c r="Q4994">
        <f>575.67</f>
        <v>575.66999999999996</v>
      </c>
      <c r="R4994">
        <f>1595.38</f>
        <v>1595.38</v>
      </c>
      <c r="S4994">
        <f>1233.68</f>
        <v>1233.68</v>
      </c>
      <c r="T4994" t="e">
        <f>NA()</f>
        <v>#N/A</v>
      </c>
      <c r="U4994">
        <f>10064.81</f>
        <v>10064.81</v>
      </c>
      <c r="V4994" t="e">
        <f>NA()</f>
        <v>#N/A</v>
      </c>
    </row>
    <row r="4995" spans="1:22" x14ac:dyDescent="0.2">
      <c r="A4995" s="1">
        <v>38114</v>
      </c>
      <c r="B4995" t="e">
        <f>NA()</f>
        <v>#N/A</v>
      </c>
      <c r="C4995">
        <f>2085.2</f>
        <v>2085.1999999999998</v>
      </c>
      <c r="D4995">
        <f>2315.37</f>
        <v>2315.37</v>
      </c>
      <c r="E4995">
        <f>650.989</f>
        <v>650.98900000000003</v>
      </c>
      <c r="F4995">
        <f>1368</f>
        <v>1368</v>
      </c>
      <c r="G4995">
        <f>4258.116</f>
        <v>4258.116</v>
      </c>
      <c r="H4995">
        <f>1146.5</f>
        <v>1146.5</v>
      </c>
      <c r="I4995">
        <f>3861.195</f>
        <v>3861.1950000000002</v>
      </c>
      <c r="J4995">
        <f>1065.73</f>
        <v>1065.73</v>
      </c>
      <c r="K4995">
        <f>3308.69</f>
        <v>3308.69</v>
      </c>
      <c r="L4995">
        <f>700.14</f>
        <v>700.14</v>
      </c>
      <c r="M4995">
        <f>2910.95</f>
        <v>2910.95</v>
      </c>
      <c r="N4995">
        <f>119.816</f>
        <v>119.816</v>
      </c>
      <c r="O4995">
        <f>1170.4</f>
        <v>1170.4000000000001</v>
      </c>
      <c r="P4995" t="e">
        <f>NA()</f>
        <v>#N/A</v>
      </c>
      <c r="Q4995">
        <f>581.46</f>
        <v>581.46</v>
      </c>
      <c r="R4995">
        <f>1612.31</f>
        <v>1612.31</v>
      </c>
      <c r="S4995">
        <f>1307.95</f>
        <v>1307.95</v>
      </c>
      <c r="T4995" t="e">
        <f>NA()</f>
        <v>#N/A</v>
      </c>
      <c r="U4995">
        <f>10407.9</f>
        <v>10407.9</v>
      </c>
      <c r="V4995" t="e">
        <f>NA()</f>
        <v>#N/A</v>
      </c>
    </row>
    <row r="4996" spans="1:22" x14ac:dyDescent="0.2">
      <c r="A4996" s="1">
        <v>38113</v>
      </c>
      <c r="B4996" t="e">
        <f>NA()</f>
        <v>#N/A</v>
      </c>
      <c r="C4996">
        <f>2122.58</f>
        <v>2122.58</v>
      </c>
      <c r="D4996">
        <f>2324.53</f>
        <v>2324.5300000000002</v>
      </c>
      <c r="E4996">
        <f>658.669</f>
        <v>658.66899999999998</v>
      </c>
      <c r="F4996">
        <f>1380.6</f>
        <v>1380.6</v>
      </c>
      <c r="G4996">
        <f>4295.471</f>
        <v>4295.4709999999995</v>
      </c>
      <c r="H4996">
        <f>1186.14</f>
        <v>1186.1400000000001</v>
      </c>
      <c r="I4996">
        <f>3922.122</f>
        <v>3922.1219999999998</v>
      </c>
      <c r="J4996">
        <f>1084.07</f>
        <v>1084.07</v>
      </c>
      <c r="K4996">
        <f>3354.11</f>
        <v>3354.11</v>
      </c>
      <c r="L4996">
        <f>711.75</f>
        <v>711.75</v>
      </c>
      <c r="M4996">
        <f>2957.57</f>
        <v>2957.57</v>
      </c>
      <c r="N4996">
        <f>119.05</f>
        <v>119.05</v>
      </c>
      <c r="O4996">
        <f>1168.17</f>
        <v>1168.17</v>
      </c>
      <c r="P4996" t="e">
        <f>NA()</f>
        <v>#N/A</v>
      </c>
      <c r="Q4996">
        <f>589.55</f>
        <v>589.54999999999995</v>
      </c>
      <c r="R4996">
        <f>1634.75</f>
        <v>1634.75</v>
      </c>
      <c r="S4996">
        <f>1324.26</f>
        <v>1324.26</v>
      </c>
      <c r="T4996" t="e">
        <f>NA()</f>
        <v>#N/A</v>
      </c>
      <c r="U4996">
        <f>10413.5</f>
        <v>10413.5</v>
      </c>
      <c r="V4996" t="e">
        <f>NA()</f>
        <v>#N/A</v>
      </c>
    </row>
    <row r="4997" spans="1:22" x14ac:dyDescent="0.2">
      <c r="A4997" s="1">
        <v>38112</v>
      </c>
      <c r="B4997" t="e">
        <f>NA()</f>
        <v>#N/A</v>
      </c>
      <c r="C4997">
        <f>2158.66</f>
        <v>2158.66</v>
      </c>
      <c r="D4997">
        <f>2352</f>
        <v>2352</v>
      </c>
      <c r="E4997">
        <f>669.565</f>
        <v>669.56500000000005</v>
      </c>
      <c r="F4997">
        <f>1393.59</f>
        <v>1393.59</v>
      </c>
      <c r="G4997">
        <f>4330.979</f>
        <v>4330.9790000000003</v>
      </c>
      <c r="H4997">
        <f>1207.15</f>
        <v>1207.1500000000001</v>
      </c>
      <c r="I4997">
        <f>4010.069</f>
        <v>4010.069</v>
      </c>
      <c r="J4997">
        <f>1089.7</f>
        <v>1089.7</v>
      </c>
      <c r="K4997">
        <f>3376.29</f>
        <v>3376.29</v>
      </c>
      <c r="L4997">
        <f>718.94</f>
        <v>718.94</v>
      </c>
      <c r="M4997">
        <f>2991.99</f>
        <v>2991.99</v>
      </c>
      <c r="N4997">
        <f>120.605</f>
        <v>120.605</v>
      </c>
      <c r="O4997">
        <f>1183.71</f>
        <v>1183.71</v>
      </c>
      <c r="P4997" t="e">
        <f>NA()</f>
        <v>#N/A</v>
      </c>
      <c r="Q4997">
        <f>593.27</f>
        <v>593.27</v>
      </c>
      <c r="R4997">
        <f>1645.65</f>
        <v>1645.65</v>
      </c>
      <c r="S4997" t="e">
        <f>NA()</f>
        <v>#N/A</v>
      </c>
      <c r="T4997" t="e">
        <f>NA()</f>
        <v>#N/A</v>
      </c>
      <c r="U4997">
        <f>10574.77</f>
        <v>10574.77</v>
      </c>
      <c r="V4997" t="e">
        <f>NA()</f>
        <v>#N/A</v>
      </c>
    </row>
    <row r="4998" spans="1:22" x14ac:dyDescent="0.2">
      <c r="A4998" s="1">
        <v>38111</v>
      </c>
      <c r="B4998" t="e">
        <f>NA()</f>
        <v>#N/A</v>
      </c>
      <c r="C4998">
        <f>2157.94</f>
        <v>2157.94</v>
      </c>
      <c r="D4998">
        <f>2340.19</f>
        <v>2340.19</v>
      </c>
      <c r="E4998">
        <f>671.548</f>
        <v>671.548</v>
      </c>
      <c r="F4998">
        <f>1397.56</f>
        <v>1397.56</v>
      </c>
      <c r="G4998">
        <f>4321.331</f>
        <v>4321.3310000000001</v>
      </c>
      <c r="H4998">
        <f>1193.86</f>
        <v>1193.8599999999999</v>
      </c>
      <c r="I4998">
        <f>3962.899</f>
        <v>3962.8989999999999</v>
      </c>
      <c r="J4998">
        <f>1087.11</f>
        <v>1087.1099999999999</v>
      </c>
      <c r="K4998">
        <f>3369.84</f>
        <v>3369.84</v>
      </c>
      <c r="L4998">
        <f>716.47</f>
        <v>716.47</v>
      </c>
      <c r="M4998">
        <f>2978.15</f>
        <v>2978.15</v>
      </c>
      <c r="N4998">
        <f>120.606</f>
        <v>120.60599999999999</v>
      </c>
      <c r="O4998">
        <f>1178.19</f>
        <v>1178.19</v>
      </c>
      <c r="P4998" t="e">
        <f>NA()</f>
        <v>#N/A</v>
      </c>
      <c r="Q4998">
        <f>591.7</f>
        <v>591.70000000000005</v>
      </c>
      <c r="R4998">
        <f>1642.5</f>
        <v>1642.5</v>
      </c>
      <c r="S4998" t="e">
        <f>NA()</f>
        <v>#N/A</v>
      </c>
      <c r="T4998" t="e">
        <f>NA()</f>
        <v>#N/A</v>
      </c>
      <c r="U4998">
        <f>10539.51</f>
        <v>10539.51</v>
      </c>
      <c r="V4998" t="e">
        <f>NA()</f>
        <v>#N/A</v>
      </c>
    </row>
    <row r="4999" spans="1:22" x14ac:dyDescent="0.2">
      <c r="A4999" s="1">
        <v>38110</v>
      </c>
      <c r="B4999" t="e">
        <f>NA()</f>
        <v>#N/A</v>
      </c>
      <c r="C4999">
        <f>2117.17</f>
        <v>2117.17</v>
      </c>
      <c r="D4999" t="e">
        <f>NA()</f>
        <v>#N/A</v>
      </c>
      <c r="E4999">
        <f>661.315</f>
        <v>661.31500000000005</v>
      </c>
      <c r="F4999">
        <f>1365.3</f>
        <v>1365.3</v>
      </c>
      <c r="G4999">
        <f>4222.705</f>
        <v>4222.7049999999999</v>
      </c>
      <c r="H4999">
        <f>1187.96</f>
        <v>1187.96</v>
      </c>
      <c r="I4999">
        <f>3922.473</f>
        <v>3922.473</v>
      </c>
      <c r="J4999">
        <f>1085.14</f>
        <v>1085.1400000000001</v>
      </c>
      <c r="K4999">
        <f>3363.59</f>
        <v>3363.59</v>
      </c>
      <c r="L4999">
        <f>709.16</f>
        <v>709.16</v>
      </c>
      <c r="M4999">
        <f>2956.84</f>
        <v>2956.84</v>
      </c>
      <c r="N4999">
        <f>120.295</f>
        <v>120.295</v>
      </c>
      <c r="O4999">
        <f>1173.59</f>
        <v>1173.5899999999999</v>
      </c>
      <c r="P4999" t="e">
        <f>NA()</f>
        <v>#N/A</v>
      </c>
      <c r="Q4999">
        <f>592.07</f>
        <v>592.07000000000005</v>
      </c>
      <c r="R4999">
        <f>1639.46</f>
        <v>1639.46</v>
      </c>
      <c r="S4999" t="e">
        <f>NA()</f>
        <v>#N/A</v>
      </c>
      <c r="T4999" t="e">
        <f>NA()</f>
        <v>#N/A</v>
      </c>
      <c r="U4999">
        <f>10400.18</f>
        <v>10400.18</v>
      </c>
      <c r="V4999" t="e">
        <f>NA()</f>
        <v>#N/A</v>
      </c>
    </row>
    <row r="5000" spans="1:22" x14ac:dyDescent="0.2">
      <c r="A5000" s="1">
        <v>38107</v>
      </c>
      <c r="B5000" t="e">
        <f>NA()</f>
        <v>#N/A</v>
      </c>
      <c r="C5000">
        <f>2115.93</f>
        <v>2115.9299999999998</v>
      </c>
      <c r="D5000">
        <f>2310.58</f>
        <v>2310.58</v>
      </c>
      <c r="E5000">
        <f>662.143</f>
        <v>662.14300000000003</v>
      </c>
      <c r="F5000">
        <f>1364.3</f>
        <v>1364.3</v>
      </c>
      <c r="G5000">
        <f>4219.611</f>
        <v>4219.6109999999999</v>
      </c>
      <c r="H5000">
        <f>1188.45</f>
        <v>1188.45</v>
      </c>
      <c r="I5000">
        <f>3901.609</f>
        <v>3901.6089999999999</v>
      </c>
      <c r="J5000">
        <f>1073.02</f>
        <v>1073.02</v>
      </c>
      <c r="K5000">
        <f>3332.52</f>
        <v>3332.52</v>
      </c>
      <c r="L5000">
        <f>704.85</f>
        <v>704.85</v>
      </c>
      <c r="M5000">
        <f>2939.08</f>
        <v>2939.08</v>
      </c>
      <c r="N5000">
        <f>120.233</f>
        <v>120.233</v>
      </c>
      <c r="O5000">
        <f>1167.05</f>
        <v>1167.05</v>
      </c>
      <c r="P5000" t="e">
        <f>NA()</f>
        <v>#N/A</v>
      </c>
      <c r="Q5000">
        <f>588.02</f>
        <v>588.02</v>
      </c>
      <c r="R5000">
        <f>1624.51</f>
        <v>1624.51</v>
      </c>
      <c r="S5000">
        <f>1348.21</f>
        <v>1348.21</v>
      </c>
      <c r="T5000" t="e">
        <f>NA()</f>
        <v>#N/A</v>
      </c>
      <c r="U5000">
        <f>10385.8</f>
        <v>10385.799999999999</v>
      </c>
      <c r="V5000" t="e">
        <f>NA()</f>
        <v>#N/A</v>
      </c>
    </row>
    <row r="5001" spans="1:22" x14ac:dyDescent="0.2">
      <c r="A5001" s="1">
        <v>38106</v>
      </c>
      <c r="B5001" t="e">
        <f>NA()</f>
        <v>#N/A</v>
      </c>
      <c r="C5001">
        <f>2154.24</f>
        <v>2154.2399999999998</v>
      </c>
      <c r="D5001">
        <f>2325.94</f>
        <v>2325.94</v>
      </c>
      <c r="E5001">
        <f>674.662</f>
        <v>674.66200000000003</v>
      </c>
      <c r="F5001">
        <f>1380.79</f>
        <v>1380.79</v>
      </c>
      <c r="G5001">
        <f>4256.582</f>
        <v>4256.5820000000003</v>
      </c>
      <c r="H5001">
        <f>1213.87</f>
        <v>1213.8699999999999</v>
      </c>
      <c r="I5001">
        <f>3912.745</f>
        <v>3912.7449999999999</v>
      </c>
      <c r="J5001">
        <f>1074.47</f>
        <v>1074.47</v>
      </c>
      <c r="K5001">
        <f>3352.1</f>
        <v>3352.1</v>
      </c>
      <c r="L5001">
        <f>706.6</f>
        <v>706.6</v>
      </c>
      <c r="M5001">
        <f>2959.15</f>
        <v>2959.15</v>
      </c>
      <c r="N5001">
        <f>121.625</f>
        <v>121.625</v>
      </c>
      <c r="O5001">
        <f>1175.87</f>
        <v>1175.8699999999999</v>
      </c>
      <c r="P5001" t="e">
        <f>NA()</f>
        <v>#N/A</v>
      </c>
      <c r="Q5001">
        <f>588.14</f>
        <v>588.14</v>
      </c>
      <c r="R5001">
        <f>1634.16</f>
        <v>1634.16</v>
      </c>
      <c r="S5001" t="e">
        <f>NA()</f>
        <v>#N/A</v>
      </c>
      <c r="T5001" t="e">
        <f>NA()</f>
        <v>#N/A</v>
      </c>
      <c r="U5001">
        <f>10526.55</f>
        <v>10526.55</v>
      </c>
      <c r="V5001" t="e">
        <f>NA()</f>
        <v>#N/A</v>
      </c>
    </row>
    <row r="5002" spans="1:22" x14ac:dyDescent="0.2">
      <c r="A5002" s="1">
        <v>38105</v>
      </c>
      <c r="B5002" t="e">
        <f>NA()</f>
        <v>#N/A</v>
      </c>
      <c r="C5002">
        <f>2203.06</f>
        <v>2203.06</v>
      </c>
      <c r="D5002">
        <f>2328.48</f>
        <v>2328.48</v>
      </c>
      <c r="E5002">
        <f>694.574</f>
        <v>694.57399999999996</v>
      </c>
      <c r="F5002">
        <f>1386.28</f>
        <v>1386.28</v>
      </c>
      <c r="G5002">
        <f>4256.72</f>
        <v>4256.72</v>
      </c>
      <c r="H5002">
        <f>1216.46</f>
        <v>1216.46</v>
      </c>
      <c r="I5002">
        <f>3909.805</f>
        <v>3909.8049999999998</v>
      </c>
      <c r="J5002">
        <f>1077.99</f>
        <v>1077.99</v>
      </c>
      <c r="K5002">
        <f>3376.93</f>
        <v>3376.93</v>
      </c>
      <c r="L5002">
        <f>708.91</f>
        <v>708.91</v>
      </c>
      <c r="M5002">
        <f>2973.56</f>
        <v>2973.56</v>
      </c>
      <c r="N5002">
        <f>122.872</f>
        <v>122.872</v>
      </c>
      <c r="O5002">
        <f>1185.76</f>
        <v>1185.76</v>
      </c>
      <c r="P5002" t="e">
        <f>NA()</f>
        <v>#N/A</v>
      </c>
      <c r="Q5002">
        <f>590.16</f>
        <v>590.16</v>
      </c>
      <c r="R5002">
        <f>1646.2</f>
        <v>1646.2</v>
      </c>
      <c r="S5002">
        <f>1371.63</f>
        <v>1371.63</v>
      </c>
      <c r="T5002" t="e">
        <f>NA()</f>
        <v>#N/A</v>
      </c>
      <c r="U5002">
        <f>10611.52</f>
        <v>10611.52</v>
      </c>
      <c r="V5002" t="e">
        <f>NA()</f>
        <v>#N/A</v>
      </c>
    </row>
    <row r="5003" spans="1:22" x14ac:dyDescent="0.2">
      <c r="A5003" s="1">
        <v>38104</v>
      </c>
      <c r="B5003" t="e">
        <f>NA()</f>
        <v>#N/A</v>
      </c>
      <c r="C5003">
        <f>2248.96</f>
        <v>2248.96</v>
      </c>
      <c r="D5003">
        <f>2352.67</f>
        <v>2352.67</v>
      </c>
      <c r="E5003">
        <f>706.795</f>
        <v>706.79499999999996</v>
      </c>
      <c r="F5003">
        <f>1407.17</f>
        <v>1407.17</v>
      </c>
      <c r="G5003">
        <f>4334.997</f>
        <v>4334.9970000000003</v>
      </c>
      <c r="H5003">
        <f>1218.81</f>
        <v>1218.81</v>
      </c>
      <c r="I5003">
        <f>3982.995</f>
        <v>3982.9949999999999</v>
      </c>
      <c r="J5003">
        <f>1090.55</f>
        <v>1090.55</v>
      </c>
      <c r="K5003">
        <f>3424</f>
        <v>3424</v>
      </c>
      <c r="L5003">
        <f>718.7</f>
        <v>718.7</v>
      </c>
      <c r="M5003">
        <f>3017.28</f>
        <v>3017.28</v>
      </c>
      <c r="N5003">
        <f>124.501</f>
        <v>124.501</v>
      </c>
      <c r="O5003">
        <f>1202.12</f>
        <v>1202.1199999999999</v>
      </c>
      <c r="P5003" t="e">
        <f>NA()</f>
        <v>#N/A</v>
      </c>
      <c r="Q5003">
        <f>598.25</f>
        <v>598.25</v>
      </c>
      <c r="R5003">
        <f>1668.98</f>
        <v>1668.98</v>
      </c>
      <c r="S5003">
        <f>1369.37</f>
        <v>1369.37</v>
      </c>
      <c r="T5003" t="e">
        <f>NA()</f>
        <v>#N/A</v>
      </c>
      <c r="U5003" t="e">
        <f>NA()</f>
        <v>#N/A</v>
      </c>
      <c r="V5003" t="e">
        <f>NA()</f>
        <v>#N/A</v>
      </c>
    </row>
    <row r="5004" spans="1:22" x14ac:dyDescent="0.2">
      <c r="A5004" s="1">
        <v>38103</v>
      </c>
      <c r="B5004" t="e">
        <f>NA()</f>
        <v>#N/A</v>
      </c>
      <c r="C5004">
        <f>2255.92</f>
        <v>2255.92</v>
      </c>
      <c r="D5004">
        <f>2350.7</f>
        <v>2350.6999999999998</v>
      </c>
      <c r="E5004">
        <f>711.271</f>
        <v>711.27099999999996</v>
      </c>
      <c r="F5004">
        <f>1403.73</f>
        <v>1403.73</v>
      </c>
      <c r="G5004">
        <f>4322.857</f>
        <v>4322.857</v>
      </c>
      <c r="H5004">
        <f>1238.2</f>
        <v>1238.2</v>
      </c>
      <c r="I5004">
        <f>3965.982</f>
        <v>3965.982</v>
      </c>
      <c r="J5004">
        <f>1086.81</f>
        <v>1086.81</v>
      </c>
      <c r="K5004">
        <f>3416.39</f>
        <v>3416.39</v>
      </c>
      <c r="L5004">
        <f>716.55</f>
        <v>716.55</v>
      </c>
      <c r="M5004">
        <f>3015.76</f>
        <v>3015.76</v>
      </c>
      <c r="N5004">
        <f>125.116</f>
        <v>125.116</v>
      </c>
      <c r="O5004">
        <f>1203.39</f>
        <v>1203.3900000000001</v>
      </c>
      <c r="P5004" t="e">
        <f>NA()</f>
        <v>#N/A</v>
      </c>
      <c r="Q5004">
        <f>596.4</f>
        <v>596.4</v>
      </c>
      <c r="R5004">
        <f>1665.2</f>
        <v>1665.2</v>
      </c>
      <c r="S5004">
        <f>1376.22</f>
        <v>1376.22</v>
      </c>
      <c r="T5004" t="e">
        <f>NA()</f>
        <v>#N/A</v>
      </c>
      <c r="U5004">
        <f>10655.55</f>
        <v>10655.55</v>
      </c>
      <c r="V5004" t="e">
        <f>NA()</f>
        <v>#N/A</v>
      </c>
    </row>
    <row r="5005" spans="1:22" x14ac:dyDescent="0.2">
      <c r="A5005" s="1">
        <v>38100</v>
      </c>
      <c r="B5005" t="e">
        <f>NA()</f>
        <v>#N/A</v>
      </c>
      <c r="C5005">
        <f>2264.12</f>
        <v>2264.12</v>
      </c>
      <c r="D5005">
        <f>2349.72</f>
        <v>2349.7199999999998</v>
      </c>
      <c r="E5005">
        <f>716.991</f>
        <v>716.99099999999999</v>
      </c>
      <c r="F5005">
        <f>1388.36</f>
        <v>1388.36</v>
      </c>
      <c r="G5005">
        <f>4276.583</f>
        <v>4276.5829999999996</v>
      </c>
      <c r="H5005">
        <f>1229.05</f>
        <v>1229.05</v>
      </c>
      <c r="I5005">
        <f>3951.202</f>
        <v>3951.2020000000002</v>
      </c>
      <c r="J5005">
        <f>1087.88</f>
        <v>1087.8800000000001</v>
      </c>
      <c r="K5005">
        <f>3430</f>
        <v>3430</v>
      </c>
      <c r="L5005">
        <f>714.73</f>
        <v>714.73</v>
      </c>
      <c r="M5005">
        <f>3015.31</f>
        <v>3015.31</v>
      </c>
      <c r="N5005">
        <f>123.455</f>
        <v>123.455</v>
      </c>
      <c r="O5005">
        <f>1199.21</f>
        <v>1199.21</v>
      </c>
      <c r="P5005" t="e">
        <f>NA()</f>
        <v>#N/A</v>
      </c>
      <c r="Q5005">
        <f>599.56</f>
        <v>599.55999999999995</v>
      </c>
      <c r="R5005">
        <f>1672.62</f>
        <v>1672.62</v>
      </c>
      <c r="S5005">
        <f>1374.69</f>
        <v>1374.69</v>
      </c>
      <c r="T5005" t="e">
        <f>NA()</f>
        <v>#N/A</v>
      </c>
      <c r="U5005">
        <f>10639</f>
        <v>10639</v>
      </c>
      <c r="V5005" t="e">
        <f>NA()</f>
        <v>#N/A</v>
      </c>
    </row>
    <row r="5006" spans="1:22" x14ac:dyDescent="0.2">
      <c r="A5006" s="1">
        <v>38099</v>
      </c>
      <c r="B5006" t="e">
        <f>NA()</f>
        <v>#N/A</v>
      </c>
      <c r="C5006">
        <f>2239.98</f>
        <v>2239.98</v>
      </c>
      <c r="D5006">
        <f>2350.69</f>
        <v>2350.69</v>
      </c>
      <c r="E5006">
        <f>708.846</f>
        <v>708.846</v>
      </c>
      <c r="F5006">
        <f>1385.7</f>
        <v>1385.7</v>
      </c>
      <c r="G5006">
        <f>4277.253</f>
        <v>4277.2529999999997</v>
      </c>
      <c r="H5006">
        <f>1215.6</f>
        <v>1215.5999999999999</v>
      </c>
      <c r="I5006">
        <f>3943.671</f>
        <v>3943.6709999999998</v>
      </c>
      <c r="J5006">
        <f>1091.76</f>
        <v>1091.76</v>
      </c>
      <c r="K5006">
        <f>3428.57</f>
        <v>3428.57</v>
      </c>
      <c r="L5006">
        <f>715.13</f>
        <v>715.13</v>
      </c>
      <c r="M5006">
        <f>3009.49</f>
        <v>3009.49</v>
      </c>
      <c r="N5006">
        <f>122.45</f>
        <v>122.45</v>
      </c>
      <c r="O5006">
        <f>1193.43</f>
        <v>1193.43</v>
      </c>
      <c r="P5006" t="e">
        <f>NA()</f>
        <v>#N/A</v>
      </c>
      <c r="Q5006">
        <f>600.49</f>
        <v>600.49</v>
      </c>
      <c r="R5006">
        <f>1671.63</f>
        <v>1671.63</v>
      </c>
      <c r="S5006">
        <f>1370.35</f>
        <v>1370.35</v>
      </c>
      <c r="T5006" t="e">
        <f>NA()</f>
        <v>#N/A</v>
      </c>
      <c r="U5006">
        <f>10667.48</f>
        <v>10667.48</v>
      </c>
      <c r="V5006" t="e">
        <f>NA()</f>
        <v>#N/A</v>
      </c>
    </row>
    <row r="5007" spans="1:22" x14ac:dyDescent="0.2">
      <c r="A5007" s="1">
        <v>38098</v>
      </c>
      <c r="B5007" t="e">
        <f>NA()</f>
        <v>#N/A</v>
      </c>
      <c r="C5007">
        <f>2267.73</f>
        <v>2267.73</v>
      </c>
      <c r="D5007">
        <f>2334.25</f>
        <v>2334.25</v>
      </c>
      <c r="E5007">
        <f>714.923</f>
        <v>714.923</v>
      </c>
      <c r="F5007">
        <f>1381.43</f>
        <v>1381.43</v>
      </c>
      <c r="G5007">
        <f>4258.121</f>
        <v>4258.1210000000001</v>
      </c>
      <c r="H5007">
        <f>1215.74</f>
        <v>1215.74</v>
      </c>
      <c r="I5007">
        <f>3921.191</f>
        <v>3921.1909999999998</v>
      </c>
      <c r="J5007">
        <f>1078.21</f>
        <v>1078.21</v>
      </c>
      <c r="K5007">
        <f>3380.25</f>
        <v>3380.25</v>
      </c>
      <c r="L5007">
        <f>709.98</f>
        <v>709.98</v>
      </c>
      <c r="M5007">
        <f>2982.03</f>
        <v>2982.03</v>
      </c>
      <c r="N5007">
        <f>122.217</f>
        <v>122.217</v>
      </c>
      <c r="O5007">
        <f>1186.83</f>
        <v>1186.83</v>
      </c>
      <c r="P5007" t="e">
        <f>NA()</f>
        <v>#N/A</v>
      </c>
      <c r="Q5007">
        <f>592.37</f>
        <v>592.37</v>
      </c>
      <c r="R5007">
        <f>1648.31</f>
        <v>1648.31</v>
      </c>
      <c r="S5007">
        <f>1367.83</f>
        <v>1367.83</v>
      </c>
      <c r="T5007" t="e">
        <f>NA()</f>
        <v>#N/A</v>
      </c>
      <c r="U5007">
        <f>10658.56</f>
        <v>10658.56</v>
      </c>
      <c r="V5007" t="e">
        <f>NA()</f>
        <v>#N/A</v>
      </c>
    </row>
    <row r="5008" spans="1:22" x14ac:dyDescent="0.2">
      <c r="A5008" s="1">
        <v>38097</v>
      </c>
      <c r="B5008" t="e">
        <f>NA()</f>
        <v>#N/A</v>
      </c>
      <c r="C5008">
        <f>2314.48</f>
        <v>2314.48</v>
      </c>
      <c r="D5008">
        <f>2348.16</f>
        <v>2348.16</v>
      </c>
      <c r="E5008">
        <f>722.534</f>
        <v>722.53399999999999</v>
      </c>
      <c r="F5008">
        <f>1404.68</f>
        <v>1404.68</v>
      </c>
      <c r="G5008">
        <f>4329.077</f>
        <v>4329.0770000000002</v>
      </c>
      <c r="H5008">
        <f>1230.19</f>
        <v>1230.19</v>
      </c>
      <c r="I5008">
        <f>3964.61</f>
        <v>3964.61</v>
      </c>
      <c r="J5008">
        <f>1075.53</f>
        <v>1075.53</v>
      </c>
      <c r="K5008">
        <f>3361.32</f>
        <v>3361.32</v>
      </c>
      <c r="L5008">
        <f>714.38</f>
        <v>714.38</v>
      </c>
      <c r="M5008">
        <f>2989.22</f>
        <v>2989.22</v>
      </c>
      <c r="N5008">
        <f>123.052</f>
        <v>123.05200000000001</v>
      </c>
      <c r="O5008">
        <f>1198.16</f>
        <v>1198.1600000000001</v>
      </c>
      <c r="P5008" t="e">
        <f>NA()</f>
        <v>#N/A</v>
      </c>
      <c r="Q5008">
        <f>588.95</f>
        <v>588.95000000000005</v>
      </c>
      <c r="R5008">
        <f>1639.49</f>
        <v>1639.49</v>
      </c>
      <c r="S5008">
        <f>1368.71</f>
        <v>1368.71</v>
      </c>
      <c r="T5008" t="e">
        <f>NA()</f>
        <v>#N/A</v>
      </c>
      <c r="U5008">
        <f>10764.85</f>
        <v>10764.85</v>
      </c>
      <c r="V5008" t="e">
        <f>NA()</f>
        <v>#N/A</v>
      </c>
    </row>
    <row r="5009" spans="1:22" x14ac:dyDescent="0.2">
      <c r="A5009" s="1">
        <v>38096</v>
      </c>
      <c r="B5009" t="e">
        <f>NA()</f>
        <v>#N/A</v>
      </c>
      <c r="C5009">
        <f>2322.35</f>
        <v>2322.35</v>
      </c>
      <c r="D5009">
        <f>2336.44</f>
        <v>2336.44</v>
      </c>
      <c r="E5009">
        <f>721.66</f>
        <v>721.66</v>
      </c>
      <c r="F5009">
        <f>1401.94</f>
        <v>1401.94</v>
      </c>
      <c r="G5009">
        <f>4345.457</f>
        <v>4345.4570000000003</v>
      </c>
      <c r="H5009">
        <f>1211.87</f>
        <v>1211.8699999999999</v>
      </c>
      <c r="I5009">
        <f>3972.566</f>
        <v>3972.5659999999998</v>
      </c>
      <c r="J5009">
        <f>1089.29</f>
        <v>1089.29</v>
      </c>
      <c r="K5009">
        <f>3414.86</f>
        <v>3414.86</v>
      </c>
      <c r="L5009">
        <f>719.33</f>
        <v>719.33</v>
      </c>
      <c r="M5009">
        <f>3012.29</f>
        <v>3012.29</v>
      </c>
      <c r="N5009">
        <f>121.69</f>
        <v>121.69</v>
      </c>
      <c r="O5009">
        <f>1189.36</f>
        <v>1189.3599999999999</v>
      </c>
      <c r="P5009" t="e">
        <f>NA()</f>
        <v>#N/A</v>
      </c>
      <c r="Q5009">
        <f>594.62</f>
        <v>594.62</v>
      </c>
      <c r="R5009">
        <f>1665.4</f>
        <v>1665.4</v>
      </c>
      <c r="S5009">
        <f>1344.4</f>
        <v>1344.4</v>
      </c>
      <c r="T5009" t="e">
        <f>NA()</f>
        <v>#N/A</v>
      </c>
      <c r="U5009">
        <f>10705.81</f>
        <v>10705.81</v>
      </c>
      <c r="V5009" t="e">
        <f>NA()</f>
        <v>#N/A</v>
      </c>
    </row>
    <row r="5010" spans="1:22" x14ac:dyDescent="0.2">
      <c r="A5010" s="1">
        <v>38093</v>
      </c>
      <c r="B5010" t="e">
        <f>NA()</f>
        <v>#N/A</v>
      </c>
      <c r="C5010">
        <f>2335.71</f>
        <v>2335.71</v>
      </c>
      <c r="D5010">
        <f>2331.85</f>
        <v>2331.85</v>
      </c>
      <c r="E5010">
        <f>722.646</f>
        <v>722.64599999999996</v>
      </c>
      <c r="F5010">
        <f>1391.61</f>
        <v>1391.61</v>
      </c>
      <c r="G5010">
        <f>4319.816</f>
        <v>4319.8159999999998</v>
      </c>
      <c r="H5010">
        <f>1219.26</f>
        <v>1219.26</v>
      </c>
      <c r="I5010">
        <f>3972.453</f>
        <v>3972.453</v>
      </c>
      <c r="J5010">
        <f>1090.77</f>
        <v>1090.77</v>
      </c>
      <c r="K5010">
        <f>3409.44</f>
        <v>3409.44</v>
      </c>
      <c r="L5010">
        <f>719.01</f>
        <v>719.01</v>
      </c>
      <c r="M5010">
        <f>3011.27</f>
        <v>3011.27</v>
      </c>
      <c r="N5010">
        <f>121.041</f>
        <v>121.041</v>
      </c>
      <c r="O5010">
        <f>1186.98</f>
        <v>1186.98</v>
      </c>
      <c r="P5010" t="e">
        <f>NA()</f>
        <v>#N/A</v>
      </c>
      <c r="Q5010">
        <f>595.28</f>
        <v>595.28</v>
      </c>
      <c r="R5010">
        <f>1663.62</f>
        <v>1663.62</v>
      </c>
      <c r="S5010">
        <f>1359.41</f>
        <v>1359.41</v>
      </c>
      <c r="T5010" t="e">
        <f>NA()</f>
        <v>#N/A</v>
      </c>
      <c r="U5010">
        <f>10757.16</f>
        <v>10757.16</v>
      </c>
      <c r="V5010" t="e">
        <f>NA()</f>
        <v>#N/A</v>
      </c>
    </row>
    <row r="5011" spans="1:22" x14ac:dyDescent="0.2">
      <c r="A5011" s="1">
        <v>38092</v>
      </c>
      <c r="B5011" t="e">
        <f>NA()</f>
        <v>#N/A</v>
      </c>
      <c r="C5011">
        <f>2325.45</f>
        <v>2325.4499999999998</v>
      </c>
      <c r="D5011">
        <f>2315.52</f>
        <v>2315.52</v>
      </c>
      <c r="E5011">
        <f>724.337</f>
        <v>724.33699999999999</v>
      </c>
      <c r="F5011">
        <f>1367.95</f>
        <v>1367.95</v>
      </c>
      <c r="G5011">
        <f>4237.78</f>
        <v>4237.78</v>
      </c>
      <c r="H5011">
        <f>1204.23</f>
        <v>1204.23</v>
      </c>
      <c r="I5011">
        <f>3925.642</f>
        <v>3925.6419999999998</v>
      </c>
      <c r="J5011">
        <f>1082.97</f>
        <v>1082.97</v>
      </c>
      <c r="K5011">
        <f>3393.09</f>
        <v>3393.09</v>
      </c>
      <c r="L5011">
        <f>711.07</f>
        <v>711.07</v>
      </c>
      <c r="M5011">
        <f>2988.14</f>
        <v>2988.14</v>
      </c>
      <c r="N5011">
        <f>120.516</f>
        <v>120.51600000000001</v>
      </c>
      <c r="O5011">
        <f>1180</f>
        <v>1180</v>
      </c>
      <c r="P5011" t="e">
        <f>NA()</f>
        <v>#N/A</v>
      </c>
      <c r="Q5011">
        <f>590.06</f>
        <v>590.05999999999995</v>
      </c>
      <c r="R5011">
        <f>1655.15</f>
        <v>1655.15</v>
      </c>
      <c r="S5011">
        <f>1357.7</f>
        <v>1357.7</v>
      </c>
      <c r="T5011" t="e">
        <f>NA()</f>
        <v>#N/A</v>
      </c>
      <c r="U5011">
        <f>10828.19</f>
        <v>10828.19</v>
      </c>
      <c r="V5011" t="e">
        <f>NA()</f>
        <v>#N/A</v>
      </c>
    </row>
    <row r="5012" spans="1:22" x14ac:dyDescent="0.2">
      <c r="A5012" s="1">
        <v>38091</v>
      </c>
      <c r="B5012" t="e">
        <f>NA()</f>
        <v>#N/A</v>
      </c>
      <c r="C5012">
        <f>2347.97</f>
        <v>2347.9699999999998</v>
      </c>
      <c r="D5012">
        <f>2305.2</f>
        <v>2305.1999999999998</v>
      </c>
      <c r="E5012">
        <f>729.867</f>
        <v>729.86699999999996</v>
      </c>
      <c r="F5012">
        <f>1380.07</f>
        <v>1380.07</v>
      </c>
      <c r="G5012">
        <f>4228.763</f>
        <v>4228.7629999999999</v>
      </c>
      <c r="H5012">
        <f>1219.25</f>
        <v>1219.25</v>
      </c>
      <c r="I5012">
        <f>3927.402</f>
        <v>3927.402</v>
      </c>
      <c r="J5012">
        <f>1077.99</f>
        <v>1077.99</v>
      </c>
      <c r="K5012">
        <f>3390.57</f>
        <v>3390.57</v>
      </c>
      <c r="L5012">
        <f>710.03</f>
        <v>710.03</v>
      </c>
      <c r="M5012">
        <f>2992.9</f>
        <v>2992.9</v>
      </c>
      <c r="N5012">
        <f>120.412</f>
        <v>120.41200000000001</v>
      </c>
      <c r="O5012">
        <f>1180.67</f>
        <v>1180.67</v>
      </c>
      <c r="P5012" t="e">
        <f>NA()</f>
        <v>#N/A</v>
      </c>
      <c r="Q5012">
        <f>585.66</f>
        <v>585.66</v>
      </c>
      <c r="R5012">
        <f>1654.17</f>
        <v>1654.17</v>
      </c>
      <c r="S5012">
        <f>1384.06</f>
        <v>1384.06</v>
      </c>
      <c r="T5012" t="e">
        <f>NA()</f>
        <v>#N/A</v>
      </c>
      <c r="U5012" t="e">
        <f>NA()</f>
        <v>#N/A</v>
      </c>
      <c r="V5012" t="e">
        <f>NA()</f>
        <v>#N/A</v>
      </c>
    </row>
    <row r="5013" spans="1:22" x14ac:dyDescent="0.2">
      <c r="A5013" s="1">
        <v>38090</v>
      </c>
      <c r="B5013" t="e">
        <f>NA()</f>
        <v>#N/A</v>
      </c>
      <c r="C5013">
        <f>2378.97</f>
        <v>2378.9699999999998</v>
      </c>
      <c r="D5013">
        <f>2319.86</f>
        <v>2319.86</v>
      </c>
      <c r="E5013">
        <f>740.254</f>
        <v>740.25400000000002</v>
      </c>
      <c r="F5013">
        <f>1409.3</f>
        <v>1409.3</v>
      </c>
      <c r="G5013">
        <f>4322.057</f>
        <v>4322.0569999999998</v>
      </c>
      <c r="H5013">
        <f>1241.16</f>
        <v>1241.1600000000001</v>
      </c>
      <c r="I5013">
        <f>3963.009</f>
        <v>3963.009</v>
      </c>
      <c r="J5013">
        <f>1079.49</f>
        <v>1079.49</v>
      </c>
      <c r="K5013">
        <f>3394.48</f>
        <v>3394.48</v>
      </c>
      <c r="L5013">
        <f>717.08</f>
        <v>717.08</v>
      </c>
      <c r="M5013">
        <f>3016.17</f>
        <v>3016.17</v>
      </c>
      <c r="N5013">
        <f>122.589</f>
        <v>122.589</v>
      </c>
      <c r="O5013">
        <f>1198.35</f>
        <v>1198.3499999999999</v>
      </c>
      <c r="P5013" t="e">
        <f>NA()</f>
        <v>#N/A</v>
      </c>
      <c r="Q5013">
        <f>585.98</f>
        <v>585.98</v>
      </c>
      <c r="R5013">
        <f>1655.99</f>
        <v>1655.99</v>
      </c>
      <c r="S5013">
        <f>1382.62</f>
        <v>1382.62</v>
      </c>
      <c r="T5013" t="e">
        <f>NA()</f>
        <v>#N/A</v>
      </c>
      <c r="U5013">
        <f>10979.56</f>
        <v>10979.56</v>
      </c>
      <c r="V5013" t="e">
        <f>NA()</f>
        <v>#N/A</v>
      </c>
    </row>
    <row r="5014" spans="1:22" x14ac:dyDescent="0.2">
      <c r="A5014" s="1">
        <v>38089</v>
      </c>
      <c r="B5014" t="e">
        <f>NA()</f>
        <v>#N/A</v>
      </c>
      <c r="C5014">
        <f>2407.41</f>
        <v>2407.41</v>
      </c>
      <c r="D5014" t="e">
        <f>NA()</f>
        <v>#N/A</v>
      </c>
      <c r="E5014">
        <f>744.435</f>
        <v>744.43499999999995</v>
      </c>
      <c r="F5014">
        <f>1419.02</f>
        <v>1419.02</v>
      </c>
      <c r="G5014">
        <f>4346.134</f>
        <v>4346.134</v>
      </c>
      <c r="H5014">
        <f>1248.14</f>
        <v>1248.1400000000001</v>
      </c>
      <c r="I5014">
        <f>3983.993</f>
        <v>3983.9929999999999</v>
      </c>
      <c r="J5014">
        <f>1094.34</f>
        <v>1094.3399999999999</v>
      </c>
      <c r="K5014">
        <f>3441.69</f>
        <v>3441.69</v>
      </c>
      <c r="L5014">
        <f>723.03</f>
        <v>723.03</v>
      </c>
      <c r="M5014">
        <f>3047.08</f>
        <v>3047.08</v>
      </c>
      <c r="N5014">
        <f>121.808</f>
        <v>121.80800000000001</v>
      </c>
      <c r="O5014" t="e">
        <f>NA()</f>
        <v>#N/A</v>
      </c>
      <c r="P5014" t="e">
        <f>NA()</f>
        <v>#N/A</v>
      </c>
      <c r="Q5014">
        <f>593.03</f>
        <v>593.03</v>
      </c>
      <c r="R5014">
        <f>1679.02</f>
        <v>1679.02</v>
      </c>
      <c r="S5014">
        <f>1371.22</f>
        <v>1371.22</v>
      </c>
      <c r="T5014" t="e">
        <f>NA()</f>
        <v>#N/A</v>
      </c>
      <c r="U5014" t="e">
        <f>NA()</f>
        <v>#N/A</v>
      </c>
      <c r="V5014" t="e">
        <f>NA()</f>
        <v>#N/A</v>
      </c>
    </row>
    <row r="5015" spans="1:22" x14ac:dyDescent="0.2">
      <c r="A5015" s="1">
        <v>38086</v>
      </c>
      <c r="B5015" t="e">
        <f>NA()</f>
        <v>#N/A</v>
      </c>
      <c r="C5015">
        <f>2396.49</f>
        <v>2396.4899999999998</v>
      </c>
      <c r="D5015" t="e">
        <f>NA()</f>
        <v>#N/A</v>
      </c>
      <c r="E5015">
        <f>739.385</f>
        <v>739.38499999999999</v>
      </c>
      <c r="F5015">
        <f>1419.02</f>
        <v>1419.02</v>
      </c>
      <c r="G5015">
        <f>4346.134</f>
        <v>4346.134</v>
      </c>
      <c r="H5015">
        <f>1242.57</f>
        <v>1242.57</v>
      </c>
      <c r="I5015">
        <f>3995.045</f>
        <v>3995.0450000000001</v>
      </c>
      <c r="J5015">
        <f>1088.8</f>
        <v>1088.8</v>
      </c>
      <c r="K5015">
        <f>3424.35</f>
        <v>3424.35</v>
      </c>
      <c r="L5015">
        <f>721.86</f>
        <v>721.86</v>
      </c>
      <c r="M5015">
        <f>3035.96</f>
        <v>3035.96</v>
      </c>
      <c r="N5015" t="e">
        <f>NA()</f>
        <v>#N/A</v>
      </c>
      <c r="O5015" t="e">
        <f>NA()</f>
        <v>#N/A</v>
      </c>
      <c r="P5015" t="e">
        <f>NA()</f>
        <v>#N/A</v>
      </c>
      <c r="Q5015" t="e">
        <f>NA()</f>
        <v>#N/A</v>
      </c>
      <c r="R5015" t="e">
        <f>NA()</f>
        <v>#N/A</v>
      </c>
      <c r="S5015">
        <f>1353.37</f>
        <v>1353.37</v>
      </c>
      <c r="T5015" t="e">
        <f>NA()</f>
        <v>#N/A</v>
      </c>
      <c r="U5015" t="e">
        <f>NA()</f>
        <v>#N/A</v>
      </c>
      <c r="V5015" t="e">
        <f>NA()</f>
        <v>#N/A</v>
      </c>
    </row>
    <row r="5016" spans="1:22" x14ac:dyDescent="0.2">
      <c r="A5016" s="1">
        <v>38085</v>
      </c>
      <c r="B5016" t="e">
        <f>NA()</f>
        <v>#N/A</v>
      </c>
      <c r="C5016">
        <f>2400.59</f>
        <v>2400.59</v>
      </c>
      <c r="D5016">
        <f>2306.45</f>
        <v>2306.4499999999998</v>
      </c>
      <c r="E5016">
        <f>742.343</f>
        <v>742.34299999999996</v>
      </c>
      <c r="F5016">
        <f>1419.02</f>
        <v>1419.02</v>
      </c>
      <c r="G5016">
        <f>4346.134</f>
        <v>4346.134</v>
      </c>
      <c r="H5016">
        <f>1252.74</f>
        <v>1252.74</v>
      </c>
      <c r="I5016">
        <f>3995.045</f>
        <v>3995.0450000000001</v>
      </c>
      <c r="J5016">
        <f>1088.8</f>
        <v>1088.8</v>
      </c>
      <c r="K5016">
        <f>3424.35</f>
        <v>3424.35</v>
      </c>
      <c r="L5016">
        <f>721.87</f>
        <v>721.87</v>
      </c>
      <c r="M5016">
        <f>3040.49</f>
        <v>3040.49</v>
      </c>
      <c r="N5016">
        <f>122.125</f>
        <v>122.125</v>
      </c>
      <c r="O5016">
        <f>1187.78</f>
        <v>1187.78</v>
      </c>
      <c r="P5016" t="e">
        <f>NA()</f>
        <v>#N/A</v>
      </c>
      <c r="Q5016">
        <f>591.25</f>
        <v>591.25</v>
      </c>
      <c r="R5016">
        <f>1670.36</f>
        <v>1670.36</v>
      </c>
      <c r="S5016">
        <f>1375</f>
        <v>1375</v>
      </c>
      <c r="T5016" t="e">
        <f>NA()</f>
        <v>#N/A</v>
      </c>
      <c r="U5016">
        <f>10846.37</f>
        <v>10846.37</v>
      </c>
      <c r="V5016" t="e">
        <f>NA()</f>
        <v>#N/A</v>
      </c>
    </row>
    <row r="5017" spans="1:22" x14ac:dyDescent="0.2">
      <c r="A5017" s="1">
        <v>38084</v>
      </c>
      <c r="B5017" t="e">
        <f>NA()</f>
        <v>#N/A</v>
      </c>
      <c r="C5017">
        <f>2401.39</f>
        <v>2401.39</v>
      </c>
      <c r="D5017">
        <f>2295.67</f>
        <v>2295.67</v>
      </c>
      <c r="E5017">
        <f>740.784</f>
        <v>740.78399999999999</v>
      </c>
      <c r="F5017">
        <f>1415.34</f>
        <v>1415.34</v>
      </c>
      <c r="G5017">
        <f>4342.996</f>
        <v>4342.9960000000001</v>
      </c>
      <c r="H5017">
        <f>1258.32</f>
        <v>1258.32</v>
      </c>
      <c r="I5017">
        <f>4000.844</f>
        <v>4000.8440000000001</v>
      </c>
      <c r="J5017">
        <f>1089.92</f>
        <v>1089.92</v>
      </c>
      <c r="K5017">
        <f>3427.39</f>
        <v>3427.39</v>
      </c>
      <c r="L5017">
        <f>722.18</f>
        <v>722.18</v>
      </c>
      <c r="M5017">
        <f>3044.18</f>
        <v>3044.18</v>
      </c>
      <c r="N5017">
        <f>121.808</f>
        <v>121.80800000000001</v>
      </c>
      <c r="O5017">
        <f>1181.51</f>
        <v>1181.51</v>
      </c>
      <c r="P5017" t="e">
        <f>NA()</f>
        <v>#N/A</v>
      </c>
      <c r="Q5017">
        <f>593.19</f>
        <v>593.19000000000005</v>
      </c>
      <c r="R5017">
        <f>1672.14</f>
        <v>1672.14</v>
      </c>
      <c r="S5017">
        <f>1369.22</f>
        <v>1369.22</v>
      </c>
      <c r="T5017" t="e">
        <f>NA()</f>
        <v>#N/A</v>
      </c>
      <c r="U5017">
        <f>10825.83</f>
        <v>10825.83</v>
      </c>
      <c r="V5017" t="e">
        <f>NA()</f>
        <v>#N/A</v>
      </c>
    </row>
    <row r="5018" spans="1:22" x14ac:dyDescent="0.2">
      <c r="A5018" s="1">
        <v>38083</v>
      </c>
      <c r="B5018" t="e">
        <f>NA()</f>
        <v>#N/A</v>
      </c>
      <c r="C5018">
        <f>2394.38</f>
        <v>2394.38</v>
      </c>
      <c r="D5018">
        <f>2297.54</f>
        <v>2297.54</v>
      </c>
      <c r="E5018">
        <f>738.104</f>
        <v>738.10400000000004</v>
      </c>
      <c r="F5018">
        <f>1418.17</f>
        <v>1418.17</v>
      </c>
      <c r="G5018">
        <f>4319.913</f>
        <v>4319.9129999999996</v>
      </c>
      <c r="H5018">
        <f>1246.37</f>
        <v>1246.3699999999999</v>
      </c>
      <c r="I5018">
        <f>3964.83</f>
        <v>3964.83</v>
      </c>
      <c r="J5018">
        <f>1097.13</f>
        <v>1097.1300000000001</v>
      </c>
      <c r="K5018">
        <f>3450.31</f>
        <v>3450.31</v>
      </c>
      <c r="L5018">
        <f>722.25</f>
        <v>722.25</v>
      </c>
      <c r="M5018">
        <f>3046.4</f>
        <v>3046.4</v>
      </c>
      <c r="N5018">
        <f>121.513</f>
        <v>121.51300000000001</v>
      </c>
      <c r="O5018">
        <f>1184.48</f>
        <v>1184.48</v>
      </c>
      <c r="P5018" t="e">
        <f>NA()</f>
        <v>#N/A</v>
      </c>
      <c r="Q5018">
        <f>597.27</f>
        <v>597.27</v>
      </c>
      <c r="R5018">
        <f>1683.23</f>
        <v>1683.23</v>
      </c>
      <c r="S5018">
        <f>1374.48</f>
        <v>1374.48</v>
      </c>
      <c r="T5018" t="e">
        <f>NA()</f>
        <v>#N/A</v>
      </c>
      <c r="U5018">
        <f>10904.04</f>
        <v>10904.04</v>
      </c>
      <c r="V5018" t="e">
        <f>NA()</f>
        <v>#N/A</v>
      </c>
    </row>
    <row r="5019" spans="1:22" x14ac:dyDescent="0.2">
      <c r="A5019" s="1">
        <v>38082</v>
      </c>
      <c r="B5019" t="e">
        <f>NA()</f>
        <v>#N/A</v>
      </c>
      <c r="C5019">
        <f>2389.9</f>
        <v>2389.9</v>
      </c>
      <c r="D5019">
        <f>2301.59</f>
        <v>2301.59</v>
      </c>
      <c r="E5019">
        <f>734.128</f>
        <v>734.12800000000004</v>
      </c>
      <c r="F5019">
        <f>1407.99</f>
        <v>1407.99</v>
      </c>
      <c r="G5019">
        <f>4285.249</f>
        <v>4285.2489999999998</v>
      </c>
      <c r="H5019">
        <f>1251.2</f>
        <v>1251.2</v>
      </c>
      <c r="I5019">
        <f>3989.616</f>
        <v>3989.616</v>
      </c>
      <c r="J5019">
        <f>1096.21</f>
        <v>1096.21</v>
      </c>
      <c r="K5019">
        <f>3458.41</f>
        <v>3458.41</v>
      </c>
      <c r="L5019">
        <f>719.56</f>
        <v>719.56</v>
      </c>
      <c r="M5019">
        <f>3049.91</f>
        <v>3049.91</v>
      </c>
      <c r="N5019">
        <f>122.083</f>
        <v>122.083</v>
      </c>
      <c r="O5019">
        <f>1190.1</f>
        <v>1190.0999999999999</v>
      </c>
      <c r="P5019" t="e">
        <f>NA()</f>
        <v>#N/A</v>
      </c>
      <c r="Q5019">
        <f>597.09</f>
        <v>597.09</v>
      </c>
      <c r="R5019">
        <f>1686.24</f>
        <v>1686.24</v>
      </c>
      <c r="S5019">
        <f>1362.89</f>
        <v>1362.89</v>
      </c>
      <c r="T5019" t="e">
        <f>NA()</f>
        <v>#N/A</v>
      </c>
      <c r="U5019">
        <f>10862.17</f>
        <v>10862.17</v>
      </c>
      <c r="V5019" t="e">
        <f>NA()</f>
        <v>#N/A</v>
      </c>
    </row>
    <row r="5020" spans="1:22" x14ac:dyDescent="0.2">
      <c r="A5020" s="1">
        <v>38079</v>
      </c>
      <c r="B5020" t="e">
        <f>NA()</f>
        <v>#N/A</v>
      </c>
      <c r="C5020">
        <f>2376.72</f>
        <v>2376.7199999999998</v>
      </c>
      <c r="D5020">
        <f>2293.84</f>
        <v>2293.84</v>
      </c>
      <c r="E5020">
        <f>728.987</f>
        <v>728.98699999999997</v>
      </c>
      <c r="F5020">
        <f>1417.57</f>
        <v>1417.57</v>
      </c>
      <c r="G5020">
        <f>4310.096</f>
        <v>4310.0959999999995</v>
      </c>
      <c r="H5020">
        <f>1257.67</f>
        <v>1257.67</v>
      </c>
      <c r="I5020">
        <f>4005.29</f>
        <v>4005.29</v>
      </c>
      <c r="J5020">
        <f>1087.75</f>
        <v>1087.75</v>
      </c>
      <c r="K5020">
        <f>3431.93</f>
        <v>3431.93</v>
      </c>
      <c r="L5020">
        <f>719.14</f>
        <v>719.14</v>
      </c>
      <c r="M5020">
        <f>3039.34</f>
        <v>3039.34</v>
      </c>
      <c r="N5020">
        <f>121.605</f>
        <v>121.605</v>
      </c>
      <c r="O5020">
        <f>1182.84</f>
        <v>1182.8399999999999</v>
      </c>
      <c r="P5020" t="e">
        <f>NA()</f>
        <v>#N/A</v>
      </c>
      <c r="Q5020">
        <f>593.12</f>
        <v>593.12</v>
      </c>
      <c r="R5020">
        <f>1673.41</f>
        <v>1673.41</v>
      </c>
      <c r="S5020">
        <f>1345.8</f>
        <v>1345.8</v>
      </c>
      <c r="T5020" t="e">
        <f>NA()</f>
        <v>#N/A</v>
      </c>
      <c r="U5020">
        <f>10890.61</f>
        <v>10890.61</v>
      </c>
      <c r="V5020" t="e">
        <f>NA()</f>
        <v>#N/A</v>
      </c>
    </row>
    <row r="5021" spans="1:22" x14ac:dyDescent="0.2">
      <c r="A5021" s="1">
        <v>38078</v>
      </c>
      <c r="B5021" t="e">
        <f>NA()</f>
        <v>#N/A</v>
      </c>
      <c r="C5021">
        <f>2364.06</f>
        <v>2364.06</v>
      </c>
      <c r="D5021">
        <f>2265.64</f>
        <v>2265.64</v>
      </c>
      <c r="E5021">
        <f>726.078</f>
        <v>726.07799999999997</v>
      </c>
      <c r="F5021">
        <f>1425.06</f>
        <v>1425.06</v>
      </c>
      <c r="G5021">
        <f>4318.817</f>
        <v>4318.817</v>
      </c>
      <c r="H5021">
        <f>1261.82</f>
        <v>1261.82</v>
      </c>
      <c r="I5021">
        <f>4004.612</f>
        <v>4004.6120000000001</v>
      </c>
      <c r="J5021">
        <f>1085.83</f>
        <v>1085.83</v>
      </c>
      <c r="K5021">
        <f>3403.43</f>
        <v>3403.43</v>
      </c>
      <c r="L5021">
        <f>720.21</f>
        <v>720.21</v>
      </c>
      <c r="M5021">
        <f>3025.35</f>
        <v>3025.35</v>
      </c>
      <c r="N5021">
        <f>119.595</f>
        <v>119.595</v>
      </c>
      <c r="O5021">
        <f>1162.48</f>
        <v>1162.48</v>
      </c>
      <c r="P5021" t="e">
        <f>NA()</f>
        <v>#N/A</v>
      </c>
      <c r="Q5021">
        <f>590.51</f>
        <v>590.51</v>
      </c>
      <c r="R5021">
        <f>1659.16</f>
        <v>1659.16</v>
      </c>
      <c r="S5021">
        <f>1335.35</f>
        <v>1335.35</v>
      </c>
      <c r="T5021" t="e">
        <f>NA()</f>
        <v>#N/A</v>
      </c>
      <c r="U5021">
        <f>10765.55</f>
        <v>10765.55</v>
      </c>
      <c r="V5021" t="e">
        <f>NA()</f>
        <v>#N/A</v>
      </c>
    </row>
    <row r="5022" spans="1:22" x14ac:dyDescent="0.2">
      <c r="A5022" s="1">
        <v>38077</v>
      </c>
      <c r="B5022" t="e">
        <f>NA()</f>
        <v>#N/A</v>
      </c>
      <c r="C5022">
        <f>2347.4</f>
        <v>2347.4</v>
      </c>
      <c r="D5022">
        <f>2252.78</f>
        <v>2252.7800000000002</v>
      </c>
      <c r="E5022">
        <f>721.098</f>
        <v>721.09799999999996</v>
      </c>
      <c r="F5022">
        <f>1402.74</f>
        <v>1402.74</v>
      </c>
      <c r="G5022">
        <f>4249.56</f>
        <v>4249.5600000000004</v>
      </c>
      <c r="H5022">
        <f>1262.74</f>
        <v>1262.74</v>
      </c>
      <c r="I5022">
        <f>3929.52</f>
        <v>3929.52</v>
      </c>
      <c r="J5022">
        <f>1079.19</f>
        <v>1079.19</v>
      </c>
      <c r="K5022">
        <f>3384.48</f>
        <v>3384.48</v>
      </c>
      <c r="L5022">
        <f>712.65</f>
        <v>712.65</v>
      </c>
      <c r="M5022">
        <f>2998.83</f>
        <v>2998.83</v>
      </c>
      <c r="N5022">
        <f>117.974</f>
        <v>117.974</v>
      </c>
      <c r="O5022">
        <f>1148.08</f>
        <v>1148.08</v>
      </c>
      <c r="P5022" t="e">
        <f>NA()</f>
        <v>#N/A</v>
      </c>
      <c r="Q5022">
        <f>588.81</f>
        <v>588.80999999999995</v>
      </c>
      <c r="R5022">
        <f>1650.42</f>
        <v>1650.42</v>
      </c>
      <c r="S5022">
        <f>1340.15</f>
        <v>1340.15</v>
      </c>
      <c r="T5022" t="e">
        <f>NA()</f>
        <v>#N/A</v>
      </c>
      <c r="U5022">
        <f>10692.56</f>
        <v>10692.56</v>
      </c>
      <c r="V5022" t="e">
        <f>NA()</f>
        <v>#N/A</v>
      </c>
    </row>
    <row r="5023" spans="1:22" x14ac:dyDescent="0.2">
      <c r="A5023" s="1">
        <v>38076</v>
      </c>
      <c r="B5023" t="e">
        <f>NA()</f>
        <v>#N/A</v>
      </c>
      <c r="C5023">
        <f>2317.83</f>
        <v>2317.83</v>
      </c>
      <c r="D5023">
        <f>2263.25</f>
        <v>2263.25</v>
      </c>
      <c r="E5023">
        <f>712.577</f>
        <v>712.577</v>
      </c>
      <c r="F5023">
        <f>1398.39</f>
        <v>1398.39</v>
      </c>
      <c r="G5023">
        <f>4241.855</f>
        <v>4241.8549999999996</v>
      </c>
      <c r="H5023">
        <f>1242.74</f>
        <v>1242.74</v>
      </c>
      <c r="I5023">
        <f>3892.872</f>
        <v>3892.8719999999998</v>
      </c>
      <c r="J5023">
        <f>1079.08</f>
        <v>1079.08</v>
      </c>
      <c r="K5023">
        <f>3386.73</f>
        <v>3386.73</v>
      </c>
      <c r="L5023">
        <f>710.34</f>
        <v>710.34</v>
      </c>
      <c r="M5023">
        <f>2989.12</f>
        <v>2989.12</v>
      </c>
      <c r="N5023">
        <f>117.96</f>
        <v>117.96</v>
      </c>
      <c r="O5023">
        <f>1150.66</f>
        <v>1150.6600000000001</v>
      </c>
      <c r="P5023" t="e">
        <f>NA()</f>
        <v>#N/A</v>
      </c>
      <c r="Q5023">
        <f>588.25</f>
        <v>588.25</v>
      </c>
      <c r="R5023">
        <f>1651.43</f>
        <v>1651.43</v>
      </c>
      <c r="S5023">
        <f>1335.84</f>
        <v>1335.84</v>
      </c>
      <c r="T5023" t="e">
        <f>NA()</f>
        <v>#N/A</v>
      </c>
      <c r="U5023">
        <f>10605.47</f>
        <v>10605.47</v>
      </c>
      <c r="V5023" t="e">
        <f>NA()</f>
        <v>#N/A</v>
      </c>
    </row>
    <row r="5024" spans="1:22" x14ac:dyDescent="0.2">
      <c r="A5024" s="1">
        <v>38075</v>
      </c>
      <c r="B5024" t="e">
        <f>NA()</f>
        <v>#N/A</v>
      </c>
      <c r="C5024">
        <f>2287.38</f>
        <v>2287.38</v>
      </c>
      <c r="D5024">
        <f>2260.13</f>
        <v>2260.13</v>
      </c>
      <c r="E5024">
        <f>706.983</f>
        <v>706.98299999999995</v>
      </c>
      <c r="F5024">
        <f>1394.99</f>
        <v>1394.99</v>
      </c>
      <c r="G5024">
        <f>4215.849</f>
        <v>4215.8490000000002</v>
      </c>
      <c r="H5024">
        <f>1249.15</f>
        <v>1249.1500000000001</v>
      </c>
      <c r="I5024">
        <f>3892.041</f>
        <v>3892.0410000000002</v>
      </c>
      <c r="J5024">
        <f>1073.15</f>
        <v>1073.1500000000001</v>
      </c>
      <c r="K5024">
        <f>3373.05</f>
        <v>3373.05</v>
      </c>
      <c r="L5024">
        <f>706.42</f>
        <v>706.42</v>
      </c>
      <c r="M5024">
        <f>2979.75</f>
        <v>2979.75</v>
      </c>
      <c r="N5024">
        <f>117.977</f>
        <v>117.977</v>
      </c>
      <c r="O5024">
        <f>1151.29</f>
        <v>1151.29</v>
      </c>
      <c r="P5024" t="e">
        <f>NA()</f>
        <v>#N/A</v>
      </c>
      <c r="Q5024">
        <f>585.93</f>
        <v>585.92999999999995</v>
      </c>
      <c r="R5024">
        <f>1644.75</f>
        <v>1644.75</v>
      </c>
      <c r="S5024">
        <f>1340</f>
        <v>1340</v>
      </c>
      <c r="T5024" t="e">
        <f>NA()</f>
        <v>#N/A</v>
      </c>
      <c r="U5024">
        <f>10617.35</f>
        <v>10617.35</v>
      </c>
      <c r="V5024" t="e">
        <f>NA()</f>
        <v>#N/A</v>
      </c>
    </row>
    <row r="5025" spans="1:22" x14ac:dyDescent="0.2">
      <c r="A5025" s="1">
        <v>38072</v>
      </c>
      <c r="B5025" t="e">
        <f>NA()</f>
        <v>#N/A</v>
      </c>
      <c r="C5025">
        <f>2260.56</f>
        <v>2260.56</v>
      </c>
      <c r="D5025">
        <f>2234.89</f>
        <v>2234.89</v>
      </c>
      <c r="E5025">
        <f>697.397</f>
        <v>697.39700000000005</v>
      </c>
      <c r="F5025">
        <f>1374.82</f>
        <v>1374.82</v>
      </c>
      <c r="G5025">
        <f>4152.674</f>
        <v>4152.674</v>
      </c>
      <c r="H5025">
        <f>1247.82</f>
        <v>1247.82</v>
      </c>
      <c r="I5025">
        <f>3831.878</f>
        <v>3831.8780000000002</v>
      </c>
      <c r="J5025">
        <f>1060</f>
        <v>1060</v>
      </c>
      <c r="K5025">
        <f>3328.85</f>
        <v>3328.85</v>
      </c>
      <c r="L5025">
        <f>697.82</f>
        <v>697.82</v>
      </c>
      <c r="M5025">
        <f>2943.19</f>
        <v>2943.19</v>
      </c>
      <c r="N5025">
        <f>116.566</f>
        <v>116.566</v>
      </c>
      <c r="O5025">
        <f>1137.98</f>
        <v>1137.98</v>
      </c>
      <c r="P5025" t="e">
        <f>NA()</f>
        <v>#N/A</v>
      </c>
      <c r="Q5025">
        <f>577.8</f>
        <v>577.79999999999995</v>
      </c>
      <c r="R5025">
        <f>1623.36</f>
        <v>1623.36</v>
      </c>
      <c r="S5025">
        <f>1336.75</f>
        <v>1336.75</v>
      </c>
      <c r="T5025" t="e">
        <f>NA()</f>
        <v>#N/A</v>
      </c>
      <c r="U5025">
        <f>10653.2</f>
        <v>10653.2</v>
      </c>
      <c r="V5025" t="e">
        <f>NA()</f>
        <v>#N/A</v>
      </c>
    </row>
    <row r="5026" spans="1:22" x14ac:dyDescent="0.2">
      <c r="A5026" s="1">
        <v>38071</v>
      </c>
      <c r="B5026" t="e">
        <f>NA()</f>
        <v>#N/A</v>
      </c>
      <c r="C5026">
        <f>2246.61</f>
        <v>2246.61</v>
      </c>
      <c r="D5026">
        <f>2243.15</f>
        <v>2243.15</v>
      </c>
      <c r="E5026">
        <f>692.444</f>
        <v>692.44399999999996</v>
      </c>
      <c r="F5026">
        <f>1388.59</f>
        <v>1388.59</v>
      </c>
      <c r="G5026">
        <f>4172.12</f>
        <v>4172.12</v>
      </c>
      <c r="H5026">
        <f>1232.14</f>
        <v>1232.1400000000001</v>
      </c>
      <c r="I5026">
        <f>3846.787</f>
        <v>3846.7869999999998</v>
      </c>
      <c r="J5026">
        <f>1059.57</f>
        <v>1059.57</v>
      </c>
      <c r="K5026">
        <f>3333.3</f>
        <v>3333.3</v>
      </c>
      <c r="L5026">
        <f>698.39</f>
        <v>698.39</v>
      </c>
      <c r="M5026">
        <f>2941.42</f>
        <v>2941.42</v>
      </c>
      <c r="N5026">
        <f>116.923</f>
        <v>116.923</v>
      </c>
      <c r="O5026">
        <f>1134.94</f>
        <v>1134.94</v>
      </c>
      <c r="P5026" t="e">
        <f>NA()</f>
        <v>#N/A</v>
      </c>
      <c r="Q5026">
        <f>578.93</f>
        <v>578.92999999999995</v>
      </c>
      <c r="R5026">
        <f>1625.01</f>
        <v>1625.01</v>
      </c>
      <c r="S5026">
        <f>1311.77</f>
        <v>1311.77</v>
      </c>
      <c r="T5026" t="e">
        <f>NA()</f>
        <v>#N/A</v>
      </c>
      <c r="U5026">
        <f>10534.4</f>
        <v>10534.4</v>
      </c>
      <c r="V5026" t="e">
        <f>NA()</f>
        <v>#N/A</v>
      </c>
    </row>
    <row r="5027" spans="1:22" x14ac:dyDescent="0.2">
      <c r="A5027" s="1">
        <v>38070</v>
      </c>
      <c r="B5027" t="e">
        <f>NA()</f>
        <v>#N/A</v>
      </c>
      <c r="C5027">
        <f>2259.12</f>
        <v>2259.12</v>
      </c>
      <c r="D5027">
        <f>2210.23</f>
        <v>2210.23</v>
      </c>
      <c r="E5027">
        <f>696.538</f>
        <v>696.53800000000001</v>
      </c>
      <c r="F5027">
        <f>1381.42</f>
        <v>1381.42</v>
      </c>
      <c r="G5027">
        <f>4164.231</f>
        <v>4164.2309999999998</v>
      </c>
      <c r="H5027">
        <f>1216.2</f>
        <v>1216.2</v>
      </c>
      <c r="I5027">
        <f>3792.623</f>
        <v>3792.623</v>
      </c>
      <c r="J5027">
        <f>1048</f>
        <v>1048</v>
      </c>
      <c r="K5027">
        <f>3279.33</f>
        <v>3279.33</v>
      </c>
      <c r="L5027">
        <f>693.9</f>
        <v>693.9</v>
      </c>
      <c r="M5027">
        <f>2901.77</f>
        <v>2901.77</v>
      </c>
      <c r="N5027">
        <f>116.044</f>
        <v>116.044</v>
      </c>
      <c r="O5027">
        <f>1121.08</f>
        <v>1121.08</v>
      </c>
      <c r="P5027" t="e">
        <f>NA()</f>
        <v>#N/A</v>
      </c>
      <c r="Q5027">
        <f>570.37</f>
        <v>570.37</v>
      </c>
      <c r="R5027">
        <f>1598.85</f>
        <v>1598.85</v>
      </c>
      <c r="S5027">
        <f>1295.89</f>
        <v>1295.8900000000001</v>
      </c>
      <c r="T5027" t="e">
        <f>NA()</f>
        <v>#N/A</v>
      </c>
      <c r="U5027">
        <f>10545</f>
        <v>10545</v>
      </c>
      <c r="V5027" t="e">
        <f>NA()</f>
        <v>#N/A</v>
      </c>
    </row>
    <row r="5028" spans="1:22" x14ac:dyDescent="0.2">
      <c r="A5028" s="1">
        <v>38069</v>
      </c>
      <c r="B5028" t="e">
        <f>NA()</f>
        <v>#N/A</v>
      </c>
      <c r="C5028">
        <f>2269.11</f>
        <v>2269.11</v>
      </c>
      <c r="D5028">
        <f>2213.8</f>
        <v>2213.8000000000002</v>
      </c>
      <c r="E5028">
        <f>695.382</f>
        <v>695.38199999999995</v>
      </c>
      <c r="F5028">
        <f>1393.98</f>
        <v>1393.98</v>
      </c>
      <c r="G5028">
        <f>4194.463</f>
        <v>4194.4629999999997</v>
      </c>
      <c r="H5028">
        <f>1197.94</f>
        <v>1197.94</v>
      </c>
      <c r="I5028">
        <f>3829.504</f>
        <v>3829.5039999999999</v>
      </c>
      <c r="J5028">
        <f>1054.44</f>
        <v>1054.44</v>
      </c>
      <c r="K5028">
        <f>3287.58</f>
        <v>3287.58</v>
      </c>
      <c r="L5028">
        <f>698.37</f>
        <v>698.37</v>
      </c>
      <c r="M5028">
        <f>2909.54</f>
        <v>2909.54</v>
      </c>
      <c r="N5028">
        <f>116.101</f>
        <v>116.101</v>
      </c>
      <c r="O5028">
        <f>1123.59</f>
        <v>1123.5899999999999</v>
      </c>
      <c r="P5028" t="e">
        <f>NA()</f>
        <v>#N/A</v>
      </c>
      <c r="Q5028">
        <f>571.97</f>
        <v>571.97</v>
      </c>
      <c r="R5028">
        <f>1602.67</f>
        <v>1602.67</v>
      </c>
      <c r="S5028">
        <f>1280.73</f>
        <v>1280.73</v>
      </c>
      <c r="T5028" t="e">
        <f>NA()</f>
        <v>#N/A</v>
      </c>
      <c r="U5028">
        <f>10660.34</f>
        <v>10660.34</v>
      </c>
      <c r="V5028" t="e">
        <f>NA()</f>
        <v>#N/A</v>
      </c>
    </row>
    <row r="5029" spans="1:22" x14ac:dyDescent="0.2">
      <c r="A5029" s="1">
        <v>38068</v>
      </c>
      <c r="B5029" t="e">
        <f>NA()</f>
        <v>#N/A</v>
      </c>
      <c r="C5029">
        <f>2293.59</f>
        <v>2293.59</v>
      </c>
      <c r="D5029">
        <f>2221.62</f>
        <v>2221.62</v>
      </c>
      <c r="E5029">
        <f>699.921</f>
        <v>699.92100000000005</v>
      </c>
      <c r="F5029">
        <f>1389.82</f>
        <v>1389.82</v>
      </c>
      <c r="G5029">
        <f>4208.98</f>
        <v>4208.9799999999996</v>
      </c>
      <c r="H5029">
        <f>1196.24</f>
        <v>1196.24</v>
      </c>
      <c r="I5029">
        <f>3837.899</f>
        <v>3837.8989999999999</v>
      </c>
      <c r="J5029">
        <f>1055.17</f>
        <v>1055.17</v>
      </c>
      <c r="K5029">
        <f>3291.85</f>
        <v>3291.85</v>
      </c>
      <c r="L5029">
        <f>699.32</f>
        <v>699.32</v>
      </c>
      <c r="M5029">
        <f>2913.57</f>
        <v>2913.57</v>
      </c>
      <c r="N5029">
        <f>115.416</f>
        <v>115.416</v>
      </c>
      <c r="O5029">
        <f>1119.81</f>
        <v>1119.81</v>
      </c>
      <c r="P5029" t="e">
        <f>NA()</f>
        <v>#N/A</v>
      </c>
      <c r="Q5029">
        <f>571.41</f>
        <v>571.41</v>
      </c>
      <c r="R5029">
        <f>1604.8</f>
        <v>1604.8</v>
      </c>
      <c r="S5029">
        <f>1279.54</f>
        <v>1279.54</v>
      </c>
      <c r="T5029" t="e">
        <f>NA()</f>
        <v>#N/A</v>
      </c>
      <c r="U5029" t="e">
        <f>NA()</f>
        <v>#N/A</v>
      </c>
      <c r="V5029" t="e">
        <f>NA()</f>
        <v>#N/A</v>
      </c>
    </row>
    <row r="5030" spans="1:22" x14ac:dyDescent="0.2">
      <c r="A5030" s="1">
        <v>38065</v>
      </c>
      <c r="B5030" t="e">
        <f>NA()</f>
        <v>#N/A</v>
      </c>
      <c r="C5030">
        <f>2313.45</f>
        <v>2313.4499999999998</v>
      </c>
      <c r="D5030">
        <f>2264.67</f>
        <v>2264.67</v>
      </c>
      <c r="E5030">
        <f>712.092</f>
        <v>712.09199999999998</v>
      </c>
      <c r="F5030">
        <f>1403.69</f>
        <v>1403.69</v>
      </c>
      <c r="G5030">
        <f>4259.95</f>
        <v>4259.95</v>
      </c>
      <c r="H5030">
        <f>1206.98</f>
        <v>1206.98</v>
      </c>
      <c r="I5030">
        <f>3910.662</f>
        <v>3910.6619999999998</v>
      </c>
      <c r="J5030">
        <f>1070.23</f>
        <v>1070.23</v>
      </c>
      <c r="K5030">
        <f>3335.1</f>
        <v>3335.1</v>
      </c>
      <c r="L5030">
        <f>708.26</f>
        <v>708.26</v>
      </c>
      <c r="M5030">
        <f>2952.16</f>
        <v>2952.16</v>
      </c>
      <c r="N5030">
        <f>117.405</f>
        <v>117.405</v>
      </c>
      <c r="O5030">
        <f>1142.19</f>
        <v>1142.19</v>
      </c>
      <c r="P5030" t="e">
        <f>NA()</f>
        <v>#N/A</v>
      </c>
      <c r="Q5030">
        <f>578.71</f>
        <v>578.71</v>
      </c>
      <c r="R5030">
        <f>1625.84</f>
        <v>1625.84</v>
      </c>
      <c r="S5030">
        <f>1287</f>
        <v>1287</v>
      </c>
      <c r="T5030" t="e">
        <f>NA()</f>
        <v>#N/A</v>
      </c>
      <c r="U5030">
        <f>10815.99</f>
        <v>10815.99</v>
      </c>
      <c r="V5030" t="e">
        <f>NA()</f>
        <v>#N/A</v>
      </c>
    </row>
    <row r="5031" spans="1:22" x14ac:dyDescent="0.2">
      <c r="A5031" s="1">
        <v>38064</v>
      </c>
      <c r="B5031" t="e">
        <f>NA()</f>
        <v>#N/A</v>
      </c>
      <c r="C5031">
        <f>2311.52</f>
        <v>2311.52</v>
      </c>
      <c r="D5031">
        <f>2254.48</f>
        <v>2254.48</v>
      </c>
      <c r="E5031">
        <f>708.774</f>
        <v>708.774</v>
      </c>
      <c r="F5031">
        <f>1397.58</f>
        <v>1397.58</v>
      </c>
      <c r="G5031">
        <f>4234.128</f>
        <v>4234.1279999999997</v>
      </c>
      <c r="H5031">
        <f>1220.81</f>
        <v>1220.81</v>
      </c>
      <c r="I5031">
        <f>3914.296</f>
        <v>3914.2959999999998</v>
      </c>
      <c r="J5031">
        <f>1081.93</f>
        <v>1081.93</v>
      </c>
      <c r="K5031">
        <f>3373.26</f>
        <v>3373.26</v>
      </c>
      <c r="L5031">
        <f>710.4</f>
        <v>710.4</v>
      </c>
      <c r="M5031">
        <f>2971.53</f>
        <v>2971.53</v>
      </c>
      <c r="N5031">
        <f>116.603</f>
        <v>116.60299999999999</v>
      </c>
      <c r="O5031">
        <f>1136.12</f>
        <v>1136.1199999999999</v>
      </c>
      <c r="P5031" t="e">
        <f>NA()</f>
        <v>#N/A</v>
      </c>
      <c r="Q5031">
        <f>582.45</f>
        <v>582.45000000000005</v>
      </c>
      <c r="R5031">
        <f>1644.21</f>
        <v>1644.21</v>
      </c>
      <c r="S5031">
        <f>1295.61</f>
        <v>1295.6099999999999</v>
      </c>
      <c r="T5031" t="e">
        <f>NA()</f>
        <v>#N/A</v>
      </c>
      <c r="U5031">
        <f>10910.07</f>
        <v>10910.07</v>
      </c>
      <c r="V5031" t="e">
        <f>NA()</f>
        <v>#N/A</v>
      </c>
    </row>
    <row r="5032" spans="1:22" x14ac:dyDescent="0.2">
      <c r="A5032" s="1">
        <v>38063</v>
      </c>
      <c r="B5032" t="e">
        <f>NA()</f>
        <v>#N/A</v>
      </c>
      <c r="C5032">
        <f>2281.66</f>
        <v>2281.66</v>
      </c>
      <c r="D5032">
        <f>2284.69</f>
        <v>2284.69</v>
      </c>
      <c r="E5032">
        <f>701.857</f>
        <v>701.85699999999997</v>
      </c>
      <c r="F5032">
        <f>1397.53</f>
        <v>1397.53</v>
      </c>
      <c r="G5032">
        <f>4238.674</f>
        <v>4238.674</v>
      </c>
      <c r="H5032">
        <f>1195.44</f>
        <v>1195.44</v>
      </c>
      <c r="I5032">
        <f>3919.687</f>
        <v>3919.6869999999999</v>
      </c>
      <c r="J5032">
        <f>1081.56</f>
        <v>1081.56</v>
      </c>
      <c r="K5032">
        <f>3378.03</f>
        <v>3378.03</v>
      </c>
      <c r="L5032">
        <f>709.43</f>
        <v>709.43</v>
      </c>
      <c r="M5032">
        <f>2967.86</f>
        <v>2967.86</v>
      </c>
      <c r="N5032">
        <f>117.394</f>
        <v>117.39400000000001</v>
      </c>
      <c r="O5032">
        <f>1156.17</f>
        <v>1156.17</v>
      </c>
      <c r="P5032" t="e">
        <f>NA()</f>
        <v>#N/A</v>
      </c>
      <c r="Q5032">
        <f>583.37</f>
        <v>583.37</v>
      </c>
      <c r="R5032">
        <f>1646.29</f>
        <v>1646.29</v>
      </c>
      <c r="S5032">
        <f>1291.09</f>
        <v>1291.0899999999999</v>
      </c>
      <c r="T5032" t="e">
        <f>NA()</f>
        <v>#N/A</v>
      </c>
      <c r="U5032">
        <f>10761.01</f>
        <v>10761.01</v>
      </c>
      <c r="V5032" t="e">
        <f>NA()</f>
        <v>#N/A</v>
      </c>
    </row>
    <row r="5033" spans="1:22" x14ac:dyDescent="0.2">
      <c r="A5033" s="1">
        <v>38062</v>
      </c>
      <c r="B5033" t="e">
        <f>NA()</f>
        <v>#N/A</v>
      </c>
      <c r="C5033">
        <f>2260.51</f>
        <v>2260.5100000000002</v>
      </c>
      <c r="D5033">
        <f>2263.08</f>
        <v>2263.08</v>
      </c>
      <c r="E5033">
        <f>693.556</f>
        <v>693.55600000000004</v>
      </c>
      <c r="F5033">
        <f>1390.59</f>
        <v>1390.59</v>
      </c>
      <c r="G5033">
        <f>4215.796</f>
        <v>4215.7960000000003</v>
      </c>
      <c r="H5033">
        <f>1167.96</f>
        <v>1167.96</v>
      </c>
      <c r="I5033">
        <f>3906.93</f>
        <v>3906.93</v>
      </c>
      <c r="J5033">
        <f>1072.37</f>
        <v>1072.3699999999999</v>
      </c>
      <c r="K5033">
        <f>3339.29</f>
        <v>3339.29</v>
      </c>
      <c r="L5033">
        <f>705.49</f>
        <v>705.49</v>
      </c>
      <c r="M5033">
        <f>2938.95</f>
        <v>2938.95</v>
      </c>
      <c r="N5033">
        <f>115.936</f>
        <v>115.93600000000001</v>
      </c>
      <c r="O5033">
        <f>1137.44</f>
        <v>1137.44</v>
      </c>
      <c r="P5033" t="e">
        <f>NA()</f>
        <v>#N/A</v>
      </c>
      <c r="Q5033">
        <f>578.62</f>
        <v>578.62</v>
      </c>
      <c r="R5033">
        <f>1627.03</f>
        <v>1627.03</v>
      </c>
      <c r="S5033">
        <f>1267.62</f>
        <v>1267.6199999999999</v>
      </c>
      <c r="T5033" t="e">
        <f>NA()</f>
        <v>#N/A</v>
      </c>
      <c r="U5033">
        <f>10736.04</f>
        <v>10736.04</v>
      </c>
      <c r="V5033" t="e">
        <f>NA()</f>
        <v>#N/A</v>
      </c>
    </row>
    <row r="5034" spans="1:22" x14ac:dyDescent="0.2">
      <c r="A5034" s="1">
        <v>38061</v>
      </c>
      <c r="B5034" t="e">
        <f>NA()</f>
        <v>#N/A</v>
      </c>
      <c r="C5034">
        <f>2254.38</f>
        <v>2254.38</v>
      </c>
      <c r="D5034">
        <f>2254.92</f>
        <v>2254.92</v>
      </c>
      <c r="E5034">
        <f>692.993</f>
        <v>692.99300000000005</v>
      </c>
      <c r="F5034">
        <f>1367.14</f>
        <v>1367.14</v>
      </c>
      <c r="G5034">
        <f>4148.913</f>
        <v>4148.9129999999996</v>
      </c>
      <c r="H5034">
        <f>1150.12</f>
        <v>1150.1199999999999</v>
      </c>
      <c r="I5034">
        <f>3854.651</f>
        <v>3854.6509999999998</v>
      </c>
      <c r="J5034">
        <f>1064.68</f>
        <v>1064.68</v>
      </c>
      <c r="K5034">
        <f>3320.34</f>
        <v>3320.34</v>
      </c>
      <c r="L5034">
        <f>697.68</f>
        <v>697.68</v>
      </c>
      <c r="M5034">
        <f>2911.86</f>
        <v>2911.86</v>
      </c>
      <c r="N5034">
        <f>115.305</f>
        <v>115.30500000000001</v>
      </c>
      <c r="O5034">
        <f>1131.35</f>
        <v>1131.3499999999999</v>
      </c>
      <c r="P5034" t="e">
        <f>NA()</f>
        <v>#N/A</v>
      </c>
      <c r="Q5034">
        <f>575.29</f>
        <v>575.29</v>
      </c>
      <c r="R5034">
        <f>1617.91</f>
        <v>1617.91</v>
      </c>
      <c r="S5034">
        <f>1272.1</f>
        <v>1272.0999999999999</v>
      </c>
      <c r="T5034" t="e">
        <f>NA()</f>
        <v>#N/A</v>
      </c>
      <c r="U5034">
        <f>10657.04</f>
        <v>10657.04</v>
      </c>
      <c r="V5034" t="e">
        <f>NA()</f>
        <v>#N/A</v>
      </c>
    </row>
    <row r="5035" spans="1:22" x14ac:dyDescent="0.2">
      <c r="A5035" s="1">
        <v>38058</v>
      </c>
      <c r="B5035" t="e">
        <f>NA()</f>
        <v>#N/A</v>
      </c>
      <c r="C5035">
        <f>2269.73</f>
        <v>2269.73</v>
      </c>
      <c r="D5035">
        <f>2282.73</f>
        <v>2282.73</v>
      </c>
      <c r="E5035">
        <f>696.68</f>
        <v>696.68</v>
      </c>
      <c r="F5035">
        <f>1381.66</f>
        <v>1381.66</v>
      </c>
      <c r="G5035">
        <f>4193.076</f>
        <v>4193.076</v>
      </c>
      <c r="H5035">
        <f>1138.28</f>
        <v>1138.28</v>
      </c>
      <c r="I5035">
        <f>3929.164</f>
        <v>3929.1640000000002</v>
      </c>
      <c r="J5035">
        <f>1076.53</f>
        <v>1076.53</v>
      </c>
      <c r="K5035">
        <f>3368.52</f>
        <v>3368.52</v>
      </c>
      <c r="L5035">
        <f>704.82</f>
        <v>704.82</v>
      </c>
      <c r="M5035">
        <f>2945.09</f>
        <v>2945.09</v>
      </c>
      <c r="N5035">
        <f>117.207</f>
        <v>117.20699999999999</v>
      </c>
      <c r="O5035">
        <f>1153.51</f>
        <v>1153.51</v>
      </c>
      <c r="P5035" t="e">
        <f>NA()</f>
        <v>#N/A</v>
      </c>
      <c r="Q5035">
        <f>583.08</f>
        <v>583.08000000000004</v>
      </c>
      <c r="R5035">
        <f>1641.42</f>
        <v>1641.42</v>
      </c>
      <c r="S5035">
        <f>1252.25</f>
        <v>1252.25</v>
      </c>
      <c r="T5035" t="e">
        <f>NA()</f>
        <v>#N/A</v>
      </c>
      <c r="U5035">
        <f>10757.89</f>
        <v>10757.89</v>
      </c>
      <c r="V5035" t="e">
        <f>NA()</f>
        <v>#N/A</v>
      </c>
    </row>
    <row r="5036" spans="1:22" x14ac:dyDescent="0.2">
      <c r="A5036" s="1">
        <v>38057</v>
      </c>
      <c r="B5036" t="e">
        <f>NA()</f>
        <v>#N/A</v>
      </c>
      <c r="C5036">
        <f>2264.21</f>
        <v>2264.21</v>
      </c>
      <c r="D5036">
        <f>2271.42</f>
        <v>2271.42</v>
      </c>
      <c r="E5036">
        <f>700.398</f>
        <v>700.39800000000002</v>
      </c>
      <c r="F5036">
        <f>1375.66</f>
        <v>1375.66</v>
      </c>
      <c r="G5036">
        <f>4181.814</f>
        <v>4181.8140000000003</v>
      </c>
      <c r="H5036">
        <f>1150.88</f>
        <v>1150.8800000000001</v>
      </c>
      <c r="I5036">
        <f>3947.62</f>
        <v>3947.62</v>
      </c>
      <c r="J5036">
        <f>1067.06</f>
        <v>1067.06</v>
      </c>
      <c r="K5036">
        <f>3326.9</f>
        <v>3326.9</v>
      </c>
      <c r="L5036">
        <f>703.81</f>
        <v>703.81</v>
      </c>
      <c r="M5036">
        <f>2931.33</f>
        <v>2931.33</v>
      </c>
      <c r="N5036">
        <f>116.181</f>
        <v>116.181</v>
      </c>
      <c r="O5036">
        <f>1149.84</f>
        <v>1149.8399999999999</v>
      </c>
      <c r="P5036" t="e">
        <f>NA()</f>
        <v>#N/A</v>
      </c>
      <c r="Q5036">
        <f>576.79</f>
        <v>576.79</v>
      </c>
      <c r="R5036">
        <f>1621.21</f>
        <v>1621.21</v>
      </c>
      <c r="S5036">
        <f>1266.92</f>
        <v>1266.92</v>
      </c>
      <c r="T5036" t="e">
        <f>NA()</f>
        <v>#N/A</v>
      </c>
      <c r="U5036">
        <f>10720.93</f>
        <v>10720.93</v>
      </c>
      <c r="V5036" t="e">
        <f>NA()</f>
        <v>#N/A</v>
      </c>
    </row>
    <row r="5037" spans="1:22" x14ac:dyDescent="0.2">
      <c r="A5037" s="1">
        <v>38056</v>
      </c>
      <c r="B5037" t="e">
        <f>NA()</f>
        <v>#N/A</v>
      </c>
      <c r="C5037">
        <f>2308.73</f>
        <v>2308.73</v>
      </c>
      <c r="D5037">
        <f>2322.57</f>
        <v>2322.5700000000002</v>
      </c>
      <c r="E5037">
        <f>710.831</f>
        <v>710.83100000000002</v>
      </c>
      <c r="F5037">
        <f>1409.17</f>
        <v>1409.17</v>
      </c>
      <c r="G5037">
        <f>4284.023</f>
        <v>4284.0230000000001</v>
      </c>
      <c r="H5037">
        <f>1162.04</f>
        <v>1162.04</v>
      </c>
      <c r="I5037">
        <f>4049.079</f>
        <v>4049.0790000000002</v>
      </c>
      <c r="J5037">
        <f>1085.28</f>
        <v>1085.28</v>
      </c>
      <c r="K5037">
        <f>3376.53</f>
        <v>3376.53</v>
      </c>
      <c r="L5037">
        <f>717.36</f>
        <v>717.36</v>
      </c>
      <c r="M5037">
        <f>2981.52</f>
        <v>2981.52</v>
      </c>
      <c r="N5037">
        <f>118.772</f>
        <v>118.77200000000001</v>
      </c>
      <c r="O5037">
        <f>1181.54</f>
        <v>1181.54</v>
      </c>
      <c r="P5037" t="e">
        <f>NA()</f>
        <v>#N/A</v>
      </c>
      <c r="Q5037">
        <f>585.63</f>
        <v>585.63</v>
      </c>
      <c r="R5037">
        <f>1645.79</f>
        <v>1645.79</v>
      </c>
      <c r="S5037">
        <f>1276.03</f>
        <v>1276.03</v>
      </c>
      <c r="T5037" t="e">
        <f>NA()</f>
        <v>#N/A</v>
      </c>
      <c r="U5037">
        <f>10896.26</f>
        <v>10896.26</v>
      </c>
      <c r="V5037" t="e">
        <f>NA()</f>
        <v>#N/A</v>
      </c>
    </row>
    <row r="5038" spans="1:22" x14ac:dyDescent="0.2">
      <c r="A5038" s="1">
        <v>38055</v>
      </c>
      <c r="B5038" t="e">
        <f>NA()</f>
        <v>#N/A</v>
      </c>
      <c r="C5038">
        <f>2366.23</f>
        <v>2366.23</v>
      </c>
      <c r="D5038">
        <f>2315.73</f>
        <v>2315.73</v>
      </c>
      <c r="E5038">
        <f>724.124</f>
        <v>724.12400000000002</v>
      </c>
      <c r="F5038">
        <f>1439.5</f>
        <v>1439.5</v>
      </c>
      <c r="G5038">
        <f>4359.212</f>
        <v>4359.2120000000004</v>
      </c>
      <c r="H5038">
        <f>1165.93</f>
        <v>1165.93</v>
      </c>
      <c r="I5038">
        <f>4114.073</f>
        <v>4114.0730000000003</v>
      </c>
      <c r="J5038">
        <f>1099.74</f>
        <v>1099.74</v>
      </c>
      <c r="K5038">
        <f>3425.91</f>
        <v>3425.91</v>
      </c>
      <c r="L5038">
        <f>727.33</f>
        <v>727.33</v>
      </c>
      <c r="M5038">
        <f>3026.37</f>
        <v>3026.37</v>
      </c>
      <c r="N5038">
        <f>119.416</f>
        <v>119.416</v>
      </c>
      <c r="O5038">
        <f>1182.61</f>
        <v>1182.6099999999999</v>
      </c>
      <c r="P5038" t="e">
        <f>NA()</f>
        <v>#N/A</v>
      </c>
      <c r="Q5038">
        <f>593.85</f>
        <v>593.85</v>
      </c>
      <c r="R5038">
        <f>1670.07</f>
        <v>1670.07</v>
      </c>
      <c r="S5038">
        <f>1282.75</f>
        <v>1282.75</v>
      </c>
      <c r="T5038" t="e">
        <f>NA()</f>
        <v>#N/A</v>
      </c>
      <c r="U5038">
        <f>11000.11</f>
        <v>11000.11</v>
      </c>
      <c r="V5038" t="e">
        <f>NA()</f>
        <v>#N/A</v>
      </c>
    </row>
    <row r="5039" spans="1:22" x14ac:dyDescent="0.2">
      <c r="A5039" s="1">
        <v>38054</v>
      </c>
      <c r="B5039" t="e">
        <f>NA()</f>
        <v>#N/A</v>
      </c>
      <c r="C5039">
        <f>2365.15</f>
        <v>2365.15</v>
      </c>
      <c r="D5039">
        <f>2321.72</f>
        <v>2321.7199999999998</v>
      </c>
      <c r="E5039">
        <f>725.677</f>
        <v>725.67700000000002</v>
      </c>
      <c r="F5039">
        <f>1443.64</f>
        <v>1443.64</v>
      </c>
      <c r="G5039">
        <f>4386.606</f>
        <v>4386.6059999999998</v>
      </c>
      <c r="H5039">
        <f>1148.59</f>
        <v>1148.5899999999999</v>
      </c>
      <c r="I5039">
        <f>4138.996</f>
        <v>4138.9960000000001</v>
      </c>
      <c r="J5039">
        <f>1106.05</f>
        <v>1106.05</v>
      </c>
      <c r="K5039">
        <f>3445.77</f>
        <v>3445.77</v>
      </c>
      <c r="L5039">
        <f>730.06</f>
        <v>730.06</v>
      </c>
      <c r="M5039">
        <f>3038.47</f>
        <v>3038.47</v>
      </c>
      <c r="N5039">
        <f>120.765</f>
        <v>120.765</v>
      </c>
      <c r="O5039">
        <f>1196.56</f>
        <v>1196.56</v>
      </c>
      <c r="P5039" t="e">
        <f>NA()</f>
        <v>#N/A</v>
      </c>
      <c r="Q5039">
        <f>597.07</f>
        <v>597.07000000000005</v>
      </c>
      <c r="R5039">
        <f>1679.74</f>
        <v>1679.74</v>
      </c>
      <c r="S5039">
        <f>1280.13</f>
        <v>1280.1300000000001</v>
      </c>
      <c r="T5039" t="e">
        <f>NA()</f>
        <v>#N/A</v>
      </c>
      <c r="U5039">
        <f>11018.56</f>
        <v>11018.56</v>
      </c>
      <c r="V5039" t="e">
        <f>NA()</f>
        <v>#N/A</v>
      </c>
    </row>
    <row r="5040" spans="1:22" x14ac:dyDescent="0.2">
      <c r="A5040" s="1">
        <v>38051</v>
      </c>
      <c r="B5040" t="e">
        <f>NA()</f>
        <v>#N/A</v>
      </c>
      <c r="C5040">
        <f>2367.85</f>
        <v>2367.85</v>
      </c>
      <c r="D5040">
        <f>2318.32</f>
        <v>2318.3200000000002</v>
      </c>
      <c r="E5040">
        <f>728.141</f>
        <v>728.14099999999996</v>
      </c>
      <c r="F5040">
        <f>1444.23</f>
        <v>1444.23</v>
      </c>
      <c r="G5040">
        <f>4386.798</f>
        <v>4386.7979999999998</v>
      </c>
      <c r="H5040">
        <f>1159.18</f>
        <v>1159.18</v>
      </c>
      <c r="I5040">
        <f>4147.547</f>
        <v>4147.5469999999996</v>
      </c>
      <c r="J5040">
        <f>1111.77</f>
        <v>1111.77</v>
      </c>
      <c r="K5040">
        <f>3474.8</f>
        <v>3474.8</v>
      </c>
      <c r="L5040">
        <f>730.59</f>
        <v>730.59</v>
      </c>
      <c r="M5040">
        <f>3057.11</f>
        <v>3057.11</v>
      </c>
      <c r="N5040">
        <f>120.727</f>
        <v>120.727</v>
      </c>
      <c r="O5040">
        <f>1191.44</f>
        <v>1191.44</v>
      </c>
      <c r="P5040" t="e">
        <f>NA()</f>
        <v>#N/A</v>
      </c>
      <c r="Q5040">
        <f>601.02</f>
        <v>601.02</v>
      </c>
      <c r="R5040">
        <f>1693.76</f>
        <v>1693.76</v>
      </c>
      <c r="S5040">
        <f>1278.98</f>
        <v>1278.98</v>
      </c>
      <c r="T5040" t="e">
        <f>NA()</f>
        <v>#N/A</v>
      </c>
      <c r="U5040">
        <f>11096.55</f>
        <v>11096.55</v>
      </c>
      <c r="V5040" t="e">
        <f>NA()</f>
        <v>#N/A</v>
      </c>
    </row>
    <row r="5041" spans="1:22" x14ac:dyDescent="0.2">
      <c r="A5041" s="1">
        <v>38050</v>
      </c>
      <c r="B5041" t="e">
        <f>NA()</f>
        <v>#N/A</v>
      </c>
      <c r="C5041">
        <f>2340.39</f>
        <v>2340.39</v>
      </c>
      <c r="D5041">
        <f>2324.43</f>
        <v>2324.4299999999998</v>
      </c>
      <c r="E5041">
        <f>723.809</f>
        <v>723.80899999999997</v>
      </c>
      <c r="F5041">
        <f>1431.87</f>
        <v>1431.87</v>
      </c>
      <c r="G5041">
        <f>4337.435</f>
        <v>4337.4350000000004</v>
      </c>
      <c r="H5041">
        <f>1149.09</f>
        <v>1149.0899999999999</v>
      </c>
      <c r="I5041">
        <f>4076.622</f>
        <v>4076.6219999999998</v>
      </c>
      <c r="J5041">
        <f>1104.85</f>
        <v>1104.8499999999999</v>
      </c>
      <c r="K5041">
        <f>3468.52</f>
        <v>3468.52</v>
      </c>
      <c r="L5041">
        <f>722.96</f>
        <v>722.96</v>
      </c>
      <c r="M5041">
        <f>3034.48</f>
        <v>3034.48</v>
      </c>
      <c r="N5041">
        <f>121.048</f>
        <v>121.048</v>
      </c>
      <c r="O5041">
        <f>1196.14</f>
        <v>1196.1400000000001</v>
      </c>
      <c r="P5041" t="e">
        <f>NA()</f>
        <v>#N/A</v>
      </c>
      <c r="Q5041">
        <f>598.69</f>
        <v>598.69000000000005</v>
      </c>
      <c r="R5041">
        <f>1690.83</f>
        <v>1690.83</v>
      </c>
      <c r="S5041">
        <f>1267.29</f>
        <v>1267.29</v>
      </c>
      <c r="T5041" t="e">
        <f>NA()</f>
        <v>#N/A</v>
      </c>
      <c r="U5041">
        <f>11142.65</f>
        <v>11142.65</v>
      </c>
      <c r="V5041" t="e">
        <f>NA()</f>
        <v>#N/A</v>
      </c>
    </row>
    <row r="5042" spans="1:22" x14ac:dyDescent="0.2">
      <c r="A5042" s="1">
        <v>38049</v>
      </c>
      <c r="B5042" t="e">
        <f>NA()</f>
        <v>#N/A</v>
      </c>
      <c r="C5042">
        <f>2338.89</f>
        <v>2338.89</v>
      </c>
      <c r="D5042">
        <f>2307.13</f>
        <v>2307.13</v>
      </c>
      <c r="E5042">
        <f>719.269</f>
        <v>719.26900000000001</v>
      </c>
      <c r="F5042">
        <f>1420</f>
        <v>1420</v>
      </c>
      <c r="G5042">
        <f>4311.794</f>
        <v>4311.7939999999999</v>
      </c>
      <c r="H5042">
        <f>1158.69</f>
        <v>1158.69</v>
      </c>
      <c r="I5042">
        <f>4030.331</f>
        <v>4030.3310000000001</v>
      </c>
      <c r="J5042">
        <f>1105.19</f>
        <v>1105.19</v>
      </c>
      <c r="K5042">
        <f>3457.3</f>
        <v>3457.3</v>
      </c>
      <c r="L5042">
        <f>719.94</f>
        <v>719.94</v>
      </c>
      <c r="M5042">
        <f>3020.82</f>
        <v>3020.82</v>
      </c>
      <c r="N5042">
        <f>121.705</f>
        <v>121.705</v>
      </c>
      <c r="O5042">
        <f>1191.42</f>
        <v>1191.42</v>
      </c>
      <c r="P5042" t="e">
        <f>NA()</f>
        <v>#N/A</v>
      </c>
      <c r="Q5042">
        <f>598.52</f>
        <v>598.52</v>
      </c>
      <c r="R5042">
        <f>1685.17</f>
        <v>1685.17</v>
      </c>
      <c r="S5042">
        <f>1262.02</f>
        <v>1262.02</v>
      </c>
      <c r="T5042" t="e">
        <f>NA()</f>
        <v>#N/A</v>
      </c>
      <c r="U5042">
        <f>11178.5</f>
        <v>11178.5</v>
      </c>
      <c r="V5042" t="e">
        <f>NA()</f>
        <v>#N/A</v>
      </c>
    </row>
    <row r="5043" spans="1:22" x14ac:dyDescent="0.2">
      <c r="A5043" s="1">
        <v>38048</v>
      </c>
      <c r="B5043" t="e">
        <f>NA()</f>
        <v>#N/A</v>
      </c>
      <c r="C5043">
        <f>2371.69</f>
        <v>2371.69</v>
      </c>
      <c r="D5043">
        <f>2312.45</f>
        <v>2312.4499999999998</v>
      </c>
      <c r="E5043">
        <f>727.956</f>
        <v>727.95600000000002</v>
      </c>
      <c r="F5043">
        <f>1440.71</f>
        <v>1440.71</v>
      </c>
      <c r="G5043">
        <f>4380.155</f>
        <v>4380.1549999999997</v>
      </c>
      <c r="H5043">
        <f>1160.31</f>
        <v>1160.31</v>
      </c>
      <c r="I5043">
        <f>4096.994</f>
        <v>4096.9939999999997</v>
      </c>
      <c r="J5043">
        <f>1102.8</f>
        <v>1102.8</v>
      </c>
      <c r="K5043">
        <f>3450.67</f>
        <v>3450.67</v>
      </c>
      <c r="L5043">
        <f>725.81</f>
        <v>725.81</v>
      </c>
      <c r="M5043">
        <f>3035.32</f>
        <v>3035.32</v>
      </c>
      <c r="N5043">
        <f>121.326</f>
        <v>121.32599999999999</v>
      </c>
      <c r="O5043">
        <f>1194.2</f>
        <v>1194.2</v>
      </c>
      <c r="P5043" t="e">
        <f>NA()</f>
        <v>#N/A</v>
      </c>
      <c r="Q5043">
        <f>596.37</f>
        <v>596.37</v>
      </c>
      <c r="R5043">
        <f>1681.88</f>
        <v>1681.88</v>
      </c>
      <c r="S5043">
        <f>1262.86</f>
        <v>1262.8599999999999</v>
      </c>
      <c r="T5043" t="e">
        <f>NA()</f>
        <v>#N/A</v>
      </c>
      <c r="U5043">
        <f>11155.59</f>
        <v>11155.59</v>
      </c>
      <c r="V5043" t="e">
        <f>NA()</f>
        <v>#N/A</v>
      </c>
    </row>
    <row r="5044" spans="1:22" x14ac:dyDescent="0.2">
      <c r="A5044" s="1">
        <v>38047</v>
      </c>
      <c r="B5044" t="e">
        <f>NA()</f>
        <v>#N/A</v>
      </c>
      <c r="C5044">
        <f>2366.13</f>
        <v>2366.13</v>
      </c>
      <c r="D5044">
        <f>2310.86</f>
        <v>2310.86</v>
      </c>
      <c r="E5044">
        <f>723.217</f>
        <v>723.21699999999998</v>
      </c>
      <c r="F5044">
        <f>1467.36</f>
        <v>1467.36</v>
      </c>
      <c r="G5044">
        <f>4427.284</f>
        <v>4427.2839999999997</v>
      </c>
      <c r="H5044">
        <f>1168.56</f>
        <v>1168.56</v>
      </c>
      <c r="I5044">
        <f>4110.473</f>
        <v>4110.473</v>
      </c>
      <c r="J5044">
        <f>1107.79</f>
        <v>1107.79</v>
      </c>
      <c r="K5044">
        <f>3471.01</f>
        <v>3471.01</v>
      </c>
      <c r="L5044">
        <f>730.26</f>
        <v>730.26</v>
      </c>
      <c r="M5044">
        <f>3052.88</f>
        <v>3052.88</v>
      </c>
      <c r="N5044">
        <f>121.053</f>
        <v>121.053</v>
      </c>
      <c r="O5044">
        <f>1186.7</f>
        <v>1186.7</v>
      </c>
      <c r="P5044" t="e">
        <f>NA()</f>
        <v>#N/A</v>
      </c>
      <c r="Q5044">
        <f>600.01</f>
        <v>600.01</v>
      </c>
      <c r="R5044">
        <f>1691.9</f>
        <v>1691.9</v>
      </c>
      <c r="S5044">
        <f>1252.51</f>
        <v>1252.51</v>
      </c>
      <c r="T5044" t="e">
        <f>NA()</f>
        <v>#N/A</v>
      </c>
      <c r="U5044">
        <f>11035.65</f>
        <v>11035.65</v>
      </c>
      <c r="V5044" t="e">
        <f>NA()</f>
        <v>#N/A</v>
      </c>
    </row>
    <row r="5045" spans="1:22" x14ac:dyDescent="0.2">
      <c r="A5045" s="1">
        <v>38044</v>
      </c>
      <c r="B5045" t="e">
        <f>NA()</f>
        <v>#N/A</v>
      </c>
      <c r="C5045">
        <f>2319.47</f>
        <v>2319.4699999999998</v>
      </c>
      <c r="D5045">
        <f>2288.05</f>
        <v>2288.0500000000002</v>
      </c>
      <c r="E5045">
        <f>711.95</f>
        <v>711.95</v>
      </c>
      <c r="F5045">
        <f>1451.13</f>
        <v>1451.13</v>
      </c>
      <c r="G5045">
        <f>4351.593</f>
        <v>4351.5929999999998</v>
      </c>
      <c r="H5045">
        <f>1145.86</f>
        <v>1145.8599999999999</v>
      </c>
      <c r="I5045">
        <f>4072.231</f>
        <v>4072.2310000000002</v>
      </c>
      <c r="J5045">
        <f>1097.84</f>
        <v>1097.8399999999999</v>
      </c>
      <c r="K5045">
        <f>3439.1</f>
        <v>3439.1</v>
      </c>
      <c r="L5045">
        <f>722.91</f>
        <v>722.91</v>
      </c>
      <c r="M5045">
        <f>3017.68</f>
        <v>3017.68</v>
      </c>
      <c r="N5045">
        <f>119.312</f>
        <v>119.312</v>
      </c>
      <c r="O5045">
        <f>1174.62</f>
        <v>1174.6199999999999</v>
      </c>
      <c r="P5045" t="e">
        <f>NA()</f>
        <v>#N/A</v>
      </c>
      <c r="Q5045">
        <f>594.84</f>
        <v>594.84</v>
      </c>
      <c r="R5045">
        <f>1675.7</f>
        <v>1675.7</v>
      </c>
      <c r="S5045">
        <f>1224.09</f>
        <v>1224.0899999999999</v>
      </c>
      <c r="T5045" t="e">
        <f>NA()</f>
        <v>#N/A</v>
      </c>
      <c r="U5045">
        <f>10895.86</f>
        <v>10895.86</v>
      </c>
      <c r="V5045" t="e">
        <f>NA()</f>
        <v>#N/A</v>
      </c>
    </row>
    <row r="5046" spans="1:22" x14ac:dyDescent="0.2">
      <c r="A5046" s="1">
        <v>38043</v>
      </c>
      <c r="B5046" t="e">
        <f>NA()</f>
        <v>#N/A</v>
      </c>
      <c r="C5046">
        <f>2300.24</f>
        <v>2300.2399999999998</v>
      </c>
      <c r="D5046">
        <f>2300.11</f>
        <v>2300.11</v>
      </c>
      <c r="E5046">
        <f>704.231</f>
        <v>704.23099999999999</v>
      </c>
      <c r="F5046">
        <f>1458.15</f>
        <v>1458.15</v>
      </c>
      <c r="G5046">
        <f>4381.659</f>
        <v>4381.6589999999997</v>
      </c>
      <c r="H5046">
        <f>1124.74</f>
        <v>1124.74</v>
      </c>
      <c r="I5046">
        <f>4057.17</f>
        <v>4057.17</v>
      </c>
      <c r="J5046">
        <f>1096.37</f>
        <v>1096.3699999999999</v>
      </c>
      <c r="K5046">
        <f>3439.46</f>
        <v>3439.46</v>
      </c>
      <c r="L5046">
        <f>721.23</f>
        <v>721.23</v>
      </c>
      <c r="M5046">
        <f>3009.98</f>
        <v>3009.98</v>
      </c>
      <c r="N5046">
        <f>120.113</f>
        <v>120.113</v>
      </c>
      <c r="O5046">
        <f>1175.03</f>
        <v>1175.03</v>
      </c>
      <c r="P5046" t="e">
        <f>NA()</f>
        <v>#N/A</v>
      </c>
      <c r="Q5046">
        <f>592.04</f>
        <v>592.04</v>
      </c>
      <c r="R5046">
        <f>1675.63</f>
        <v>1675.63</v>
      </c>
      <c r="S5046">
        <f>1198.71</f>
        <v>1198.71</v>
      </c>
      <c r="T5046" t="e">
        <f>NA()</f>
        <v>#N/A</v>
      </c>
      <c r="U5046">
        <f>10821.72</f>
        <v>10821.72</v>
      </c>
      <c r="V5046" t="e">
        <f>NA()</f>
        <v>#N/A</v>
      </c>
    </row>
    <row r="5047" spans="1:22" x14ac:dyDescent="0.2">
      <c r="A5047" s="1">
        <v>38042</v>
      </c>
      <c r="B5047" t="e">
        <f>NA()</f>
        <v>#N/A</v>
      </c>
      <c r="C5047">
        <f>2292.06</f>
        <v>2292.06</v>
      </c>
      <c r="D5047">
        <f>2295.86</f>
        <v>2295.86</v>
      </c>
      <c r="E5047">
        <f>701.748</f>
        <v>701.74800000000005</v>
      </c>
      <c r="F5047">
        <f>1475.03</f>
        <v>1475.03</v>
      </c>
      <c r="G5047">
        <f>4425.064</f>
        <v>4425.0640000000003</v>
      </c>
      <c r="H5047">
        <f>1119.15</f>
        <v>1119.1500000000001</v>
      </c>
      <c r="I5047">
        <f>4087.818</f>
        <v>4087.8180000000002</v>
      </c>
      <c r="J5047">
        <f>1096.25</f>
        <v>1096.25</v>
      </c>
      <c r="K5047">
        <f>3433.86</f>
        <v>3433.86</v>
      </c>
      <c r="L5047">
        <f>723.56</f>
        <v>723.56</v>
      </c>
      <c r="M5047">
        <f>3013.66</f>
        <v>3013.66</v>
      </c>
      <c r="N5047">
        <f>120.766</f>
        <v>120.76600000000001</v>
      </c>
      <c r="O5047">
        <f>1173.98</f>
        <v>1173.98</v>
      </c>
      <c r="P5047" t="e">
        <f>NA()</f>
        <v>#N/A</v>
      </c>
      <c r="Q5047">
        <f>591.11</f>
        <v>591.11</v>
      </c>
      <c r="R5047">
        <f>1673.34</f>
        <v>1673.34</v>
      </c>
      <c r="S5047">
        <f>1183.3</f>
        <v>1183.3</v>
      </c>
      <c r="T5047" t="e">
        <f>NA()</f>
        <v>#N/A</v>
      </c>
      <c r="U5047">
        <f>10752.12</f>
        <v>10752.12</v>
      </c>
      <c r="V5047" t="e">
        <f>NA()</f>
        <v>#N/A</v>
      </c>
    </row>
    <row r="5048" spans="1:22" x14ac:dyDescent="0.2">
      <c r="A5048" s="1">
        <v>38041</v>
      </c>
      <c r="B5048" t="e">
        <f>NA()</f>
        <v>#N/A</v>
      </c>
      <c r="C5048">
        <f>2283.57</f>
        <v>2283.5700000000002</v>
      </c>
      <c r="D5048">
        <f>2288.05</f>
        <v>2288.0500000000002</v>
      </c>
      <c r="E5048">
        <f>700.975</f>
        <v>700.97500000000002</v>
      </c>
      <c r="F5048">
        <f>1475.67</f>
        <v>1475.67</v>
      </c>
      <c r="G5048">
        <f>4420.71</f>
        <v>4420.71</v>
      </c>
      <c r="H5048">
        <f>1123.63</f>
        <v>1123.6300000000001</v>
      </c>
      <c r="I5048">
        <f>4121.647</f>
        <v>4121.6469999999999</v>
      </c>
      <c r="J5048">
        <f>1093.51</f>
        <v>1093.51</v>
      </c>
      <c r="K5048">
        <f>3418.88</f>
        <v>3418.88</v>
      </c>
      <c r="L5048">
        <f>724.23</f>
        <v>724.23</v>
      </c>
      <c r="M5048">
        <f>3013.55</f>
        <v>3013.55</v>
      </c>
      <c r="N5048">
        <f>119.751</f>
        <v>119.751</v>
      </c>
      <c r="O5048">
        <f>1167.83</f>
        <v>1167.83</v>
      </c>
      <c r="P5048" t="e">
        <f>NA()</f>
        <v>#N/A</v>
      </c>
      <c r="Q5048">
        <f>590.65</f>
        <v>590.65</v>
      </c>
      <c r="R5048">
        <f>1666.42</f>
        <v>1666.42</v>
      </c>
      <c r="S5048">
        <f>1186.11</f>
        <v>1186.1099999999999</v>
      </c>
      <c r="T5048" t="e">
        <f>NA()</f>
        <v>#N/A</v>
      </c>
      <c r="U5048">
        <f>10714.5</f>
        <v>10714.5</v>
      </c>
      <c r="V5048" t="e">
        <f>NA()</f>
        <v>#N/A</v>
      </c>
    </row>
    <row r="5049" spans="1:22" x14ac:dyDescent="0.2">
      <c r="A5049" s="1">
        <v>38040</v>
      </c>
      <c r="B5049" t="e">
        <f>NA()</f>
        <v>#N/A</v>
      </c>
      <c r="C5049">
        <f>2289.47</f>
        <v>2289.4699999999998</v>
      </c>
      <c r="D5049">
        <f>2302.07</f>
        <v>2302.0700000000002</v>
      </c>
      <c r="E5049">
        <f>705.246</f>
        <v>705.24599999999998</v>
      </c>
      <c r="F5049">
        <f>1467.13</f>
        <v>1467.13</v>
      </c>
      <c r="G5049">
        <f>4401.872</f>
        <v>4401.8720000000003</v>
      </c>
      <c r="H5049">
        <f>1137.49</f>
        <v>1137.49</v>
      </c>
      <c r="I5049">
        <f>4140.315</f>
        <v>4140.3149999999996</v>
      </c>
      <c r="J5049">
        <f>1096.38</f>
        <v>1096.3800000000001</v>
      </c>
      <c r="K5049">
        <f>3424.02</f>
        <v>3424.02</v>
      </c>
      <c r="L5049">
        <f>723.5</f>
        <v>723.5</v>
      </c>
      <c r="M5049">
        <f>3021.21</f>
        <v>3021.21</v>
      </c>
      <c r="N5049">
        <f>120.821</f>
        <v>120.821</v>
      </c>
      <c r="O5049">
        <f>1179.65</f>
        <v>1179.6500000000001</v>
      </c>
      <c r="P5049" t="e">
        <f>NA()</f>
        <v>#N/A</v>
      </c>
      <c r="Q5049">
        <f>591.72</f>
        <v>591.72</v>
      </c>
      <c r="R5049">
        <f>1669.2</f>
        <v>1669.2</v>
      </c>
      <c r="S5049">
        <f>1207.5</f>
        <v>1207.5</v>
      </c>
      <c r="T5049" t="e">
        <f>NA()</f>
        <v>#N/A</v>
      </c>
      <c r="U5049">
        <f>10855.17</f>
        <v>10855.17</v>
      </c>
      <c r="V5049" t="e">
        <f>NA()</f>
        <v>#N/A</v>
      </c>
    </row>
    <row r="5050" spans="1:22" x14ac:dyDescent="0.2">
      <c r="A5050" s="1">
        <v>38037</v>
      </c>
      <c r="B5050" t="e">
        <f>NA()</f>
        <v>#N/A</v>
      </c>
      <c r="C5050">
        <f>2288.67</f>
        <v>2288.67</v>
      </c>
      <c r="D5050">
        <f>2297.35</f>
        <v>2297.35</v>
      </c>
      <c r="E5050">
        <f>708.364</f>
        <v>708.36400000000003</v>
      </c>
      <c r="F5050">
        <f>1468.14</f>
        <v>1468.14</v>
      </c>
      <c r="G5050">
        <f>4406.864</f>
        <v>4406.8639999999996</v>
      </c>
      <c r="H5050">
        <f>1122.78</f>
        <v>1122.78</v>
      </c>
      <c r="I5050">
        <f>4136.289</f>
        <v>4136.2889999999998</v>
      </c>
      <c r="J5050">
        <f>1091.13</f>
        <v>1091.1300000000001</v>
      </c>
      <c r="K5050">
        <f>3433.53</f>
        <v>3433.53</v>
      </c>
      <c r="L5050">
        <f>722.37</f>
        <v>722.37</v>
      </c>
      <c r="M5050">
        <f>3022.06</f>
        <v>3022.06</v>
      </c>
      <c r="N5050">
        <f>120.769</f>
        <v>120.76900000000001</v>
      </c>
      <c r="O5050">
        <f>1176.94</f>
        <v>1176.94</v>
      </c>
      <c r="P5050" t="e">
        <f>NA()</f>
        <v>#N/A</v>
      </c>
      <c r="Q5050">
        <f>591.76</f>
        <v>591.76</v>
      </c>
      <c r="R5050">
        <f>1673.71</f>
        <v>1673.71</v>
      </c>
      <c r="S5050">
        <f>1197.04</f>
        <v>1197.04</v>
      </c>
      <c r="T5050" t="e">
        <f>NA()</f>
        <v>#N/A</v>
      </c>
      <c r="U5050">
        <f>10983.91</f>
        <v>10983.91</v>
      </c>
      <c r="V5050" t="e">
        <f>NA()</f>
        <v>#N/A</v>
      </c>
    </row>
    <row r="5051" spans="1:22" x14ac:dyDescent="0.2">
      <c r="A5051" s="1">
        <v>38036</v>
      </c>
      <c r="B5051" t="e">
        <f>NA()</f>
        <v>#N/A</v>
      </c>
      <c r="C5051">
        <f>2310.01</f>
        <v>2310.0100000000002</v>
      </c>
      <c r="D5051">
        <f>2297.62</f>
        <v>2297.62</v>
      </c>
      <c r="E5051">
        <f>712.832</f>
        <v>712.83199999999999</v>
      </c>
      <c r="F5051">
        <f>1487.58</f>
        <v>1487.58</v>
      </c>
      <c r="G5051">
        <f>4451.913</f>
        <v>4451.9129999999996</v>
      </c>
      <c r="H5051">
        <f>1138.17</f>
        <v>1138.17</v>
      </c>
      <c r="I5051">
        <f>4204.601</f>
        <v>4204.6009999999997</v>
      </c>
      <c r="J5051">
        <f>1093.82</f>
        <v>1093.82</v>
      </c>
      <c r="K5051">
        <f>3442.12</f>
        <v>3442.12</v>
      </c>
      <c r="L5051">
        <f>728.17</f>
        <v>728.17</v>
      </c>
      <c r="M5051">
        <f>3046</f>
        <v>3046</v>
      </c>
      <c r="N5051">
        <f>121.08</f>
        <v>121.08</v>
      </c>
      <c r="O5051">
        <f>1184.08</f>
        <v>1184.08</v>
      </c>
      <c r="P5051" t="e">
        <f>NA()</f>
        <v>#N/A</v>
      </c>
      <c r="Q5051">
        <f>592.18</f>
        <v>592.17999999999995</v>
      </c>
      <c r="R5051">
        <f>1678.01</f>
        <v>1678.01</v>
      </c>
      <c r="S5051">
        <f>1197.88</f>
        <v>1197.8800000000001</v>
      </c>
      <c r="T5051" t="e">
        <f>NA()</f>
        <v>#N/A</v>
      </c>
      <c r="U5051">
        <f>11019.19</f>
        <v>11019.19</v>
      </c>
      <c r="V5051" t="e">
        <f>NA()</f>
        <v>#N/A</v>
      </c>
    </row>
    <row r="5052" spans="1:22" x14ac:dyDescent="0.2">
      <c r="A5052" s="1">
        <v>38035</v>
      </c>
      <c r="B5052" t="e">
        <f>NA()</f>
        <v>#N/A</v>
      </c>
      <c r="C5052">
        <f>2337.74</f>
        <v>2337.7399999999998</v>
      </c>
      <c r="D5052">
        <f>2260.64</f>
        <v>2260.64</v>
      </c>
      <c r="E5052">
        <f>719.722</f>
        <v>719.72199999999998</v>
      </c>
      <c r="F5052">
        <f>1475.44</f>
        <v>1475.44</v>
      </c>
      <c r="G5052">
        <f>4416.678</f>
        <v>4416.6779999999999</v>
      </c>
      <c r="H5052">
        <f>1144.16</f>
        <v>1144.1600000000001</v>
      </c>
      <c r="I5052">
        <f>4214.113</f>
        <v>4214.1130000000003</v>
      </c>
      <c r="J5052">
        <f>1096.3</f>
        <v>1096.3</v>
      </c>
      <c r="K5052">
        <f>3457.56</f>
        <v>3457.56</v>
      </c>
      <c r="L5052">
        <f>728.22</f>
        <v>728.22</v>
      </c>
      <c r="M5052">
        <f>3054.56</f>
        <v>3054.56</v>
      </c>
      <c r="N5052">
        <f>118.826</f>
        <v>118.82599999999999</v>
      </c>
      <c r="O5052">
        <f>1168.29</f>
        <v>1168.29</v>
      </c>
      <c r="P5052" t="e">
        <f>NA()</f>
        <v>#N/A</v>
      </c>
      <c r="Q5052">
        <f>592.7</f>
        <v>592.70000000000005</v>
      </c>
      <c r="R5052">
        <f>1684.9</f>
        <v>1684.9</v>
      </c>
      <c r="S5052">
        <f>1190.5</f>
        <v>1190.5</v>
      </c>
      <c r="T5052" t="e">
        <f>NA()</f>
        <v>#N/A</v>
      </c>
      <c r="U5052">
        <f>10935.49</f>
        <v>10935.49</v>
      </c>
      <c r="V5052" t="e">
        <f>NA()</f>
        <v>#N/A</v>
      </c>
    </row>
    <row r="5053" spans="1:22" x14ac:dyDescent="0.2">
      <c r="A5053" s="1">
        <v>38034</v>
      </c>
      <c r="B5053" t="e">
        <f>NA()</f>
        <v>#N/A</v>
      </c>
      <c r="C5053">
        <f>2339.28</f>
        <v>2339.2800000000002</v>
      </c>
      <c r="D5053">
        <f>2265.32</f>
        <v>2265.3200000000002</v>
      </c>
      <c r="E5053">
        <f>720.458</f>
        <v>720.45799999999997</v>
      </c>
      <c r="F5053">
        <f>1474</f>
        <v>1474</v>
      </c>
      <c r="G5053">
        <f>4417.339</f>
        <v>4417.3389999999999</v>
      </c>
      <c r="H5053">
        <f>1152.02</f>
        <v>1152.02</v>
      </c>
      <c r="I5053">
        <f>4209.826</f>
        <v>4209.826</v>
      </c>
      <c r="J5053">
        <f>1102.94</f>
        <v>1102.94</v>
      </c>
      <c r="K5053">
        <f>3472.93</f>
        <v>3472.93</v>
      </c>
      <c r="L5053">
        <f>729.53</f>
        <v>729.53</v>
      </c>
      <c r="M5053">
        <f>3063.58</f>
        <v>3063.58</v>
      </c>
      <c r="N5053">
        <f>118.185</f>
        <v>118.185</v>
      </c>
      <c r="O5053">
        <f>1168.24</f>
        <v>1168.24</v>
      </c>
      <c r="P5053" t="e">
        <f>NA()</f>
        <v>#N/A</v>
      </c>
      <c r="Q5053">
        <f>593.33</f>
        <v>593.33000000000004</v>
      </c>
      <c r="R5053">
        <f>1692.22</f>
        <v>1692.22</v>
      </c>
      <c r="S5053">
        <f>1192.35</f>
        <v>1192.3499999999999</v>
      </c>
      <c r="T5053" t="e">
        <f>NA()</f>
        <v>#N/A</v>
      </c>
      <c r="U5053">
        <f>10947.74</f>
        <v>10947.74</v>
      </c>
      <c r="V5053" t="e">
        <f>NA()</f>
        <v>#N/A</v>
      </c>
    </row>
    <row r="5054" spans="1:22" x14ac:dyDescent="0.2">
      <c r="A5054" s="1">
        <v>38033</v>
      </c>
      <c r="B5054" t="e">
        <f>NA()</f>
        <v>#N/A</v>
      </c>
      <c r="C5054">
        <f>2313.45</f>
        <v>2313.4499999999998</v>
      </c>
      <c r="D5054">
        <f>2238.22</f>
        <v>2238.2199999999998</v>
      </c>
      <c r="E5054">
        <f>714.282</f>
        <v>714.28200000000004</v>
      </c>
      <c r="F5054">
        <f>1455.11</f>
        <v>1455.11</v>
      </c>
      <c r="G5054">
        <f>4337.422</f>
        <v>4337.4219999999996</v>
      </c>
      <c r="H5054">
        <f>1151.01</f>
        <v>1151.01</v>
      </c>
      <c r="I5054">
        <f>4174.866</f>
        <v>4174.866</v>
      </c>
      <c r="J5054">
        <f>1095.33</f>
        <v>1095.33</v>
      </c>
      <c r="K5054">
        <f>3440.65</f>
        <v>3440.65</v>
      </c>
      <c r="L5054">
        <f>723.7</f>
        <v>723.7</v>
      </c>
      <c r="M5054">
        <f>3034.07</f>
        <v>3034.07</v>
      </c>
      <c r="N5054">
        <f>116.952</f>
        <v>116.952</v>
      </c>
      <c r="O5054">
        <f>1157.67</f>
        <v>1157.67</v>
      </c>
      <c r="P5054" t="e">
        <f>NA()</f>
        <v>#N/A</v>
      </c>
      <c r="Q5054" t="e">
        <f>NA()</f>
        <v>#N/A</v>
      </c>
      <c r="R5054" t="e">
        <f>NA()</f>
        <v>#N/A</v>
      </c>
      <c r="S5054">
        <f>1181.45</f>
        <v>1181.45</v>
      </c>
      <c r="T5054" t="e">
        <f>NA()</f>
        <v>#N/A</v>
      </c>
      <c r="U5054">
        <f>10847.91</f>
        <v>10847.91</v>
      </c>
      <c r="V5054" t="e">
        <f>NA()</f>
        <v>#N/A</v>
      </c>
    </row>
    <row r="5055" spans="1:22" x14ac:dyDescent="0.2">
      <c r="A5055" s="1">
        <v>38030</v>
      </c>
      <c r="B5055" t="e">
        <f>NA()</f>
        <v>#N/A</v>
      </c>
      <c r="C5055">
        <f>2318.66</f>
        <v>2318.66</v>
      </c>
      <c r="D5055">
        <f>2240.2</f>
        <v>2240.1999999999998</v>
      </c>
      <c r="E5055">
        <f>714.836</f>
        <v>714.83600000000001</v>
      </c>
      <c r="F5055">
        <f>1450.91</f>
        <v>1450.91</v>
      </c>
      <c r="G5055">
        <f>4339.114</f>
        <v>4339.1139999999996</v>
      </c>
      <c r="H5055">
        <f>1146.98</f>
        <v>1146.98</v>
      </c>
      <c r="I5055">
        <f>4158.144</f>
        <v>4158.1440000000002</v>
      </c>
      <c r="J5055">
        <f>1095.33</f>
        <v>1095.33</v>
      </c>
      <c r="K5055">
        <f>3440.65</f>
        <v>3440.65</v>
      </c>
      <c r="L5055">
        <f>722.36</f>
        <v>722.36</v>
      </c>
      <c r="M5055">
        <f>3031</f>
        <v>3031</v>
      </c>
      <c r="N5055">
        <f>116.227</f>
        <v>116.227</v>
      </c>
      <c r="O5055">
        <f>1154.39</f>
        <v>1154.3900000000001</v>
      </c>
      <c r="P5055" t="e">
        <f>NA()</f>
        <v>#N/A</v>
      </c>
      <c r="Q5055">
        <f>588.76</f>
        <v>588.76</v>
      </c>
      <c r="R5055">
        <f>1675.86</f>
        <v>1675.86</v>
      </c>
      <c r="S5055">
        <f>1176.94</f>
        <v>1176.94</v>
      </c>
      <c r="T5055" t="e">
        <f>NA()</f>
        <v>#N/A</v>
      </c>
      <c r="U5055">
        <f>10825.36</f>
        <v>10825.36</v>
      </c>
      <c r="V5055" t="e">
        <f>NA()</f>
        <v>#N/A</v>
      </c>
    </row>
    <row r="5056" spans="1:22" x14ac:dyDescent="0.2">
      <c r="A5056" s="1">
        <v>38029</v>
      </c>
      <c r="B5056" t="e">
        <f>NA()</f>
        <v>#N/A</v>
      </c>
      <c r="C5056">
        <f>2307.2</f>
        <v>2307.1999999999998</v>
      </c>
      <c r="D5056">
        <f>2222.79</f>
        <v>2222.79</v>
      </c>
      <c r="E5056">
        <f>710.535</f>
        <v>710.53499999999997</v>
      </c>
      <c r="F5056">
        <f>1439.58</f>
        <v>1439.58</v>
      </c>
      <c r="G5056">
        <f>4314.615</f>
        <v>4314.6149999999998</v>
      </c>
      <c r="H5056">
        <f>1143.37</f>
        <v>1143.3699999999999</v>
      </c>
      <c r="I5056">
        <f>4202.821</f>
        <v>4202.8209999999999</v>
      </c>
      <c r="J5056">
        <f>1098.93</f>
        <v>1098.93</v>
      </c>
      <c r="K5056">
        <f>3459.42</f>
        <v>3459.42</v>
      </c>
      <c r="L5056">
        <f>724.17</f>
        <v>724.17</v>
      </c>
      <c r="M5056">
        <f>3041.38</f>
        <v>3041.38</v>
      </c>
      <c r="N5056">
        <f>115.456</f>
        <v>115.456</v>
      </c>
      <c r="O5056">
        <f>1157.07</f>
        <v>1157.07</v>
      </c>
      <c r="P5056" t="e">
        <f>NA()</f>
        <v>#N/A</v>
      </c>
      <c r="Q5056">
        <f>591.33</f>
        <v>591.33000000000004</v>
      </c>
      <c r="R5056">
        <f>1684.92</f>
        <v>1684.92</v>
      </c>
      <c r="S5056">
        <f>1165.49</f>
        <v>1165.49</v>
      </c>
      <c r="T5056" t="e">
        <f>NA()</f>
        <v>#N/A</v>
      </c>
      <c r="U5056">
        <f>10818.19</f>
        <v>10818.19</v>
      </c>
      <c r="V5056" t="e">
        <f>NA()</f>
        <v>#N/A</v>
      </c>
    </row>
    <row r="5057" spans="1:22" x14ac:dyDescent="0.2">
      <c r="A5057" s="1">
        <v>38028</v>
      </c>
      <c r="B5057" t="e">
        <f>NA()</f>
        <v>#N/A</v>
      </c>
      <c r="C5057">
        <f>2269.86</f>
        <v>2269.86</v>
      </c>
      <c r="D5057">
        <f>2232.09</f>
        <v>2232.09</v>
      </c>
      <c r="E5057">
        <f>702.924</f>
        <v>702.92399999999998</v>
      </c>
      <c r="F5057">
        <f>1426</f>
        <v>1426</v>
      </c>
      <c r="G5057">
        <f>4280.306</f>
        <v>4280.3059999999996</v>
      </c>
      <c r="H5057">
        <f>1133.21</f>
        <v>1133.21</v>
      </c>
      <c r="I5057">
        <f>4154.627</f>
        <v>4154.6270000000004</v>
      </c>
      <c r="J5057">
        <f>1103.68</f>
        <v>1103.68</v>
      </c>
      <c r="K5057">
        <f>3476.24</f>
        <v>3476.24</v>
      </c>
      <c r="L5057">
        <f>721.19</f>
        <v>721.19</v>
      </c>
      <c r="M5057">
        <f>3036.17</f>
        <v>3036.17</v>
      </c>
      <c r="N5057">
        <f>115.643</f>
        <v>115.643</v>
      </c>
      <c r="O5057">
        <f>1157.12</f>
        <v>1157.1199999999999</v>
      </c>
      <c r="P5057" t="e">
        <f>NA()</f>
        <v>#N/A</v>
      </c>
      <c r="Q5057">
        <f>592.69</f>
        <v>592.69000000000005</v>
      </c>
      <c r="R5057">
        <f>1693.03</f>
        <v>1693.03</v>
      </c>
      <c r="S5057" t="e">
        <f>NA()</f>
        <v>#N/A</v>
      </c>
      <c r="T5057" t="e">
        <f>NA()</f>
        <v>#N/A</v>
      </c>
      <c r="U5057">
        <f>10828.72</f>
        <v>10828.72</v>
      </c>
      <c r="V5057" t="e">
        <f>NA()</f>
        <v>#N/A</v>
      </c>
    </row>
    <row r="5058" spans="1:22" x14ac:dyDescent="0.2">
      <c r="A5058" s="1">
        <v>38027</v>
      </c>
      <c r="B5058" t="e">
        <f>NA()</f>
        <v>#N/A</v>
      </c>
      <c r="C5058">
        <f>2254.33</f>
        <v>2254.33</v>
      </c>
      <c r="D5058">
        <f>2236.4</f>
        <v>2236.4</v>
      </c>
      <c r="E5058">
        <f>698.252</f>
        <v>698.25199999999995</v>
      </c>
      <c r="F5058">
        <f>1422.23</f>
        <v>1422.23</v>
      </c>
      <c r="G5058">
        <f>4281.118</f>
        <v>4281.1180000000004</v>
      </c>
      <c r="H5058">
        <f>1133.21</f>
        <v>1133.21</v>
      </c>
      <c r="I5058">
        <f>4150.509</f>
        <v>4150.509</v>
      </c>
      <c r="J5058">
        <f>1090.58</f>
        <v>1090.58</v>
      </c>
      <c r="K5058">
        <f>3438.73</f>
        <v>3438.73</v>
      </c>
      <c r="L5058">
        <f>717.28</f>
        <v>717.28</v>
      </c>
      <c r="M5058">
        <f>3017.18</f>
        <v>3017.18</v>
      </c>
      <c r="N5058">
        <f>115.091</f>
        <v>115.09099999999999</v>
      </c>
      <c r="O5058">
        <f>1155.97</f>
        <v>1155.97</v>
      </c>
      <c r="P5058" t="e">
        <f>NA()</f>
        <v>#N/A</v>
      </c>
      <c r="Q5058">
        <f>587.35</f>
        <v>587.35</v>
      </c>
      <c r="R5058">
        <f>1674.55</f>
        <v>1674.55</v>
      </c>
      <c r="S5058">
        <f>1159.09</f>
        <v>1159.0899999999999</v>
      </c>
      <c r="T5058" t="e">
        <f>NA()</f>
        <v>#N/A</v>
      </c>
      <c r="U5058">
        <f>10926.27</f>
        <v>10926.27</v>
      </c>
      <c r="V5058" t="e">
        <f>NA()</f>
        <v>#N/A</v>
      </c>
    </row>
    <row r="5059" spans="1:22" x14ac:dyDescent="0.2">
      <c r="A5059" s="1">
        <v>38026</v>
      </c>
      <c r="B5059" t="e">
        <f>NA()</f>
        <v>#N/A</v>
      </c>
      <c r="C5059">
        <f>2242.03</f>
        <v>2242.0300000000002</v>
      </c>
      <c r="D5059">
        <f>2251.36</f>
        <v>2251.36</v>
      </c>
      <c r="E5059">
        <f>696.769</f>
        <v>696.76900000000001</v>
      </c>
      <c r="F5059">
        <f>1424.71</f>
        <v>1424.71</v>
      </c>
      <c r="G5059">
        <f>4293.009</f>
        <v>4293.009</v>
      </c>
      <c r="H5059">
        <f>1127.9</f>
        <v>1127.9000000000001</v>
      </c>
      <c r="I5059">
        <f>4132.372</f>
        <v>4132.3720000000003</v>
      </c>
      <c r="J5059">
        <f>1087.22</f>
        <v>1087.22</v>
      </c>
      <c r="K5059">
        <f>3421.18</f>
        <v>3421.18</v>
      </c>
      <c r="L5059">
        <f>715.52</f>
        <v>715.52</v>
      </c>
      <c r="M5059">
        <f>3006.49</f>
        <v>3006.49</v>
      </c>
      <c r="N5059">
        <f>115.63</f>
        <v>115.63</v>
      </c>
      <c r="O5059">
        <f>1155.51</f>
        <v>1155.51</v>
      </c>
      <c r="P5059" t="e">
        <f>NA()</f>
        <v>#N/A</v>
      </c>
      <c r="Q5059">
        <f>585.28</f>
        <v>585.28</v>
      </c>
      <c r="R5059">
        <f>1666.16</f>
        <v>1666.16</v>
      </c>
      <c r="S5059">
        <f>1158.55</f>
        <v>1158.55</v>
      </c>
      <c r="T5059" t="e">
        <f>NA()</f>
        <v>#N/A</v>
      </c>
      <c r="U5059">
        <f>10885.8</f>
        <v>10885.8</v>
      </c>
      <c r="V5059" t="e">
        <f>NA()</f>
        <v>#N/A</v>
      </c>
    </row>
    <row r="5060" spans="1:22" x14ac:dyDescent="0.2">
      <c r="A5060" s="1">
        <v>38023</v>
      </c>
      <c r="B5060" t="e">
        <f>NA()</f>
        <v>#N/A</v>
      </c>
      <c r="C5060">
        <f>2213.89</f>
        <v>2213.89</v>
      </c>
      <c r="D5060">
        <f>2235.27</f>
        <v>2235.27</v>
      </c>
      <c r="E5060">
        <f>684.902</f>
        <v>684.90200000000004</v>
      </c>
      <c r="F5060">
        <f>1402.26</f>
        <v>1402.26</v>
      </c>
      <c r="G5060">
        <f>4240.346</f>
        <v>4240.3459999999995</v>
      </c>
      <c r="H5060">
        <f>1136.34</f>
        <v>1136.3399999999999</v>
      </c>
      <c r="I5060">
        <f>4097.882</f>
        <v>4097.8819999999996</v>
      </c>
      <c r="J5060">
        <f>1089.83</f>
        <v>1089.83</v>
      </c>
      <c r="K5060">
        <f>3429.68</f>
        <v>3429.68</v>
      </c>
      <c r="L5060">
        <f>711.9</f>
        <v>711.9</v>
      </c>
      <c r="M5060">
        <f>3001.03</f>
        <v>3001.03</v>
      </c>
      <c r="N5060">
        <f>114.212</f>
        <v>114.212</v>
      </c>
      <c r="O5060">
        <f>1140.49</f>
        <v>1140.49</v>
      </c>
      <c r="P5060" t="e">
        <f>NA()</f>
        <v>#N/A</v>
      </c>
      <c r="Q5060">
        <f>586.94</f>
        <v>586.94000000000005</v>
      </c>
      <c r="R5060">
        <f>1670.14</f>
        <v>1670.14</v>
      </c>
      <c r="S5060">
        <f>1163.14</f>
        <v>1163.1400000000001</v>
      </c>
      <c r="T5060" t="e">
        <f>NA()</f>
        <v>#N/A</v>
      </c>
      <c r="U5060">
        <f>10809.75</f>
        <v>10809.75</v>
      </c>
      <c r="V5060" t="e">
        <f>NA()</f>
        <v>#N/A</v>
      </c>
    </row>
    <row r="5061" spans="1:22" x14ac:dyDescent="0.2">
      <c r="A5061" s="1">
        <v>38022</v>
      </c>
      <c r="B5061" t="e">
        <f>NA()</f>
        <v>#N/A</v>
      </c>
      <c r="C5061">
        <f>2184.93</f>
        <v>2184.9299999999998</v>
      </c>
      <c r="D5061">
        <f>2225.94</f>
        <v>2225.94</v>
      </c>
      <c r="E5061">
        <f>675.397</f>
        <v>675.39700000000005</v>
      </c>
      <c r="F5061">
        <f>1381.02</f>
        <v>1381.02</v>
      </c>
      <c r="G5061">
        <f>4201.08</f>
        <v>4201.08</v>
      </c>
      <c r="H5061">
        <f>1140.25</f>
        <v>1140.25</v>
      </c>
      <c r="I5061">
        <f>4029.815</f>
        <v>4029.8150000000001</v>
      </c>
      <c r="J5061">
        <f>1082.58</f>
        <v>1082.58</v>
      </c>
      <c r="K5061">
        <f>3386.85</f>
        <v>3386.85</v>
      </c>
      <c r="L5061">
        <f>705.23</f>
        <v>705.23</v>
      </c>
      <c r="M5061">
        <f>2964.74</f>
        <v>2964.74</v>
      </c>
      <c r="N5061">
        <f>112.346</f>
        <v>112.346</v>
      </c>
      <c r="O5061">
        <f>1133.92</f>
        <v>1133.92</v>
      </c>
      <c r="P5061" t="e">
        <f>NA()</f>
        <v>#N/A</v>
      </c>
      <c r="Q5061">
        <f>581.1</f>
        <v>581.1</v>
      </c>
      <c r="R5061">
        <f>1649.35</f>
        <v>1649.35</v>
      </c>
      <c r="S5061">
        <f>1159.35</f>
        <v>1159.3499999999999</v>
      </c>
      <c r="T5061" t="e">
        <f>NA()</f>
        <v>#N/A</v>
      </c>
      <c r="U5061">
        <f>10651.1</f>
        <v>10651.1</v>
      </c>
      <c r="V5061" t="e">
        <f>NA()</f>
        <v>#N/A</v>
      </c>
    </row>
    <row r="5062" spans="1:22" x14ac:dyDescent="0.2">
      <c r="A5062" s="1">
        <v>38021</v>
      </c>
      <c r="B5062" t="e">
        <f>NA()</f>
        <v>#N/A</v>
      </c>
      <c r="C5062">
        <f>2209.24</f>
        <v>2209.2399999999998</v>
      </c>
      <c r="D5062">
        <f>2233.11</f>
        <v>2233.11</v>
      </c>
      <c r="E5062">
        <f>678.375</f>
        <v>678.375</v>
      </c>
      <c r="F5062">
        <f>1373.3</f>
        <v>1373.3</v>
      </c>
      <c r="G5062">
        <f>4189.339</f>
        <v>4189.3389999999999</v>
      </c>
      <c r="H5062">
        <f>1136.2</f>
        <v>1136.2</v>
      </c>
      <c r="I5062">
        <f>4004.436</f>
        <v>4004.4360000000001</v>
      </c>
      <c r="J5062">
        <f>1079.73</f>
        <v>1079.73</v>
      </c>
      <c r="K5062">
        <f>3382.25</f>
        <v>3382.25</v>
      </c>
      <c r="L5062">
        <f>703.64</f>
        <v>703.64</v>
      </c>
      <c r="M5062">
        <f>2956.28</f>
        <v>2956.28</v>
      </c>
      <c r="N5062">
        <f>112.414</f>
        <v>112.414</v>
      </c>
      <c r="O5062">
        <f>1136.54</f>
        <v>1136.54</v>
      </c>
      <c r="P5062" t="e">
        <f>NA()</f>
        <v>#N/A</v>
      </c>
      <c r="Q5062">
        <f>578.19</f>
        <v>578.19000000000005</v>
      </c>
      <c r="R5062">
        <f>1646.29</f>
        <v>1646.29</v>
      </c>
      <c r="S5062">
        <f>1156.1</f>
        <v>1156.0999999999999</v>
      </c>
      <c r="T5062" t="e">
        <f>NA()</f>
        <v>#N/A</v>
      </c>
      <c r="U5062">
        <f>10758.17</f>
        <v>10758.17</v>
      </c>
      <c r="V5062" t="e">
        <f>NA()</f>
        <v>#N/A</v>
      </c>
    </row>
    <row r="5063" spans="1:22" x14ac:dyDescent="0.2">
      <c r="A5063" s="1">
        <v>38020</v>
      </c>
      <c r="B5063" t="e">
        <f>NA()</f>
        <v>#N/A</v>
      </c>
      <c r="C5063">
        <f>2214.75</f>
        <v>2214.75</v>
      </c>
      <c r="D5063">
        <f>2229.1</f>
        <v>2229.1</v>
      </c>
      <c r="E5063">
        <f>680.727</f>
        <v>680.72699999999998</v>
      </c>
      <c r="F5063">
        <f>1382.85</f>
        <v>1382.85</v>
      </c>
      <c r="G5063">
        <f>4205.344</f>
        <v>4205.3440000000001</v>
      </c>
      <c r="H5063">
        <f>1149.95</f>
        <v>1149.95</v>
      </c>
      <c r="I5063">
        <f>4031.927</f>
        <v>4031.9270000000001</v>
      </c>
      <c r="J5063">
        <f>1083.35</f>
        <v>1083.3499999999999</v>
      </c>
      <c r="K5063">
        <f>3410.49</f>
        <v>3410.49</v>
      </c>
      <c r="L5063">
        <f>707.07</f>
        <v>707.07</v>
      </c>
      <c r="M5063">
        <f>2982.49</f>
        <v>2982.49</v>
      </c>
      <c r="N5063">
        <f>112.795</f>
        <v>112.795</v>
      </c>
      <c r="O5063">
        <f>1139.42</f>
        <v>1139.42</v>
      </c>
      <c r="P5063" t="e">
        <f>NA()</f>
        <v>#N/A</v>
      </c>
      <c r="Q5063">
        <f>577.99</f>
        <v>577.99</v>
      </c>
      <c r="R5063">
        <f>1659.92</f>
        <v>1659.92</v>
      </c>
      <c r="S5063">
        <f>1179.48</f>
        <v>1179.48</v>
      </c>
      <c r="T5063" t="e">
        <f>NA()</f>
        <v>#N/A</v>
      </c>
      <c r="U5063">
        <f>10817.77</f>
        <v>10817.77</v>
      </c>
      <c r="V5063" t="e">
        <f>NA()</f>
        <v>#N/A</v>
      </c>
    </row>
    <row r="5064" spans="1:22" x14ac:dyDescent="0.2">
      <c r="A5064" s="1">
        <v>38019</v>
      </c>
      <c r="B5064" t="e">
        <f>NA()</f>
        <v>#N/A</v>
      </c>
      <c r="C5064">
        <f>2187.28</f>
        <v>2187.2800000000002</v>
      </c>
      <c r="D5064">
        <f>2224.42</f>
        <v>2224.42</v>
      </c>
      <c r="E5064">
        <f>679.948</f>
        <v>679.94799999999998</v>
      </c>
      <c r="F5064">
        <f>1365.03</f>
        <v>1365.03</v>
      </c>
      <c r="G5064">
        <f>4154.252</f>
        <v>4154.2520000000004</v>
      </c>
      <c r="H5064">
        <f>1152.39</f>
        <v>1152.3900000000001</v>
      </c>
      <c r="I5064">
        <f>4015.365</f>
        <v>4015.3649999999998</v>
      </c>
      <c r="J5064">
        <f>1086.42</f>
        <v>1086.42</v>
      </c>
      <c r="K5064">
        <f>3409.15</f>
        <v>3409.15</v>
      </c>
      <c r="L5064">
        <f>704.41</f>
        <v>704.41</v>
      </c>
      <c r="M5064">
        <f>2976.47</f>
        <v>2976.47</v>
      </c>
      <c r="N5064">
        <f>112.922</f>
        <v>112.922</v>
      </c>
      <c r="O5064">
        <f>1142.9</f>
        <v>1142.9000000000001</v>
      </c>
      <c r="P5064" t="e">
        <f>NA()</f>
        <v>#N/A</v>
      </c>
      <c r="Q5064">
        <f>578.39</f>
        <v>578.39</v>
      </c>
      <c r="R5064">
        <f>1658.79</f>
        <v>1658.79</v>
      </c>
      <c r="S5064">
        <f>1186.47</f>
        <v>1186.47</v>
      </c>
      <c r="T5064" t="e">
        <f>NA()</f>
        <v>#N/A</v>
      </c>
      <c r="U5064">
        <f>10833.69</f>
        <v>10833.69</v>
      </c>
      <c r="V5064" t="e">
        <f>NA()</f>
        <v>#N/A</v>
      </c>
    </row>
    <row r="5065" spans="1:22" x14ac:dyDescent="0.2">
      <c r="A5065" s="1">
        <v>38016</v>
      </c>
      <c r="B5065" t="e">
        <f>NA()</f>
        <v>#N/A</v>
      </c>
      <c r="C5065">
        <f>2193.53</f>
        <v>2193.5300000000002</v>
      </c>
      <c r="D5065">
        <f>2229.15</f>
        <v>2229.15</v>
      </c>
      <c r="E5065">
        <f>680.556</f>
        <v>680.55600000000004</v>
      </c>
      <c r="F5065">
        <f>1370.97</f>
        <v>1370.97</v>
      </c>
      <c r="G5065">
        <f>4161.313</f>
        <v>4161.3130000000001</v>
      </c>
      <c r="H5065">
        <f>1142.16</f>
        <v>1142.1600000000001</v>
      </c>
      <c r="I5065">
        <f>3991.181</f>
        <v>3991.181</v>
      </c>
      <c r="J5065">
        <f>1083.58</f>
        <v>1083.58</v>
      </c>
      <c r="K5065">
        <f>3397.87</f>
        <v>3397.87</v>
      </c>
      <c r="L5065">
        <f>703.63</f>
        <v>703.63</v>
      </c>
      <c r="M5065">
        <f>2966.93</f>
        <v>2966.93</v>
      </c>
      <c r="N5065">
        <f>112.826</f>
        <v>112.82599999999999</v>
      </c>
      <c r="O5065">
        <f>1139.55</f>
        <v>1139.55</v>
      </c>
      <c r="P5065" t="e">
        <f>NA()</f>
        <v>#N/A</v>
      </c>
      <c r="Q5065">
        <f>576.91</f>
        <v>576.91</v>
      </c>
      <c r="R5065">
        <f>1652.73</f>
        <v>1652.73</v>
      </c>
      <c r="S5065">
        <f>1184.26</f>
        <v>1184.26</v>
      </c>
      <c r="T5065" t="e">
        <f>NA()</f>
        <v>#N/A</v>
      </c>
      <c r="U5065">
        <f>10849.25</f>
        <v>10849.25</v>
      </c>
      <c r="V5065" t="e">
        <f>NA()</f>
        <v>#N/A</v>
      </c>
    </row>
    <row r="5066" spans="1:22" x14ac:dyDescent="0.2">
      <c r="A5066" s="1">
        <v>38015</v>
      </c>
      <c r="B5066" t="e">
        <f>NA()</f>
        <v>#N/A</v>
      </c>
      <c r="C5066">
        <f>2200.59</f>
        <v>2200.59</v>
      </c>
      <c r="D5066">
        <f>2239.74</f>
        <v>2239.7399999999998</v>
      </c>
      <c r="E5066">
        <f>683.517</f>
        <v>683.51700000000005</v>
      </c>
      <c r="F5066">
        <f>1371.06</f>
        <v>1371.06</v>
      </c>
      <c r="G5066">
        <f>4163.232</f>
        <v>4163.232</v>
      </c>
      <c r="H5066">
        <f>1145.47</f>
        <v>1145.47</v>
      </c>
      <c r="I5066">
        <f>3997.521</f>
        <v>3997.5210000000002</v>
      </c>
      <c r="J5066">
        <f>1088.2</f>
        <v>1088.2</v>
      </c>
      <c r="K5066">
        <f>3405.89</f>
        <v>3405.89</v>
      </c>
      <c r="L5066">
        <f>705.44</f>
        <v>705.44</v>
      </c>
      <c r="M5066">
        <f>2971.39</f>
        <v>2971.39</v>
      </c>
      <c r="N5066">
        <f>112.957</f>
        <v>112.95699999999999</v>
      </c>
      <c r="O5066">
        <f>1145.85</f>
        <v>1145.8499999999999</v>
      </c>
      <c r="P5066" t="e">
        <f>NA()</f>
        <v>#N/A</v>
      </c>
      <c r="Q5066">
        <f>577.61</f>
        <v>577.61</v>
      </c>
      <c r="R5066">
        <f>1657.09</f>
        <v>1657.09</v>
      </c>
      <c r="S5066">
        <f>1187.23</f>
        <v>1187.23</v>
      </c>
      <c r="T5066" t="e">
        <f>NA()</f>
        <v>#N/A</v>
      </c>
      <c r="U5066">
        <f>10854.39</f>
        <v>10854.39</v>
      </c>
      <c r="V5066" t="e">
        <f>NA()</f>
        <v>#N/A</v>
      </c>
    </row>
    <row r="5067" spans="1:22" x14ac:dyDescent="0.2">
      <c r="A5067" s="1">
        <v>38014</v>
      </c>
      <c r="B5067" t="e">
        <f>NA()</f>
        <v>#N/A</v>
      </c>
      <c r="C5067">
        <f>2256.07</f>
        <v>2256.0700000000002</v>
      </c>
      <c r="D5067">
        <f>2268.47</f>
        <v>2268.4699999999998</v>
      </c>
      <c r="E5067">
        <f>697.824</f>
        <v>697.82399999999996</v>
      </c>
      <c r="F5067">
        <f>1397.54</f>
        <v>1397.54</v>
      </c>
      <c r="G5067">
        <f>4255.387</f>
        <v>4255.3869999999997</v>
      </c>
      <c r="H5067">
        <f>1151.93</f>
        <v>1151.93</v>
      </c>
      <c r="I5067">
        <f>4105.345</f>
        <v>4105.3450000000003</v>
      </c>
      <c r="J5067">
        <f>1081.54</f>
        <v>1081.54</v>
      </c>
      <c r="K5067">
        <f>3388.73</f>
        <v>3388.73</v>
      </c>
      <c r="L5067">
        <f>712.34</f>
        <v>712.34</v>
      </c>
      <c r="M5067">
        <f>2992.03</f>
        <v>2992.03</v>
      </c>
      <c r="N5067">
        <f>113.716</f>
        <v>113.71599999999999</v>
      </c>
      <c r="O5067">
        <f>1156.1</f>
        <v>1156.0999999999999</v>
      </c>
      <c r="P5067" t="e">
        <f>NA()</f>
        <v>#N/A</v>
      </c>
      <c r="Q5067">
        <f>573.14</f>
        <v>573.14</v>
      </c>
      <c r="R5067">
        <f>1648.44</f>
        <v>1648.44</v>
      </c>
      <c r="S5067">
        <f>1196.29</f>
        <v>1196.29</v>
      </c>
      <c r="T5067" t="e">
        <f>NA()</f>
        <v>#N/A</v>
      </c>
      <c r="U5067">
        <f>10862.12</f>
        <v>10862.12</v>
      </c>
      <c r="V5067" t="e">
        <f>NA()</f>
        <v>#N/A</v>
      </c>
    </row>
    <row r="5068" spans="1:22" x14ac:dyDescent="0.2">
      <c r="A5068" s="1">
        <v>38013</v>
      </c>
      <c r="B5068" t="e">
        <f>NA()</f>
        <v>#N/A</v>
      </c>
      <c r="C5068">
        <f>2266.78</f>
        <v>2266.7800000000002</v>
      </c>
      <c r="D5068">
        <f>2257.68</f>
        <v>2257.6799999999998</v>
      </c>
      <c r="E5068">
        <f>701.685</f>
        <v>701.68499999999995</v>
      </c>
      <c r="F5068">
        <f>1377.09</f>
        <v>1377.09</v>
      </c>
      <c r="G5068">
        <f>4214.022</f>
        <v>4214.0219999999999</v>
      </c>
      <c r="H5068">
        <f>1152.44</f>
        <v>1152.44</v>
      </c>
      <c r="I5068">
        <f>4105.683</f>
        <v>4105.683</v>
      </c>
      <c r="J5068">
        <f>1091.68</f>
        <v>1091.68</v>
      </c>
      <c r="K5068">
        <f>3434.64</f>
        <v>3434.64</v>
      </c>
      <c r="L5068">
        <f>713.21</f>
        <v>713.21</v>
      </c>
      <c r="M5068">
        <f>3015.02</f>
        <v>3015.02</v>
      </c>
      <c r="N5068">
        <f>113.099</f>
        <v>113.099</v>
      </c>
      <c r="O5068">
        <f>1150.48</f>
        <v>1150.48</v>
      </c>
      <c r="P5068" t="e">
        <f>NA()</f>
        <v>#N/A</v>
      </c>
      <c r="Q5068">
        <f>579.01</f>
        <v>579.01</v>
      </c>
      <c r="R5068">
        <f>1670.91</f>
        <v>1670.91</v>
      </c>
      <c r="S5068">
        <f>1202.18</f>
        <v>1202.18</v>
      </c>
      <c r="T5068" t="e">
        <f>NA()</f>
        <v>#N/A</v>
      </c>
      <c r="U5068">
        <f>11064.74</f>
        <v>11064.74</v>
      </c>
      <c r="V5068" t="e">
        <f>NA()</f>
        <v>#N/A</v>
      </c>
    </row>
    <row r="5069" spans="1:22" x14ac:dyDescent="0.2">
      <c r="A5069" s="1">
        <v>38012</v>
      </c>
      <c r="B5069" t="e">
        <f>NA()</f>
        <v>#N/A</v>
      </c>
      <c r="C5069">
        <f>2263.54</f>
        <v>2263.54</v>
      </c>
      <c r="D5069">
        <f>2256.91</f>
        <v>2256.91</v>
      </c>
      <c r="E5069">
        <f>699.184</f>
        <v>699.18399999999997</v>
      </c>
      <c r="F5069">
        <f>1381.93</f>
        <v>1381.93</v>
      </c>
      <c r="G5069">
        <f>4214.065</f>
        <v>4214.0649999999996</v>
      </c>
      <c r="H5069">
        <f>1150.44</f>
        <v>1150.44</v>
      </c>
      <c r="I5069">
        <f>4073.196</f>
        <v>4073.1959999999999</v>
      </c>
      <c r="J5069">
        <f>1099.1</f>
        <v>1099.0999999999999</v>
      </c>
      <c r="K5069">
        <f>3469.75</f>
        <v>3469.75</v>
      </c>
      <c r="L5069">
        <f>714.78</f>
        <v>714.78</v>
      </c>
      <c r="M5069">
        <f>3026.92</f>
        <v>3026.92</v>
      </c>
      <c r="N5069">
        <f>113.204</f>
        <v>113.20399999999999</v>
      </c>
      <c r="O5069">
        <f>1148.78</f>
        <v>1148.78</v>
      </c>
      <c r="P5069" t="e">
        <f>NA()</f>
        <v>#N/A</v>
      </c>
      <c r="Q5069">
        <f>580.24</f>
        <v>580.24</v>
      </c>
      <c r="R5069">
        <f>1687.44</f>
        <v>1687.44</v>
      </c>
      <c r="S5069">
        <f>1208.35</f>
        <v>1208.3499999999999</v>
      </c>
      <c r="T5069" t="e">
        <f>NA()</f>
        <v>#N/A</v>
      </c>
      <c r="U5069">
        <f>11117.15</f>
        <v>11117.15</v>
      </c>
      <c r="V5069" t="e">
        <f>NA()</f>
        <v>#N/A</v>
      </c>
    </row>
    <row r="5070" spans="1:22" x14ac:dyDescent="0.2">
      <c r="A5070" s="1">
        <v>38009</v>
      </c>
      <c r="B5070" t="e">
        <f>NA()</f>
        <v>#N/A</v>
      </c>
      <c r="C5070">
        <f>2258.5</f>
        <v>2258.5</v>
      </c>
      <c r="D5070">
        <f>2264.69</f>
        <v>2264.69</v>
      </c>
      <c r="E5070">
        <f>696.354</f>
        <v>696.35400000000004</v>
      </c>
      <c r="F5070">
        <f>1401.22</f>
        <v>1401.22</v>
      </c>
      <c r="G5070">
        <f>4259.566</f>
        <v>4259.5659999999998</v>
      </c>
      <c r="H5070">
        <f>1151.76</f>
        <v>1151.76</v>
      </c>
      <c r="I5070">
        <f>4128.093</f>
        <v>4128.0929999999998</v>
      </c>
      <c r="J5070">
        <f>1085.63</f>
        <v>1085.6300000000001</v>
      </c>
      <c r="K5070">
        <f>3427.96</f>
        <v>3427.96</v>
      </c>
      <c r="L5070">
        <f>715.47</f>
        <v>715.47</v>
      </c>
      <c r="M5070">
        <f>3020.82</f>
        <v>3020.82</v>
      </c>
      <c r="N5070">
        <f>112.91</f>
        <v>112.91</v>
      </c>
      <c r="O5070">
        <f>1151.06</f>
        <v>1151.06</v>
      </c>
      <c r="P5070" t="e">
        <f>NA()</f>
        <v>#N/A</v>
      </c>
      <c r="Q5070">
        <f>576.16</f>
        <v>576.16</v>
      </c>
      <c r="R5070">
        <f>1667.26</f>
        <v>1667.26</v>
      </c>
      <c r="S5070">
        <f>1217.49</f>
        <v>1217.49</v>
      </c>
      <c r="T5070" t="e">
        <f>NA()</f>
        <v>#N/A</v>
      </c>
      <c r="U5070">
        <f>11067.02</f>
        <v>11067.02</v>
      </c>
      <c r="V5070" t="e">
        <f>NA()</f>
        <v>#N/A</v>
      </c>
    </row>
    <row r="5071" spans="1:22" x14ac:dyDescent="0.2">
      <c r="A5071" s="1">
        <v>38008</v>
      </c>
      <c r="B5071" t="e">
        <f>NA()</f>
        <v>#N/A</v>
      </c>
      <c r="C5071">
        <f>2251.66</f>
        <v>2251.66</v>
      </c>
      <c r="D5071">
        <f>2272.8</f>
        <v>2272.8000000000002</v>
      </c>
      <c r="E5071">
        <f>692.989</f>
        <v>692.98900000000003</v>
      </c>
      <c r="F5071">
        <f>1410.14</f>
        <v>1410.14</v>
      </c>
      <c r="G5071">
        <f>4301.139</f>
        <v>4301.1390000000001</v>
      </c>
      <c r="H5071">
        <f>1143.18</f>
        <v>1143.18</v>
      </c>
      <c r="I5071">
        <f>4129.176</f>
        <v>4129.1760000000004</v>
      </c>
      <c r="J5071">
        <f>1091.12</f>
        <v>1091.1199999999999</v>
      </c>
      <c r="K5071">
        <f>3435.32</f>
        <v>3435.32</v>
      </c>
      <c r="L5071">
        <f>718</f>
        <v>718</v>
      </c>
      <c r="M5071">
        <f>3026.3</f>
        <v>3026.3</v>
      </c>
      <c r="N5071">
        <f>113.277</f>
        <v>113.277</v>
      </c>
      <c r="O5071">
        <f>1153.36</f>
        <v>1153.3599999999999</v>
      </c>
      <c r="P5071" t="e">
        <f>NA()</f>
        <v>#N/A</v>
      </c>
      <c r="Q5071">
        <f>575.96</f>
        <v>575.96</v>
      </c>
      <c r="R5071">
        <f>1670.73</f>
        <v>1670.73</v>
      </c>
      <c r="S5071">
        <f>1214.69</f>
        <v>1214.69</v>
      </c>
      <c r="T5071" t="e">
        <f>NA()</f>
        <v>#N/A</v>
      </c>
      <c r="U5071">
        <f>11001.63</f>
        <v>11001.63</v>
      </c>
      <c r="V5071" t="e">
        <f>NA()</f>
        <v>#N/A</v>
      </c>
    </row>
    <row r="5072" spans="1:22" x14ac:dyDescent="0.2">
      <c r="A5072" s="1">
        <v>38007</v>
      </c>
      <c r="B5072" t="e">
        <f>NA()</f>
        <v>#N/A</v>
      </c>
      <c r="C5072">
        <f>2242.66</f>
        <v>2242.66</v>
      </c>
      <c r="D5072">
        <f>2290.26</f>
        <v>2290.2600000000002</v>
      </c>
      <c r="E5072">
        <f>692.725</f>
        <v>692.72500000000002</v>
      </c>
      <c r="F5072">
        <f>1411.53</f>
        <v>1411.53</v>
      </c>
      <c r="G5072">
        <f>4308.171</f>
        <v>4308.1710000000003</v>
      </c>
      <c r="H5072">
        <f>1129.3</f>
        <v>1129.3</v>
      </c>
      <c r="I5072">
        <f>4082.034</f>
        <v>4082.0340000000001</v>
      </c>
      <c r="J5072">
        <f>1094.67</f>
        <v>1094.67</v>
      </c>
      <c r="K5072">
        <f>3446.44</f>
        <v>3446.44</v>
      </c>
      <c r="L5072">
        <f>717.12</f>
        <v>717.12</v>
      </c>
      <c r="M5072">
        <f>3022.88</f>
        <v>3022.88</v>
      </c>
      <c r="N5072">
        <f>113.754</f>
        <v>113.754</v>
      </c>
      <c r="O5072">
        <f>1153.15</f>
        <v>1153.1500000000001</v>
      </c>
      <c r="P5072" t="e">
        <f>NA()</f>
        <v>#N/A</v>
      </c>
      <c r="Q5072">
        <f>576.24</f>
        <v>576.24</v>
      </c>
      <c r="R5072">
        <f>1676.07</f>
        <v>1676.07</v>
      </c>
      <c r="S5072">
        <f>1210.05</f>
        <v>1210.05</v>
      </c>
      <c r="T5072" t="e">
        <f>NA()</f>
        <v>#N/A</v>
      </c>
      <c r="U5072">
        <f>10911.99</f>
        <v>10911.99</v>
      </c>
      <c r="V5072" t="e">
        <f>NA()</f>
        <v>#N/A</v>
      </c>
    </row>
    <row r="5073" spans="1:22" x14ac:dyDescent="0.2">
      <c r="A5073" s="1">
        <v>38006</v>
      </c>
      <c r="B5073" t="e">
        <f>NA()</f>
        <v>#N/A</v>
      </c>
      <c r="C5073">
        <f>2252.51</f>
        <v>2252.5100000000002</v>
      </c>
      <c r="D5073">
        <f>2283.71</f>
        <v>2283.71</v>
      </c>
      <c r="E5073">
        <f>695.075</f>
        <v>695.07500000000005</v>
      </c>
      <c r="F5073">
        <f>1397.87</f>
        <v>1397.87</v>
      </c>
      <c r="G5073">
        <f>4261.929</f>
        <v>4261.9290000000001</v>
      </c>
      <c r="H5073">
        <f>1129.98</f>
        <v>1129.98</v>
      </c>
      <c r="I5073">
        <f>4048.152</f>
        <v>4048.152</v>
      </c>
      <c r="J5073">
        <f>1082.92</f>
        <v>1082.92</v>
      </c>
      <c r="K5073">
        <f>3419.46</f>
        <v>3419.46</v>
      </c>
      <c r="L5073">
        <f>709.64</f>
        <v>709.64</v>
      </c>
      <c r="M5073">
        <f>3001.51</f>
        <v>3001.51</v>
      </c>
      <c r="N5073">
        <f>113.573</f>
        <v>113.57299999999999</v>
      </c>
      <c r="O5073">
        <f>1147.7</f>
        <v>1147.7</v>
      </c>
      <c r="P5073" t="e">
        <f>NA()</f>
        <v>#N/A</v>
      </c>
      <c r="Q5073">
        <f>571.42</f>
        <v>571.41999999999996</v>
      </c>
      <c r="R5073">
        <f>1663.03</f>
        <v>1663.03</v>
      </c>
      <c r="S5073">
        <f>1216.36</f>
        <v>1216.3599999999999</v>
      </c>
      <c r="T5073" t="e">
        <f>NA()</f>
        <v>#N/A</v>
      </c>
      <c r="U5073">
        <f>10971.3</f>
        <v>10971.3</v>
      </c>
      <c r="V5073" t="e">
        <f>NA()</f>
        <v>#N/A</v>
      </c>
    </row>
    <row r="5074" spans="1:22" x14ac:dyDescent="0.2">
      <c r="A5074" s="1">
        <v>38005</v>
      </c>
      <c r="B5074" t="e">
        <f>NA()</f>
        <v>#N/A</v>
      </c>
      <c r="C5074">
        <f>2227.37</f>
        <v>2227.37</v>
      </c>
      <c r="D5074">
        <f>2293.29</f>
        <v>2293.29</v>
      </c>
      <c r="E5074">
        <f>688.114</f>
        <v>688.11400000000003</v>
      </c>
      <c r="F5074">
        <f>1378.77</f>
        <v>1378.77</v>
      </c>
      <c r="G5074">
        <f>4204.823</f>
        <v>4204.8230000000003</v>
      </c>
      <c r="H5074">
        <f>1127.65</f>
        <v>1127.6500000000001</v>
      </c>
      <c r="I5074">
        <f>4013.507</f>
        <v>4013.5070000000001</v>
      </c>
      <c r="J5074">
        <f>1082.27</f>
        <v>1082.27</v>
      </c>
      <c r="K5074">
        <f>3422.52</f>
        <v>3422.52</v>
      </c>
      <c r="L5074">
        <f>704.36</f>
        <v>704.36</v>
      </c>
      <c r="M5074">
        <f>2989.59</f>
        <v>2989.59</v>
      </c>
      <c r="N5074">
        <f>114.192</f>
        <v>114.19199999999999</v>
      </c>
      <c r="O5074">
        <f>1153.08</f>
        <v>1153.08</v>
      </c>
      <c r="P5074" t="e">
        <f>NA()</f>
        <v>#N/A</v>
      </c>
      <c r="Q5074" t="e">
        <f>NA()</f>
        <v>#N/A</v>
      </c>
      <c r="R5074" t="e">
        <f>NA()</f>
        <v>#N/A</v>
      </c>
      <c r="S5074">
        <f>1212.11</f>
        <v>1212.1099999999999</v>
      </c>
      <c r="T5074" t="e">
        <f>NA()</f>
        <v>#N/A</v>
      </c>
      <c r="U5074">
        <f>10983.02</f>
        <v>10983.02</v>
      </c>
      <c r="V5074" t="e">
        <f>NA()</f>
        <v>#N/A</v>
      </c>
    </row>
    <row r="5075" spans="1:22" x14ac:dyDescent="0.2">
      <c r="A5075" s="1">
        <v>38002</v>
      </c>
      <c r="B5075" t="e">
        <f>NA()</f>
        <v>#N/A</v>
      </c>
      <c r="C5075">
        <f>2215.86</f>
        <v>2215.86</v>
      </c>
      <c r="D5075">
        <f>2277.93</f>
        <v>2277.9299999999998</v>
      </c>
      <c r="E5075">
        <f>682.59</f>
        <v>682.59</v>
      </c>
      <c r="F5075">
        <f>1385.18</f>
        <v>1385.18</v>
      </c>
      <c r="G5075">
        <f>4216.668</f>
        <v>4216.6679999999997</v>
      </c>
      <c r="H5075">
        <f>1124.16</f>
        <v>1124.1600000000001</v>
      </c>
      <c r="I5075">
        <f>4001.615</f>
        <v>4001.6149999999998</v>
      </c>
      <c r="J5075">
        <f>1082.27</f>
        <v>1082.27</v>
      </c>
      <c r="K5075">
        <f>3422.52</f>
        <v>3422.52</v>
      </c>
      <c r="L5075">
        <f>704.95</f>
        <v>704.95</v>
      </c>
      <c r="M5075">
        <f>2986.35</f>
        <v>2986.35</v>
      </c>
      <c r="N5075">
        <f>113.929</f>
        <v>113.929</v>
      </c>
      <c r="O5075">
        <f>1150.3</f>
        <v>1150.3</v>
      </c>
      <c r="P5075" t="e">
        <f>NA()</f>
        <v>#N/A</v>
      </c>
      <c r="Q5075">
        <f>573.52</f>
        <v>573.52</v>
      </c>
      <c r="R5075">
        <f>1664.57</f>
        <v>1664.57</v>
      </c>
      <c r="S5075">
        <f>1197.19</f>
        <v>1197.19</v>
      </c>
      <c r="T5075" t="e">
        <f>NA()</f>
        <v>#N/A</v>
      </c>
      <c r="U5075">
        <f>11009.46</f>
        <v>11009.46</v>
      </c>
      <c r="V5075" t="e">
        <f>NA()</f>
        <v>#N/A</v>
      </c>
    </row>
    <row r="5076" spans="1:22" x14ac:dyDescent="0.2">
      <c r="A5076" s="1">
        <v>38001</v>
      </c>
      <c r="B5076" t="e">
        <f>NA()</f>
        <v>#N/A</v>
      </c>
      <c r="C5076">
        <f>2210.34</f>
        <v>2210.34</v>
      </c>
      <c r="D5076">
        <f>2261.79</f>
        <v>2261.79</v>
      </c>
      <c r="E5076">
        <f>681.782</f>
        <v>681.78200000000004</v>
      </c>
      <c r="F5076">
        <f>1389.49</f>
        <v>1389.49</v>
      </c>
      <c r="G5076">
        <f>4235.207</f>
        <v>4235.2070000000003</v>
      </c>
      <c r="H5076">
        <f>1121.11</f>
        <v>1121.1099999999999</v>
      </c>
      <c r="I5076">
        <f>4030.545</f>
        <v>4030.5450000000001</v>
      </c>
      <c r="J5076">
        <f>1076.02</f>
        <v>1076.02</v>
      </c>
      <c r="K5076">
        <f>3398.19</f>
        <v>3398.19</v>
      </c>
      <c r="L5076">
        <f>706.97</f>
        <v>706.97</v>
      </c>
      <c r="M5076">
        <f>2978.14</f>
        <v>2978.14</v>
      </c>
      <c r="N5076">
        <f>113.067</f>
        <v>113.06699999999999</v>
      </c>
      <c r="O5076">
        <f>1139.04</f>
        <v>1139.04</v>
      </c>
      <c r="P5076" t="e">
        <f>NA()</f>
        <v>#N/A</v>
      </c>
      <c r="Q5076">
        <f>571.75</f>
        <v>571.75</v>
      </c>
      <c r="R5076">
        <f>1653.21</f>
        <v>1653.21</v>
      </c>
      <c r="S5076">
        <f>1180.9</f>
        <v>1180.9000000000001</v>
      </c>
      <c r="T5076" t="e">
        <f>NA()</f>
        <v>#N/A</v>
      </c>
      <c r="U5076">
        <f>10920.66</f>
        <v>10920.66</v>
      </c>
      <c r="V5076" t="e">
        <f>NA()</f>
        <v>#N/A</v>
      </c>
    </row>
    <row r="5077" spans="1:22" x14ac:dyDescent="0.2">
      <c r="A5077" s="1">
        <v>38000</v>
      </c>
      <c r="B5077" t="e">
        <f>NA()</f>
        <v>#N/A</v>
      </c>
      <c r="C5077">
        <f>2246.39</f>
        <v>2246.39</v>
      </c>
      <c r="D5077">
        <f>2264.49</f>
        <v>2264.4899999999998</v>
      </c>
      <c r="E5077">
        <f>689.773</f>
        <v>689.77300000000002</v>
      </c>
      <c r="F5077">
        <f>1400.82</f>
        <v>1400.82</v>
      </c>
      <c r="G5077">
        <f>4279.126</f>
        <v>4279.1260000000002</v>
      </c>
      <c r="H5077">
        <f>1127.02</f>
        <v>1127.02</v>
      </c>
      <c r="I5077">
        <f>4045.666</f>
        <v>4045.6660000000002</v>
      </c>
      <c r="J5077">
        <f>1075.32</f>
        <v>1075.32</v>
      </c>
      <c r="K5077">
        <f>3393.96</f>
        <v>3393.96</v>
      </c>
      <c r="L5077">
        <f>709.69</f>
        <v>709.69</v>
      </c>
      <c r="M5077">
        <f>2986.48</f>
        <v>2986.48</v>
      </c>
      <c r="N5077">
        <f>112.232</f>
        <v>112.232</v>
      </c>
      <c r="O5077">
        <f>1137.14</f>
        <v>1137.1400000000001</v>
      </c>
      <c r="P5077" t="e">
        <f>NA()</f>
        <v>#N/A</v>
      </c>
      <c r="Q5077">
        <f>569.25</f>
        <v>569.25</v>
      </c>
      <c r="R5077">
        <f>1650.96</f>
        <v>1650.96</v>
      </c>
      <c r="S5077">
        <f>1196.03</f>
        <v>1196.03</v>
      </c>
      <c r="T5077" t="e">
        <f>NA()</f>
        <v>#N/A</v>
      </c>
      <c r="U5077">
        <f>10943.4</f>
        <v>10943.4</v>
      </c>
      <c r="V5077" t="e">
        <f>NA()</f>
        <v>#N/A</v>
      </c>
    </row>
    <row r="5078" spans="1:22" x14ac:dyDescent="0.2">
      <c r="A5078" s="1">
        <v>37999</v>
      </c>
      <c r="B5078" t="e">
        <f>NA()</f>
        <v>#N/A</v>
      </c>
      <c r="C5078">
        <f>2266.38</f>
        <v>2266.38</v>
      </c>
      <c r="D5078">
        <f>2253.62</f>
        <v>2253.62</v>
      </c>
      <c r="E5078">
        <f>695.022</f>
        <v>695.02200000000005</v>
      </c>
      <c r="F5078">
        <f>1396.06</f>
        <v>1396.06</v>
      </c>
      <c r="G5078">
        <f>4282.969</f>
        <v>4282.9690000000001</v>
      </c>
      <c r="H5078">
        <f>1130.29</f>
        <v>1130.29</v>
      </c>
      <c r="I5078">
        <f>4036.823</f>
        <v>4036.8229999999999</v>
      </c>
      <c r="J5078">
        <f>1066</f>
        <v>1066</v>
      </c>
      <c r="K5078">
        <f>3366.13</f>
        <v>3366.13</v>
      </c>
      <c r="L5078">
        <f>708.36</f>
        <v>708.36</v>
      </c>
      <c r="M5078">
        <f>2972.06</f>
        <v>2972.06</v>
      </c>
      <c r="N5078">
        <f>110.847</f>
        <v>110.84699999999999</v>
      </c>
      <c r="O5078">
        <f>1127.86</f>
        <v>1127.8599999999999</v>
      </c>
      <c r="P5078" t="e">
        <f>NA()</f>
        <v>#N/A</v>
      </c>
      <c r="Q5078">
        <f>563.98</f>
        <v>563.98</v>
      </c>
      <c r="R5078">
        <f>1637.33</f>
        <v>1637.33</v>
      </c>
      <c r="S5078">
        <f>1196.53</f>
        <v>1196.53</v>
      </c>
      <c r="T5078" t="e">
        <f>NA()</f>
        <v>#N/A</v>
      </c>
      <c r="U5078">
        <f>10873.22</f>
        <v>10873.22</v>
      </c>
      <c r="V5078" t="e">
        <f>NA()</f>
        <v>#N/A</v>
      </c>
    </row>
    <row r="5079" spans="1:22" x14ac:dyDescent="0.2">
      <c r="A5079" s="1">
        <v>37998</v>
      </c>
      <c r="B5079" t="e">
        <f>NA()</f>
        <v>#N/A</v>
      </c>
      <c r="C5079">
        <f>2252.9</f>
        <v>2252.9</v>
      </c>
      <c r="D5079">
        <f>2258.43</f>
        <v>2258.4299999999998</v>
      </c>
      <c r="E5079">
        <f>694.129</f>
        <v>694.12900000000002</v>
      </c>
      <c r="F5079">
        <f>1408.55</f>
        <v>1408.55</v>
      </c>
      <c r="G5079">
        <f>4290.066</f>
        <v>4290.0659999999998</v>
      </c>
      <c r="H5079">
        <f>1133.34</f>
        <v>1133.3399999999999</v>
      </c>
      <c r="I5079">
        <f>4028.965</f>
        <v>4028.9650000000001</v>
      </c>
      <c r="J5079">
        <f>1071.87</f>
        <v>1071.8699999999999</v>
      </c>
      <c r="K5079">
        <f>3385.09</f>
        <v>3385.09</v>
      </c>
      <c r="L5079">
        <f>709.91</f>
        <v>709.91</v>
      </c>
      <c r="M5079">
        <f>2981.59</f>
        <v>2981.59</v>
      </c>
      <c r="N5079">
        <f>110.504</f>
        <v>110.504</v>
      </c>
      <c r="O5079">
        <f>1125.8</f>
        <v>1125.8</v>
      </c>
      <c r="P5079" t="e">
        <f>NA()</f>
        <v>#N/A</v>
      </c>
      <c r="Q5079">
        <f>565.77</f>
        <v>565.77</v>
      </c>
      <c r="R5079">
        <f>1646.03</f>
        <v>1646.03</v>
      </c>
      <c r="S5079" t="e">
        <f>NA()</f>
        <v>#N/A</v>
      </c>
      <c r="T5079" t="e">
        <f>NA()</f>
        <v>#N/A</v>
      </c>
      <c r="U5079">
        <f>10712.59</f>
        <v>10712.59</v>
      </c>
      <c r="V5079" t="e">
        <f>NA()</f>
        <v>#N/A</v>
      </c>
    </row>
    <row r="5080" spans="1:22" x14ac:dyDescent="0.2">
      <c r="A5080" s="1">
        <v>37995</v>
      </c>
      <c r="B5080" t="e">
        <f>NA()</f>
        <v>#N/A</v>
      </c>
      <c r="C5080">
        <f>2263.04</f>
        <v>2263.04</v>
      </c>
      <c r="D5080">
        <f>2266.89</f>
        <v>2266.89</v>
      </c>
      <c r="E5080">
        <f>695.186</f>
        <v>695.18600000000004</v>
      </c>
      <c r="F5080">
        <f>1411.71</f>
        <v>1411.71</v>
      </c>
      <c r="G5080">
        <f>4298.155</f>
        <v>4298.1549999999997</v>
      </c>
      <c r="H5080">
        <f>1133.98</f>
        <v>1133.98</v>
      </c>
      <c r="I5080">
        <f>4054.365</f>
        <v>4054.3649999999998</v>
      </c>
      <c r="J5080">
        <f>1068.52</f>
        <v>1068.52</v>
      </c>
      <c r="K5080">
        <f>3368.57</f>
        <v>3368.57</v>
      </c>
      <c r="L5080">
        <f>709.5</f>
        <v>709.5</v>
      </c>
      <c r="M5080">
        <f>2978.02</f>
        <v>2978.02</v>
      </c>
      <c r="N5080">
        <f>110.535</f>
        <v>110.535</v>
      </c>
      <c r="O5080">
        <f>1127.31</f>
        <v>1127.31</v>
      </c>
      <c r="P5080" t="e">
        <f>NA()</f>
        <v>#N/A</v>
      </c>
      <c r="Q5080">
        <f>565.25</f>
        <v>565.25</v>
      </c>
      <c r="R5080">
        <f>1638.14</f>
        <v>1638.14</v>
      </c>
      <c r="S5080">
        <f>1204.88</f>
        <v>1204.8800000000001</v>
      </c>
      <c r="T5080" t="e">
        <f>NA()</f>
        <v>#N/A</v>
      </c>
      <c r="U5080">
        <f>10577.85</f>
        <v>10577.85</v>
      </c>
      <c r="V5080" t="e">
        <f>NA()</f>
        <v>#N/A</v>
      </c>
    </row>
    <row r="5081" spans="1:22" x14ac:dyDescent="0.2">
      <c r="A5081" s="1">
        <v>37994</v>
      </c>
      <c r="B5081" t="e">
        <f>NA()</f>
        <v>#N/A</v>
      </c>
      <c r="C5081">
        <f>2253.21</f>
        <v>2253.21</v>
      </c>
      <c r="D5081">
        <f>2281.04</f>
        <v>2281.04</v>
      </c>
      <c r="E5081">
        <f>685.958</f>
        <v>685.95799999999997</v>
      </c>
      <c r="F5081">
        <f>1406.66</f>
        <v>1406.66</v>
      </c>
      <c r="G5081">
        <f>4280.726</f>
        <v>4280.7259999999997</v>
      </c>
      <c r="H5081">
        <f>1134.38</f>
        <v>1134.3800000000001</v>
      </c>
      <c r="I5081">
        <f>4036.453</f>
        <v>4036.453</v>
      </c>
      <c r="J5081">
        <f>1079.9</f>
        <v>1079.9000000000001</v>
      </c>
      <c r="K5081">
        <f>3398.31</f>
        <v>3398.31</v>
      </c>
      <c r="L5081">
        <f>711.93</f>
        <v>711.93</v>
      </c>
      <c r="M5081">
        <f>2985.49</f>
        <v>2985.49</v>
      </c>
      <c r="N5081">
        <f>110.486</f>
        <v>110.486</v>
      </c>
      <c r="O5081">
        <f>1132.86</f>
        <v>1132.8599999999999</v>
      </c>
      <c r="P5081" t="e">
        <f>NA()</f>
        <v>#N/A</v>
      </c>
      <c r="Q5081">
        <f>569.93</f>
        <v>569.92999999999995</v>
      </c>
      <c r="R5081">
        <f>1652.83</f>
        <v>1652.83</v>
      </c>
      <c r="S5081">
        <f>1194.86</f>
        <v>1194.8599999999999</v>
      </c>
      <c r="T5081" t="e">
        <f>NA()</f>
        <v>#N/A</v>
      </c>
      <c r="U5081">
        <f>10507.74</f>
        <v>10507.74</v>
      </c>
      <c r="V5081" t="e">
        <f>NA()</f>
        <v>#N/A</v>
      </c>
    </row>
    <row r="5082" spans="1:22" x14ac:dyDescent="0.2">
      <c r="A5082" s="1">
        <v>37993</v>
      </c>
      <c r="B5082" t="e">
        <f>NA()</f>
        <v>#N/A</v>
      </c>
      <c r="C5082">
        <f>2255.33</f>
        <v>2255.33</v>
      </c>
      <c r="D5082">
        <f>2270.28</f>
        <v>2270.2800000000002</v>
      </c>
      <c r="E5082">
        <f>682.965</f>
        <v>682.96500000000003</v>
      </c>
      <c r="F5082">
        <f>1393.29</f>
        <v>1393.29</v>
      </c>
      <c r="G5082">
        <f>4239.632</f>
        <v>4239.6319999999996</v>
      </c>
      <c r="H5082">
        <f>1136.63</f>
        <v>1136.6300000000001</v>
      </c>
      <c r="I5082">
        <f>3980.82</f>
        <v>3980.82</v>
      </c>
      <c r="J5082">
        <f>1076.63</f>
        <v>1076.6300000000001</v>
      </c>
      <c r="K5082">
        <f>3381.03</f>
        <v>3381.03</v>
      </c>
      <c r="L5082">
        <f>708.93</f>
        <v>708.93</v>
      </c>
      <c r="M5082">
        <f>2964.72</f>
        <v>2964.72</v>
      </c>
      <c r="N5082">
        <f>109.93</f>
        <v>109.93</v>
      </c>
      <c r="O5082">
        <f>1122.59</f>
        <v>1122.5899999999999</v>
      </c>
      <c r="P5082" t="e">
        <f>NA()</f>
        <v>#N/A</v>
      </c>
      <c r="Q5082">
        <f>570.14</f>
        <v>570.14</v>
      </c>
      <c r="R5082">
        <f>1644.6</f>
        <v>1644.6</v>
      </c>
      <c r="S5082">
        <f>1188.84</f>
        <v>1188.8399999999999</v>
      </c>
      <c r="T5082" t="e">
        <f>NA()</f>
        <v>#N/A</v>
      </c>
      <c r="U5082">
        <f>10513.64</f>
        <v>10513.64</v>
      </c>
      <c r="V5082" t="e">
        <f>NA()</f>
        <v>#N/A</v>
      </c>
    </row>
    <row r="5083" spans="1:22" x14ac:dyDescent="0.2">
      <c r="A5083" s="1">
        <v>37992</v>
      </c>
      <c r="B5083" t="e">
        <f>NA()</f>
        <v>#N/A</v>
      </c>
      <c r="C5083">
        <f>2275.62</f>
        <v>2275.62</v>
      </c>
      <c r="D5083">
        <f>2286.28</f>
        <v>2286.2800000000002</v>
      </c>
      <c r="E5083">
        <f>684.602</f>
        <v>684.60199999999998</v>
      </c>
      <c r="F5083">
        <f>1394.61</f>
        <v>1394.61</v>
      </c>
      <c r="G5083">
        <f>4271.238</f>
        <v>4271.2380000000003</v>
      </c>
      <c r="H5083">
        <f>1141.76</f>
        <v>1141.76</v>
      </c>
      <c r="I5083">
        <f>4020.649</f>
        <v>4020.6489999999999</v>
      </c>
      <c r="J5083">
        <f>1076.33</f>
        <v>1076.33</v>
      </c>
      <c r="K5083">
        <f>3373.05</f>
        <v>3373.05</v>
      </c>
      <c r="L5083">
        <f>713.47</f>
        <v>713.47</v>
      </c>
      <c r="M5083">
        <f>2970.55</f>
        <v>2970.55</v>
      </c>
      <c r="N5083">
        <f>110.283</f>
        <v>110.283</v>
      </c>
      <c r="O5083">
        <f>1127.61</f>
        <v>1127.6099999999999</v>
      </c>
      <c r="P5083" t="e">
        <f>NA()</f>
        <v>#N/A</v>
      </c>
      <c r="Q5083">
        <f>570.58</f>
        <v>570.58000000000004</v>
      </c>
      <c r="R5083">
        <f>1640.31</f>
        <v>1640.31</v>
      </c>
      <c r="S5083">
        <f>1193.26</f>
        <v>1193.26</v>
      </c>
      <c r="T5083" t="e">
        <f>NA()</f>
        <v>#N/A</v>
      </c>
      <c r="U5083">
        <f>10499.14</f>
        <v>10499.14</v>
      </c>
      <c r="V5083" t="e">
        <f>NA()</f>
        <v>#N/A</v>
      </c>
    </row>
    <row r="5084" spans="1:22" x14ac:dyDescent="0.2">
      <c r="A5084" s="1">
        <v>37991</v>
      </c>
      <c r="B5084" t="e">
        <f>NA()</f>
        <v>#N/A</v>
      </c>
      <c r="C5084">
        <f>2288.33</f>
        <v>2288.33</v>
      </c>
      <c r="D5084">
        <f>2290.36</f>
        <v>2290.36</v>
      </c>
      <c r="E5084">
        <f>686.583</f>
        <v>686.58299999999997</v>
      </c>
      <c r="F5084">
        <f>1384.6</f>
        <v>1384.6</v>
      </c>
      <c r="G5084">
        <f>4243.56</f>
        <v>4243.5600000000004</v>
      </c>
      <c r="H5084">
        <f>1137.15</f>
        <v>1137.1500000000001</v>
      </c>
      <c r="I5084">
        <f>4000.371</f>
        <v>4000.3710000000001</v>
      </c>
      <c r="J5084">
        <f>1077.88</f>
        <v>1077.8800000000001</v>
      </c>
      <c r="K5084">
        <f>3369.26</f>
        <v>3369.26</v>
      </c>
      <c r="L5084">
        <f>711.19</f>
        <v>711.19</v>
      </c>
      <c r="M5084">
        <f>2963.6</f>
        <v>2963.6</v>
      </c>
      <c r="N5084">
        <f>109.953</f>
        <v>109.953</v>
      </c>
      <c r="O5084">
        <f>1128.54</f>
        <v>1128.54</v>
      </c>
      <c r="P5084" t="e">
        <f>NA()</f>
        <v>#N/A</v>
      </c>
      <c r="Q5084">
        <f>570.59</f>
        <v>570.59</v>
      </c>
      <c r="R5084">
        <f>1638.1</f>
        <v>1638.1</v>
      </c>
      <c r="S5084">
        <f>1197.2</f>
        <v>1197.2</v>
      </c>
      <c r="T5084" t="e">
        <f>NA()</f>
        <v>#N/A</v>
      </c>
      <c r="U5084">
        <f>10394.39</f>
        <v>10394.39</v>
      </c>
      <c r="V5084" t="e">
        <f>NA()</f>
        <v>#N/A</v>
      </c>
    </row>
    <row r="5085" spans="1:22" x14ac:dyDescent="0.2">
      <c r="A5085" s="1">
        <v>37988</v>
      </c>
      <c r="B5085" t="e">
        <f>NA()</f>
        <v>#N/A</v>
      </c>
      <c r="C5085">
        <f>2220.92</f>
        <v>2220.92</v>
      </c>
      <c r="D5085">
        <f>2288.8</f>
        <v>2288.8000000000002</v>
      </c>
      <c r="E5085">
        <f>669.176</f>
        <v>669.17600000000004</v>
      </c>
      <c r="F5085">
        <f>1372.51</f>
        <v>1372.51</v>
      </c>
      <c r="G5085">
        <f>4200.917</f>
        <v>4200.9170000000004</v>
      </c>
      <c r="H5085">
        <f>1112.28</f>
        <v>1112.28</v>
      </c>
      <c r="I5085">
        <f>3950.286</f>
        <v>3950.2860000000001</v>
      </c>
      <c r="J5085">
        <f>1066.77</f>
        <v>1066.77</v>
      </c>
      <c r="K5085">
        <f>3328.3</f>
        <v>3328.3</v>
      </c>
      <c r="L5085">
        <f>704.07</f>
        <v>704.07</v>
      </c>
      <c r="M5085">
        <f>2924.62</f>
        <v>2924.62</v>
      </c>
      <c r="N5085">
        <f>109.813</f>
        <v>109.813</v>
      </c>
      <c r="O5085">
        <f>1123.24</f>
        <v>1123.24</v>
      </c>
      <c r="P5085" t="e">
        <f>NA()</f>
        <v>#N/A</v>
      </c>
      <c r="Q5085">
        <f>566.03</f>
        <v>566.03</v>
      </c>
      <c r="R5085">
        <f>1618.05</f>
        <v>1618.05</v>
      </c>
      <c r="S5085" t="e">
        <f>NA()</f>
        <v>#N/A</v>
      </c>
      <c r="T5085" t="e">
        <f>NA()</f>
        <v>#N/A</v>
      </c>
      <c r="U5085">
        <f>10510.88</f>
        <v>10510.88</v>
      </c>
      <c r="V5085" t="e">
        <f>NA()</f>
        <v>#N/A</v>
      </c>
    </row>
    <row r="5086" spans="1:22" x14ac:dyDescent="0.2">
      <c r="A5086" s="1">
        <v>37987</v>
      </c>
      <c r="B5086" t="e">
        <f>NA()</f>
        <v>#N/A</v>
      </c>
      <c r="C5086">
        <f>2170.42</f>
        <v>2170.42</v>
      </c>
      <c r="D5086" t="e">
        <f>NA()</f>
        <v>#N/A</v>
      </c>
      <c r="E5086">
        <f>657.752</f>
        <v>657.75199999999995</v>
      </c>
      <c r="F5086">
        <f>1362.73</f>
        <v>1362.73</v>
      </c>
      <c r="G5086">
        <f>4174.041</f>
        <v>4174.0410000000002</v>
      </c>
      <c r="H5086">
        <f>1110.72</f>
        <v>1110.72</v>
      </c>
      <c r="I5086">
        <f>3911.798</f>
        <v>3911.7979999999998</v>
      </c>
      <c r="J5086">
        <f>1068.45</f>
        <v>1068.45</v>
      </c>
      <c r="K5086">
        <f>3337.41</f>
        <v>3337.41</v>
      </c>
      <c r="L5086">
        <f>701.31</f>
        <v>701.31</v>
      </c>
      <c r="M5086">
        <f>2919.44</f>
        <v>2919.44</v>
      </c>
      <c r="N5086" t="e">
        <f>NA()</f>
        <v>#N/A</v>
      </c>
      <c r="O5086" t="e">
        <f>NA()</f>
        <v>#N/A</v>
      </c>
      <c r="P5086" t="e">
        <f>NA()</f>
        <v>#N/A</v>
      </c>
      <c r="Q5086" t="e">
        <f>NA()</f>
        <v>#N/A</v>
      </c>
      <c r="R5086" t="e">
        <f>NA()</f>
        <v>#N/A</v>
      </c>
      <c r="S5086" t="e">
        <f>NA()</f>
        <v>#N/A</v>
      </c>
      <c r="T5086" t="e">
        <f>NA()</f>
        <v>#N/A</v>
      </c>
      <c r="U5086" t="e">
        <f>NA()</f>
        <v>#N/A</v>
      </c>
      <c r="V5086" t="e">
        <f>NA()</f>
        <v>#N/A</v>
      </c>
    </row>
    <row r="5087" spans="1:22" x14ac:dyDescent="0.2">
      <c r="A5087" s="1">
        <v>37986</v>
      </c>
      <c r="B5087" t="e">
        <f>NA()</f>
        <v>#N/A</v>
      </c>
      <c r="C5087">
        <f>2169.34</f>
        <v>2169.34</v>
      </c>
      <c r="D5087">
        <f>2271.89</f>
        <v>2271.89</v>
      </c>
      <c r="E5087">
        <f>657.215</f>
        <v>657.21500000000003</v>
      </c>
      <c r="F5087">
        <f>1362.73</f>
        <v>1362.73</v>
      </c>
      <c r="G5087">
        <f>4174.041</f>
        <v>4174.0410000000002</v>
      </c>
      <c r="H5087">
        <f>1110.72</f>
        <v>1110.72</v>
      </c>
      <c r="I5087">
        <f>3911.798</f>
        <v>3911.7979999999998</v>
      </c>
      <c r="J5087">
        <f>1068.45</f>
        <v>1068.45</v>
      </c>
      <c r="K5087">
        <f>3337.41</f>
        <v>3337.41</v>
      </c>
      <c r="L5087">
        <f>701.31</f>
        <v>701.31</v>
      </c>
      <c r="M5087">
        <f>2919.44</f>
        <v>2919.44</v>
      </c>
      <c r="N5087">
        <f>108.694</f>
        <v>108.694</v>
      </c>
      <c r="O5087">
        <f>1110.19</f>
        <v>1110.19</v>
      </c>
      <c r="P5087" t="e">
        <f>NA()</f>
        <v>#N/A</v>
      </c>
      <c r="Q5087">
        <f>569.77</f>
        <v>569.77</v>
      </c>
      <c r="R5087">
        <f>1622.94</f>
        <v>1622.94</v>
      </c>
      <c r="S5087" t="e">
        <f>NA()</f>
        <v>#N/A</v>
      </c>
      <c r="T5087" t="e">
        <f>NA()</f>
        <v>#N/A</v>
      </c>
      <c r="U5087">
        <f>10387.22</f>
        <v>10387.219999999999</v>
      </c>
      <c r="V5087" t="e">
        <f>NA()</f>
        <v>#N/A</v>
      </c>
    </row>
    <row r="5088" spans="1:22" x14ac:dyDescent="0.2">
      <c r="A5088" s="1">
        <v>37985</v>
      </c>
      <c r="B5088" t="e">
        <f>NA()</f>
        <v>#N/A</v>
      </c>
      <c r="C5088">
        <f>2169.18</f>
        <v>2169.1799999999998</v>
      </c>
      <c r="D5088">
        <f>2268.44</f>
        <v>2268.44</v>
      </c>
      <c r="E5088">
        <f>655.507</f>
        <v>655.50699999999995</v>
      </c>
      <c r="F5088">
        <f>1354.23</f>
        <v>1354.23</v>
      </c>
      <c r="G5088">
        <f>4144.735</f>
        <v>4144.7349999999997</v>
      </c>
      <c r="H5088">
        <f>1113.17</f>
        <v>1113.17</v>
      </c>
      <c r="I5088">
        <f>3877.448</f>
        <v>3877.4479999999999</v>
      </c>
      <c r="J5088">
        <f>1065.26</f>
        <v>1065.26</v>
      </c>
      <c r="K5088">
        <f>3330.77</f>
        <v>3330.77</v>
      </c>
      <c r="L5088">
        <f>697</f>
        <v>697</v>
      </c>
      <c r="M5088">
        <f>2907.97</f>
        <v>2907.97</v>
      </c>
      <c r="N5088">
        <f>108.714</f>
        <v>108.714</v>
      </c>
      <c r="O5088">
        <f>1109.06</f>
        <v>1109.06</v>
      </c>
      <c r="P5088" t="e">
        <f>NA()</f>
        <v>#N/A</v>
      </c>
      <c r="Q5088">
        <f>567.8</f>
        <v>567.79999999999995</v>
      </c>
      <c r="R5088">
        <f>1619.59</f>
        <v>1619.59</v>
      </c>
      <c r="S5088">
        <f>1179.9</f>
        <v>1179.9000000000001</v>
      </c>
      <c r="T5088" t="e">
        <f>NA()</f>
        <v>#N/A</v>
      </c>
      <c r="U5088">
        <f>10380.66</f>
        <v>10380.66</v>
      </c>
      <c r="V5088" t="e">
        <f>NA()</f>
        <v>#N/A</v>
      </c>
    </row>
    <row r="5089" spans="1:22" x14ac:dyDescent="0.2">
      <c r="A5089" s="1">
        <v>37984</v>
      </c>
      <c r="B5089" t="e">
        <f>NA()</f>
        <v>#N/A</v>
      </c>
      <c r="C5089">
        <f>2142.45</f>
        <v>2142.4499999999998</v>
      </c>
      <c r="D5089">
        <f>2261.9</f>
        <v>2261.9</v>
      </c>
      <c r="E5089">
        <f>647.527</f>
        <v>647.52700000000004</v>
      </c>
      <c r="F5089">
        <f>1343.18</f>
        <v>1343.18</v>
      </c>
      <c r="G5089">
        <f>4109.306</f>
        <v>4109.3059999999996</v>
      </c>
      <c r="H5089">
        <f>1102.29</f>
        <v>1102.29</v>
      </c>
      <c r="I5089">
        <f>3852.036</f>
        <v>3852.0360000000001</v>
      </c>
      <c r="J5089">
        <f>1063.91</f>
        <v>1063.9100000000001</v>
      </c>
      <c r="K5089">
        <f>3330.5</f>
        <v>3330.5</v>
      </c>
      <c r="L5089">
        <f>693.16</f>
        <v>693.16</v>
      </c>
      <c r="M5089">
        <f>2896.27</f>
        <v>2896.27</v>
      </c>
      <c r="N5089">
        <f>108.698</f>
        <v>108.69799999999999</v>
      </c>
      <c r="O5089">
        <f>1105.19</f>
        <v>1105.19</v>
      </c>
      <c r="P5089" t="e">
        <f>NA()</f>
        <v>#N/A</v>
      </c>
      <c r="Q5089">
        <f>567.73</f>
        <v>567.73</v>
      </c>
      <c r="R5089">
        <f>1619.16</f>
        <v>1619.16</v>
      </c>
      <c r="S5089">
        <f>1160.06</f>
        <v>1160.06</v>
      </c>
      <c r="T5089" t="e">
        <f>NA()</f>
        <v>#N/A</v>
      </c>
      <c r="U5089">
        <f>10325.72</f>
        <v>10325.719999999999</v>
      </c>
      <c r="V5089" t="e">
        <f>NA()</f>
        <v>#N/A</v>
      </c>
    </row>
    <row r="5090" spans="1:22" x14ac:dyDescent="0.2">
      <c r="A5090" s="1">
        <v>37981</v>
      </c>
      <c r="B5090" t="e">
        <f>NA()</f>
        <v>#N/A</v>
      </c>
      <c r="C5090">
        <f>2126.31</f>
        <v>2126.31</v>
      </c>
      <c r="D5090" t="e">
        <f>NA()</f>
        <v>#N/A</v>
      </c>
      <c r="E5090">
        <f>643.144</f>
        <v>643.14400000000001</v>
      </c>
      <c r="F5090">
        <f>1345.1</f>
        <v>1345.1</v>
      </c>
      <c r="G5090">
        <f>4108.851</f>
        <v>4108.8509999999997</v>
      </c>
      <c r="H5090">
        <f>1101.68</f>
        <v>1101.68</v>
      </c>
      <c r="I5090">
        <f>3818.406</f>
        <v>3818.4059999999999</v>
      </c>
      <c r="J5090">
        <f>1051.04</f>
        <v>1051.04</v>
      </c>
      <c r="K5090">
        <f>3288.33</f>
        <v>3288.33</v>
      </c>
      <c r="L5090">
        <f>687.49</f>
        <v>687.49</v>
      </c>
      <c r="M5090">
        <f>2867.79</f>
        <v>2867.79</v>
      </c>
      <c r="N5090">
        <f>107.522</f>
        <v>107.52200000000001</v>
      </c>
      <c r="O5090" t="e">
        <f>NA()</f>
        <v>#N/A</v>
      </c>
      <c r="P5090" t="e">
        <f>NA()</f>
        <v>#N/A</v>
      </c>
      <c r="Q5090">
        <f>561.48</f>
        <v>561.48</v>
      </c>
      <c r="R5090">
        <f>1598.75</f>
        <v>1598.75</v>
      </c>
      <c r="S5090">
        <f>1151.27</f>
        <v>1151.27</v>
      </c>
      <c r="T5090" t="e">
        <f>NA()</f>
        <v>#N/A</v>
      </c>
      <c r="U5090" t="e">
        <f>NA()</f>
        <v>#N/A</v>
      </c>
      <c r="V5090" t="e">
        <f>NA()</f>
        <v>#N/A</v>
      </c>
    </row>
    <row r="5091" spans="1:22" x14ac:dyDescent="0.2">
      <c r="A5091" s="1">
        <v>37980</v>
      </c>
      <c r="B5091" t="e">
        <f>NA()</f>
        <v>#N/A</v>
      </c>
      <c r="C5091">
        <f>2119.77</f>
        <v>2119.77</v>
      </c>
      <c r="D5091" t="e">
        <f>NA()</f>
        <v>#N/A</v>
      </c>
      <c r="E5091">
        <f>641.758</f>
        <v>641.75800000000004</v>
      </c>
      <c r="F5091">
        <f>1343.62</f>
        <v>1343.62</v>
      </c>
      <c r="G5091">
        <f>4104.339</f>
        <v>4104.3389999999999</v>
      </c>
      <c r="H5091">
        <f>1097.51</f>
        <v>1097.51</v>
      </c>
      <c r="I5091">
        <f>3821.076</f>
        <v>3821.076</v>
      </c>
      <c r="J5091">
        <f>1049.57</f>
        <v>1049.57</v>
      </c>
      <c r="K5091">
        <f>3283.18</f>
        <v>3283.18</v>
      </c>
      <c r="L5091">
        <f>686.7</f>
        <v>686.7</v>
      </c>
      <c r="M5091">
        <f>2863.37</f>
        <v>2863.37</v>
      </c>
      <c r="N5091" t="e">
        <f>NA()</f>
        <v>#N/A</v>
      </c>
      <c r="O5091" t="e">
        <f>NA()</f>
        <v>#N/A</v>
      </c>
      <c r="P5091" t="e">
        <f>NA()</f>
        <v>#N/A</v>
      </c>
      <c r="Q5091" t="e">
        <f>NA()</f>
        <v>#N/A</v>
      </c>
      <c r="R5091" t="e">
        <f>NA()</f>
        <v>#N/A</v>
      </c>
      <c r="S5091">
        <f>1145.01</f>
        <v>1145.01</v>
      </c>
      <c r="T5091" t="e">
        <f>NA()</f>
        <v>#N/A</v>
      </c>
      <c r="U5091" t="e">
        <f>NA()</f>
        <v>#N/A</v>
      </c>
      <c r="V5091" t="e">
        <f>NA()</f>
        <v>#N/A</v>
      </c>
    </row>
    <row r="5092" spans="1:22" x14ac:dyDescent="0.2">
      <c r="A5092" s="1">
        <v>37979</v>
      </c>
      <c r="B5092" t="e">
        <f>NA()</f>
        <v>#N/A</v>
      </c>
      <c r="C5092">
        <f>2119.75</f>
        <v>2119.75</v>
      </c>
      <c r="D5092">
        <f>2255.41</f>
        <v>2255.41</v>
      </c>
      <c r="E5092">
        <f>641.674</f>
        <v>641.67399999999998</v>
      </c>
      <c r="F5092">
        <f>1343.62</f>
        <v>1343.62</v>
      </c>
      <c r="G5092">
        <f>4104.339</f>
        <v>4104.3389999999999</v>
      </c>
      <c r="H5092">
        <f>1097.25</f>
        <v>1097.25</v>
      </c>
      <c r="I5092">
        <f>3821.076</f>
        <v>3821.076</v>
      </c>
      <c r="J5092">
        <f>1049.57</f>
        <v>1049.57</v>
      </c>
      <c r="K5092">
        <f>3283.18</f>
        <v>3283.18</v>
      </c>
      <c r="L5092">
        <f>686.69</f>
        <v>686.69</v>
      </c>
      <c r="M5092">
        <f>2863.17</f>
        <v>2863.17</v>
      </c>
      <c r="N5092">
        <f>108.744</f>
        <v>108.744</v>
      </c>
      <c r="O5092">
        <f>1101.7</f>
        <v>1101.7</v>
      </c>
      <c r="P5092" t="e">
        <f>NA()</f>
        <v>#N/A</v>
      </c>
      <c r="Q5092">
        <f>560.19</f>
        <v>560.19000000000005</v>
      </c>
      <c r="R5092">
        <f>1596.05</f>
        <v>1596.05</v>
      </c>
      <c r="S5092">
        <f>1143.53</f>
        <v>1143.53</v>
      </c>
      <c r="T5092" t="e">
        <f>NA()</f>
        <v>#N/A</v>
      </c>
      <c r="U5092">
        <f>10326.81</f>
        <v>10326.81</v>
      </c>
      <c r="V5092" t="e">
        <f>NA()</f>
        <v>#N/A</v>
      </c>
    </row>
    <row r="5093" spans="1:22" x14ac:dyDescent="0.2">
      <c r="A5093" s="1">
        <v>37978</v>
      </c>
      <c r="B5093" t="e">
        <f>NA()</f>
        <v>#N/A</v>
      </c>
      <c r="C5093">
        <f>2099.93</f>
        <v>2099.9299999999998</v>
      </c>
      <c r="D5093">
        <f>2252.89</f>
        <v>2252.89</v>
      </c>
      <c r="E5093">
        <f>639.089</f>
        <v>639.08900000000006</v>
      </c>
      <c r="F5093">
        <f>1342.6</f>
        <v>1342.6</v>
      </c>
      <c r="G5093">
        <f>4082.956</f>
        <v>4082.9560000000001</v>
      </c>
      <c r="H5093">
        <f>1103.13</f>
        <v>1103.1300000000001</v>
      </c>
      <c r="I5093">
        <f>3805.019</f>
        <v>3805.0189999999998</v>
      </c>
      <c r="J5093">
        <f>1051.62</f>
        <v>1051.6199999999999</v>
      </c>
      <c r="K5093">
        <f>3288.72</f>
        <v>3288.72</v>
      </c>
      <c r="L5093">
        <f>685.14</f>
        <v>685.14</v>
      </c>
      <c r="M5093">
        <f>2860.76</f>
        <v>2860.76</v>
      </c>
      <c r="N5093">
        <f>108.695</f>
        <v>108.69499999999999</v>
      </c>
      <c r="O5093">
        <f>1099.61</f>
        <v>1099.6099999999999</v>
      </c>
      <c r="P5093" t="e">
        <f>NA()</f>
        <v>#N/A</v>
      </c>
      <c r="Q5093">
        <f>562.28</f>
        <v>562.28</v>
      </c>
      <c r="R5093">
        <f>1598.93</f>
        <v>1598.93</v>
      </c>
      <c r="S5093" t="e">
        <f>NA()</f>
        <v>#N/A</v>
      </c>
      <c r="T5093" t="e">
        <f>NA()</f>
        <v>#N/A</v>
      </c>
      <c r="U5093">
        <f>10340.22</f>
        <v>10340.219999999999</v>
      </c>
      <c r="V5093" t="e">
        <f>NA()</f>
        <v>#N/A</v>
      </c>
    </row>
    <row r="5094" spans="1:22" x14ac:dyDescent="0.2">
      <c r="A5094" s="1">
        <v>37977</v>
      </c>
      <c r="B5094" t="e">
        <f>NA()</f>
        <v>#N/A</v>
      </c>
      <c r="C5094">
        <f>2095.02</f>
        <v>2095.02</v>
      </c>
      <c r="D5094">
        <f>2244.32</f>
        <v>2244.3200000000002</v>
      </c>
      <c r="E5094">
        <f>638.978</f>
        <v>638.97799999999995</v>
      </c>
      <c r="F5094">
        <f>1331.49</f>
        <v>1331.49</v>
      </c>
      <c r="G5094">
        <f>4055.626</f>
        <v>4055.6260000000002</v>
      </c>
      <c r="H5094">
        <f>1102.57</f>
        <v>1102.57</v>
      </c>
      <c r="I5094">
        <f>3788.738</f>
        <v>3788.7379999999998</v>
      </c>
      <c r="J5094">
        <f>1050.05</f>
        <v>1050.05</v>
      </c>
      <c r="K5094">
        <f>3278.95</f>
        <v>3278.95</v>
      </c>
      <c r="L5094">
        <f>683</f>
        <v>683</v>
      </c>
      <c r="M5094">
        <f>2851.03</f>
        <v>2851.03</v>
      </c>
      <c r="N5094">
        <f>107.522</f>
        <v>107.52200000000001</v>
      </c>
      <c r="O5094">
        <f>1094.08</f>
        <v>1094.08</v>
      </c>
      <c r="P5094" t="e">
        <f>NA()</f>
        <v>#N/A</v>
      </c>
      <c r="Q5094">
        <f>560.65</f>
        <v>560.65</v>
      </c>
      <c r="R5094">
        <f>1594.43</f>
        <v>1594.43</v>
      </c>
      <c r="S5094">
        <f>1147.25</f>
        <v>1147.25</v>
      </c>
      <c r="T5094" t="e">
        <f>NA()</f>
        <v>#N/A</v>
      </c>
      <c r="U5094">
        <f>10314.71</f>
        <v>10314.709999999999</v>
      </c>
      <c r="V5094" t="e">
        <f>NA()</f>
        <v>#N/A</v>
      </c>
    </row>
    <row r="5095" spans="1:22" x14ac:dyDescent="0.2">
      <c r="A5095" s="1">
        <v>37974</v>
      </c>
      <c r="B5095" t="e">
        <f>NA()</f>
        <v>#N/A</v>
      </c>
      <c r="C5095">
        <f>2072.88</f>
        <v>2072.88</v>
      </c>
      <c r="D5095">
        <f>2238.38</f>
        <v>2238.38</v>
      </c>
      <c r="E5095">
        <f>634.788</f>
        <v>634.78800000000001</v>
      </c>
      <c r="F5095">
        <f>1328.15</f>
        <v>1328.15</v>
      </c>
      <c r="G5095">
        <f>4048.189</f>
        <v>4048.1889999999999</v>
      </c>
      <c r="H5095">
        <f>1090.77</f>
        <v>1090.77</v>
      </c>
      <c r="I5095">
        <f>3784.329</f>
        <v>3784.3290000000002</v>
      </c>
      <c r="J5095">
        <f>1046.47</f>
        <v>1046.47</v>
      </c>
      <c r="K5095">
        <f>3266.67</f>
        <v>3266.67</v>
      </c>
      <c r="L5095">
        <f>680.68</f>
        <v>680.68</v>
      </c>
      <c r="M5095">
        <f>2839.92</f>
        <v>2839.92</v>
      </c>
      <c r="N5095">
        <f>108.198</f>
        <v>108.19799999999999</v>
      </c>
      <c r="O5095">
        <f>1098.09</f>
        <v>1098.0899999999999</v>
      </c>
      <c r="P5095" t="e">
        <f>NA()</f>
        <v>#N/A</v>
      </c>
      <c r="Q5095">
        <f>557.68</f>
        <v>557.67999999999995</v>
      </c>
      <c r="R5095">
        <f>1588.19</f>
        <v>1588.19</v>
      </c>
      <c r="S5095">
        <f>1139.74</f>
        <v>1139.74</v>
      </c>
      <c r="T5095" t="e">
        <f>NA()</f>
        <v>#N/A</v>
      </c>
      <c r="U5095">
        <f>10229.76</f>
        <v>10229.76</v>
      </c>
      <c r="V5095" t="e">
        <f>NA()</f>
        <v>#N/A</v>
      </c>
    </row>
    <row r="5096" spans="1:22" x14ac:dyDescent="0.2">
      <c r="A5096" s="1">
        <v>37973</v>
      </c>
      <c r="B5096" t="e">
        <f>NA()</f>
        <v>#N/A</v>
      </c>
      <c r="C5096">
        <f>2067.98</f>
        <v>2067.98</v>
      </c>
      <c r="D5096">
        <f>2230.76</f>
        <v>2230.7600000000002</v>
      </c>
      <c r="E5096">
        <f>631.846</f>
        <v>631.846</v>
      </c>
      <c r="F5096">
        <f>1319.58</f>
        <v>1319.58</v>
      </c>
      <c r="G5096">
        <f>4042.811</f>
        <v>4042.8110000000001</v>
      </c>
      <c r="H5096">
        <f>1080.78</f>
        <v>1080.78</v>
      </c>
      <c r="I5096">
        <f>3781.683</f>
        <v>3781.683</v>
      </c>
      <c r="J5096">
        <f>1044.94</f>
        <v>1044.94</v>
      </c>
      <c r="K5096">
        <f>3267.89</f>
        <v>3267.89</v>
      </c>
      <c r="L5096">
        <f>679.67</f>
        <v>679.67</v>
      </c>
      <c r="M5096">
        <f>2836.07</f>
        <v>2836.07</v>
      </c>
      <c r="N5096">
        <f>108.068</f>
        <v>108.068</v>
      </c>
      <c r="O5096">
        <f>1095.42</f>
        <v>1095.42</v>
      </c>
      <c r="P5096" t="e">
        <f>NA()</f>
        <v>#N/A</v>
      </c>
      <c r="Q5096">
        <f>558.51</f>
        <v>558.51</v>
      </c>
      <c r="R5096">
        <f>1588.9</f>
        <v>1588.9</v>
      </c>
      <c r="S5096">
        <f>1125.01</f>
        <v>1125.01</v>
      </c>
      <c r="T5096" t="e">
        <f>NA()</f>
        <v>#N/A</v>
      </c>
      <c r="U5096">
        <f>10095.33</f>
        <v>10095.33</v>
      </c>
      <c r="V5096" t="e">
        <f>NA()</f>
        <v>#N/A</v>
      </c>
    </row>
    <row r="5097" spans="1:22" x14ac:dyDescent="0.2">
      <c r="A5097" s="1">
        <v>37972</v>
      </c>
      <c r="B5097" t="e">
        <f>NA()</f>
        <v>#N/A</v>
      </c>
      <c r="C5097">
        <f>2048.85</f>
        <v>2048.85</v>
      </c>
      <c r="D5097">
        <f>2208.93</f>
        <v>2208.9299999999998</v>
      </c>
      <c r="E5097">
        <f>626.187</f>
        <v>626.18700000000001</v>
      </c>
      <c r="F5097">
        <f>1308.03</f>
        <v>1308.03</v>
      </c>
      <c r="G5097">
        <f>3991.381</f>
        <v>3991.3809999999999</v>
      </c>
      <c r="H5097">
        <f>1079.93</f>
        <v>1079.93</v>
      </c>
      <c r="I5097">
        <f>3757.156</f>
        <v>3757.1559999999999</v>
      </c>
      <c r="J5097">
        <f>1033.98</f>
        <v>1033.98</v>
      </c>
      <c r="K5097">
        <f>3228.25</f>
        <v>3228.25</v>
      </c>
      <c r="L5097">
        <f>674.14</f>
        <v>674.14</v>
      </c>
      <c r="M5097">
        <f>2809.95</f>
        <v>2809.95</v>
      </c>
      <c r="N5097">
        <f>107.012</f>
        <v>107.012</v>
      </c>
      <c r="O5097">
        <f>1084.78</f>
        <v>1084.78</v>
      </c>
      <c r="P5097" t="e">
        <f>NA()</f>
        <v>#N/A</v>
      </c>
      <c r="Q5097">
        <f>553.46</f>
        <v>553.46</v>
      </c>
      <c r="R5097">
        <f>1570.15</f>
        <v>1570.15</v>
      </c>
      <c r="S5097">
        <f>1118.66</f>
        <v>1118.6600000000001</v>
      </c>
      <c r="T5097" t="e">
        <f>NA()</f>
        <v>#N/A</v>
      </c>
      <c r="U5097">
        <f>9920.04</f>
        <v>9920.0400000000009</v>
      </c>
      <c r="V5097" t="e">
        <f>NA()</f>
        <v>#N/A</v>
      </c>
    </row>
    <row r="5098" spans="1:22" x14ac:dyDescent="0.2">
      <c r="A5098" s="1">
        <v>37971</v>
      </c>
      <c r="B5098" t="e">
        <f>NA()</f>
        <v>#N/A</v>
      </c>
      <c r="C5098">
        <f>2062.06</f>
        <v>2062.06</v>
      </c>
      <c r="D5098">
        <f>2197.68</f>
        <v>2197.6799999999998</v>
      </c>
      <c r="E5098">
        <f>631.616</f>
        <v>631.61599999999999</v>
      </c>
      <c r="F5098">
        <f>1298.98</f>
        <v>1298.98</v>
      </c>
      <c r="G5098">
        <f>3945.021</f>
        <v>3945.0210000000002</v>
      </c>
      <c r="H5098">
        <f>1084.26</f>
        <v>1084.26</v>
      </c>
      <c r="I5098">
        <f>3753.684</f>
        <v>3753.6840000000002</v>
      </c>
      <c r="J5098">
        <f>1031.5</f>
        <v>1031.5</v>
      </c>
      <c r="K5098">
        <f>3224.39</f>
        <v>3224.39</v>
      </c>
      <c r="L5098">
        <f>670.71</f>
        <v>670.71</v>
      </c>
      <c r="M5098">
        <f>2807.15</f>
        <v>2807.15</v>
      </c>
      <c r="N5098">
        <f>107.846</f>
        <v>107.846</v>
      </c>
      <c r="O5098">
        <f>1084.64</f>
        <v>1084.6400000000001</v>
      </c>
      <c r="P5098" t="e">
        <f>NA()</f>
        <v>#N/A</v>
      </c>
      <c r="Q5098">
        <f>551.74</f>
        <v>551.74</v>
      </c>
      <c r="R5098">
        <f>1568.02</f>
        <v>1568.02</v>
      </c>
      <c r="S5098">
        <f>1135.45</f>
        <v>1135.45</v>
      </c>
      <c r="T5098" t="e">
        <f>NA()</f>
        <v>#N/A</v>
      </c>
      <c r="U5098" t="e">
        <f>NA()</f>
        <v>#N/A</v>
      </c>
      <c r="V5098" t="e">
        <f>NA()</f>
        <v>#N/A</v>
      </c>
    </row>
    <row r="5099" spans="1:22" x14ac:dyDescent="0.2">
      <c r="A5099" s="1">
        <v>37970</v>
      </c>
      <c r="B5099" t="e">
        <f>NA()</f>
        <v>#N/A</v>
      </c>
      <c r="C5099">
        <f>2074.18</f>
        <v>2074.1799999999998</v>
      </c>
      <c r="D5099">
        <f>2205.31</f>
        <v>2205.31</v>
      </c>
      <c r="E5099">
        <f>637.351</f>
        <v>637.351</v>
      </c>
      <c r="F5099">
        <f>1301.45</f>
        <v>1301.45</v>
      </c>
      <c r="G5099">
        <f>3952.719</f>
        <v>3952.7190000000001</v>
      </c>
      <c r="H5099">
        <f>1097.3</f>
        <v>1097.3</v>
      </c>
      <c r="I5099">
        <f>3759.205</f>
        <v>3759.2049999999999</v>
      </c>
      <c r="J5099">
        <f>1022.03</f>
        <v>1022.03</v>
      </c>
      <c r="K5099">
        <f>3203.45</f>
        <v>3203.45</v>
      </c>
      <c r="L5099">
        <f>668.37</f>
        <v>668.37</v>
      </c>
      <c r="M5099">
        <f>2803.8</f>
        <v>2803.8</v>
      </c>
      <c r="N5099">
        <f>108.619</f>
        <v>108.619</v>
      </c>
      <c r="O5099">
        <f>1088.92</f>
        <v>1088.92</v>
      </c>
      <c r="P5099" t="e">
        <f>NA()</f>
        <v>#N/A</v>
      </c>
      <c r="Q5099">
        <f>550.21</f>
        <v>550.21</v>
      </c>
      <c r="R5099">
        <f>1557.66</f>
        <v>1557.66</v>
      </c>
      <c r="S5099">
        <f>1155.94</f>
        <v>1155.94</v>
      </c>
      <c r="T5099" t="e">
        <f>NA()</f>
        <v>#N/A</v>
      </c>
      <c r="U5099">
        <f>9856.98</f>
        <v>9856.98</v>
      </c>
      <c r="V5099" t="e">
        <f>NA()</f>
        <v>#N/A</v>
      </c>
    </row>
    <row r="5100" spans="1:22" x14ac:dyDescent="0.2">
      <c r="A5100" s="1">
        <v>37967</v>
      </c>
      <c r="B5100" t="e">
        <f>NA()</f>
        <v>#N/A</v>
      </c>
      <c r="C5100">
        <f>2058.53</f>
        <v>2058.5300000000002</v>
      </c>
      <c r="D5100">
        <f>2205.13</f>
        <v>2205.13</v>
      </c>
      <c r="E5100">
        <f>632.546</f>
        <v>632.54600000000005</v>
      </c>
      <c r="F5100">
        <f>1296.09</f>
        <v>1296.0899999999999</v>
      </c>
      <c r="G5100">
        <f>3950.098</f>
        <v>3950.098</v>
      </c>
      <c r="H5100">
        <f>1084.27</f>
        <v>1084.27</v>
      </c>
      <c r="I5100">
        <f>3735.011</f>
        <v>3735.011</v>
      </c>
      <c r="J5100">
        <f>1023.9</f>
        <v>1023.9</v>
      </c>
      <c r="K5100">
        <f>3221.25</f>
        <v>3221.25</v>
      </c>
      <c r="L5100">
        <f>667.8</f>
        <v>667.8</v>
      </c>
      <c r="M5100">
        <f>2801.84</f>
        <v>2801.84</v>
      </c>
      <c r="N5100">
        <f>108.474</f>
        <v>108.474</v>
      </c>
      <c r="O5100">
        <f>1086.65</f>
        <v>1086.6500000000001</v>
      </c>
      <c r="P5100" t="e">
        <f>NA()</f>
        <v>#N/A</v>
      </c>
      <c r="Q5100">
        <f>553.33</f>
        <v>553.33000000000004</v>
      </c>
      <c r="R5100">
        <f>1566.5</f>
        <v>1566.5</v>
      </c>
      <c r="S5100">
        <f>1128.54</f>
        <v>1128.54</v>
      </c>
      <c r="T5100" t="e">
        <f>NA()</f>
        <v>#N/A</v>
      </c>
      <c r="U5100">
        <f>9783.4</f>
        <v>9783.4</v>
      </c>
      <c r="V5100" t="e">
        <f>NA()</f>
        <v>#N/A</v>
      </c>
    </row>
    <row r="5101" spans="1:22" x14ac:dyDescent="0.2">
      <c r="A5101" s="1">
        <v>37966</v>
      </c>
      <c r="B5101" t="e">
        <f>NA()</f>
        <v>#N/A</v>
      </c>
      <c r="C5101">
        <f>2052.75</f>
        <v>2052.75</v>
      </c>
      <c r="D5101">
        <f>2196.82</f>
        <v>2196.8200000000002</v>
      </c>
      <c r="E5101">
        <f>628.256</f>
        <v>628.25599999999997</v>
      </c>
      <c r="F5101">
        <f>1288.37</f>
        <v>1288.3699999999999</v>
      </c>
      <c r="G5101">
        <f>3928.031</f>
        <v>3928.0309999999999</v>
      </c>
      <c r="H5101">
        <f>1071.08</f>
        <v>1071.08</v>
      </c>
      <c r="I5101">
        <f>3699.093</f>
        <v>3699.0929999999998</v>
      </c>
      <c r="J5101">
        <f>1022.14</f>
        <v>1022.14</v>
      </c>
      <c r="K5101">
        <f>3212.67</f>
        <v>3212.67</v>
      </c>
      <c r="L5101">
        <f>663.95</f>
        <v>663.95</v>
      </c>
      <c r="M5101">
        <f>2785.67</f>
        <v>2785.67</v>
      </c>
      <c r="N5101">
        <f>109.174</f>
        <v>109.17400000000001</v>
      </c>
      <c r="O5101">
        <f>1088.94</f>
        <v>1088.94</v>
      </c>
      <c r="P5101" t="e">
        <f>NA()</f>
        <v>#N/A</v>
      </c>
      <c r="Q5101">
        <f>552.54</f>
        <v>552.54</v>
      </c>
      <c r="R5101">
        <f>1562.23</f>
        <v>1562.23</v>
      </c>
      <c r="S5101">
        <f>1119.76</f>
        <v>1119.76</v>
      </c>
      <c r="T5101" t="e">
        <f>NA()</f>
        <v>#N/A</v>
      </c>
      <c r="U5101">
        <f>9747.75</f>
        <v>9747.75</v>
      </c>
      <c r="V5101" t="e">
        <f>NA()</f>
        <v>#N/A</v>
      </c>
    </row>
    <row r="5102" spans="1:22" x14ac:dyDescent="0.2">
      <c r="A5102" s="1">
        <v>37965</v>
      </c>
      <c r="B5102" t="e">
        <f>NA()</f>
        <v>#N/A</v>
      </c>
      <c r="C5102">
        <f>2043.21</f>
        <v>2043.21</v>
      </c>
      <c r="D5102">
        <f>2198.91</f>
        <v>2198.91</v>
      </c>
      <c r="E5102">
        <f>625.676</f>
        <v>625.67600000000004</v>
      </c>
      <c r="F5102">
        <f>1289.51</f>
        <v>1289.51</v>
      </c>
      <c r="G5102">
        <f>3941.676</f>
        <v>3941.6759999999999</v>
      </c>
      <c r="H5102">
        <f>1060.46</f>
        <v>1060.46</v>
      </c>
      <c r="I5102">
        <f>3702.403</f>
        <v>3702.4029999999998</v>
      </c>
      <c r="J5102">
        <f>1012.33</f>
        <v>1012.33</v>
      </c>
      <c r="K5102">
        <f>3176.01</f>
        <v>3176.01</v>
      </c>
      <c r="L5102">
        <f>662.89</f>
        <v>662.89</v>
      </c>
      <c r="M5102">
        <f>2767.64</f>
        <v>2767.64</v>
      </c>
      <c r="N5102">
        <f>108.996</f>
        <v>108.996</v>
      </c>
      <c r="O5102">
        <f>1082.46</f>
        <v>1082.46</v>
      </c>
      <c r="P5102" t="e">
        <f>NA()</f>
        <v>#N/A</v>
      </c>
      <c r="Q5102">
        <f>547.67</f>
        <v>547.66999999999996</v>
      </c>
      <c r="R5102">
        <f>1544.31</f>
        <v>1544.31</v>
      </c>
      <c r="S5102">
        <f>1108.05</f>
        <v>1108.05</v>
      </c>
      <c r="T5102" t="e">
        <f>NA()</f>
        <v>#N/A</v>
      </c>
      <c r="U5102">
        <f>9784.13</f>
        <v>9784.1299999999992</v>
      </c>
      <c r="V5102" t="e">
        <f>NA()</f>
        <v>#N/A</v>
      </c>
    </row>
    <row r="5103" spans="1:22" x14ac:dyDescent="0.2">
      <c r="A5103" s="1">
        <v>37964</v>
      </c>
      <c r="B5103" t="e">
        <f>NA()</f>
        <v>#N/A</v>
      </c>
      <c r="C5103">
        <f>2057.88</f>
        <v>2057.88</v>
      </c>
      <c r="D5103">
        <f>2221.29</f>
        <v>2221.29</v>
      </c>
      <c r="E5103">
        <f>627.675</f>
        <v>627.67499999999995</v>
      </c>
      <c r="F5103">
        <f>1301.52</f>
        <v>1301.52</v>
      </c>
      <c r="G5103">
        <f>3968.564</f>
        <v>3968.5639999999999</v>
      </c>
      <c r="H5103">
        <f>1080.33</f>
        <v>1080.33</v>
      </c>
      <c r="I5103">
        <f>3717.015</f>
        <v>3717.0149999999999</v>
      </c>
      <c r="J5103">
        <f>1011.98</f>
        <v>1011.98</v>
      </c>
      <c r="K5103">
        <f>3178.37</f>
        <v>3178.37</v>
      </c>
      <c r="L5103">
        <f>664.18</f>
        <v>664.18</v>
      </c>
      <c r="M5103">
        <f>2779.65</f>
        <v>2779.65</v>
      </c>
      <c r="N5103">
        <f>109.949</f>
        <v>109.949</v>
      </c>
      <c r="O5103">
        <f>1090.65</f>
        <v>1090.6500000000001</v>
      </c>
      <c r="P5103" t="e">
        <f>NA()</f>
        <v>#N/A</v>
      </c>
      <c r="Q5103">
        <f>548.86</f>
        <v>548.86</v>
      </c>
      <c r="R5103">
        <f>1545.68</f>
        <v>1545.68</v>
      </c>
      <c r="S5103">
        <f>1127.06</f>
        <v>1127.06</v>
      </c>
      <c r="T5103" t="e">
        <f>NA()</f>
        <v>#N/A</v>
      </c>
      <c r="U5103">
        <f>9861.09</f>
        <v>9861.09</v>
      </c>
      <c r="V5103" t="e">
        <f>NA()</f>
        <v>#N/A</v>
      </c>
    </row>
    <row r="5104" spans="1:22" x14ac:dyDescent="0.2">
      <c r="A5104" s="1">
        <v>37963</v>
      </c>
      <c r="B5104" t="e">
        <f>NA()</f>
        <v>#N/A</v>
      </c>
      <c r="C5104">
        <f>2027.51</f>
        <v>2027.51</v>
      </c>
      <c r="D5104">
        <f>2211.28</f>
        <v>2211.2800000000002</v>
      </c>
      <c r="E5104">
        <f>621.067</f>
        <v>621.06700000000001</v>
      </c>
      <c r="F5104">
        <f>1292.05</f>
        <v>1292.05</v>
      </c>
      <c r="G5104">
        <f>3933.054</f>
        <v>3933.0540000000001</v>
      </c>
      <c r="H5104">
        <f>1074.22</f>
        <v>1074.22</v>
      </c>
      <c r="I5104">
        <f>3701.148</f>
        <v>3701.1480000000001</v>
      </c>
      <c r="J5104">
        <f>1017.37</f>
        <v>1017.37</v>
      </c>
      <c r="K5104">
        <f>3206.61</f>
        <v>3206.61</v>
      </c>
      <c r="L5104">
        <f>663.66</f>
        <v>663.66</v>
      </c>
      <c r="M5104">
        <f>2788.65</f>
        <v>2788.65</v>
      </c>
      <c r="N5104">
        <f>109.021</f>
        <v>109.021</v>
      </c>
      <c r="O5104">
        <f>1083.04</f>
        <v>1083.04</v>
      </c>
      <c r="P5104" t="e">
        <f>NA()</f>
        <v>#N/A</v>
      </c>
      <c r="Q5104">
        <f>550.67</f>
        <v>550.66999999999996</v>
      </c>
      <c r="R5104">
        <f>1558.96</f>
        <v>1558.96</v>
      </c>
      <c r="S5104">
        <f>1124.67</f>
        <v>1124.67</v>
      </c>
      <c r="T5104" t="e">
        <f>NA()</f>
        <v>#N/A</v>
      </c>
      <c r="U5104">
        <f>9779.27</f>
        <v>9779.27</v>
      </c>
      <c r="V5104" t="e">
        <f>NA()</f>
        <v>#N/A</v>
      </c>
    </row>
    <row r="5105" spans="1:22" x14ac:dyDescent="0.2">
      <c r="A5105" s="1">
        <v>37960</v>
      </c>
      <c r="B5105" t="e">
        <f>NA()</f>
        <v>#N/A</v>
      </c>
      <c r="C5105">
        <f>2030.95</f>
        <v>2030.95</v>
      </c>
      <c r="D5105">
        <f>2214.92</f>
        <v>2214.92</v>
      </c>
      <c r="E5105">
        <f>622.319</f>
        <v>622.31899999999996</v>
      </c>
      <c r="F5105">
        <f>1286.24</f>
        <v>1286.24</v>
      </c>
      <c r="G5105">
        <f>3923.664</f>
        <v>3923.6640000000002</v>
      </c>
      <c r="H5105">
        <f>1078.36</f>
        <v>1078.3599999999999</v>
      </c>
      <c r="I5105">
        <f>3696.127</f>
        <v>3696.127</v>
      </c>
      <c r="J5105">
        <f>1007.64</f>
        <v>1007.64</v>
      </c>
      <c r="K5105">
        <f>3183.23</f>
        <v>3183.23</v>
      </c>
      <c r="L5105">
        <f>659.73</f>
        <v>659.73</v>
      </c>
      <c r="M5105">
        <f>2780.46</f>
        <v>2780.46</v>
      </c>
      <c r="N5105">
        <f>109.203</f>
        <v>109.203</v>
      </c>
      <c r="O5105">
        <f>1088.03</f>
        <v>1088.03</v>
      </c>
      <c r="P5105" t="e">
        <f>NA()</f>
        <v>#N/A</v>
      </c>
      <c r="Q5105">
        <f>546.35</f>
        <v>546.35</v>
      </c>
      <c r="R5105">
        <f>1547.52</f>
        <v>1547.52</v>
      </c>
      <c r="S5105">
        <f>1151.95</f>
        <v>1151.95</v>
      </c>
      <c r="T5105" t="e">
        <f>NA()</f>
        <v>#N/A</v>
      </c>
      <c r="U5105">
        <f>9783.57</f>
        <v>9783.57</v>
      </c>
      <c r="V5105" t="e">
        <f>NA()</f>
        <v>#N/A</v>
      </c>
    </row>
    <row r="5106" spans="1:22" x14ac:dyDescent="0.2">
      <c r="A5106" s="1">
        <v>37959</v>
      </c>
      <c r="B5106" t="e">
        <f>NA()</f>
        <v>#N/A</v>
      </c>
      <c r="C5106">
        <f>2028.44</f>
        <v>2028.44</v>
      </c>
      <c r="D5106">
        <f>2220.59</f>
        <v>2220.59</v>
      </c>
      <c r="E5106">
        <f>624.535</f>
        <v>624.53499999999997</v>
      </c>
      <c r="F5106">
        <f>1289.7</f>
        <v>1289.7</v>
      </c>
      <c r="G5106">
        <f>3919.892</f>
        <v>3919.8919999999998</v>
      </c>
      <c r="H5106">
        <f>1075.89</f>
        <v>1075.8900000000001</v>
      </c>
      <c r="I5106">
        <f>3700.302</f>
        <v>3700.3020000000001</v>
      </c>
      <c r="J5106">
        <f>1011.64</f>
        <v>1011.64</v>
      </c>
      <c r="K5106">
        <f>3208.25</f>
        <v>3208.25</v>
      </c>
      <c r="L5106">
        <f>660.2</f>
        <v>660.2</v>
      </c>
      <c r="M5106">
        <f>2792.93</f>
        <v>2792.93</v>
      </c>
      <c r="N5106">
        <f>110.039</f>
        <v>110.039</v>
      </c>
      <c r="O5106">
        <f>1095.37</f>
        <v>1095.3699999999999</v>
      </c>
      <c r="P5106" t="e">
        <f>NA()</f>
        <v>#N/A</v>
      </c>
      <c r="Q5106">
        <f>549.9</f>
        <v>549.9</v>
      </c>
      <c r="R5106">
        <f>1559.47</f>
        <v>1559.47</v>
      </c>
      <c r="S5106">
        <f>1156.49</f>
        <v>1156.49</v>
      </c>
      <c r="T5106" t="e">
        <f>NA()</f>
        <v>#N/A</v>
      </c>
      <c r="U5106">
        <f>9598.22</f>
        <v>9598.2199999999993</v>
      </c>
      <c r="V5106" t="e">
        <f>NA()</f>
        <v>#N/A</v>
      </c>
    </row>
    <row r="5107" spans="1:22" x14ac:dyDescent="0.2">
      <c r="A5107" s="1">
        <v>37958</v>
      </c>
      <c r="B5107" t="e">
        <f>NA()</f>
        <v>#N/A</v>
      </c>
      <c r="C5107">
        <f>2044.86</f>
        <v>2044.86</v>
      </c>
      <c r="D5107">
        <f>2227.6</f>
        <v>2227.6</v>
      </c>
      <c r="E5107">
        <f>628.132</f>
        <v>628.13199999999995</v>
      </c>
      <c r="F5107">
        <f>1301.01</f>
        <v>1301.01</v>
      </c>
      <c r="G5107">
        <f>3949.354</f>
        <v>3949.3539999999998</v>
      </c>
      <c r="H5107">
        <f>1068.97</f>
        <v>1068.97</v>
      </c>
      <c r="I5107">
        <f>3714.403</f>
        <v>3714.4029999999998</v>
      </c>
      <c r="J5107">
        <f>1006.77</f>
        <v>1006.77</v>
      </c>
      <c r="K5107">
        <f>3193.26</f>
        <v>3193.26</v>
      </c>
      <c r="L5107">
        <f>660.26</f>
        <v>660.26</v>
      </c>
      <c r="M5107">
        <f>2787.98</f>
        <v>2787.98</v>
      </c>
      <c r="N5107">
        <f>109.813</f>
        <v>109.813</v>
      </c>
      <c r="O5107">
        <f>1097.27</f>
        <v>1097.27</v>
      </c>
      <c r="P5107" t="e">
        <f>NA()</f>
        <v>#N/A</v>
      </c>
      <c r="Q5107">
        <f>549.21</f>
        <v>549.21</v>
      </c>
      <c r="R5107">
        <f>1552.09</f>
        <v>1552.09</v>
      </c>
      <c r="S5107">
        <f>1148.17</f>
        <v>1148.17</v>
      </c>
      <c r="T5107" t="e">
        <f>NA()</f>
        <v>#N/A</v>
      </c>
      <c r="U5107">
        <f>9708.07</f>
        <v>9708.07</v>
      </c>
      <c r="V5107" t="e">
        <f>NA()</f>
        <v>#N/A</v>
      </c>
    </row>
    <row r="5108" spans="1:22" x14ac:dyDescent="0.2">
      <c r="A5108" s="1">
        <v>37957</v>
      </c>
      <c r="B5108" t="e">
        <f>NA()</f>
        <v>#N/A</v>
      </c>
      <c r="C5108">
        <f>2049.36</f>
        <v>2049.36</v>
      </c>
      <c r="D5108">
        <f>2220.63</f>
        <v>2220.63</v>
      </c>
      <c r="E5108">
        <f>626.693</f>
        <v>626.69299999999998</v>
      </c>
      <c r="F5108">
        <f>1295.07</f>
        <v>1295.07</v>
      </c>
      <c r="G5108">
        <f>3938.053</f>
        <v>3938.0529999999999</v>
      </c>
      <c r="H5108">
        <f>1068.07</f>
        <v>1068.07</v>
      </c>
      <c r="I5108">
        <f>3678.68</f>
        <v>3678.68</v>
      </c>
      <c r="J5108">
        <f>1006.32</f>
        <v>1006.32</v>
      </c>
      <c r="K5108">
        <f>3198.99</f>
        <v>3198.99</v>
      </c>
      <c r="L5108">
        <f>657.73</f>
        <v>657.73</v>
      </c>
      <c r="M5108">
        <f>2784.12</f>
        <v>2784.12</v>
      </c>
      <c r="N5108">
        <f>109.785</f>
        <v>109.785</v>
      </c>
      <c r="O5108">
        <f>1091.67</f>
        <v>1091.67</v>
      </c>
      <c r="P5108" t="e">
        <f>NA()</f>
        <v>#N/A</v>
      </c>
      <c r="Q5108">
        <f>548.71</f>
        <v>548.71</v>
      </c>
      <c r="R5108">
        <f>1554.42</f>
        <v>1554.42</v>
      </c>
      <c r="S5108">
        <f>1156.56</f>
        <v>1156.56</v>
      </c>
      <c r="T5108" t="e">
        <f>NA()</f>
        <v>#N/A</v>
      </c>
      <c r="U5108">
        <f>9847.46</f>
        <v>9847.4599999999991</v>
      </c>
      <c r="V5108" t="e">
        <f>NA()</f>
        <v>#N/A</v>
      </c>
    </row>
    <row r="5109" spans="1:22" x14ac:dyDescent="0.2">
      <c r="A5109" s="1">
        <v>37956</v>
      </c>
      <c r="B5109" t="e">
        <f>NA()</f>
        <v>#N/A</v>
      </c>
      <c r="C5109">
        <f>2046.23</f>
        <v>2046.23</v>
      </c>
      <c r="D5109">
        <f>2236.39</f>
        <v>2236.39</v>
      </c>
      <c r="E5109">
        <f>624.601</f>
        <v>624.601</v>
      </c>
      <c r="F5109">
        <f>1303.23</f>
        <v>1303.23</v>
      </c>
      <c r="G5109">
        <f>3945.988</f>
        <v>3945.9879999999998</v>
      </c>
      <c r="H5109">
        <f>1062.61</f>
        <v>1062.6099999999999</v>
      </c>
      <c r="I5109">
        <f>3645.22</f>
        <v>3645.22</v>
      </c>
      <c r="J5109">
        <f>1005.13</f>
        <v>1005.13</v>
      </c>
      <c r="K5109">
        <f>3208.26</f>
        <v>3208.26</v>
      </c>
      <c r="L5109">
        <f>656.69</f>
        <v>656.69</v>
      </c>
      <c r="M5109">
        <f>2781.06</f>
        <v>2781.06</v>
      </c>
      <c r="N5109">
        <f>111.375</f>
        <v>111.375</v>
      </c>
      <c r="O5109">
        <f>1098.15</f>
        <v>1098.1500000000001</v>
      </c>
      <c r="P5109" t="e">
        <f>NA()</f>
        <v>#N/A</v>
      </c>
      <c r="Q5109">
        <f>551.15</f>
        <v>551.15</v>
      </c>
      <c r="R5109">
        <f>1559.5</f>
        <v>1559.5</v>
      </c>
      <c r="S5109">
        <f>1153.19</f>
        <v>1153.19</v>
      </c>
      <c r="T5109" t="e">
        <f>NA()</f>
        <v>#N/A</v>
      </c>
      <c r="U5109">
        <f>9927.63</f>
        <v>9927.6299999999992</v>
      </c>
      <c r="V5109" t="e">
        <f>NA()</f>
        <v>#N/A</v>
      </c>
    </row>
    <row r="5110" spans="1:22" x14ac:dyDescent="0.2">
      <c r="A5110" s="1">
        <v>37953</v>
      </c>
      <c r="B5110" t="e">
        <f>NA()</f>
        <v>#N/A</v>
      </c>
      <c r="C5110">
        <f>2007.54</f>
        <v>2007.54</v>
      </c>
      <c r="D5110">
        <f>2202.2</f>
        <v>2202.1999999999998</v>
      </c>
      <c r="E5110">
        <f>612.79</f>
        <v>612.79</v>
      </c>
      <c r="F5110">
        <f>1285.77</f>
        <v>1285.77</v>
      </c>
      <c r="G5110">
        <f>3883.079</f>
        <v>3883.0790000000002</v>
      </c>
      <c r="H5110">
        <f>1045.32</f>
        <v>1045.32</v>
      </c>
      <c r="I5110">
        <f>3601.022</f>
        <v>3601.0219999999999</v>
      </c>
      <c r="J5110">
        <f>994.71</f>
        <v>994.71</v>
      </c>
      <c r="K5110">
        <f>3172.55</f>
        <v>3172.55</v>
      </c>
      <c r="L5110">
        <f>649.35</f>
        <v>649.35</v>
      </c>
      <c r="M5110">
        <f>2746.46</f>
        <v>2746.46</v>
      </c>
      <c r="N5110">
        <f>110.053</f>
        <v>110.053</v>
      </c>
      <c r="O5110">
        <f>1080.86</f>
        <v>1080.8599999999999</v>
      </c>
      <c r="P5110" t="e">
        <f>NA()</f>
        <v>#N/A</v>
      </c>
      <c r="Q5110">
        <f>545.56</f>
        <v>545.55999999999995</v>
      </c>
      <c r="R5110">
        <f>1542.07</f>
        <v>1542.07</v>
      </c>
      <c r="S5110">
        <f>1129.72</f>
        <v>1129.72</v>
      </c>
      <c r="T5110" t="e">
        <f>NA()</f>
        <v>#N/A</v>
      </c>
      <c r="U5110">
        <f>9729.6</f>
        <v>9729.6</v>
      </c>
      <c r="V5110" t="e">
        <f>NA()</f>
        <v>#N/A</v>
      </c>
    </row>
    <row r="5111" spans="1:22" x14ac:dyDescent="0.2">
      <c r="A5111" s="1">
        <v>37952</v>
      </c>
      <c r="B5111" t="e">
        <f>NA()</f>
        <v>#N/A</v>
      </c>
      <c r="C5111">
        <f>1980.27</f>
        <v>1980.27</v>
      </c>
      <c r="D5111">
        <f>2211.58</f>
        <v>2211.58</v>
      </c>
      <c r="E5111">
        <f>605.739</f>
        <v>605.73900000000003</v>
      </c>
      <c r="F5111">
        <f>1279.52</f>
        <v>1279.52</v>
      </c>
      <c r="G5111">
        <f>3885.265</f>
        <v>3885.2649999999999</v>
      </c>
      <c r="H5111">
        <f>1050.71</f>
        <v>1050.71</v>
      </c>
      <c r="I5111">
        <f>3583.484</f>
        <v>3583.4839999999999</v>
      </c>
      <c r="J5111">
        <f>996.54</f>
        <v>996.54</v>
      </c>
      <c r="K5111">
        <f>3172.99</f>
        <v>3172.99</v>
      </c>
      <c r="L5111">
        <f>648.54</f>
        <v>648.54</v>
      </c>
      <c r="M5111">
        <f>2745.36</f>
        <v>2745.36</v>
      </c>
      <c r="N5111">
        <f>110.604</f>
        <v>110.604</v>
      </c>
      <c r="O5111">
        <f>1086.08</f>
        <v>1086.08</v>
      </c>
      <c r="P5111" t="e">
        <f>NA()</f>
        <v>#N/A</v>
      </c>
      <c r="Q5111" t="e">
        <f>NA()</f>
        <v>#N/A</v>
      </c>
      <c r="R5111" t="e">
        <f>NA()</f>
        <v>#N/A</v>
      </c>
      <c r="S5111">
        <f>1136.89</f>
        <v>1136.8900000000001</v>
      </c>
      <c r="T5111" t="e">
        <f>NA()</f>
        <v>#N/A</v>
      </c>
      <c r="U5111">
        <f>9645.86</f>
        <v>9645.86</v>
      </c>
      <c r="V5111" t="e">
        <f>NA()</f>
        <v>#N/A</v>
      </c>
    </row>
    <row r="5112" spans="1:22" x14ac:dyDescent="0.2">
      <c r="A5112" s="1">
        <v>37951</v>
      </c>
      <c r="B5112" t="e">
        <f>NA()</f>
        <v>#N/A</v>
      </c>
      <c r="C5112">
        <f>1978.09</f>
        <v>1978.09</v>
      </c>
      <c r="D5112">
        <f>2216.27</f>
        <v>2216.27</v>
      </c>
      <c r="E5112">
        <f>606.136</f>
        <v>606.13599999999997</v>
      </c>
      <c r="F5112">
        <f>1276.81</f>
        <v>1276.81</v>
      </c>
      <c r="G5112">
        <f>3882.42</f>
        <v>3882.42</v>
      </c>
      <c r="H5112">
        <f>1049.59</f>
        <v>1049.5899999999999</v>
      </c>
      <c r="I5112">
        <f>3569.78</f>
        <v>3569.78</v>
      </c>
      <c r="J5112">
        <f>996.54</f>
        <v>996.54</v>
      </c>
      <c r="K5112">
        <f>3172.99</f>
        <v>3172.99</v>
      </c>
      <c r="L5112">
        <f>647.91</f>
        <v>647.91</v>
      </c>
      <c r="M5112">
        <f>2742.58</f>
        <v>2742.58</v>
      </c>
      <c r="N5112">
        <f>110.814</f>
        <v>110.81399999999999</v>
      </c>
      <c r="O5112">
        <f>1080.73</f>
        <v>1080.73</v>
      </c>
      <c r="P5112" t="e">
        <f>NA()</f>
        <v>#N/A</v>
      </c>
      <c r="Q5112">
        <f>546.07</f>
        <v>546.07000000000005</v>
      </c>
      <c r="R5112">
        <f>1542.4</f>
        <v>1542.4</v>
      </c>
      <c r="S5112">
        <f>1132.27</f>
        <v>1132.27</v>
      </c>
      <c r="T5112" t="e">
        <f>NA()</f>
        <v>#N/A</v>
      </c>
      <c r="U5112">
        <f>9601.32</f>
        <v>9601.32</v>
      </c>
      <c r="V5112" t="e">
        <f>NA()</f>
        <v>#N/A</v>
      </c>
    </row>
    <row r="5113" spans="1:22" x14ac:dyDescent="0.2">
      <c r="A5113" s="1">
        <v>37950</v>
      </c>
      <c r="B5113" t="e">
        <f>NA()</f>
        <v>#N/A</v>
      </c>
      <c r="C5113">
        <f>1960.57</f>
        <v>1960.57</v>
      </c>
      <c r="D5113">
        <f>2221.88</f>
        <v>2221.88</v>
      </c>
      <c r="E5113">
        <f>600.535</f>
        <v>600.53499999999997</v>
      </c>
      <c r="F5113">
        <f>1269.96</f>
        <v>1269.96</v>
      </c>
      <c r="G5113">
        <f>3864.969</f>
        <v>3864.9690000000001</v>
      </c>
      <c r="H5113">
        <f>1035.17</f>
        <v>1035.17</v>
      </c>
      <c r="I5113">
        <f>3538.8</f>
        <v>3538.8</v>
      </c>
      <c r="J5113">
        <f>992.94</f>
        <v>992.94</v>
      </c>
      <c r="K5113">
        <f>3158.83</f>
        <v>3158.83</v>
      </c>
      <c r="L5113">
        <f>643.87</f>
        <v>643.87</v>
      </c>
      <c r="M5113">
        <f>2723.42</f>
        <v>2723.42</v>
      </c>
      <c r="N5113">
        <f>110.875</f>
        <v>110.875</v>
      </c>
      <c r="O5113">
        <f>1084.89</f>
        <v>1084.8900000000001</v>
      </c>
      <c r="P5113" t="e">
        <f>NA()</f>
        <v>#N/A</v>
      </c>
      <c r="Q5113">
        <f>545.9</f>
        <v>545.9</v>
      </c>
      <c r="R5113">
        <f>1535.49</f>
        <v>1535.49</v>
      </c>
      <c r="S5113">
        <f>1116.56</f>
        <v>1116.56</v>
      </c>
      <c r="T5113" t="e">
        <f>NA()</f>
        <v>#N/A</v>
      </c>
      <c r="U5113">
        <f>9651.32</f>
        <v>9651.32</v>
      </c>
      <c r="V5113" t="e">
        <f>NA()</f>
        <v>#N/A</v>
      </c>
    </row>
    <row r="5114" spans="1:22" x14ac:dyDescent="0.2">
      <c r="A5114" s="1">
        <v>37949</v>
      </c>
      <c r="B5114" t="e">
        <f>NA()</f>
        <v>#N/A</v>
      </c>
      <c r="C5114">
        <f>1942.57</f>
        <v>1942.57</v>
      </c>
      <c r="D5114">
        <f>2218.65</f>
        <v>2218.65</v>
      </c>
      <c r="E5114">
        <f>593.931</f>
        <v>593.93100000000004</v>
      </c>
      <c r="F5114">
        <f>1263.11</f>
        <v>1263.1099999999999</v>
      </c>
      <c r="G5114">
        <f>3854.249</f>
        <v>3854.2489999999998</v>
      </c>
      <c r="H5114">
        <f>1032.76</f>
        <v>1032.76</v>
      </c>
      <c r="I5114">
        <f>3532.251</f>
        <v>3532.2510000000002</v>
      </c>
      <c r="J5114">
        <f>988.64</f>
        <v>988.64</v>
      </c>
      <c r="K5114">
        <f>3152.8</f>
        <v>3152.8</v>
      </c>
      <c r="L5114">
        <f>641.64</f>
        <v>641.64</v>
      </c>
      <c r="M5114">
        <f>2715.83</f>
        <v>2715.83</v>
      </c>
      <c r="N5114">
        <f>110.95</f>
        <v>110.95</v>
      </c>
      <c r="O5114">
        <f>1084.49</f>
        <v>1084.49</v>
      </c>
      <c r="P5114" t="e">
        <f>NA()</f>
        <v>#N/A</v>
      </c>
      <c r="Q5114">
        <f>542.71</f>
        <v>542.71</v>
      </c>
      <c r="R5114">
        <f>1532.69</f>
        <v>1532.69</v>
      </c>
      <c r="S5114" t="e">
        <f>NA()</f>
        <v>#N/A</v>
      </c>
      <c r="T5114" t="e">
        <f>NA()</f>
        <v>#N/A</v>
      </c>
      <c r="U5114">
        <f>9584.51</f>
        <v>9584.51</v>
      </c>
      <c r="V5114" t="e">
        <f>NA()</f>
        <v>#N/A</v>
      </c>
    </row>
    <row r="5115" spans="1:22" x14ac:dyDescent="0.2">
      <c r="A5115" s="1">
        <v>37946</v>
      </c>
      <c r="B5115" t="e">
        <f>NA()</f>
        <v>#N/A</v>
      </c>
      <c r="C5115">
        <f>1949.95</f>
        <v>1949.95</v>
      </c>
      <c r="D5115">
        <f>2186.58</f>
        <v>2186.58</v>
      </c>
      <c r="E5115">
        <f>597.887</f>
        <v>597.88699999999994</v>
      </c>
      <c r="F5115">
        <f>1253.06</f>
        <v>1253.06</v>
      </c>
      <c r="G5115">
        <f>3819.892</f>
        <v>3819.8919999999998</v>
      </c>
      <c r="H5115">
        <f>1036.69</f>
        <v>1036.69</v>
      </c>
      <c r="I5115">
        <f>3517.075</f>
        <v>3517.0749999999998</v>
      </c>
      <c r="J5115">
        <f>978.78</f>
        <v>978.78</v>
      </c>
      <c r="K5115">
        <f>3103.49</f>
        <v>3103.49</v>
      </c>
      <c r="L5115">
        <f>638.23</f>
        <v>638.23</v>
      </c>
      <c r="M5115">
        <f>2688.91</f>
        <v>2688.91</v>
      </c>
      <c r="N5115">
        <f>108.577</f>
        <v>108.577</v>
      </c>
      <c r="O5115">
        <f>1063.56</f>
        <v>1063.56</v>
      </c>
      <c r="P5115" t="e">
        <f>NA()</f>
        <v>#N/A</v>
      </c>
      <c r="Q5115">
        <f>534.48</f>
        <v>534.48</v>
      </c>
      <c r="R5115">
        <f>1508.21</f>
        <v>1508.21</v>
      </c>
      <c r="S5115">
        <f>1101.06</f>
        <v>1101.06</v>
      </c>
      <c r="T5115" t="e">
        <f>NA()</f>
        <v>#N/A</v>
      </c>
      <c r="U5115">
        <f>9576.46</f>
        <v>9576.4599999999991</v>
      </c>
      <c r="V5115" t="e">
        <f>NA()</f>
        <v>#N/A</v>
      </c>
    </row>
    <row r="5116" spans="1:22" x14ac:dyDescent="0.2">
      <c r="A5116" s="1">
        <v>37945</v>
      </c>
      <c r="B5116" t="e">
        <f>NA()</f>
        <v>#N/A</v>
      </c>
      <c r="C5116">
        <f>1935.43</f>
        <v>1935.43</v>
      </c>
      <c r="D5116">
        <f>2180.99</f>
        <v>2180.9899999999998</v>
      </c>
      <c r="E5116">
        <f>594.058</f>
        <v>594.05799999999999</v>
      </c>
      <c r="F5116">
        <f>1242.92</f>
        <v>1242.92</v>
      </c>
      <c r="G5116">
        <f>3809.451</f>
        <v>3809.451</v>
      </c>
      <c r="H5116">
        <f>1037.91</f>
        <v>1037.9100000000001</v>
      </c>
      <c r="I5116">
        <f>3500.461</f>
        <v>3500.4609999999998</v>
      </c>
      <c r="J5116">
        <f>980.87</f>
        <v>980.87</v>
      </c>
      <c r="K5116">
        <f>3098.28</f>
        <v>3098.28</v>
      </c>
      <c r="L5116">
        <f>636.91</f>
        <v>636.91</v>
      </c>
      <c r="M5116">
        <f>2683.6</f>
        <v>2683.6</v>
      </c>
      <c r="N5116">
        <f>108.523</f>
        <v>108.523</v>
      </c>
      <c r="O5116">
        <f>1060.24</f>
        <v>1060.24</v>
      </c>
      <c r="P5116" t="e">
        <f>NA()</f>
        <v>#N/A</v>
      </c>
      <c r="Q5116">
        <f>533.72</f>
        <v>533.72</v>
      </c>
      <c r="R5116">
        <f>1505.76</f>
        <v>1505.76</v>
      </c>
      <c r="S5116">
        <f>1097.94</f>
        <v>1097.94</v>
      </c>
      <c r="T5116" t="e">
        <f>NA()</f>
        <v>#N/A</v>
      </c>
      <c r="U5116">
        <f>9519.51</f>
        <v>9519.51</v>
      </c>
      <c r="V5116" t="e">
        <f>NA()</f>
        <v>#N/A</v>
      </c>
    </row>
    <row r="5117" spans="1:22" x14ac:dyDescent="0.2">
      <c r="A5117" s="1">
        <v>37944</v>
      </c>
      <c r="B5117" t="e">
        <f>NA()</f>
        <v>#N/A</v>
      </c>
      <c r="C5117">
        <f>1944.24</f>
        <v>1944.24</v>
      </c>
      <c r="D5117">
        <f>2190.8</f>
        <v>2190.8000000000002</v>
      </c>
      <c r="E5117">
        <f>598.675</f>
        <v>598.67499999999995</v>
      </c>
      <c r="F5117">
        <f>1248.51</f>
        <v>1248.51</v>
      </c>
      <c r="G5117">
        <f>3817.567</f>
        <v>3817.567</v>
      </c>
      <c r="H5117">
        <f>1022.15</f>
        <v>1022.15</v>
      </c>
      <c r="I5117">
        <f>3509.986</f>
        <v>3509.9859999999999</v>
      </c>
      <c r="J5117">
        <f>988.79</f>
        <v>988.79</v>
      </c>
      <c r="K5117">
        <f>3124.43</f>
        <v>3124.43</v>
      </c>
      <c r="L5117">
        <f>638.86</f>
        <v>638.86</v>
      </c>
      <c r="M5117">
        <f>2692.78</f>
        <v>2692.78</v>
      </c>
      <c r="N5117">
        <f>108.454</f>
        <v>108.45399999999999</v>
      </c>
      <c r="O5117">
        <f>1062.49</f>
        <v>1062.49</v>
      </c>
      <c r="P5117" t="e">
        <f>NA()</f>
        <v>#N/A</v>
      </c>
      <c r="Q5117">
        <f>538.34</f>
        <v>538.34</v>
      </c>
      <c r="R5117">
        <f>1518.51</f>
        <v>1518.51</v>
      </c>
      <c r="S5117">
        <f>1077.03</f>
        <v>1077.03</v>
      </c>
      <c r="T5117" t="e">
        <f>NA()</f>
        <v>#N/A</v>
      </c>
      <c r="U5117">
        <f>9657.66</f>
        <v>9657.66</v>
      </c>
      <c r="V5117" t="e">
        <f>NA()</f>
        <v>#N/A</v>
      </c>
    </row>
    <row r="5118" spans="1:22" x14ac:dyDescent="0.2">
      <c r="A5118" s="1">
        <v>37943</v>
      </c>
      <c r="B5118" t="e">
        <f>NA()</f>
        <v>#N/A</v>
      </c>
      <c r="C5118">
        <f>1960.67</f>
        <v>1960.67</v>
      </c>
      <c r="D5118">
        <f>2204.4</f>
        <v>2204.4</v>
      </c>
      <c r="E5118">
        <f>608.272</f>
        <v>608.27200000000005</v>
      </c>
      <c r="F5118">
        <f>1256.27</f>
        <v>1256.27</v>
      </c>
      <c r="G5118">
        <f>3840.029</f>
        <v>3840.029</v>
      </c>
      <c r="H5118">
        <f>1038.01</f>
        <v>1038.01</v>
      </c>
      <c r="I5118">
        <f>3518.069</f>
        <v>3518.069</v>
      </c>
      <c r="J5118">
        <f>981.16</f>
        <v>981.16</v>
      </c>
      <c r="K5118">
        <f>3098.84</f>
        <v>3098.84</v>
      </c>
      <c r="L5118">
        <f>638.25</f>
        <v>638.25</v>
      </c>
      <c r="M5118">
        <f>2690</f>
        <v>2690</v>
      </c>
      <c r="N5118">
        <f>109.225</f>
        <v>109.22499999999999</v>
      </c>
      <c r="O5118">
        <f>1069.63</f>
        <v>1069.6300000000001</v>
      </c>
      <c r="P5118" t="e">
        <f>NA()</f>
        <v>#N/A</v>
      </c>
      <c r="Q5118">
        <f>535.03</f>
        <v>535.03</v>
      </c>
      <c r="R5118">
        <f>1506.32</f>
        <v>1506.32</v>
      </c>
      <c r="S5118">
        <f>1099.92</f>
        <v>1099.92</v>
      </c>
      <c r="T5118" t="e">
        <f>NA()</f>
        <v>#N/A</v>
      </c>
      <c r="U5118">
        <f>9700.21</f>
        <v>9700.2099999999991</v>
      </c>
      <c r="V5118" t="e">
        <f>NA()</f>
        <v>#N/A</v>
      </c>
    </row>
    <row r="5119" spans="1:22" x14ac:dyDescent="0.2">
      <c r="A5119" s="1">
        <v>37942</v>
      </c>
      <c r="B5119" t="e">
        <f>NA()</f>
        <v>#N/A</v>
      </c>
      <c r="C5119">
        <f>1959.5</f>
        <v>1959.5</v>
      </c>
      <c r="D5119">
        <f>2196.39</f>
        <v>2196.39</v>
      </c>
      <c r="E5119">
        <f>607.556</f>
        <v>607.55600000000004</v>
      </c>
      <c r="F5119">
        <f>1245.32</f>
        <v>1245.32</v>
      </c>
      <c r="G5119">
        <f>3801.421</f>
        <v>3801.4209999999998</v>
      </c>
      <c r="H5119">
        <f>1039.54</f>
        <v>1039.54</v>
      </c>
      <c r="I5119">
        <f>3492.42</f>
        <v>3492.42</v>
      </c>
      <c r="J5119">
        <f>987.29</f>
        <v>987.29</v>
      </c>
      <c r="K5119">
        <f>3127.05</f>
        <v>3127.05</v>
      </c>
      <c r="L5119">
        <f>638.68</f>
        <v>638.67999999999995</v>
      </c>
      <c r="M5119">
        <f>2693.91</f>
        <v>2693.91</v>
      </c>
      <c r="N5119">
        <f>108.913</f>
        <v>108.913</v>
      </c>
      <c r="O5119">
        <f>1071.18</f>
        <v>1071.18</v>
      </c>
      <c r="P5119" t="e">
        <f>NA()</f>
        <v>#N/A</v>
      </c>
      <c r="Q5119">
        <f>538.28</f>
        <v>538.28</v>
      </c>
      <c r="R5119">
        <f>1520.07</f>
        <v>1520.07</v>
      </c>
      <c r="S5119">
        <f>1098.16</f>
        <v>1098.1600000000001</v>
      </c>
      <c r="T5119" t="e">
        <f>NA()</f>
        <v>#N/A</v>
      </c>
      <c r="U5119">
        <f>9710.91</f>
        <v>9710.91</v>
      </c>
      <c r="V5119" t="e">
        <f>NA()</f>
        <v>#N/A</v>
      </c>
    </row>
    <row r="5120" spans="1:22" x14ac:dyDescent="0.2">
      <c r="A5120" s="1">
        <v>37939</v>
      </c>
      <c r="B5120" t="e">
        <f>NA()</f>
        <v>#N/A</v>
      </c>
      <c r="C5120">
        <f>1991.91</f>
        <v>1991.91</v>
      </c>
      <c r="D5120">
        <f>2225.81</f>
        <v>2225.81</v>
      </c>
      <c r="E5120">
        <f>618.461</f>
        <v>618.46100000000001</v>
      </c>
      <c r="F5120">
        <f>1256.58</f>
        <v>1256.58</v>
      </c>
      <c r="G5120">
        <f>3841.658</f>
        <v>3841.6579999999999</v>
      </c>
      <c r="H5120">
        <f>1068.6</f>
        <v>1068.5999999999999</v>
      </c>
      <c r="I5120">
        <f>3565.074</f>
        <v>3565.0740000000001</v>
      </c>
      <c r="J5120">
        <f>991.73</f>
        <v>991.73</v>
      </c>
      <c r="K5120">
        <f>3146.8</f>
        <v>3146.8</v>
      </c>
      <c r="L5120">
        <f>645.29</f>
        <v>645.29</v>
      </c>
      <c r="M5120">
        <f>2727.8</f>
        <v>2727.8</v>
      </c>
      <c r="N5120">
        <f>109.945</f>
        <v>109.94499999999999</v>
      </c>
      <c r="O5120">
        <f>1091.16</f>
        <v>1091.1600000000001</v>
      </c>
      <c r="P5120" t="e">
        <f>NA()</f>
        <v>#N/A</v>
      </c>
      <c r="Q5120">
        <f>540.91</f>
        <v>540.91</v>
      </c>
      <c r="R5120">
        <f>1529.84</f>
        <v>1529.84</v>
      </c>
      <c r="S5120">
        <f>1137.57</f>
        <v>1137.57</v>
      </c>
      <c r="T5120" t="e">
        <f>NA()</f>
        <v>#N/A</v>
      </c>
      <c r="U5120">
        <f>9914.01</f>
        <v>9914.01</v>
      </c>
      <c r="V5120" t="e">
        <f>NA()</f>
        <v>#N/A</v>
      </c>
    </row>
    <row r="5121" spans="1:22" x14ac:dyDescent="0.2">
      <c r="A5121" s="1">
        <v>37938</v>
      </c>
      <c r="B5121" t="e">
        <f>NA()</f>
        <v>#N/A</v>
      </c>
      <c r="C5121">
        <f>1980.84</f>
        <v>1980.84</v>
      </c>
      <c r="D5121">
        <f>2213.68</f>
        <v>2213.6799999999998</v>
      </c>
      <c r="E5121">
        <f>618.34</f>
        <v>618.34</v>
      </c>
      <c r="F5121">
        <f>1255.99</f>
        <v>1255.99</v>
      </c>
      <c r="G5121">
        <f>3821.707</f>
        <v>3821.7069999999999</v>
      </c>
      <c r="H5121">
        <f>1071.57</f>
        <v>1071.57</v>
      </c>
      <c r="I5121">
        <f>3520.448</f>
        <v>3520.4479999999999</v>
      </c>
      <c r="J5121">
        <f>995.35</f>
        <v>995.35</v>
      </c>
      <c r="K5121">
        <f>3170.07</f>
        <v>3170.07</v>
      </c>
      <c r="L5121">
        <f>643.27</f>
        <v>643.27</v>
      </c>
      <c r="M5121">
        <f>2735.11</f>
        <v>2735.11</v>
      </c>
      <c r="N5121">
        <f>109.964</f>
        <v>109.964</v>
      </c>
      <c r="O5121">
        <f>1085.85</f>
        <v>1085.8499999999999</v>
      </c>
      <c r="P5121" t="e">
        <f>NA()</f>
        <v>#N/A</v>
      </c>
      <c r="Q5121">
        <f>542.53</f>
        <v>542.53</v>
      </c>
      <c r="R5121">
        <f>1541.3</f>
        <v>1541.3</v>
      </c>
      <c r="S5121">
        <f>1150.83</f>
        <v>1150.83</v>
      </c>
      <c r="T5121" t="e">
        <f>NA()</f>
        <v>#N/A</v>
      </c>
      <c r="U5121">
        <f>9864.33</f>
        <v>9864.33</v>
      </c>
      <c r="V5121" t="e">
        <f>NA()</f>
        <v>#N/A</v>
      </c>
    </row>
    <row r="5122" spans="1:22" x14ac:dyDescent="0.2">
      <c r="A5122" s="1">
        <v>37937</v>
      </c>
      <c r="B5122" t="e">
        <f>NA()</f>
        <v>#N/A</v>
      </c>
      <c r="C5122">
        <f>1957.57</f>
        <v>1957.57</v>
      </c>
      <c r="D5122">
        <f>2212.77</f>
        <v>2212.77</v>
      </c>
      <c r="E5122">
        <f>610.784</f>
        <v>610.78399999999999</v>
      </c>
      <c r="F5122">
        <f>1249.55</f>
        <v>1249.55</v>
      </c>
      <c r="G5122">
        <f>3801.912</f>
        <v>3801.9119999999998</v>
      </c>
      <c r="H5122">
        <f>1059.82</f>
        <v>1059.82</v>
      </c>
      <c r="I5122">
        <f>3482.67</f>
        <v>3482.67</v>
      </c>
      <c r="J5122">
        <f>991.84</f>
        <v>991.84</v>
      </c>
      <c r="K5122">
        <f>3169.51</f>
        <v>3169.51</v>
      </c>
      <c r="L5122">
        <f>639.68</f>
        <v>639.67999999999995</v>
      </c>
      <c r="M5122">
        <f>2722.46</f>
        <v>2722.46</v>
      </c>
      <c r="N5122">
        <f>108.864</f>
        <v>108.864</v>
      </c>
      <c r="O5122">
        <f>1081.34</f>
        <v>1081.3399999999999</v>
      </c>
      <c r="P5122" t="e">
        <f>NA()</f>
        <v>#N/A</v>
      </c>
      <c r="Q5122">
        <f>541.88</f>
        <v>541.88</v>
      </c>
      <c r="R5122">
        <f>1541.49</f>
        <v>1541.49</v>
      </c>
      <c r="S5122">
        <f>1136.89</f>
        <v>1136.8900000000001</v>
      </c>
      <c r="T5122" t="e">
        <f>NA()</f>
        <v>#N/A</v>
      </c>
      <c r="U5122">
        <f>9827.34</f>
        <v>9827.34</v>
      </c>
      <c r="V5122" t="e">
        <f>NA()</f>
        <v>#N/A</v>
      </c>
    </row>
    <row r="5123" spans="1:22" x14ac:dyDescent="0.2">
      <c r="A5123" s="1">
        <v>37936</v>
      </c>
      <c r="B5123" t="e">
        <f>NA()</f>
        <v>#N/A</v>
      </c>
      <c r="C5123">
        <f>1946.42</f>
        <v>1946.42</v>
      </c>
      <c r="D5123">
        <f>2196.89</f>
        <v>2196.89</v>
      </c>
      <c r="E5123">
        <f>606.495</f>
        <v>606.495</v>
      </c>
      <c r="F5123">
        <f>1241.12</f>
        <v>1241.1199999999999</v>
      </c>
      <c r="G5123">
        <f>3751.861</f>
        <v>3751.8609999999999</v>
      </c>
      <c r="H5123">
        <f>1063.46</f>
        <v>1063.46</v>
      </c>
      <c r="I5123">
        <f>3437.693</f>
        <v>3437.6930000000002</v>
      </c>
      <c r="J5123">
        <f>981.99</f>
        <v>981.99</v>
      </c>
      <c r="K5123">
        <f>3131.49</f>
        <v>3131.49</v>
      </c>
      <c r="L5123">
        <f>634.34</f>
        <v>634.34</v>
      </c>
      <c r="M5123">
        <f>2693.6</f>
        <v>2693.6</v>
      </c>
      <c r="N5123">
        <f>108.909</f>
        <v>108.90900000000001</v>
      </c>
      <c r="O5123">
        <f>1078.33</f>
        <v>1078.33</v>
      </c>
      <c r="P5123" t="e">
        <f>NA()</f>
        <v>#N/A</v>
      </c>
      <c r="Q5123">
        <f>536.33</f>
        <v>536.33000000000004</v>
      </c>
      <c r="R5123">
        <f>1523.47</f>
        <v>1523.47</v>
      </c>
      <c r="S5123">
        <f>1138.19</f>
        <v>1138.19</v>
      </c>
      <c r="T5123" t="e">
        <f>NA()</f>
        <v>#N/A</v>
      </c>
      <c r="U5123">
        <f>9766.29</f>
        <v>9766.2900000000009</v>
      </c>
      <c r="V5123" t="e">
        <f>NA()</f>
        <v>#N/A</v>
      </c>
    </row>
    <row r="5124" spans="1:22" x14ac:dyDescent="0.2">
      <c r="A5124" s="1">
        <v>37935</v>
      </c>
      <c r="B5124" t="e">
        <f>NA()</f>
        <v>#N/A</v>
      </c>
      <c r="C5124">
        <f>1962.03</f>
        <v>1962.03</v>
      </c>
      <c r="D5124">
        <f>2195.22</f>
        <v>2195.2199999999998</v>
      </c>
      <c r="E5124">
        <f>613.087</f>
        <v>613.08699999999999</v>
      </c>
      <c r="F5124">
        <f>1248.48</f>
        <v>1248.48</v>
      </c>
      <c r="G5124">
        <f>3764.005</f>
        <v>3764.0050000000001</v>
      </c>
      <c r="H5124">
        <f>1092.01</f>
        <v>1092.01</v>
      </c>
      <c r="I5124">
        <f>3446.807</f>
        <v>3446.8069999999998</v>
      </c>
      <c r="J5124">
        <f>981.71</f>
        <v>981.71</v>
      </c>
      <c r="K5124">
        <f>3133.7</f>
        <v>3133.7</v>
      </c>
      <c r="L5124">
        <f>635.39</f>
        <v>635.39</v>
      </c>
      <c r="M5124">
        <f>2706.24</f>
        <v>2706.24</v>
      </c>
      <c r="N5124">
        <f>109.944</f>
        <v>109.944</v>
      </c>
      <c r="O5124">
        <f>1083.22</f>
        <v>1083.22</v>
      </c>
      <c r="P5124" t="e">
        <f>NA()</f>
        <v>#N/A</v>
      </c>
      <c r="Q5124">
        <f>535.43</f>
        <v>535.42999999999995</v>
      </c>
      <c r="R5124">
        <f>1524.26</f>
        <v>1524.26</v>
      </c>
      <c r="S5124">
        <f>1167.63</f>
        <v>1167.6300000000001</v>
      </c>
      <c r="T5124" t="e">
        <f>NA()</f>
        <v>#N/A</v>
      </c>
      <c r="U5124">
        <f>9887.38</f>
        <v>9887.3799999999992</v>
      </c>
      <c r="V5124" t="e">
        <f>NA()</f>
        <v>#N/A</v>
      </c>
    </row>
    <row r="5125" spans="1:22" x14ac:dyDescent="0.2">
      <c r="A5125" s="1">
        <v>37932</v>
      </c>
      <c r="B5125" t="e">
        <f>NA()</f>
        <v>#N/A</v>
      </c>
      <c r="C5125">
        <f>1969.86</f>
        <v>1969.86</v>
      </c>
      <c r="D5125">
        <f>2212.97</f>
        <v>2212.9699999999998</v>
      </c>
      <c r="E5125">
        <f>616.585</f>
        <v>616.58500000000004</v>
      </c>
      <c r="F5125">
        <f>1252.62</f>
        <v>1252.6199999999999</v>
      </c>
      <c r="G5125">
        <f>3787.244</f>
        <v>3787.2440000000001</v>
      </c>
      <c r="H5125">
        <f>1077.78</f>
        <v>1077.78</v>
      </c>
      <c r="I5125">
        <f>3465.89</f>
        <v>3465.89</v>
      </c>
      <c r="J5125">
        <f>983.69</f>
        <v>983.69</v>
      </c>
      <c r="K5125">
        <f>3152.06</f>
        <v>3152.06</v>
      </c>
      <c r="L5125">
        <f>636.64</f>
        <v>636.64</v>
      </c>
      <c r="M5125">
        <f>2718.73</f>
        <v>2718.73</v>
      </c>
      <c r="N5125">
        <f>110.365</f>
        <v>110.36499999999999</v>
      </c>
      <c r="O5125">
        <f>1091.31</f>
        <v>1091.31</v>
      </c>
      <c r="P5125" t="e">
        <f>NA()</f>
        <v>#N/A</v>
      </c>
      <c r="Q5125">
        <f>539.15</f>
        <v>539.15</v>
      </c>
      <c r="R5125">
        <f>1533.02</f>
        <v>1533.02</v>
      </c>
      <c r="S5125">
        <f>1180.95</f>
        <v>1180.95</v>
      </c>
      <c r="T5125" t="e">
        <f>NA()</f>
        <v>#N/A</v>
      </c>
      <c r="U5125">
        <f>9928.84</f>
        <v>9928.84</v>
      </c>
      <c r="V5125" t="e">
        <f>NA()</f>
        <v>#N/A</v>
      </c>
    </row>
    <row r="5126" spans="1:22" x14ac:dyDescent="0.2">
      <c r="A5126" s="1">
        <v>37931</v>
      </c>
      <c r="B5126" t="e">
        <f>NA()</f>
        <v>#N/A</v>
      </c>
      <c r="C5126">
        <f>1963.92</f>
        <v>1963.92</v>
      </c>
      <c r="D5126">
        <f>2186.33</f>
        <v>2186.33</v>
      </c>
      <c r="E5126">
        <f>612.58</f>
        <v>612.58000000000004</v>
      </c>
      <c r="F5126">
        <f>1236.54</f>
        <v>1236.54</v>
      </c>
      <c r="G5126">
        <f>3742.769</f>
        <v>3742.7689999999998</v>
      </c>
      <c r="H5126">
        <f>1060.96</f>
        <v>1060.96</v>
      </c>
      <c r="I5126">
        <f>3415.056</f>
        <v>3415.056</v>
      </c>
      <c r="J5126">
        <f>987.2</f>
        <v>987.2</v>
      </c>
      <c r="K5126">
        <f>3166.12</f>
        <v>3166.12</v>
      </c>
      <c r="L5126">
        <f>632.48</f>
        <v>632.48</v>
      </c>
      <c r="M5126">
        <f>2710.26</f>
        <v>2710.26</v>
      </c>
      <c r="N5126">
        <f>109.529</f>
        <v>109.529</v>
      </c>
      <c r="O5126">
        <f>1081.3</f>
        <v>1081.3</v>
      </c>
      <c r="P5126" t="e">
        <f>NA()</f>
        <v>#N/A</v>
      </c>
      <c r="Q5126">
        <f>539.88</f>
        <v>539.88</v>
      </c>
      <c r="R5126">
        <f>1539.75</f>
        <v>1539.75</v>
      </c>
      <c r="S5126">
        <f>1170.12</f>
        <v>1170.1199999999999</v>
      </c>
      <c r="T5126" t="e">
        <f>NA()</f>
        <v>#N/A</v>
      </c>
      <c r="U5126">
        <f>9888.22</f>
        <v>9888.2199999999993</v>
      </c>
      <c r="V5126" t="e">
        <f>NA()</f>
        <v>#N/A</v>
      </c>
    </row>
    <row r="5127" spans="1:22" x14ac:dyDescent="0.2">
      <c r="A5127" s="1">
        <v>37930</v>
      </c>
      <c r="B5127" t="e">
        <f>NA()</f>
        <v>#N/A</v>
      </c>
      <c r="C5127">
        <f>1969.19</f>
        <v>1969.19</v>
      </c>
      <c r="D5127">
        <f>2175.83</f>
        <v>2175.83</v>
      </c>
      <c r="E5127">
        <f>617.89</f>
        <v>617.89</v>
      </c>
      <c r="F5127">
        <f>1242.95</f>
        <v>1242.95</v>
      </c>
      <c r="G5127">
        <f>3751.723</f>
        <v>3751.723</v>
      </c>
      <c r="H5127">
        <f>1085.66</f>
        <v>1085.6600000000001</v>
      </c>
      <c r="I5127">
        <f>3409.867</f>
        <v>3409.8670000000002</v>
      </c>
      <c r="J5127">
        <f>985.44</f>
        <v>985.44</v>
      </c>
      <c r="K5127">
        <f>3147</f>
        <v>3147</v>
      </c>
      <c r="L5127">
        <f>633.29</f>
        <v>633.29</v>
      </c>
      <c r="M5127">
        <f>2708.96</f>
        <v>2708.96</v>
      </c>
      <c r="N5127">
        <f>109.285</f>
        <v>109.285</v>
      </c>
      <c r="O5127">
        <f>1075.81</f>
        <v>1075.81</v>
      </c>
      <c r="P5127" t="e">
        <f>NA()</f>
        <v>#N/A</v>
      </c>
      <c r="Q5127">
        <f>537.1</f>
        <v>537.1</v>
      </c>
      <c r="R5127">
        <f>1530.54</f>
        <v>1530.54</v>
      </c>
      <c r="S5127">
        <f>1201.47</f>
        <v>1201.47</v>
      </c>
      <c r="T5127" t="e">
        <f>NA()</f>
        <v>#N/A</v>
      </c>
      <c r="U5127">
        <f>9792.21</f>
        <v>9792.2099999999991</v>
      </c>
      <c r="V5127" t="e">
        <f>NA()</f>
        <v>#N/A</v>
      </c>
    </row>
    <row r="5128" spans="1:22" x14ac:dyDescent="0.2">
      <c r="A5128" s="1">
        <v>37929</v>
      </c>
      <c r="B5128" t="e">
        <f>NA()</f>
        <v>#N/A</v>
      </c>
      <c r="C5128">
        <f>1975.28</f>
        <v>1975.28</v>
      </c>
      <c r="D5128">
        <f>2188.98</f>
        <v>2188.98</v>
      </c>
      <c r="E5128">
        <f>617.745</f>
        <v>617.745</v>
      </c>
      <c r="F5128">
        <f>1248.62</f>
        <v>1248.6199999999999</v>
      </c>
      <c r="G5128">
        <f>3765.394</f>
        <v>3765.3939999999998</v>
      </c>
      <c r="H5128">
        <f>1091.17</f>
        <v>1091.17</v>
      </c>
      <c r="I5128">
        <f>3440.69</f>
        <v>3440.69</v>
      </c>
      <c r="J5128">
        <f>987.12</f>
        <v>987.12</v>
      </c>
      <c r="K5128">
        <f>3150.02</f>
        <v>3150.02</v>
      </c>
      <c r="L5128">
        <f>634.63</f>
        <v>634.63</v>
      </c>
      <c r="M5128">
        <f>2717.46</f>
        <v>2717.46</v>
      </c>
      <c r="N5128">
        <f>110.844</f>
        <v>110.84399999999999</v>
      </c>
      <c r="O5128">
        <f>1083.04</f>
        <v>1083.04</v>
      </c>
      <c r="P5128" t="e">
        <f>NA()</f>
        <v>#N/A</v>
      </c>
      <c r="Q5128">
        <f>536.99</f>
        <v>536.99</v>
      </c>
      <c r="R5128">
        <f>1532.34</f>
        <v>1532.34</v>
      </c>
      <c r="S5128">
        <f>1209.03</f>
        <v>1209.03</v>
      </c>
      <c r="T5128" t="e">
        <f>NA()</f>
        <v>#N/A</v>
      </c>
      <c r="U5128">
        <f>9815.37</f>
        <v>9815.3700000000008</v>
      </c>
      <c r="V5128" t="e">
        <f>NA()</f>
        <v>#N/A</v>
      </c>
    </row>
    <row r="5129" spans="1:22" x14ac:dyDescent="0.2">
      <c r="A5129" s="1">
        <v>37928</v>
      </c>
      <c r="B5129" t="e">
        <f>NA()</f>
        <v>#N/A</v>
      </c>
      <c r="C5129">
        <f>1967.16</f>
        <v>1967.16</v>
      </c>
      <c r="D5129">
        <f>2190.16</f>
        <v>2190.16</v>
      </c>
      <c r="E5129">
        <f>614.793</f>
        <v>614.79300000000001</v>
      </c>
      <c r="F5129">
        <f>1253.88</f>
        <v>1253.8800000000001</v>
      </c>
      <c r="G5129">
        <f>3775.75</f>
        <v>3775.75</v>
      </c>
      <c r="H5129">
        <f>1052.72</f>
        <v>1052.72</v>
      </c>
      <c r="I5129">
        <f>3446.049</f>
        <v>3446.049</v>
      </c>
      <c r="J5129">
        <f>993.26</f>
        <v>993.26</v>
      </c>
      <c r="K5129">
        <f>3167.38</f>
        <v>3167.38</v>
      </c>
      <c r="L5129">
        <f>635.84</f>
        <v>635.84</v>
      </c>
      <c r="M5129">
        <f>2716.35</f>
        <v>2716.35</v>
      </c>
      <c r="N5129">
        <f>111.419</f>
        <v>111.419</v>
      </c>
      <c r="O5129">
        <f>1087.56</f>
        <v>1087.56</v>
      </c>
      <c r="P5129" t="e">
        <f>NA()</f>
        <v>#N/A</v>
      </c>
      <c r="Q5129">
        <f>540.11</f>
        <v>540.11</v>
      </c>
      <c r="R5129">
        <f>1540.71</f>
        <v>1540.71</v>
      </c>
      <c r="S5129" t="e">
        <f>NA()</f>
        <v>#N/A</v>
      </c>
      <c r="T5129" t="e">
        <f>NA()</f>
        <v>#N/A</v>
      </c>
      <c r="U5129">
        <f>9775.77</f>
        <v>9775.77</v>
      </c>
      <c r="V5129" t="e">
        <f>NA()</f>
        <v>#N/A</v>
      </c>
    </row>
    <row r="5130" spans="1:22" x14ac:dyDescent="0.2">
      <c r="A5130" s="1">
        <v>37925</v>
      </c>
      <c r="B5130" t="e">
        <f>NA()</f>
        <v>#N/A</v>
      </c>
      <c r="C5130">
        <f>1948.43</f>
        <v>1948.43</v>
      </c>
      <c r="D5130">
        <f>2167.42</f>
        <v>2167.42</v>
      </c>
      <c r="E5130">
        <f>605.351</f>
        <v>605.351</v>
      </c>
      <c r="F5130">
        <f>1245.31</f>
        <v>1245.31</v>
      </c>
      <c r="G5130">
        <f>3771.08</f>
        <v>3771.08</v>
      </c>
      <c r="H5130">
        <f>1064.93</f>
        <v>1064.93</v>
      </c>
      <c r="I5130">
        <f>3428.622</f>
        <v>3428.6219999999998</v>
      </c>
      <c r="J5130">
        <f>989.03</f>
        <v>989.03</v>
      </c>
      <c r="K5130">
        <f>3142.13</f>
        <v>3142.13</v>
      </c>
      <c r="L5130">
        <f>633.74</f>
        <v>633.74</v>
      </c>
      <c r="M5130">
        <f>2704.63</f>
        <v>2704.63</v>
      </c>
      <c r="N5130">
        <f>110.224</f>
        <v>110.224</v>
      </c>
      <c r="O5130">
        <f>1069.32</f>
        <v>1069.32</v>
      </c>
      <c r="P5130" t="e">
        <f>NA()</f>
        <v>#N/A</v>
      </c>
      <c r="Q5130">
        <f>536.76</f>
        <v>536.76</v>
      </c>
      <c r="R5130">
        <f>1528.62</f>
        <v>1528.62</v>
      </c>
      <c r="S5130">
        <f>1178.93</f>
        <v>1178.93</v>
      </c>
      <c r="T5130" t="e">
        <f>NA()</f>
        <v>#N/A</v>
      </c>
      <c r="U5130">
        <f>9765.3</f>
        <v>9765.2999999999993</v>
      </c>
      <c r="V5130" t="e">
        <f>NA()</f>
        <v>#N/A</v>
      </c>
    </row>
    <row r="5131" spans="1:22" x14ac:dyDescent="0.2">
      <c r="A5131" s="1">
        <v>37924</v>
      </c>
      <c r="B5131" t="e">
        <f>NA()</f>
        <v>#N/A</v>
      </c>
      <c r="C5131">
        <f>1952.98</f>
        <v>1952.98</v>
      </c>
      <c r="D5131">
        <f>2174.16</f>
        <v>2174.16</v>
      </c>
      <c r="E5131">
        <f>606.497</f>
        <v>606.49699999999996</v>
      </c>
      <c r="F5131">
        <f>1248.66</f>
        <v>1248.6600000000001</v>
      </c>
      <c r="G5131">
        <f>3791.199</f>
        <v>3791.1990000000001</v>
      </c>
      <c r="H5131">
        <f>1083.39</f>
        <v>1083.3900000000001</v>
      </c>
      <c r="I5131">
        <f>3446.584</f>
        <v>3446.5839999999998</v>
      </c>
      <c r="J5131">
        <f>984.68</f>
        <v>984.68</v>
      </c>
      <c r="K5131">
        <f>3131.09</f>
        <v>3131.09</v>
      </c>
      <c r="L5131">
        <f>633.59</f>
        <v>633.59</v>
      </c>
      <c r="M5131">
        <f>2709.87</f>
        <v>2709.87</v>
      </c>
      <c r="N5131">
        <f>110.286</f>
        <v>110.286</v>
      </c>
      <c r="O5131">
        <f>1069.34</f>
        <v>1069.3399999999999</v>
      </c>
      <c r="P5131" t="e">
        <f>NA()</f>
        <v>#N/A</v>
      </c>
      <c r="Q5131">
        <f>534.71</f>
        <v>534.71</v>
      </c>
      <c r="R5131">
        <f>1523.12</f>
        <v>1523.12</v>
      </c>
      <c r="S5131">
        <f>1190.77</f>
        <v>1190.77</v>
      </c>
      <c r="T5131" t="e">
        <f>NA()</f>
        <v>#N/A</v>
      </c>
      <c r="U5131">
        <f>9813.94</f>
        <v>9813.94</v>
      </c>
      <c r="V5131" t="e">
        <f>NA()</f>
        <v>#N/A</v>
      </c>
    </row>
    <row r="5132" spans="1:22" x14ac:dyDescent="0.2">
      <c r="A5132" s="1">
        <v>37923</v>
      </c>
      <c r="B5132" t="e">
        <f>NA()</f>
        <v>#N/A</v>
      </c>
      <c r="C5132">
        <f>1944.28</f>
        <v>1944.28</v>
      </c>
      <c r="D5132">
        <f>2156.33</f>
        <v>2156.33</v>
      </c>
      <c r="E5132">
        <f>604.872</f>
        <v>604.87199999999996</v>
      </c>
      <c r="F5132">
        <f>1241.84</f>
        <v>1241.8399999999999</v>
      </c>
      <c r="G5132">
        <f>3763.495</f>
        <v>3763.4949999999999</v>
      </c>
      <c r="H5132">
        <f>1084.06</f>
        <v>1084.06</v>
      </c>
      <c r="I5132">
        <f>3424.535</f>
        <v>3424.5349999999999</v>
      </c>
      <c r="J5132">
        <f>986.9</f>
        <v>986.9</v>
      </c>
      <c r="K5132">
        <f>3133.69</f>
        <v>3133.69</v>
      </c>
      <c r="L5132">
        <f>632.13</f>
        <v>632.13</v>
      </c>
      <c r="M5132">
        <f>2707.24</f>
        <v>2707.24</v>
      </c>
      <c r="N5132">
        <f>108.684</f>
        <v>108.684</v>
      </c>
      <c r="O5132">
        <f>1060.98</f>
        <v>1060.98</v>
      </c>
      <c r="P5132" t="e">
        <f>NA()</f>
        <v>#N/A</v>
      </c>
      <c r="Q5132">
        <f>533.37</f>
        <v>533.37</v>
      </c>
      <c r="R5132">
        <f>1524.41</f>
        <v>1524.41</v>
      </c>
      <c r="S5132">
        <f>1194.49</f>
        <v>1194.49</v>
      </c>
      <c r="T5132" t="e">
        <f>NA()</f>
        <v>#N/A</v>
      </c>
      <c r="U5132">
        <f>9695.88</f>
        <v>9695.8799999999992</v>
      </c>
      <c r="V5132" t="e">
        <f>NA()</f>
        <v>#N/A</v>
      </c>
    </row>
    <row r="5133" spans="1:22" x14ac:dyDescent="0.2">
      <c r="A5133" s="1">
        <v>37922</v>
      </c>
      <c r="B5133" t="e">
        <f>NA()</f>
        <v>#N/A</v>
      </c>
      <c r="C5133">
        <f>1935.4</f>
        <v>1935.4</v>
      </c>
      <c r="D5133">
        <f>2158.87</f>
        <v>2158.87</v>
      </c>
      <c r="E5133">
        <f>602.302</f>
        <v>602.30200000000002</v>
      </c>
      <c r="F5133">
        <f>1234.69</f>
        <v>1234.69</v>
      </c>
      <c r="G5133">
        <f>3752.265</f>
        <v>3752.2649999999999</v>
      </c>
      <c r="H5133">
        <f>1072.41</f>
        <v>1072.4100000000001</v>
      </c>
      <c r="I5133">
        <f>3409.541</f>
        <v>3409.5410000000002</v>
      </c>
      <c r="J5133">
        <f>984.16</f>
        <v>984.16</v>
      </c>
      <c r="K5133">
        <f>3129.41</f>
        <v>3129.41</v>
      </c>
      <c r="L5133">
        <f>630.7</f>
        <v>630.70000000000005</v>
      </c>
      <c r="M5133">
        <f>2697.49</f>
        <v>2697.49</v>
      </c>
      <c r="N5133">
        <f>107.571</f>
        <v>107.571</v>
      </c>
      <c r="O5133">
        <f>1056.98</f>
        <v>1056.98</v>
      </c>
      <c r="P5133" t="e">
        <f>NA()</f>
        <v>#N/A</v>
      </c>
      <c r="Q5133">
        <f>532.76</f>
        <v>532.76</v>
      </c>
      <c r="R5133">
        <f>1522.21</f>
        <v>1522.21</v>
      </c>
      <c r="S5133">
        <f>1180.97</f>
        <v>1180.97</v>
      </c>
      <c r="T5133" t="e">
        <f>NA()</f>
        <v>#N/A</v>
      </c>
      <c r="U5133">
        <f>9644.84</f>
        <v>9644.84</v>
      </c>
      <c r="V5133" t="e">
        <f>NA()</f>
        <v>#N/A</v>
      </c>
    </row>
    <row r="5134" spans="1:22" x14ac:dyDescent="0.2">
      <c r="A5134" s="1">
        <v>37921</v>
      </c>
      <c r="B5134" t="e">
        <f>NA()</f>
        <v>#N/A</v>
      </c>
      <c r="C5134">
        <f>1915.79</f>
        <v>1915.79</v>
      </c>
      <c r="D5134">
        <f>2147.95</f>
        <v>2147.9499999999998</v>
      </c>
      <c r="E5134">
        <f>593.264</f>
        <v>593.26400000000001</v>
      </c>
      <c r="F5134">
        <f>1218.36</f>
        <v>1218.3599999999999</v>
      </c>
      <c r="G5134">
        <f>3737.318</f>
        <v>3737.3180000000002</v>
      </c>
      <c r="H5134">
        <f>1066.89</f>
        <v>1066.8900000000001</v>
      </c>
      <c r="I5134">
        <f>3400.808</f>
        <v>3400.808</v>
      </c>
      <c r="J5134">
        <f>974.48</f>
        <v>974.48</v>
      </c>
      <c r="K5134">
        <f>3081.5</f>
        <v>3081.5</v>
      </c>
      <c r="L5134">
        <f>628.05</f>
        <v>628.04999999999995</v>
      </c>
      <c r="M5134">
        <f>2667.93</f>
        <v>2667.93</v>
      </c>
      <c r="N5134">
        <f>107.161</f>
        <v>107.161</v>
      </c>
      <c r="O5134">
        <f>1045.79</f>
        <v>1045.79</v>
      </c>
      <c r="P5134" t="e">
        <f>NA()</f>
        <v>#N/A</v>
      </c>
      <c r="Q5134">
        <f>527.59</f>
        <v>527.59</v>
      </c>
      <c r="R5134">
        <f>1499.43</f>
        <v>1499.43</v>
      </c>
      <c r="S5134">
        <f>1167.07</f>
        <v>1167.07</v>
      </c>
      <c r="T5134" t="e">
        <f>NA()</f>
        <v>#N/A</v>
      </c>
      <c r="U5134">
        <f>9502.59</f>
        <v>9502.59</v>
      </c>
      <c r="V5134" t="e">
        <f>NA()</f>
        <v>#N/A</v>
      </c>
    </row>
    <row r="5135" spans="1:22" x14ac:dyDescent="0.2">
      <c r="A5135" s="1">
        <v>37918</v>
      </c>
      <c r="B5135" t="e">
        <f>NA()</f>
        <v>#N/A</v>
      </c>
      <c r="C5135">
        <f>1912.2</f>
        <v>1912.2</v>
      </c>
      <c r="D5135">
        <f>2141.73</f>
        <v>2141.73</v>
      </c>
      <c r="E5135">
        <f>592.73</f>
        <v>592.73</v>
      </c>
      <c r="F5135">
        <f>1218.51</f>
        <v>1218.51</v>
      </c>
      <c r="G5135">
        <f>3730.236</f>
        <v>3730.2359999999999</v>
      </c>
      <c r="H5135">
        <f>1047.2</f>
        <v>1047.2</v>
      </c>
      <c r="I5135">
        <f>3381.684</f>
        <v>3381.6840000000002</v>
      </c>
      <c r="J5135">
        <f>975.88</f>
        <v>975.88</v>
      </c>
      <c r="K5135">
        <f>3074.74</f>
        <v>3074.74</v>
      </c>
      <c r="L5135">
        <f>627.31</f>
        <v>627.30999999999995</v>
      </c>
      <c r="M5135">
        <f>2657.03</f>
        <v>2657.03</v>
      </c>
      <c r="N5135">
        <f>106.233</f>
        <v>106.233</v>
      </c>
      <c r="O5135">
        <f>1036.44</f>
        <v>1036.44</v>
      </c>
      <c r="P5135" t="e">
        <f>NA()</f>
        <v>#N/A</v>
      </c>
      <c r="Q5135">
        <f>523.92</f>
        <v>523.91999999999996</v>
      </c>
      <c r="R5135">
        <f>1496.2</f>
        <v>1496.2</v>
      </c>
      <c r="S5135">
        <f>1158.15</f>
        <v>1158.1500000000001</v>
      </c>
      <c r="T5135" t="e">
        <f>NA()</f>
        <v>#N/A</v>
      </c>
      <c r="U5135">
        <f>9498.25</f>
        <v>9498.25</v>
      </c>
      <c r="V5135" t="e">
        <f>NA()</f>
        <v>#N/A</v>
      </c>
    </row>
    <row r="5136" spans="1:22" x14ac:dyDescent="0.2">
      <c r="A5136" s="1">
        <v>37917</v>
      </c>
      <c r="B5136" t="e">
        <f>NA()</f>
        <v>#N/A</v>
      </c>
      <c r="C5136">
        <f>1905.8</f>
        <v>1905.8</v>
      </c>
      <c r="D5136">
        <f>2142.35</f>
        <v>2142.35</v>
      </c>
      <c r="E5136">
        <f>592.735</f>
        <v>592.73500000000001</v>
      </c>
      <c r="F5136">
        <f>1210.58</f>
        <v>1210.58</v>
      </c>
      <c r="G5136">
        <f>3721.084</f>
        <v>3721.0839999999998</v>
      </c>
      <c r="H5136">
        <f>1043.95</f>
        <v>1043.95</v>
      </c>
      <c r="I5136">
        <f>3374.641</f>
        <v>3374.6410000000001</v>
      </c>
      <c r="J5136">
        <f>976.09</f>
        <v>976.09</v>
      </c>
      <c r="K5136">
        <f>3087.8</f>
        <v>3087.8</v>
      </c>
      <c r="L5136">
        <f>626.9</f>
        <v>626.9</v>
      </c>
      <c r="M5136">
        <f>2659.73</f>
        <v>2659.73</v>
      </c>
      <c r="N5136">
        <f>106.191</f>
        <v>106.191</v>
      </c>
      <c r="O5136">
        <f>1036.65</f>
        <v>1036.6500000000001</v>
      </c>
      <c r="P5136" t="e">
        <f>NA()</f>
        <v>#N/A</v>
      </c>
      <c r="Q5136">
        <f>524.62</f>
        <v>524.62</v>
      </c>
      <c r="R5136">
        <f>1503.26</f>
        <v>1503.26</v>
      </c>
      <c r="S5136">
        <f>1149.16</f>
        <v>1149.1600000000001</v>
      </c>
      <c r="T5136" t="e">
        <f>NA()</f>
        <v>#N/A</v>
      </c>
      <c r="U5136">
        <f>9528.51</f>
        <v>9528.51</v>
      </c>
      <c r="V5136" t="e">
        <f>NA()</f>
        <v>#N/A</v>
      </c>
    </row>
    <row r="5137" spans="1:22" x14ac:dyDescent="0.2">
      <c r="A5137" s="1">
        <v>37916</v>
      </c>
      <c r="B5137" t="e">
        <f>NA()</f>
        <v>#N/A</v>
      </c>
      <c r="C5137">
        <f>1934.86</f>
        <v>1934.86</v>
      </c>
      <c r="D5137">
        <f>2165.29</f>
        <v>2165.29</v>
      </c>
      <c r="E5137">
        <f>604.867</f>
        <v>604.86699999999996</v>
      </c>
      <c r="F5137">
        <f>1229.26</f>
        <v>1229.26</v>
      </c>
      <c r="G5137">
        <f>3755.541</f>
        <v>3755.5410000000002</v>
      </c>
      <c r="H5137">
        <f>1089.78</f>
        <v>1089.78</v>
      </c>
      <c r="I5137">
        <f>3398.21</f>
        <v>3398.21</v>
      </c>
      <c r="J5137">
        <f>968.21</f>
        <v>968.21</v>
      </c>
      <c r="K5137">
        <f>3077.03</f>
        <v>3077.03</v>
      </c>
      <c r="L5137">
        <f>628.95</f>
        <v>628.95000000000005</v>
      </c>
      <c r="M5137">
        <f>2677.86</f>
        <v>2677.86</v>
      </c>
      <c r="N5137">
        <f>106.836</f>
        <v>106.836</v>
      </c>
      <c r="O5137">
        <f>1046.65</f>
        <v>1046.6500000000001</v>
      </c>
      <c r="P5137" t="e">
        <f>NA()</f>
        <v>#N/A</v>
      </c>
      <c r="Q5137">
        <f>522.53</f>
        <v>522.53</v>
      </c>
      <c r="R5137">
        <f>1498.28</f>
        <v>1498.28</v>
      </c>
      <c r="S5137">
        <f>1213.25</f>
        <v>1213.25</v>
      </c>
      <c r="T5137" t="e">
        <f>NA()</f>
        <v>#N/A</v>
      </c>
      <c r="U5137">
        <f>9607.18</f>
        <v>9607.18</v>
      </c>
      <c r="V5137" t="e">
        <f>NA()</f>
        <v>#N/A</v>
      </c>
    </row>
    <row r="5138" spans="1:22" x14ac:dyDescent="0.2">
      <c r="A5138" s="1">
        <v>37915</v>
      </c>
      <c r="B5138" t="e">
        <f>NA()</f>
        <v>#N/A</v>
      </c>
      <c r="C5138">
        <f>1938.06</f>
        <v>1938.06</v>
      </c>
      <c r="D5138">
        <f>2198.98</f>
        <v>2198.98</v>
      </c>
      <c r="E5138">
        <f>606.481</f>
        <v>606.48099999999999</v>
      </c>
      <c r="F5138">
        <f>1240.72</f>
        <v>1240.72</v>
      </c>
      <c r="G5138">
        <f>3784.877</f>
        <v>3784.877</v>
      </c>
      <c r="H5138">
        <f>1095</f>
        <v>1095</v>
      </c>
      <c r="I5138">
        <f>3427.093</f>
        <v>3427.0929999999998</v>
      </c>
      <c r="J5138">
        <f>982.06</f>
        <v>982.06</v>
      </c>
      <c r="K5138">
        <f>3124.35</f>
        <v>3124.35</v>
      </c>
      <c r="L5138">
        <f>634.43</f>
        <v>634.42999999999995</v>
      </c>
      <c r="M5138">
        <f>2710.06</f>
        <v>2710.06</v>
      </c>
      <c r="N5138">
        <f>108.551</f>
        <v>108.551</v>
      </c>
      <c r="O5138">
        <f>1063.28</f>
        <v>1063.28</v>
      </c>
      <c r="P5138" t="e">
        <f>NA()</f>
        <v>#N/A</v>
      </c>
      <c r="Q5138">
        <f>528.25</f>
        <v>528.25</v>
      </c>
      <c r="R5138">
        <f>1520.93</f>
        <v>1520.93</v>
      </c>
      <c r="S5138">
        <f>1235.34</f>
        <v>1235.3399999999999</v>
      </c>
      <c r="T5138" t="e">
        <f>NA()</f>
        <v>#N/A</v>
      </c>
      <c r="U5138">
        <f>9732.9</f>
        <v>9732.9</v>
      </c>
      <c r="V5138" t="e">
        <f>NA()</f>
        <v>#N/A</v>
      </c>
    </row>
    <row r="5139" spans="1:22" x14ac:dyDescent="0.2">
      <c r="A5139" s="1">
        <v>37914</v>
      </c>
      <c r="B5139" t="e">
        <f>NA()</f>
        <v>#N/A</v>
      </c>
      <c r="C5139">
        <f>1938.36</f>
        <v>1938.36</v>
      </c>
      <c r="D5139">
        <f>2196.57</f>
        <v>2196.5700000000002</v>
      </c>
      <c r="E5139">
        <f>608.032</f>
        <v>608.03200000000004</v>
      </c>
      <c r="F5139">
        <f>1236.51</f>
        <v>1236.51</v>
      </c>
      <c r="G5139">
        <f>3779.837</f>
        <v>3779.837</v>
      </c>
      <c r="H5139">
        <f>1090.2</f>
        <v>1090.2</v>
      </c>
      <c r="I5139">
        <f>3415.173</f>
        <v>3415.1729999999998</v>
      </c>
      <c r="J5139">
        <f>982.87</f>
        <v>982.87</v>
      </c>
      <c r="K5139">
        <f>3119.5</f>
        <v>3119.5</v>
      </c>
      <c r="L5139">
        <f>634.01</f>
        <v>634.01</v>
      </c>
      <c r="M5139">
        <f>2704.55</f>
        <v>2704.55</v>
      </c>
      <c r="N5139">
        <f>108.386</f>
        <v>108.386</v>
      </c>
      <c r="O5139">
        <f>1062.43</f>
        <v>1062.43</v>
      </c>
      <c r="P5139" t="e">
        <f>NA()</f>
        <v>#N/A</v>
      </c>
      <c r="Q5139">
        <f>529.16</f>
        <v>529.16</v>
      </c>
      <c r="R5139">
        <f>1518.97</f>
        <v>1518.97</v>
      </c>
      <c r="S5139">
        <f>1249.22</f>
        <v>1249.22</v>
      </c>
      <c r="T5139" t="e">
        <f>NA()</f>
        <v>#N/A</v>
      </c>
      <c r="U5139">
        <f>9807.18</f>
        <v>9807.18</v>
      </c>
      <c r="V5139" t="e">
        <f>NA()</f>
        <v>#N/A</v>
      </c>
    </row>
    <row r="5140" spans="1:22" x14ac:dyDescent="0.2">
      <c r="A5140" s="1">
        <v>37911</v>
      </c>
      <c r="B5140" t="e">
        <f>NA()</f>
        <v>#N/A</v>
      </c>
      <c r="C5140">
        <f>1938.04</f>
        <v>1938.04</v>
      </c>
      <c r="D5140">
        <f>2194.77</f>
        <v>2194.77</v>
      </c>
      <c r="E5140">
        <f>605.793</f>
        <v>605.79300000000001</v>
      </c>
      <c r="F5140">
        <f>1223.34</f>
        <v>1223.3399999999999</v>
      </c>
      <c r="G5140">
        <f>3767.677</f>
        <v>3767.6770000000001</v>
      </c>
      <c r="H5140">
        <f>1093.51</f>
        <v>1093.51</v>
      </c>
      <c r="I5140">
        <f>3404.846</f>
        <v>3404.846</v>
      </c>
      <c r="J5140">
        <f>979.02</f>
        <v>979.02</v>
      </c>
      <c r="K5140">
        <f>3103.64</f>
        <v>3103.64</v>
      </c>
      <c r="L5140">
        <f>632.13</f>
        <v>632.13</v>
      </c>
      <c r="M5140">
        <f>2694.23</f>
        <v>2694.23</v>
      </c>
      <c r="N5140">
        <f>108.053</f>
        <v>108.053</v>
      </c>
      <c r="O5140">
        <f>1063.28</f>
        <v>1063.28</v>
      </c>
      <c r="P5140" t="e">
        <f>NA()</f>
        <v>#N/A</v>
      </c>
      <c r="Q5140">
        <f>527.49</f>
        <v>527.49</v>
      </c>
      <c r="R5140">
        <f>1511.18</f>
        <v>1511.18</v>
      </c>
      <c r="S5140">
        <f>1236.79</f>
        <v>1236.79</v>
      </c>
      <c r="T5140" t="e">
        <f>NA()</f>
        <v>#N/A</v>
      </c>
      <c r="U5140">
        <f>9854.68</f>
        <v>9854.68</v>
      </c>
      <c r="V5140" t="e">
        <f>NA()</f>
        <v>#N/A</v>
      </c>
    </row>
    <row r="5141" spans="1:22" x14ac:dyDescent="0.2">
      <c r="A5141" s="1">
        <v>37910</v>
      </c>
      <c r="B5141" t="e">
        <f>NA()</f>
        <v>#N/A</v>
      </c>
      <c r="C5141">
        <f>1940.14</f>
        <v>1940.14</v>
      </c>
      <c r="D5141">
        <f>2192.6</f>
        <v>2192.6</v>
      </c>
      <c r="E5141">
        <f>608.649</f>
        <v>608.649</v>
      </c>
      <c r="F5141">
        <f>1232.74</f>
        <v>1232.74</v>
      </c>
      <c r="G5141">
        <f>3784.546</f>
        <v>3784.5459999999998</v>
      </c>
      <c r="H5141">
        <f>1099.82</f>
        <v>1099.82</v>
      </c>
      <c r="I5141">
        <f>3433.713</f>
        <v>3433.7130000000002</v>
      </c>
      <c r="J5141">
        <f>986.12</f>
        <v>986.12</v>
      </c>
      <c r="K5141">
        <f>3135.74</f>
        <v>3135.74</v>
      </c>
      <c r="L5141">
        <f>635.79</f>
        <v>635.79</v>
      </c>
      <c r="M5141">
        <f>2715.63</f>
        <v>2715.63</v>
      </c>
      <c r="N5141">
        <f>108.777</f>
        <v>108.777</v>
      </c>
      <c r="O5141">
        <f>1064.72</f>
        <v>1064.72</v>
      </c>
      <c r="P5141" t="e">
        <f>NA()</f>
        <v>#N/A</v>
      </c>
      <c r="Q5141">
        <f>530.93</f>
        <v>530.92999999999995</v>
      </c>
      <c r="R5141">
        <f>1526.8</f>
        <v>1526.8</v>
      </c>
      <c r="S5141">
        <f>1232.57</f>
        <v>1232.57</v>
      </c>
      <c r="T5141" t="e">
        <f>NA()</f>
        <v>#N/A</v>
      </c>
      <c r="U5141">
        <f>9656.36</f>
        <v>9656.36</v>
      </c>
      <c r="V5141" t="e">
        <f>NA()</f>
        <v>#N/A</v>
      </c>
    </row>
    <row r="5142" spans="1:22" x14ac:dyDescent="0.2">
      <c r="A5142" s="1">
        <v>37909</v>
      </c>
      <c r="B5142" t="e">
        <f>NA()</f>
        <v>#N/A</v>
      </c>
      <c r="C5142">
        <f>1925.92</f>
        <v>1925.92</v>
      </c>
      <c r="D5142">
        <f>2207.32</f>
        <v>2207.3200000000002</v>
      </c>
      <c r="E5142">
        <f>603.013</f>
        <v>603.01300000000003</v>
      </c>
      <c r="F5142">
        <f>1231.32</f>
        <v>1231.32</v>
      </c>
      <c r="G5142">
        <f>3780.486</f>
        <v>3780.4859999999999</v>
      </c>
      <c r="H5142">
        <f>1090.93</f>
        <v>1090.93</v>
      </c>
      <c r="I5142">
        <f>3430.675</f>
        <v>3430.6750000000002</v>
      </c>
      <c r="J5142">
        <f>983.07</f>
        <v>983.07</v>
      </c>
      <c r="K5142">
        <f>3125.03</f>
        <v>3125.03</v>
      </c>
      <c r="L5142">
        <f>634.45</f>
        <v>634.45000000000005</v>
      </c>
      <c r="M5142">
        <f>2704.89</f>
        <v>2704.89</v>
      </c>
      <c r="N5142">
        <f>108.806</f>
        <v>108.806</v>
      </c>
      <c r="O5142">
        <f>1069.15</f>
        <v>1069.1500000000001</v>
      </c>
      <c r="P5142" t="e">
        <f>NA()</f>
        <v>#N/A</v>
      </c>
      <c r="Q5142">
        <f>529.83</f>
        <v>529.83000000000004</v>
      </c>
      <c r="R5142">
        <f>1521.95</f>
        <v>1521.95</v>
      </c>
      <c r="S5142">
        <f>1220.64</f>
        <v>1220.6400000000001</v>
      </c>
      <c r="T5142" t="e">
        <f>NA()</f>
        <v>#N/A</v>
      </c>
      <c r="U5142">
        <f>9623.78</f>
        <v>9623.7800000000007</v>
      </c>
      <c r="V5142" t="e">
        <f>NA()</f>
        <v>#N/A</v>
      </c>
    </row>
    <row r="5143" spans="1:22" x14ac:dyDescent="0.2">
      <c r="A5143" s="1">
        <v>37908</v>
      </c>
      <c r="B5143" t="e">
        <f>NA()</f>
        <v>#N/A</v>
      </c>
      <c r="C5143">
        <f>1932.28</f>
        <v>1932.28</v>
      </c>
      <c r="D5143">
        <f>2188.95</f>
        <v>2188.9499999999998</v>
      </c>
      <c r="E5143">
        <f>604.324</f>
        <v>604.32399999999996</v>
      </c>
      <c r="F5143">
        <f>1217.7</f>
        <v>1217.7</v>
      </c>
      <c r="G5143">
        <f>3747.725</f>
        <v>3747.7249999999999</v>
      </c>
      <c r="H5143">
        <f>1093.09</f>
        <v>1093.0899999999999</v>
      </c>
      <c r="I5143">
        <f>3421.646</f>
        <v>3421.6460000000002</v>
      </c>
      <c r="J5143">
        <f>987.31</f>
        <v>987.31</v>
      </c>
      <c r="K5143">
        <f>3133.74</f>
        <v>3133.74</v>
      </c>
      <c r="L5143">
        <f>632.9</f>
        <v>632.9</v>
      </c>
      <c r="M5143">
        <f>2707.39</f>
        <v>2707.39</v>
      </c>
      <c r="N5143">
        <f>107.335</f>
        <v>107.33499999999999</v>
      </c>
      <c r="O5143">
        <f>1058.83</f>
        <v>1058.83</v>
      </c>
      <c r="P5143" t="e">
        <f>NA()</f>
        <v>#N/A</v>
      </c>
      <c r="Q5143">
        <f>530.71</f>
        <v>530.71</v>
      </c>
      <c r="R5143">
        <f>1525.6</f>
        <v>1525.6</v>
      </c>
      <c r="S5143">
        <f>1228.57</f>
        <v>1228.57</v>
      </c>
      <c r="T5143" t="e">
        <f>NA()</f>
        <v>#N/A</v>
      </c>
      <c r="U5143">
        <f>9545.03</f>
        <v>9545.0300000000007</v>
      </c>
      <c r="V5143" t="e">
        <f>NA()</f>
        <v>#N/A</v>
      </c>
    </row>
    <row r="5144" spans="1:22" x14ac:dyDescent="0.2">
      <c r="A5144" s="1">
        <v>37907</v>
      </c>
      <c r="B5144" t="e">
        <f>NA()</f>
        <v>#N/A</v>
      </c>
      <c r="C5144">
        <f>1940.82</f>
        <v>1940.82</v>
      </c>
      <c r="D5144">
        <f>2203.22</f>
        <v>2203.2199999999998</v>
      </c>
      <c r="E5144">
        <f>606.903</f>
        <v>606.90300000000002</v>
      </c>
      <c r="F5144">
        <f>1223.05</f>
        <v>1223.05</v>
      </c>
      <c r="G5144">
        <f>3767.225</f>
        <v>3767.2249999999999</v>
      </c>
      <c r="H5144">
        <f>1093.54</f>
        <v>1093.54</v>
      </c>
      <c r="I5144">
        <f>3422.432</f>
        <v>3422.4319999999998</v>
      </c>
      <c r="J5144">
        <f>983.37</f>
        <v>983.37</v>
      </c>
      <c r="K5144">
        <f>3121.38</f>
        <v>3121.38</v>
      </c>
      <c r="L5144">
        <f>632.96</f>
        <v>632.96</v>
      </c>
      <c r="M5144">
        <f>2699.68</f>
        <v>2699.68</v>
      </c>
      <c r="N5144">
        <f>107.783</f>
        <v>107.783</v>
      </c>
      <c r="O5144">
        <f>1062.7</f>
        <v>1062.7</v>
      </c>
      <c r="P5144" t="e">
        <f>NA()</f>
        <v>#N/A</v>
      </c>
      <c r="Q5144">
        <f>528.54</f>
        <v>528.54</v>
      </c>
      <c r="R5144">
        <f>1519.6</f>
        <v>1519.6</v>
      </c>
      <c r="S5144" t="e">
        <f>NA()</f>
        <v>#N/A</v>
      </c>
      <c r="T5144" t="e">
        <f>NA()</f>
        <v>#N/A</v>
      </c>
      <c r="U5144">
        <f>9637.29</f>
        <v>9637.2900000000009</v>
      </c>
      <c r="V5144" t="e">
        <f>NA()</f>
        <v>#N/A</v>
      </c>
    </row>
    <row r="5145" spans="1:22" x14ac:dyDescent="0.2">
      <c r="A5145" s="1">
        <v>37904</v>
      </c>
      <c r="B5145" t="e">
        <f>NA()</f>
        <v>#N/A</v>
      </c>
      <c r="C5145">
        <f>1925.71</f>
        <v>1925.71</v>
      </c>
      <c r="D5145">
        <f>2177.3</f>
        <v>2177.3000000000002</v>
      </c>
      <c r="E5145">
        <f>602.955</f>
        <v>602.95500000000004</v>
      </c>
      <c r="F5145">
        <f>1211.19</f>
        <v>1211.19</v>
      </c>
      <c r="G5145">
        <f>3729.039</f>
        <v>3729.0390000000002</v>
      </c>
      <c r="H5145">
        <f>1097.32</f>
        <v>1097.32</v>
      </c>
      <c r="I5145">
        <f>3407.5</f>
        <v>3407.5</v>
      </c>
      <c r="J5145">
        <f>979.63</f>
        <v>979.63</v>
      </c>
      <c r="K5145">
        <f>3099.85</f>
        <v>3099.85</v>
      </c>
      <c r="L5145">
        <f>629.4</f>
        <v>629.4</v>
      </c>
      <c r="M5145">
        <f>2684.84</f>
        <v>2684.84</v>
      </c>
      <c r="N5145">
        <f>106.32</f>
        <v>106.32</v>
      </c>
      <c r="O5145">
        <f>1043.27</f>
        <v>1043.27</v>
      </c>
      <c r="P5145" t="e">
        <f>NA()</f>
        <v>#N/A</v>
      </c>
      <c r="Q5145">
        <f>525.14</f>
        <v>525.14</v>
      </c>
      <c r="R5145">
        <f>1509</f>
        <v>1509</v>
      </c>
      <c r="S5145">
        <f>1213.39</f>
        <v>1213.3900000000001</v>
      </c>
      <c r="T5145" t="e">
        <f>NA()</f>
        <v>#N/A</v>
      </c>
      <c r="U5145">
        <f>9488.46</f>
        <v>9488.4599999999991</v>
      </c>
      <c r="V5145" t="e">
        <f>NA()</f>
        <v>#N/A</v>
      </c>
    </row>
    <row r="5146" spans="1:22" x14ac:dyDescent="0.2">
      <c r="A5146" s="1">
        <v>37903</v>
      </c>
      <c r="B5146" t="e">
        <f>NA()</f>
        <v>#N/A</v>
      </c>
      <c r="C5146">
        <f>1917.37</f>
        <v>1917.37</v>
      </c>
      <c r="D5146">
        <f>2178.75</f>
        <v>2178.75</v>
      </c>
      <c r="E5146">
        <f>596.756</f>
        <v>596.75599999999997</v>
      </c>
      <c r="F5146">
        <f>1211.44</f>
        <v>1211.44</v>
      </c>
      <c r="G5146">
        <f>3723.907</f>
        <v>3723.9070000000002</v>
      </c>
      <c r="H5146">
        <f>1086.49</f>
        <v>1086.49</v>
      </c>
      <c r="I5146">
        <f>3403.305</f>
        <v>3403.3049999999998</v>
      </c>
      <c r="J5146">
        <f>982.4</f>
        <v>982.4</v>
      </c>
      <c r="K5146">
        <f>3100.96</f>
        <v>3100.96</v>
      </c>
      <c r="L5146">
        <f>628.53</f>
        <v>628.53</v>
      </c>
      <c r="M5146">
        <f>2677.74</f>
        <v>2677.74</v>
      </c>
      <c r="N5146">
        <f>106.265</f>
        <v>106.265</v>
      </c>
      <c r="O5146">
        <f>1049.88</f>
        <v>1049.8800000000001</v>
      </c>
      <c r="P5146" t="e">
        <f>NA()</f>
        <v>#N/A</v>
      </c>
      <c r="Q5146">
        <f>527.36</f>
        <v>527.36</v>
      </c>
      <c r="R5146">
        <f>1509.86</f>
        <v>1509.86</v>
      </c>
      <c r="S5146">
        <f>1194.93</f>
        <v>1194.93</v>
      </c>
      <c r="T5146" t="e">
        <f>NA()</f>
        <v>#N/A</v>
      </c>
      <c r="U5146">
        <f>9431.57</f>
        <v>9431.57</v>
      </c>
      <c r="V5146" t="e">
        <f>NA()</f>
        <v>#N/A</v>
      </c>
    </row>
    <row r="5147" spans="1:22" x14ac:dyDescent="0.2">
      <c r="A5147" s="1">
        <v>37902</v>
      </c>
      <c r="B5147" t="e">
        <f>NA()</f>
        <v>#N/A</v>
      </c>
      <c r="C5147">
        <f>1896.97</f>
        <v>1896.97</v>
      </c>
      <c r="D5147">
        <f>2155.87</f>
        <v>2155.87</v>
      </c>
      <c r="E5147">
        <f>589.181</f>
        <v>589.18100000000004</v>
      </c>
      <c r="F5147">
        <f>1198.09</f>
        <v>1198.0899999999999</v>
      </c>
      <c r="G5147">
        <f>3679.408</f>
        <v>3679.4079999999999</v>
      </c>
      <c r="H5147">
        <f>1077.59</f>
        <v>1077.5899999999999</v>
      </c>
      <c r="I5147">
        <f>3364.699</f>
        <v>3364.6990000000001</v>
      </c>
      <c r="J5147">
        <f>981.57</f>
        <v>981.57</v>
      </c>
      <c r="K5147">
        <f>3086.82</f>
        <v>3086.82</v>
      </c>
      <c r="L5147">
        <f>624.63</f>
        <v>624.63</v>
      </c>
      <c r="M5147">
        <f>2659.63</f>
        <v>2659.63</v>
      </c>
      <c r="N5147">
        <f>104.98</f>
        <v>104.98</v>
      </c>
      <c r="O5147">
        <f>1029.76</f>
        <v>1029.76</v>
      </c>
      <c r="P5147" t="e">
        <f>NA()</f>
        <v>#N/A</v>
      </c>
      <c r="Q5147">
        <f>524.6</f>
        <v>524.6</v>
      </c>
      <c r="R5147">
        <f>1502.65</f>
        <v>1502.65</v>
      </c>
      <c r="S5147">
        <f>1191.77</f>
        <v>1191.77</v>
      </c>
      <c r="T5147" t="e">
        <f>NA()</f>
        <v>#N/A</v>
      </c>
      <c r="U5147">
        <f>9240.58</f>
        <v>9240.58</v>
      </c>
      <c r="V5147" t="e">
        <f>NA()</f>
        <v>#N/A</v>
      </c>
    </row>
    <row r="5148" spans="1:22" x14ac:dyDescent="0.2">
      <c r="A5148" s="1">
        <v>37901</v>
      </c>
      <c r="B5148" t="e">
        <f>NA()</f>
        <v>#N/A</v>
      </c>
      <c r="C5148">
        <f>1879.39</f>
        <v>1879.39</v>
      </c>
      <c r="D5148">
        <f>2157.49</f>
        <v>2157.4899999999998</v>
      </c>
      <c r="E5148">
        <f>585.283</f>
        <v>585.28300000000002</v>
      </c>
      <c r="F5148">
        <f>1208.82</f>
        <v>1208.82</v>
      </c>
      <c r="G5148">
        <f>3698.87</f>
        <v>3698.87</v>
      </c>
      <c r="H5148">
        <f>1094.68</f>
        <v>1094.68</v>
      </c>
      <c r="I5148">
        <f>3344.682</f>
        <v>3344.6819999999998</v>
      </c>
      <c r="J5148">
        <f>986.6</f>
        <v>986.6</v>
      </c>
      <c r="K5148">
        <f>3101.58</f>
        <v>3101.58</v>
      </c>
      <c r="L5148">
        <f>626.21</f>
        <v>626.21</v>
      </c>
      <c r="M5148">
        <f>2670.87</f>
        <v>2670.87</v>
      </c>
      <c r="N5148">
        <f>104.87</f>
        <v>104.87</v>
      </c>
      <c r="O5148">
        <f>1029.58</f>
        <v>1029.58</v>
      </c>
      <c r="P5148" t="e">
        <f>NA()</f>
        <v>#N/A</v>
      </c>
      <c r="Q5148">
        <f>526.12</f>
        <v>526.12</v>
      </c>
      <c r="R5148">
        <f>1510.05</f>
        <v>1510.05</v>
      </c>
      <c r="S5148">
        <f>1214.67</f>
        <v>1214.67</v>
      </c>
      <c r="T5148" t="e">
        <f>NA()</f>
        <v>#N/A</v>
      </c>
      <c r="U5148">
        <f>9099.28</f>
        <v>9099.2800000000007</v>
      </c>
      <c r="V5148" t="e">
        <f>NA()</f>
        <v>#N/A</v>
      </c>
    </row>
    <row r="5149" spans="1:22" x14ac:dyDescent="0.2">
      <c r="A5149" s="1">
        <v>37900</v>
      </c>
      <c r="B5149" t="e">
        <f>NA()</f>
        <v>#N/A</v>
      </c>
      <c r="C5149">
        <f>1867.27</f>
        <v>1867.27</v>
      </c>
      <c r="D5149">
        <f>2156.55</f>
        <v>2156.5500000000002</v>
      </c>
      <c r="E5149">
        <f>582.088</f>
        <v>582.08799999999997</v>
      </c>
      <c r="F5149">
        <f>1208.98</f>
        <v>1208.98</v>
      </c>
      <c r="G5149">
        <f>3704.539</f>
        <v>3704.5390000000002</v>
      </c>
      <c r="H5149">
        <f>1073.71</f>
        <v>1073.71</v>
      </c>
      <c r="I5149">
        <f>3338.081</f>
        <v>3338.0810000000001</v>
      </c>
      <c r="J5149">
        <f>983.89</f>
        <v>983.89</v>
      </c>
      <c r="K5149">
        <f>3086.73</f>
        <v>3086.73</v>
      </c>
      <c r="L5149">
        <f>624.86</f>
        <v>624.86</v>
      </c>
      <c r="M5149">
        <f>2657.41</f>
        <v>2657.41</v>
      </c>
      <c r="N5149">
        <f>105.941</f>
        <v>105.941</v>
      </c>
      <c r="O5149">
        <f>1038.16</f>
        <v>1038.1600000000001</v>
      </c>
      <c r="P5149" t="e">
        <f>NA()</f>
        <v>#N/A</v>
      </c>
      <c r="Q5149">
        <f>524.21</f>
        <v>524.21</v>
      </c>
      <c r="R5149">
        <f>1502.86</f>
        <v>1502.86</v>
      </c>
      <c r="S5149">
        <f>1207.7</f>
        <v>1207.7</v>
      </c>
      <c r="T5149" t="e">
        <f>NA()</f>
        <v>#N/A</v>
      </c>
      <c r="U5149">
        <f>9205.74</f>
        <v>9205.74</v>
      </c>
      <c r="V5149" t="e">
        <f>NA()</f>
        <v>#N/A</v>
      </c>
    </row>
    <row r="5150" spans="1:22" x14ac:dyDescent="0.2">
      <c r="A5150" s="1">
        <v>37897</v>
      </c>
      <c r="B5150" t="e">
        <f>NA()</f>
        <v>#N/A</v>
      </c>
      <c r="C5150">
        <f>1861.73</f>
        <v>1861.73</v>
      </c>
      <c r="D5150">
        <f>2158.53</f>
        <v>2158.5300000000002</v>
      </c>
      <c r="E5150">
        <f>576.791</f>
        <v>576.79100000000005</v>
      </c>
      <c r="F5150">
        <f>1204.93</f>
        <v>1204.93</v>
      </c>
      <c r="G5150">
        <f>3696.382</f>
        <v>3696.3820000000001</v>
      </c>
      <c r="H5150">
        <f>1085.36</f>
        <v>1085.3599999999999</v>
      </c>
      <c r="I5150">
        <f>3343.205</f>
        <v>3343.2049999999999</v>
      </c>
      <c r="J5150">
        <f>980.12</f>
        <v>980.12</v>
      </c>
      <c r="K5150">
        <f>3073.78</f>
        <v>3073.78</v>
      </c>
      <c r="L5150">
        <f>622.92</f>
        <v>622.91999999999996</v>
      </c>
      <c r="M5150">
        <f>2650.12</f>
        <v>2650.12</v>
      </c>
      <c r="N5150">
        <f>105.249</f>
        <v>105.249</v>
      </c>
      <c r="O5150">
        <f>1043.28</f>
        <v>1043.28</v>
      </c>
      <c r="P5150" t="e">
        <f>NA()</f>
        <v>#N/A</v>
      </c>
      <c r="Q5150">
        <f>521.59</f>
        <v>521.59</v>
      </c>
      <c r="R5150">
        <f>1496.32</f>
        <v>1496.32</v>
      </c>
      <c r="S5150">
        <f>1205.46</f>
        <v>1205.46</v>
      </c>
      <c r="T5150" t="e">
        <f>NA()</f>
        <v>#N/A</v>
      </c>
      <c r="U5150">
        <f>9106.78</f>
        <v>9106.7800000000007</v>
      </c>
      <c r="V5150" t="e">
        <f>NA()</f>
        <v>#N/A</v>
      </c>
    </row>
    <row r="5151" spans="1:22" x14ac:dyDescent="0.2">
      <c r="A5151" s="1">
        <v>37896</v>
      </c>
      <c r="B5151" t="e">
        <f>NA()</f>
        <v>#N/A</v>
      </c>
      <c r="C5151">
        <f>1838.46</f>
        <v>1838.46</v>
      </c>
      <c r="D5151">
        <f>2125.72</f>
        <v>2125.7199999999998</v>
      </c>
      <c r="E5151">
        <f>571.83</f>
        <v>571.83000000000004</v>
      </c>
      <c r="F5151">
        <f>1194.57</f>
        <v>1194.57</v>
      </c>
      <c r="G5151">
        <f>3649.639</f>
        <v>3649.6390000000001</v>
      </c>
      <c r="H5151">
        <f>1072.58</f>
        <v>1072.58</v>
      </c>
      <c r="I5151">
        <f>3269.959</f>
        <v>3269.9589999999998</v>
      </c>
      <c r="J5151">
        <f>975.68</f>
        <v>975.68</v>
      </c>
      <c r="K5151">
        <f>3044.83</f>
        <v>3044.83</v>
      </c>
      <c r="L5151">
        <f>617.05</f>
        <v>617.04999999999995</v>
      </c>
      <c r="M5151">
        <f>2619.49</f>
        <v>2619.4899999999998</v>
      </c>
      <c r="N5151">
        <f>103.538</f>
        <v>103.538</v>
      </c>
      <c r="O5151">
        <f>1018.53</f>
        <v>1018.53</v>
      </c>
      <c r="P5151" t="e">
        <f>NA()</f>
        <v>#N/A</v>
      </c>
      <c r="Q5151">
        <f>517.45</f>
        <v>517.45000000000005</v>
      </c>
      <c r="R5151">
        <f>1482.36</f>
        <v>1482.36</v>
      </c>
      <c r="S5151">
        <f>1194.59</f>
        <v>1194.5899999999999</v>
      </c>
      <c r="T5151" t="e">
        <f>NA()</f>
        <v>#N/A</v>
      </c>
      <c r="U5151">
        <f>8964.66</f>
        <v>8964.66</v>
      </c>
      <c r="V5151" t="e">
        <f>NA()</f>
        <v>#N/A</v>
      </c>
    </row>
    <row r="5152" spans="1:22" x14ac:dyDescent="0.2">
      <c r="A5152" s="1">
        <v>37895</v>
      </c>
      <c r="B5152" t="e">
        <f>NA()</f>
        <v>#N/A</v>
      </c>
      <c r="C5152">
        <f>1812.11</f>
        <v>1812.11</v>
      </c>
      <c r="D5152">
        <f>2105.58</f>
        <v>2105.58</v>
      </c>
      <c r="E5152">
        <f>563.841</f>
        <v>563.84100000000001</v>
      </c>
      <c r="F5152">
        <f>1175.54</f>
        <v>1175.54</v>
      </c>
      <c r="G5152">
        <f>3609.421</f>
        <v>3609.4209999999998</v>
      </c>
      <c r="H5152">
        <f>1052.49</f>
        <v>1052.49</v>
      </c>
      <c r="I5152">
        <f>3274.403</f>
        <v>3274.4029999999998</v>
      </c>
      <c r="J5152">
        <f>973.9</f>
        <v>973.9</v>
      </c>
      <c r="K5152">
        <f>3038.33</f>
        <v>3038.33</v>
      </c>
      <c r="L5152">
        <f>614.59</f>
        <v>614.59</v>
      </c>
      <c r="M5152">
        <f>2605.48</f>
        <v>2605.48</v>
      </c>
      <c r="N5152">
        <f>102.607</f>
        <v>102.607</v>
      </c>
      <c r="O5152">
        <f>1012.03</f>
        <v>1012.03</v>
      </c>
      <c r="P5152" t="e">
        <f>NA()</f>
        <v>#N/A</v>
      </c>
      <c r="Q5152">
        <f>515.79</f>
        <v>515.79</v>
      </c>
      <c r="R5152">
        <f>1479.23</f>
        <v>1479.23</v>
      </c>
      <c r="S5152">
        <f>1163.75</f>
        <v>1163.75</v>
      </c>
      <c r="T5152" t="e">
        <f>NA()</f>
        <v>#N/A</v>
      </c>
      <c r="U5152">
        <f>8864.68</f>
        <v>8864.68</v>
      </c>
      <c r="V5152" t="e">
        <f>NA()</f>
        <v>#N/A</v>
      </c>
    </row>
    <row r="5153" spans="1:22" x14ac:dyDescent="0.2">
      <c r="A5153" s="1">
        <v>37894</v>
      </c>
      <c r="B5153" t="e">
        <f>NA()</f>
        <v>#N/A</v>
      </c>
      <c r="C5153">
        <f>1788.12</f>
        <v>1788.12</v>
      </c>
      <c r="D5153">
        <f>2065.95</f>
        <v>2065.9499999999998</v>
      </c>
      <c r="E5153">
        <f>557.877</f>
        <v>557.87699999999995</v>
      </c>
      <c r="F5153">
        <f>1147.7</f>
        <v>1147.7</v>
      </c>
      <c r="G5153">
        <f>3531.194</f>
        <v>3531.194</v>
      </c>
      <c r="H5153">
        <f>1033.71</f>
        <v>1033.71</v>
      </c>
      <c r="I5153">
        <f>3215.186</f>
        <v>3215.1860000000001</v>
      </c>
      <c r="J5153">
        <f>954.17</f>
        <v>954.17</v>
      </c>
      <c r="K5153">
        <f>2972.46</f>
        <v>2972.46</v>
      </c>
      <c r="L5153">
        <f>603.08</f>
        <v>603.08000000000004</v>
      </c>
      <c r="M5153">
        <f>2552.64</f>
        <v>2552.64</v>
      </c>
      <c r="N5153">
        <f>101.568</f>
        <v>101.568</v>
      </c>
      <c r="O5153">
        <f>997.22</f>
        <v>997.22</v>
      </c>
      <c r="P5153" t="e">
        <f>NA()</f>
        <v>#N/A</v>
      </c>
      <c r="Q5153">
        <f>506.25</f>
        <v>506.25</v>
      </c>
      <c r="R5153">
        <f>1446.77</f>
        <v>1446.77</v>
      </c>
      <c r="S5153">
        <f>1151.15</f>
        <v>1151.1500000000001</v>
      </c>
      <c r="T5153" t="e">
        <f>NA()</f>
        <v>#N/A</v>
      </c>
      <c r="U5153">
        <f>8925.69</f>
        <v>8925.69</v>
      </c>
      <c r="V5153" t="e">
        <f>NA()</f>
        <v>#N/A</v>
      </c>
    </row>
    <row r="5154" spans="1:22" x14ac:dyDescent="0.2">
      <c r="A5154" s="1">
        <v>37893</v>
      </c>
      <c r="B5154" t="e">
        <f>NA()</f>
        <v>#N/A</v>
      </c>
      <c r="C5154">
        <f>1789.93</f>
        <v>1789.93</v>
      </c>
      <c r="D5154">
        <f>2091.92</f>
        <v>2091.92</v>
      </c>
      <c r="E5154">
        <f>556.92</f>
        <v>556.91999999999996</v>
      </c>
      <c r="F5154">
        <f>1163.48</f>
        <v>1163.48</v>
      </c>
      <c r="G5154">
        <f>3571.745</f>
        <v>3571.7449999999999</v>
      </c>
      <c r="H5154">
        <f>1034.47</f>
        <v>1034.47</v>
      </c>
      <c r="I5154">
        <f>3235.971</f>
        <v>3235.971</v>
      </c>
      <c r="J5154">
        <f>959.93</f>
        <v>959.93</v>
      </c>
      <c r="K5154">
        <f>3004.05</f>
        <v>3004.05</v>
      </c>
      <c r="L5154">
        <f>606.71</f>
        <v>606.71</v>
      </c>
      <c r="M5154">
        <f>2573.02</f>
        <v>2573.02</v>
      </c>
      <c r="N5154">
        <f>103.708</f>
        <v>103.708</v>
      </c>
      <c r="O5154">
        <f>1015.3</f>
        <v>1015.3</v>
      </c>
      <c r="P5154" t="e">
        <f>NA()</f>
        <v>#N/A</v>
      </c>
      <c r="Q5154">
        <f>509.22</f>
        <v>509.22</v>
      </c>
      <c r="R5154">
        <f>1462.2</f>
        <v>1462.2</v>
      </c>
      <c r="S5154">
        <f>1142.13</f>
        <v>1142.1300000000001</v>
      </c>
      <c r="T5154" t="e">
        <f>NA()</f>
        <v>#N/A</v>
      </c>
      <c r="U5154">
        <f>9147.97</f>
        <v>9147.9699999999993</v>
      </c>
      <c r="V5154" t="e">
        <f>NA()</f>
        <v>#N/A</v>
      </c>
    </row>
    <row r="5155" spans="1:22" x14ac:dyDescent="0.2">
      <c r="A5155" s="1">
        <v>37890</v>
      </c>
      <c r="B5155" t="e">
        <f>NA()</f>
        <v>#N/A</v>
      </c>
      <c r="C5155">
        <f>1782.85</f>
        <v>1782.85</v>
      </c>
      <c r="D5155">
        <f>2099.19</f>
        <v>2099.19</v>
      </c>
      <c r="E5155">
        <f>556.41</f>
        <v>556.41</v>
      </c>
      <c r="F5155">
        <f>1163.88</f>
        <v>1163.8800000000001</v>
      </c>
      <c r="G5155">
        <f>3581.536</f>
        <v>3581.5360000000001</v>
      </c>
      <c r="H5155">
        <f>1035.8</f>
        <v>1035.8</v>
      </c>
      <c r="I5155">
        <f>3229.296</f>
        <v>3229.2959999999998</v>
      </c>
      <c r="J5155">
        <f>952.39</f>
        <v>952.39</v>
      </c>
      <c r="K5155">
        <f>2974.16</f>
        <v>2974.16</v>
      </c>
      <c r="L5155">
        <f>605.66</f>
        <v>605.66</v>
      </c>
      <c r="M5155">
        <f>2559.68</f>
        <v>2559.6799999999998</v>
      </c>
      <c r="N5155">
        <f>104.2</f>
        <v>104.2</v>
      </c>
      <c r="O5155">
        <f>1021.77</f>
        <v>1021.77</v>
      </c>
      <c r="P5155" t="e">
        <f>NA()</f>
        <v>#N/A</v>
      </c>
      <c r="Q5155">
        <f>506.28</f>
        <v>506.28</v>
      </c>
      <c r="R5155">
        <f>1448.03</f>
        <v>1448.03</v>
      </c>
      <c r="S5155">
        <f>1153.7</f>
        <v>1153.7</v>
      </c>
      <c r="T5155" t="e">
        <f>NA()</f>
        <v>#N/A</v>
      </c>
      <c r="U5155">
        <f>9105.51</f>
        <v>9105.51</v>
      </c>
      <c r="V5155" t="e">
        <f>NA()</f>
        <v>#N/A</v>
      </c>
    </row>
    <row r="5156" spans="1:22" x14ac:dyDescent="0.2">
      <c r="A5156" s="1">
        <v>37889</v>
      </c>
      <c r="B5156" t="e">
        <f>NA()</f>
        <v>#N/A</v>
      </c>
      <c r="C5156">
        <f>1797.43</f>
        <v>1797.43</v>
      </c>
      <c r="D5156">
        <f>2121.94</f>
        <v>2121.94</v>
      </c>
      <c r="E5156">
        <f>560.795</f>
        <v>560.79499999999996</v>
      </c>
      <c r="F5156">
        <f>1175.22</f>
        <v>1175.22</v>
      </c>
      <c r="G5156">
        <f>3625.9</f>
        <v>3625.9</v>
      </c>
      <c r="H5156">
        <f>1052.56</f>
        <v>1052.56</v>
      </c>
      <c r="I5156">
        <f>3260.309</f>
        <v>3260.3090000000002</v>
      </c>
      <c r="J5156">
        <f>956.47</f>
        <v>956.47</v>
      </c>
      <c r="K5156">
        <f>2992.61</f>
        <v>2992.61</v>
      </c>
      <c r="L5156">
        <f>610.17</f>
        <v>610.16999999999996</v>
      </c>
      <c r="M5156">
        <f>2578.18</f>
        <v>2578.1799999999998</v>
      </c>
      <c r="N5156">
        <f>105.833</f>
        <v>105.833</v>
      </c>
      <c r="O5156">
        <f>1030.1</f>
        <v>1030.0999999999999</v>
      </c>
      <c r="P5156" t="e">
        <f>NA()</f>
        <v>#N/A</v>
      </c>
      <c r="Q5156">
        <f>507.27</f>
        <v>507.27</v>
      </c>
      <c r="R5156">
        <f>1457.09</f>
        <v>1457.09</v>
      </c>
      <c r="S5156">
        <f>1149.55</f>
        <v>1149.55</v>
      </c>
      <c r="T5156" t="e">
        <f>NA()</f>
        <v>#N/A</v>
      </c>
      <c r="U5156">
        <f>9137.34</f>
        <v>9137.34</v>
      </c>
      <c r="V5156" t="e">
        <f>NA()</f>
        <v>#N/A</v>
      </c>
    </row>
    <row r="5157" spans="1:22" x14ac:dyDescent="0.2">
      <c r="A5157" s="1">
        <v>37888</v>
      </c>
      <c r="B5157" t="e">
        <f>NA()</f>
        <v>#N/A</v>
      </c>
      <c r="C5157">
        <f>1807.71</f>
        <v>1807.71</v>
      </c>
      <c r="D5157">
        <f>2139.22</f>
        <v>2139.2199999999998</v>
      </c>
      <c r="E5157">
        <f>566.208</f>
        <v>566.20799999999997</v>
      </c>
      <c r="F5157">
        <f>1179.84</f>
        <v>1179.8399999999999</v>
      </c>
      <c r="G5157">
        <f>3642.985</f>
        <v>3642.9850000000001</v>
      </c>
      <c r="H5157">
        <f>1068.34</f>
        <v>1068.3399999999999</v>
      </c>
      <c r="I5157">
        <f>3269.168</f>
        <v>3269.1680000000001</v>
      </c>
      <c r="J5157">
        <f>961.11</f>
        <v>961.11</v>
      </c>
      <c r="K5157">
        <f>3011.17</f>
        <v>3011.17</v>
      </c>
      <c r="L5157">
        <f>612.01</f>
        <v>612.01</v>
      </c>
      <c r="M5157">
        <f>2595.98</f>
        <v>2595.98</v>
      </c>
      <c r="N5157">
        <f>107.113</f>
        <v>107.113</v>
      </c>
      <c r="O5157">
        <f>1038.57</f>
        <v>1038.57</v>
      </c>
      <c r="P5157" t="e">
        <f>NA()</f>
        <v>#N/A</v>
      </c>
      <c r="Q5157">
        <f>509.74</f>
        <v>509.74</v>
      </c>
      <c r="R5157">
        <f>1465.66</f>
        <v>1465.66</v>
      </c>
      <c r="S5157">
        <f>1175.2</f>
        <v>1175.2</v>
      </c>
      <c r="T5157" t="e">
        <f>NA()</f>
        <v>#N/A</v>
      </c>
      <c r="U5157" t="e">
        <f>NA()</f>
        <v>#N/A</v>
      </c>
      <c r="V5157" t="e">
        <f>NA()</f>
        <v>#N/A</v>
      </c>
    </row>
    <row r="5158" spans="1:22" x14ac:dyDescent="0.2">
      <c r="A5158" s="1">
        <v>37887</v>
      </c>
      <c r="B5158" t="e">
        <f>NA()</f>
        <v>#N/A</v>
      </c>
      <c r="C5158">
        <f>1798.36</f>
        <v>1798.36</v>
      </c>
      <c r="D5158">
        <f>2130.58</f>
        <v>2130.58</v>
      </c>
      <c r="E5158">
        <f>562</f>
        <v>562</v>
      </c>
      <c r="F5158">
        <f>1170.3</f>
        <v>1170.3</v>
      </c>
      <c r="G5158">
        <f>3622.307</f>
        <v>3622.3069999999998</v>
      </c>
      <c r="H5158">
        <f>1061.24</f>
        <v>1061.24</v>
      </c>
      <c r="I5158">
        <f>3284.727</f>
        <v>3284.7269999999999</v>
      </c>
      <c r="J5158">
        <f>973.49</f>
        <v>973.49</v>
      </c>
      <c r="K5158">
        <f>3069.89</f>
        <v>3069.89</v>
      </c>
      <c r="L5158">
        <f>613.8</f>
        <v>613.79999999999995</v>
      </c>
      <c r="M5158">
        <f>2623.81</f>
        <v>2623.81</v>
      </c>
      <c r="N5158">
        <f>106.413</f>
        <v>106.413</v>
      </c>
      <c r="O5158">
        <f>1037.63</f>
        <v>1037.6300000000001</v>
      </c>
      <c r="P5158" t="e">
        <f>NA()</f>
        <v>#N/A</v>
      </c>
      <c r="Q5158">
        <f>516.03</f>
        <v>516.03</v>
      </c>
      <c r="R5158">
        <f>1494.19</f>
        <v>1494.19</v>
      </c>
      <c r="S5158" t="e">
        <f>NA()</f>
        <v>#N/A</v>
      </c>
      <c r="T5158" t="e">
        <f>NA()</f>
        <v>#N/A</v>
      </c>
      <c r="U5158">
        <f>9156.39</f>
        <v>9156.39</v>
      </c>
      <c r="V5158" t="e">
        <f>NA()</f>
        <v>#N/A</v>
      </c>
    </row>
    <row r="5159" spans="1:22" x14ac:dyDescent="0.2">
      <c r="A5159" s="1">
        <v>37886</v>
      </c>
      <c r="B5159" t="e">
        <f>NA()</f>
        <v>#N/A</v>
      </c>
      <c r="C5159">
        <f>1794.59</f>
        <v>1794.59</v>
      </c>
      <c r="D5159">
        <f>2133.83</f>
        <v>2133.83</v>
      </c>
      <c r="E5159">
        <f>559.608</f>
        <v>559.60799999999995</v>
      </c>
      <c r="F5159">
        <f>1172.03</f>
        <v>1172.03</v>
      </c>
      <c r="G5159">
        <f>3616.286</f>
        <v>3616.2860000000001</v>
      </c>
      <c r="H5159">
        <f>1056.93</f>
        <v>1056.93</v>
      </c>
      <c r="I5159">
        <f>3303.598</f>
        <v>3303.598</v>
      </c>
      <c r="J5159">
        <f>971.82</f>
        <v>971.82</v>
      </c>
      <c r="K5159">
        <f>3050.99</f>
        <v>3050.99</v>
      </c>
      <c r="L5159">
        <f>614.64</f>
        <v>614.64</v>
      </c>
      <c r="M5159">
        <f>2615.6</f>
        <v>2615.6</v>
      </c>
      <c r="N5159">
        <f>106.539</f>
        <v>106.539</v>
      </c>
      <c r="O5159">
        <f>1041.45</f>
        <v>1041.45</v>
      </c>
      <c r="P5159" t="e">
        <f>NA()</f>
        <v>#N/A</v>
      </c>
      <c r="Q5159">
        <f>512.7</f>
        <v>512.70000000000005</v>
      </c>
      <c r="R5159">
        <f>1485.16</f>
        <v>1485.16</v>
      </c>
      <c r="S5159">
        <f>1174.69</f>
        <v>1174.69</v>
      </c>
      <c r="T5159" t="e">
        <f>NA()</f>
        <v>#N/A</v>
      </c>
      <c r="U5159">
        <f>9284.26</f>
        <v>9284.26</v>
      </c>
      <c r="V5159" t="e">
        <f>NA()</f>
        <v>#N/A</v>
      </c>
    </row>
    <row r="5160" spans="1:22" x14ac:dyDescent="0.2">
      <c r="A5160" s="1">
        <v>37883</v>
      </c>
      <c r="B5160" t="e">
        <f>NA()</f>
        <v>#N/A</v>
      </c>
      <c r="C5160">
        <f>1800.85</f>
        <v>1800.85</v>
      </c>
      <c r="D5160">
        <f>2148.39</f>
        <v>2148.39</v>
      </c>
      <c r="E5160">
        <f>565.47</f>
        <v>565.47</v>
      </c>
      <c r="F5160">
        <f>1168.43</f>
        <v>1168.43</v>
      </c>
      <c r="G5160">
        <f>3603.627</f>
        <v>3603.627</v>
      </c>
      <c r="H5160">
        <f>1058.76</f>
        <v>1058.76</v>
      </c>
      <c r="I5160">
        <f>3345.896</f>
        <v>3345.8960000000002</v>
      </c>
      <c r="J5160">
        <f>983.54</f>
        <v>983.54</v>
      </c>
      <c r="K5160">
        <f>3090.92</f>
        <v>3090.92</v>
      </c>
      <c r="L5160">
        <f>617.33</f>
        <v>617.33000000000004</v>
      </c>
      <c r="M5160">
        <f>2642.85</f>
        <v>2642.85</v>
      </c>
      <c r="N5160">
        <f>107.309</f>
        <v>107.309</v>
      </c>
      <c r="O5160">
        <f>1060.6</f>
        <v>1060.5999999999999</v>
      </c>
      <c r="P5160" t="e">
        <f>NA()</f>
        <v>#N/A</v>
      </c>
      <c r="Q5160">
        <f>518.86</f>
        <v>518.86</v>
      </c>
      <c r="R5160">
        <f>1504.74</f>
        <v>1504.74</v>
      </c>
      <c r="S5160">
        <f>1204.9</f>
        <v>1204.9000000000001</v>
      </c>
      <c r="T5160" t="e">
        <f>NA()</f>
        <v>#N/A</v>
      </c>
      <c r="U5160">
        <f>9413.15</f>
        <v>9413.15</v>
      </c>
      <c r="V5160" t="e">
        <f>NA()</f>
        <v>#N/A</v>
      </c>
    </row>
    <row r="5161" spans="1:22" x14ac:dyDescent="0.2">
      <c r="A5161" s="1">
        <v>37882</v>
      </c>
      <c r="B5161" t="e">
        <f>NA()</f>
        <v>#N/A</v>
      </c>
      <c r="C5161">
        <f>1803.57</f>
        <v>1803.57</v>
      </c>
      <c r="D5161">
        <f>2177.51</f>
        <v>2177.5100000000002</v>
      </c>
      <c r="E5161">
        <f>567.469</f>
        <v>567.46900000000005</v>
      </c>
      <c r="F5161">
        <f>1172.75</f>
        <v>1172.75</v>
      </c>
      <c r="G5161">
        <f>3616.64</f>
        <v>3616.64</v>
      </c>
      <c r="H5161">
        <f>1048.83</f>
        <v>1048.83</v>
      </c>
      <c r="I5161">
        <f>3346.352</f>
        <v>3346.3519999999999</v>
      </c>
      <c r="J5161">
        <f>988.1</f>
        <v>988.1</v>
      </c>
      <c r="K5161">
        <f>3101.24</f>
        <v>3101.24</v>
      </c>
      <c r="L5161">
        <f>618.53</f>
        <v>618.53</v>
      </c>
      <c r="M5161">
        <f>2647.34</f>
        <v>2647.34</v>
      </c>
      <c r="N5161">
        <f>107.556</f>
        <v>107.556</v>
      </c>
      <c r="O5161">
        <f>1070.31</f>
        <v>1070.31</v>
      </c>
      <c r="P5161" t="e">
        <f>NA()</f>
        <v>#N/A</v>
      </c>
      <c r="Q5161">
        <f>520.11</f>
        <v>520.11</v>
      </c>
      <c r="R5161">
        <f>1509.47</f>
        <v>1509.47</v>
      </c>
      <c r="S5161">
        <f>1211.31</f>
        <v>1211.31</v>
      </c>
      <c r="T5161" t="e">
        <f>NA()</f>
        <v>#N/A</v>
      </c>
      <c r="U5161">
        <f>9416.98</f>
        <v>9416.98</v>
      </c>
      <c r="V5161" t="e">
        <f>NA()</f>
        <v>#N/A</v>
      </c>
    </row>
    <row r="5162" spans="1:22" x14ac:dyDescent="0.2">
      <c r="A5162" s="1">
        <v>37881</v>
      </c>
      <c r="B5162" t="e">
        <f>NA()</f>
        <v>#N/A</v>
      </c>
      <c r="C5162">
        <f>1798.18</f>
        <v>1798.18</v>
      </c>
      <c r="D5162">
        <f>2166.54</f>
        <v>2166.54</v>
      </c>
      <c r="E5162">
        <f>568.153</f>
        <v>568.15300000000002</v>
      </c>
      <c r="F5162">
        <f>1153.51</f>
        <v>1153.51</v>
      </c>
      <c r="G5162">
        <f>3570.741</f>
        <v>3570.741</v>
      </c>
      <c r="H5162">
        <f>1034.92</f>
        <v>1034.92</v>
      </c>
      <c r="I5162">
        <f>3322.409</f>
        <v>3322.4090000000001</v>
      </c>
      <c r="J5162">
        <f>977.22</f>
        <v>977.22</v>
      </c>
      <c r="K5162">
        <f>3060.1</f>
        <v>3060.1</v>
      </c>
      <c r="L5162">
        <f>612.63</f>
        <v>612.63</v>
      </c>
      <c r="M5162">
        <f>2617.1</f>
        <v>2617.1</v>
      </c>
      <c r="N5162">
        <f>106.689</f>
        <v>106.68899999999999</v>
      </c>
      <c r="O5162">
        <f>1062.78</f>
        <v>1062.78</v>
      </c>
      <c r="P5162" t="e">
        <f>NA()</f>
        <v>#N/A</v>
      </c>
      <c r="Q5162">
        <f>515.13</f>
        <v>515.13</v>
      </c>
      <c r="R5162">
        <f>1489.7</f>
        <v>1489.7</v>
      </c>
      <c r="S5162">
        <f>1207.76</f>
        <v>1207.76</v>
      </c>
      <c r="T5162" t="e">
        <f>NA()</f>
        <v>#N/A</v>
      </c>
      <c r="U5162">
        <f>9417.62</f>
        <v>9417.6200000000008</v>
      </c>
      <c r="V5162" t="e">
        <f>NA()</f>
        <v>#N/A</v>
      </c>
    </row>
    <row r="5163" spans="1:22" x14ac:dyDescent="0.2">
      <c r="A5163" s="1">
        <v>37880</v>
      </c>
      <c r="B5163" t="e">
        <f>NA()</f>
        <v>#N/A</v>
      </c>
      <c r="C5163">
        <f>1793.42</f>
        <v>1793.42</v>
      </c>
      <c r="D5163">
        <f>2168.18</f>
        <v>2168.1799999999998</v>
      </c>
      <c r="E5163">
        <f>566.478</f>
        <v>566.47799999999995</v>
      </c>
      <c r="F5163">
        <f>1145.45</f>
        <v>1145.45</v>
      </c>
      <c r="G5163">
        <f>3541.065</f>
        <v>3541.0650000000001</v>
      </c>
      <c r="H5163">
        <f>1026.27</f>
        <v>1026.27</v>
      </c>
      <c r="I5163">
        <f>3297.686</f>
        <v>3297.6860000000001</v>
      </c>
      <c r="J5163">
        <f>979.47</f>
        <v>979.47</v>
      </c>
      <c r="K5163">
        <f>3069.57</f>
        <v>3069.57</v>
      </c>
      <c r="L5163">
        <f>611.06</f>
        <v>611.05999999999995</v>
      </c>
      <c r="M5163">
        <f>2612.74</f>
        <v>2612.7399999999998</v>
      </c>
      <c r="N5163">
        <f>106.144</f>
        <v>106.14400000000001</v>
      </c>
      <c r="O5163">
        <f>1058.74</f>
        <v>1058.74</v>
      </c>
      <c r="P5163" t="e">
        <f>NA()</f>
        <v>#N/A</v>
      </c>
      <c r="Q5163">
        <f>516.72</f>
        <v>516.72</v>
      </c>
      <c r="R5163">
        <f>1494.5</f>
        <v>1494.5</v>
      </c>
      <c r="S5163">
        <f>1195.93</f>
        <v>1195.93</v>
      </c>
      <c r="T5163" t="e">
        <f>NA()</f>
        <v>#N/A</v>
      </c>
      <c r="U5163">
        <f>9504.73</f>
        <v>9504.73</v>
      </c>
      <c r="V5163" t="e">
        <f>NA()</f>
        <v>#N/A</v>
      </c>
    </row>
    <row r="5164" spans="1:22" x14ac:dyDescent="0.2">
      <c r="A5164" s="1">
        <v>37879</v>
      </c>
      <c r="B5164" t="e">
        <f>NA()</f>
        <v>#N/A</v>
      </c>
      <c r="C5164">
        <f>1788.75</f>
        <v>1788.75</v>
      </c>
      <c r="D5164">
        <f>2148.99</f>
        <v>2148.9899999999998</v>
      </c>
      <c r="E5164">
        <f>561.77</f>
        <v>561.77</v>
      </c>
      <c r="F5164">
        <f>1142.64</f>
        <v>1142.6400000000001</v>
      </c>
      <c r="G5164">
        <f>3536.354</f>
        <v>3536.3539999999998</v>
      </c>
      <c r="H5164">
        <f>1007.12</f>
        <v>1007.12</v>
      </c>
      <c r="I5164">
        <f>3295.506</f>
        <v>3295.5059999999999</v>
      </c>
      <c r="J5164">
        <f>969.53</f>
        <v>969.53</v>
      </c>
      <c r="K5164">
        <f>3026.51</f>
        <v>3026.51</v>
      </c>
      <c r="L5164">
        <f>607.96</f>
        <v>607.96</v>
      </c>
      <c r="M5164">
        <f>2584.02</f>
        <v>2584.02</v>
      </c>
      <c r="N5164">
        <f>104.328</f>
        <v>104.328</v>
      </c>
      <c r="O5164">
        <f>1046.78</f>
        <v>1046.78</v>
      </c>
      <c r="P5164" t="e">
        <f>NA()</f>
        <v>#N/A</v>
      </c>
      <c r="Q5164">
        <f>512.92</f>
        <v>512.91999999999996</v>
      </c>
      <c r="R5164">
        <f>1473.43</f>
        <v>1473.43</v>
      </c>
      <c r="S5164" t="e">
        <f>NA()</f>
        <v>#N/A</v>
      </c>
      <c r="T5164" t="e">
        <f>NA()</f>
        <v>#N/A</v>
      </c>
      <c r="U5164">
        <f>9375.78</f>
        <v>9375.7800000000007</v>
      </c>
      <c r="V5164" t="e">
        <f>NA()</f>
        <v>#N/A</v>
      </c>
    </row>
    <row r="5165" spans="1:22" x14ac:dyDescent="0.2">
      <c r="A5165" s="1">
        <v>37876</v>
      </c>
      <c r="B5165" t="e">
        <f>NA()</f>
        <v>#N/A</v>
      </c>
      <c r="C5165">
        <f>1797.42</f>
        <v>1797.42</v>
      </c>
      <c r="D5165">
        <f>2137.33</f>
        <v>2137.33</v>
      </c>
      <c r="E5165">
        <f>566.811</f>
        <v>566.81100000000004</v>
      </c>
      <c r="F5165">
        <f>1137.9</f>
        <v>1137.9000000000001</v>
      </c>
      <c r="G5165">
        <f>3523.983</f>
        <v>3523.9830000000002</v>
      </c>
      <c r="H5165">
        <f>1008.15</f>
        <v>1008.15</v>
      </c>
      <c r="I5165">
        <f>3285.134</f>
        <v>3285.134</v>
      </c>
      <c r="J5165">
        <f>973</f>
        <v>973</v>
      </c>
      <c r="K5165">
        <f>3038.97</f>
        <v>3038.97</v>
      </c>
      <c r="L5165">
        <f>608.16</f>
        <v>608.16</v>
      </c>
      <c r="M5165">
        <f>2587.83</f>
        <v>2587.83</v>
      </c>
      <c r="N5165">
        <f>103.34</f>
        <v>103.34</v>
      </c>
      <c r="O5165">
        <f>1043.23</f>
        <v>1043.23</v>
      </c>
      <c r="P5165" t="e">
        <f>NA()</f>
        <v>#N/A</v>
      </c>
      <c r="Q5165">
        <f>514.3</f>
        <v>514.29999999999995</v>
      </c>
      <c r="R5165">
        <f>1478.94</f>
        <v>1478.94</v>
      </c>
      <c r="S5165">
        <f>1174.05</f>
        <v>1174.05</v>
      </c>
      <c r="T5165" t="e">
        <f>NA()</f>
        <v>#N/A</v>
      </c>
      <c r="U5165">
        <f>9374.14</f>
        <v>9374.14</v>
      </c>
      <c r="V5165" t="e">
        <f>NA()</f>
        <v>#N/A</v>
      </c>
    </row>
    <row r="5166" spans="1:22" x14ac:dyDescent="0.2">
      <c r="A5166" s="1">
        <v>37875</v>
      </c>
      <c r="B5166" t="e">
        <f>NA()</f>
        <v>#N/A</v>
      </c>
      <c r="C5166">
        <f>1794.87</f>
        <v>1794.87</v>
      </c>
      <c r="D5166">
        <f>2139.54</f>
        <v>2139.54</v>
      </c>
      <c r="E5166">
        <f>566.893</f>
        <v>566.89300000000003</v>
      </c>
      <c r="F5166">
        <f>1131.77</f>
        <v>1131.77</v>
      </c>
      <c r="G5166">
        <f>3506.544</f>
        <v>3506.5439999999999</v>
      </c>
      <c r="H5166">
        <f>988.91</f>
        <v>988.91</v>
      </c>
      <c r="I5166">
        <f>3274.88</f>
        <v>3274.88</v>
      </c>
      <c r="J5166">
        <f>970.69</f>
        <v>970.69</v>
      </c>
      <c r="K5166">
        <f>3032.57</f>
        <v>3032.57</v>
      </c>
      <c r="L5166">
        <f>606.24</f>
        <v>606.24</v>
      </c>
      <c r="M5166">
        <f>2577.57</f>
        <v>2577.5700000000002</v>
      </c>
      <c r="N5166">
        <f>103.747</f>
        <v>103.747</v>
      </c>
      <c r="O5166">
        <f>1048.63</f>
        <v>1048.6300000000001</v>
      </c>
      <c r="P5166" t="e">
        <f>NA()</f>
        <v>#N/A</v>
      </c>
      <c r="Q5166">
        <f>513.09</f>
        <v>513.09</v>
      </c>
      <c r="R5166">
        <f>1475.72</f>
        <v>1475.72</v>
      </c>
      <c r="S5166">
        <f>1152.98</f>
        <v>1152.98</v>
      </c>
      <c r="T5166" t="e">
        <f>NA()</f>
        <v>#N/A</v>
      </c>
      <c r="U5166">
        <f>9421.57</f>
        <v>9421.57</v>
      </c>
      <c r="V5166" t="e">
        <f>NA()</f>
        <v>#N/A</v>
      </c>
    </row>
    <row r="5167" spans="1:22" x14ac:dyDescent="0.2">
      <c r="A5167" s="1">
        <v>37874</v>
      </c>
      <c r="B5167" t="e">
        <f>NA()</f>
        <v>#N/A</v>
      </c>
      <c r="C5167">
        <f>1794.05</f>
        <v>1794.05</v>
      </c>
      <c r="D5167">
        <f>2144.53</f>
        <v>2144.5300000000002</v>
      </c>
      <c r="E5167">
        <f>566.068</f>
        <v>566.06799999999998</v>
      </c>
      <c r="F5167">
        <f>1132.75</f>
        <v>1132.75</v>
      </c>
      <c r="G5167">
        <f>3504.514</f>
        <v>3504.5140000000001</v>
      </c>
      <c r="H5167">
        <f>1003.59</f>
        <v>1003.59</v>
      </c>
      <c r="I5167">
        <f>3269.55</f>
        <v>3269.55</v>
      </c>
      <c r="J5167">
        <f>967.26</f>
        <v>967.26</v>
      </c>
      <c r="K5167">
        <f>3015.22</f>
        <v>3015.22</v>
      </c>
      <c r="L5167">
        <f>605.52</f>
        <v>605.52</v>
      </c>
      <c r="M5167">
        <f>2573.39</f>
        <v>2573.39</v>
      </c>
      <c r="N5167">
        <f>103.379</f>
        <v>103.379</v>
      </c>
      <c r="O5167">
        <f>1047.44</f>
        <v>1047.44</v>
      </c>
      <c r="P5167" t="e">
        <f>NA()</f>
        <v>#N/A</v>
      </c>
      <c r="Q5167">
        <f>510.29</f>
        <v>510.29</v>
      </c>
      <c r="R5167">
        <f>1467.29</f>
        <v>1467.29</v>
      </c>
      <c r="S5167">
        <f>1175.56</f>
        <v>1175.56</v>
      </c>
      <c r="T5167" t="e">
        <f>NA()</f>
        <v>#N/A</v>
      </c>
      <c r="U5167">
        <f>9453.31</f>
        <v>9453.31</v>
      </c>
      <c r="V5167" t="e">
        <f>NA()</f>
        <v>#N/A</v>
      </c>
    </row>
    <row r="5168" spans="1:22" x14ac:dyDescent="0.2">
      <c r="A5168" s="1">
        <v>37873</v>
      </c>
      <c r="B5168" t="e">
        <f>NA()</f>
        <v>#N/A</v>
      </c>
      <c r="C5168">
        <f>1800.81</f>
        <v>1800.81</v>
      </c>
      <c r="D5168">
        <f>2150</f>
        <v>2150</v>
      </c>
      <c r="E5168">
        <f>567.944</f>
        <v>567.94399999999996</v>
      </c>
      <c r="F5168">
        <f>1135.21</f>
        <v>1135.21</v>
      </c>
      <c r="G5168">
        <f>3513.38</f>
        <v>3513.38</v>
      </c>
      <c r="H5168">
        <f>1014.43</f>
        <v>1014.43</v>
      </c>
      <c r="I5168">
        <f>3304.187</f>
        <v>3304.1869999999999</v>
      </c>
      <c r="J5168">
        <f>973.6</f>
        <v>973.6</v>
      </c>
      <c r="K5168">
        <f>3053.53</f>
        <v>3053.53</v>
      </c>
      <c r="L5168">
        <f>608.95</f>
        <v>608.95000000000005</v>
      </c>
      <c r="M5168">
        <f>2600.5</f>
        <v>2600.5</v>
      </c>
      <c r="N5168">
        <f>104.944</f>
        <v>104.944</v>
      </c>
      <c r="O5168">
        <f>1056.64</f>
        <v>1056.6400000000001</v>
      </c>
      <c r="P5168" t="e">
        <f>NA()</f>
        <v>#N/A</v>
      </c>
      <c r="Q5168">
        <f>513.95</f>
        <v>513.95000000000005</v>
      </c>
      <c r="R5168">
        <f>1484.93</f>
        <v>1484.93</v>
      </c>
      <c r="S5168">
        <f>1177.51</f>
        <v>1177.51</v>
      </c>
      <c r="T5168" t="e">
        <f>NA()</f>
        <v>#N/A</v>
      </c>
      <c r="U5168">
        <f>9631.88</f>
        <v>9631.8799999999992</v>
      </c>
      <c r="V5168" t="e">
        <f>NA()</f>
        <v>#N/A</v>
      </c>
    </row>
    <row r="5169" spans="1:22" x14ac:dyDescent="0.2">
      <c r="A5169" s="1">
        <v>37872</v>
      </c>
      <c r="B5169" t="e">
        <f>NA()</f>
        <v>#N/A</v>
      </c>
      <c r="C5169">
        <f>1811.08</f>
        <v>1811.08</v>
      </c>
      <c r="D5169">
        <f>2164.21</f>
        <v>2164.21</v>
      </c>
      <c r="E5169">
        <f>569.721</f>
        <v>569.721</v>
      </c>
      <c r="F5169">
        <f>1139.4</f>
        <v>1139.4000000000001</v>
      </c>
      <c r="G5169">
        <f>3530.485</f>
        <v>3530.4850000000001</v>
      </c>
      <c r="H5169">
        <f>998.94</f>
        <v>998.94</v>
      </c>
      <c r="I5169">
        <f>3318.794</f>
        <v>3318.7939999999999</v>
      </c>
      <c r="J5169">
        <f>980.85</f>
        <v>980.85</v>
      </c>
      <c r="K5169">
        <f>3079.6</f>
        <v>3079.6</v>
      </c>
      <c r="L5169">
        <f>612.3</f>
        <v>612.29999999999995</v>
      </c>
      <c r="M5169">
        <f>2611.13</f>
        <v>2611.13</v>
      </c>
      <c r="N5169">
        <f>106.694</f>
        <v>106.694</v>
      </c>
      <c r="O5169">
        <f>1070.21</f>
        <v>1070.21</v>
      </c>
      <c r="P5169" t="e">
        <f>NA()</f>
        <v>#N/A</v>
      </c>
      <c r="Q5169">
        <f>519.23</f>
        <v>519.23</v>
      </c>
      <c r="R5169">
        <f>1497.22</f>
        <v>1497.22</v>
      </c>
      <c r="S5169">
        <f>1157.5</f>
        <v>1157.5</v>
      </c>
      <c r="T5169" t="e">
        <f>NA()</f>
        <v>#N/A</v>
      </c>
      <c r="U5169">
        <f>9536</f>
        <v>9536</v>
      </c>
      <c r="V5169" t="e">
        <f>NA()</f>
        <v>#N/A</v>
      </c>
    </row>
    <row r="5170" spans="1:22" x14ac:dyDescent="0.2">
      <c r="A5170" s="1">
        <v>37869</v>
      </c>
      <c r="B5170" t="e">
        <f>NA()</f>
        <v>#N/A</v>
      </c>
      <c r="C5170">
        <f>1813.68</f>
        <v>1813.68</v>
      </c>
      <c r="D5170">
        <f>2146.62</f>
        <v>2146.62</v>
      </c>
      <c r="E5170">
        <f>567.602</f>
        <v>567.60199999999998</v>
      </c>
      <c r="F5170">
        <f>1132.87</f>
        <v>1132.8699999999999</v>
      </c>
      <c r="G5170">
        <f>3500.415</f>
        <v>3500.415</v>
      </c>
      <c r="H5170">
        <f>1000.93</f>
        <v>1000.93</v>
      </c>
      <c r="I5170">
        <f>3279.022</f>
        <v>3279.0219999999999</v>
      </c>
      <c r="J5170">
        <f>971.27</f>
        <v>971.27</v>
      </c>
      <c r="K5170">
        <f>3047.73</f>
        <v>3047.73</v>
      </c>
      <c r="L5170">
        <f>606.63</f>
        <v>606.63</v>
      </c>
      <c r="M5170">
        <f>2586.61</f>
        <v>2586.61</v>
      </c>
      <c r="N5170">
        <f>106.158</f>
        <v>106.158</v>
      </c>
      <c r="O5170">
        <f>1065.64</f>
        <v>1065.6400000000001</v>
      </c>
      <c r="P5170" t="e">
        <f>NA()</f>
        <v>#N/A</v>
      </c>
      <c r="Q5170">
        <f>516.43</f>
        <v>516.42999999999995</v>
      </c>
      <c r="R5170">
        <f>1482.24</f>
        <v>1482.24</v>
      </c>
      <c r="S5170">
        <f>1155.55</f>
        <v>1155.55</v>
      </c>
      <c r="T5170" t="e">
        <f>NA()</f>
        <v>#N/A</v>
      </c>
      <c r="U5170">
        <f>9498.09</f>
        <v>9498.09</v>
      </c>
      <c r="V5170" t="e">
        <f>NA()</f>
        <v>#N/A</v>
      </c>
    </row>
    <row r="5171" spans="1:22" x14ac:dyDescent="0.2">
      <c r="A5171" s="1">
        <v>37868</v>
      </c>
      <c r="B5171" t="e">
        <f>NA()</f>
        <v>#N/A</v>
      </c>
      <c r="C5171">
        <f>1800.79</f>
        <v>1800.79</v>
      </c>
      <c r="D5171">
        <f>2142.4</f>
        <v>2142.4</v>
      </c>
      <c r="E5171">
        <f>564.702</f>
        <v>564.702</v>
      </c>
      <c r="F5171">
        <f>1130.22</f>
        <v>1130.22</v>
      </c>
      <c r="G5171">
        <f>3482.653</f>
        <v>3482.6529999999998</v>
      </c>
      <c r="H5171">
        <f>1000.71</f>
        <v>1000.71</v>
      </c>
      <c r="I5171">
        <f>3255.496</f>
        <v>3255.4960000000001</v>
      </c>
      <c r="J5171">
        <f>975.45</f>
        <v>975.45</v>
      </c>
      <c r="K5171">
        <f>3067.02</f>
        <v>3067.02</v>
      </c>
      <c r="L5171">
        <f>606.46</f>
        <v>606.46</v>
      </c>
      <c r="M5171">
        <f>2591</f>
        <v>2591</v>
      </c>
      <c r="N5171">
        <f>106.674</f>
        <v>106.67400000000001</v>
      </c>
      <c r="O5171">
        <f>1070.97</f>
        <v>1070.97</v>
      </c>
      <c r="P5171" t="e">
        <f>NA()</f>
        <v>#N/A</v>
      </c>
      <c r="Q5171">
        <f>520.95</f>
        <v>520.95000000000005</v>
      </c>
      <c r="R5171">
        <f>1491.77</f>
        <v>1491.77</v>
      </c>
      <c r="S5171">
        <f>1160.08</f>
        <v>1160.08</v>
      </c>
      <c r="T5171" t="e">
        <f>NA()</f>
        <v>#N/A</v>
      </c>
      <c r="U5171">
        <f>9303.96</f>
        <v>9303.9599999999991</v>
      </c>
      <c r="V5171" t="e">
        <f>NA()</f>
        <v>#N/A</v>
      </c>
    </row>
    <row r="5172" spans="1:22" x14ac:dyDescent="0.2">
      <c r="A5172" s="1">
        <v>37867</v>
      </c>
      <c r="B5172" t="e">
        <f>NA()</f>
        <v>#N/A</v>
      </c>
      <c r="C5172">
        <f>1794.55</f>
        <v>1794.55</v>
      </c>
      <c r="D5172">
        <f>2149.1</f>
        <v>2149.1</v>
      </c>
      <c r="E5172">
        <f>562.935</f>
        <v>562.93499999999995</v>
      </c>
      <c r="F5172">
        <f>1131.3</f>
        <v>1131.3</v>
      </c>
      <c r="G5172">
        <f>3471.308</f>
        <v>3471.308</v>
      </c>
      <c r="H5172">
        <f>996.24</f>
        <v>996.24</v>
      </c>
      <c r="I5172">
        <f>3239.754</f>
        <v>3239.7539999999999</v>
      </c>
      <c r="J5172">
        <f>976.32</f>
        <v>976.32</v>
      </c>
      <c r="K5172">
        <f>3061.46</f>
        <v>3061.46</v>
      </c>
      <c r="L5172">
        <f>605.72</f>
        <v>605.72</v>
      </c>
      <c r="M5172">
        <f>2586.59</f>
        <v>2586.59</v>
      </c>
      <c r="N5172">
        <f>107.992</f>
        <v>107.992</v>
      </c>
      <c r="O5172">
        <f>1074.37</f>
        <v>1074.3699999999999</v>
      </c>
      <c r="P5172" t="e">
        <f>NA()</f>
        <v>#N/A</v>
      </c>
      <c r="Q5172">
        <f>520.73</f>
        <v>520.73</v>
      </c>
      <c r="R5172">
        <f>1489.25</f>
        <v>1489.25</v>
      </c>
      <c r="S5172">
        <f>1163.51</f>
        <v>1163.51</v>
      </c>
      <c r="T5172" t="e">
        <f>NA()</f>
        <v>#N/A</v>
      </c>
      <c r="U5172">
        <f>9313.98</f>
        <v>9313.98</v>
      </c>
      <c r="V5172" t="e">
        <f>NA()</f>
        <v>#N/A</v>
      </c>
    </row>
    <row r="5173" spans="1:22" x14ac:dyDescent="0.2">
      <c r="A5173" s="1">
        <v>37866</v>
      </c>
      <c r="B5173" t="e">
        <f>NA()</f>
        <v>#N/A</v>
      </c>
      <c r="C5173">
        <f>1770.05</f>
        <v>1770.05</v>
      </c>
      <c r="D5173">
        <f>2119.22</f>
        <v>2119.2199999999998</v>
      </c>
      <c r="E5173">
        <f>558.581</f>
        <v>558.58100000000002</v>
      </c>
      <c r="F5173">
        <f>1122.13</f>
        <v>1122.1300000000001</v>
      </c>
      <c r="G5173">
        <f>3426.027</f>
        <v>3426.027</v>
      </c>
      <c r="H5173">
        <f>986.11</f>
        <v>986.11</v>
      </c>
      <c r="I5173">
        <f>3195.035</f>
        <v>3195.0349999999999</v>
      </c>
      <c r="J5173">
        <f>971.84</f>
        <v>971.84</v>
      </c>
      <c r="K5173">
        <f>3048.21</f>
        <v>3048.21</v>
      </c>
      <c r="L5173">
        <f>601.56</f>
        <v>601.55999999999995</v>
      </c>
      <c r="M5173">
        <f>2568.27</f>
        <v>2568.27</v>
      </c>
      <c r="N5173">
        <f>103.874</f>
        <v>103.874</v>
      </c>
      <c r="O5173">
        <f>1055.85</f>
        <v>1055.8499999999999</v>
      </c>
      <c r="P5173" t="e">
        <f>NA()</f>
        <v>#N/A</v>
      </c>
      <c r="Q5173">
        <f>520.37</f>
        <v>520.37</v>
      </c>
      <c r="R5173">
        <f>1482.61</f>
        <v>1482.61</v>
      </c>
      <c r="S5173">
        <f>1158.59</f>
        <v>1158.5899999999999</v>
      </c>
      <c r="T5173" t="e">
        <f>NA()</f>
        <v>#N/A</v>
      </c>
      <c r="U5173">
        <f>9210.38</f>
        <v>9210.3799999999992</v>
      </c>
      <c r="V5173" t="e">
        <f>NA()</f>
        <v>#N/A</v>
      </c>
    </row>
    <row r="5174" spans="1:22" x14ac:dyDescent="0.2">
      <c r="A5174" s="1">
        <v>37865</v>
      </c>
      <c r="B5174" t="e">
        <f>NA()</f>
        <v>#N/A</v>
      </c>
      <c r="C5174">
        <f>1779.96</f>
        <v>1779.96</v>
      </c>
      <c r="D5174">
        <f>2119.26</f>
        <v>2119.2600000000002</v>
      </c>
      <c r="E5174">
        <f>558.878</f>
        <v>558.87800000000004</v>
      </c>
      <c r="F5174">
        <f>1119.58</f>
        <v>1119.58</v>
      </c>
      <c r="G5174">
        <f>3424.023</f>
        <v>3424.0230000000001</v>
      </c>
      <c r="H5174">
        <f>985.13</f>
        <v>985.13</v>
      </c>
      <c r="I5174">
        <f>3228.701</f>
        <v>3228.701</v>
      </c>
      <c r="J5174">
        <f>958.3</f>
        <v>958.3</v>
      </c>
      <c r="K5174">
        <f>3007.17</f>
        <v>3007.17</v>
      </c>
      <c r="L5174">
        <f>599.76</f>
        <v>599.76</v>
      </c>
      <c r="M5174">
        <f>2551.54</f>
        <v>2551.54</v>
      </c>
      <c r="N5174">
        <f>102.738</f>
        <v>102.738</v>
      </c>
      <c r="O5174">
        <f>1051.4</f>
        <v>1051.4000000000001</v>
      </c>
      <c r="P5174" t="e">
        <f>NA()</f>
        <v>#N/A</v>
      </c>
      <c r="Q5174" t="e">
        <f>NA()</f>
        <v>#N/A</v>
      </c>
      <c r="R5174" t="e">
        <f>NA()</f>
        <v>#N/A</v>
      </c>
      <c r="S5174">
        <f>1156.45</f>
        <v>1156.45</v>
      </c>
      <c r="T5174" t="e">
        <f>NA()</f>
        <v>#N/A</v>
      </c>
      <c r="U5174">
        <f>9357.32</f>
        <v>9357.32</v>
      </c>
      <c r="V5174" t="e">
        <f>NA()</f>
        <v>#N/A</v>
      </c>
    </row>
    <row r="5175" spans="1:22" x14ac:dyDescent="0.2">
      <c r="A5175" s="1">
        <v>37862</v>
      </c>
      <c r="B5175" t="e">
        <f>NA()</f>
        <v>#N/A</v>
      </c>
      <c r="C5175">
        <f>1764.52</f>
        <v>1764.52</v>
      </c>
      <c r="D5175">
        <f>2097.4</f>
        <v>2097.4</v>
      </c>
      <c r="E5175">
        <f>553.817</f>
        <v>553.81700000000001</v>
      </c>
      <c r="F5175">
        <f>1117.24</f>
        <v>1117.24</v>
      </c>
      <c r="G5175">
        <f>3410.615</f>
        <v>3410.6149999999998</v>
      </c>
      <c r="H5175">
        <f>967.22</f>
        <v>967.22</v>
      </c>
      <c r="I5175">
        <f>3178.393</f>
        <v>3178.393</v>
      </c>
      <c r="J5175">
        <f>958.3</f>
        <v>958.3</v>
      </c>
      <c r="K5175">
        <f>3007.17</f>
        <v>3007.17</v>
      </c>
      <c r="L5175">
        <f>597.33</f>
        <v>597.33000000000004</v>
      </c>
      <c r="M5175">
        <f>2536.55</f>
        <v>2536.5500000000002</v>
      </c>
      <c r="N5175">
        <f>101.51</f>
        <v>101.51</v>
      </c>
      <c r="O5175">
        <f>1037.49</f>
        <v>1037.49</v>
      </c>
      <c r="P5175" t="e">
        <f>NA()</f>
        <v>#N/A</v>
      </c>
      <c r="Q5175">
        <f>514.52</f>
        <v>514.52</v>
      </c>
      <c r="R5175">
        <f>1462.3</f>
        <v>1462.3</v>
      </c>
      <c r="S5175">
        <f>1128.31</f>
        <v>1128.31</v>
      </c>
      <c r="T5175" t="e">
        <f>NA()</f>
        <v>#N/A</v>
      </c>
      <c r="U5175">
        <f>9226.2</f>
        <v>9226.2000000000007</v>
      </c>
      <c r="V5175" t="e">
        <f>NA()</f>
        <v>#N/A</v>
      </c>
    </row>
    <row r="5176" spans="1:22" x14ac:dyDescent="0.2">
      <c r="A5176" s="1">
        <v>37861</v>
      </c>
      <c r="B5176" t="e">
        <f>NA()</f>
        <v>#N/A</v>
      </c>
      <c r="C5176">
        <f>1748.64</f>
        <v>1748.64</v>
      </c>
      <c r="D5176">
        <f>2116</f>
        <v>2116</v>
      </c>
      <c r="E5176">
        <f>547.893</f>
        <v>547.89300000000003</v>
      </c>
      <c r="F5176">
        <f>1121.44</f>
        <v>1121.44</v>
      </c>
      <c r="G5176">
        <f>3431.318</f>
        <v>3431.3180000000002</v>
      </c>
      <c r="H5176">
        <f>955.47</f>
        <v>955.47</v>
      </c>
      <c r="I5176">
        <f>3173.401</f>
        <v>3173.4009999999998</v>
      </c>
      <c r="J5176">
        <f>954.12</f>
        <v>954.12</v>
      </c>
      <c r="K5176">
        <f>2991.54</f>
        <v>2991.54</v>
      </c>
      <c r="L5176">
        <f>596.38</f>
        <v>596.38</v>
      </c>
      <c r="M5176">
        <f>2524.98</f>
        <v>2524.98</v>
      </c>
      <c r="N5176">
        <f>101.833</f>
        <v>101.833</v>
      </c>
      <c r="O5176">
        <f>1048.12</f>
        <v>1048.1199999999999</v>
      </c>
      <c r="P5176" t="e">
        <f>NA()</f>
        <v>#N/A</v>
      </c>
      <c r="Q5176">
        <f>511.06</f>
        <v>511.06</v>
      </c>
      <c r="R5176">
        <f>1454.7</f>
        <v>1454.7</v>
      </c>
      <c r="S5176">
        <f>1118.71</f>
        <v>1118.71</v>
      </c>
      <c r="T5176" t="e">
        <f>NA()</f>
        <v>#N/A</v>
      </c>
      <c r="U5176">
        <f>9190.66</f>
        <v>9190.66</v>
      </c>
      <c r="V5176" t="e">
        <f>NA()</f>
        <v>#N/A</v>
      </c>
    </row>
    <row r="5177" spans="1:22" x14ac:dyDescent="0.2">
      <c r="A5177" s="1">
        <v>37860</v>
      </c>
      <c r="B5177" t="e">
        <f>NA()</f>
        <v>#N/A</v>
      </c>
      <c r="C5177">
        <f>1742.38</f>
        <v>1742.38</v>
      </c>
      <c r="D5177">
        <f>2120.25</f>
        <v>2120.25</v>
      </c>
      <c r="E5177">
        <f>547.156</f>
        <v>547.15599999999995</v>
      </c>
      <c r="F5177">
        <f>1120.04</f>
        <v>1120.04</v>
      </c>
      <c r="G5177">
        <f>3426.342</f>
        <v>3426.3420000000001</v>
      </c>
      <c r="H5177">
        <f>958</f>
        <v>958</v>
      </c>
      <c r="I5177">
        <f>3152.56</f>
        <v>3152.56</v>
      </c>
      <c r="J5177">
        <f>948.66</f>
        <v>948.66</v>
      </c>
      <c r="K5177">
        <f>2973.12</f>
        <v>2973.12</v>
      </c>
      <c r="L5177">
        <f>593.94</f>
        <v>593.94000000000005</v>
      </c>
      <c r="M5177">
        <f>2513.09</f>
        <v>2513.09</v>
      </c>
      <c r="N5177">
        <f>101.854</f>
        <v>101.854</v>
      </c>
      <c r="O5177">
        <f>1043.91</f>
        <v>1043.9100000000001</v>
      </c>
      <c r="P5177" t="e">
        <f>NA()</f>
        <v>#N/A</v>
      </c>
      <c r="Q5177">
        <f>507.69</f>
        <v>507.69</v>
      </c>
      <c r="R5177">
        <f>1445.84</f>
        <v>1445.84</v>
      </c>
      <c r="S5177">
        <f>1126.78</f>
        <v>1126.78</v>
      </c>
      <c r="T5177" t="e">
        <f>NA()</f>
        <v>#N/A</v>
      </c>
      <c r="U5177">
        <f>9146.28</f>
        <v>9146.2800000000007</v>
      </c>
      <c r="V5177" t="e">
        <f>NA()</f>
        <v>#N/A</v>
      </c>
    </row>
    <row r="5178" spans="1:22" x14ac:dyDescent="0.2">
      <c r="A5178" s="1">
        <v>37859</v>
      </c>
      <c r="B5178" t="e">
        <f>NA()</f>
        <v>#N/A</v>
      </c>
      <c r="C5178">
        <f>1726.92</f>
        <v>1726.92</v>
      </c>
      <c r="D5178">
        <f>2105.34</f>
        <v>2105.34</v>
      </c>
      <c r="E5178">
        <f>544.551</f>
        <v>544.55100000000004</v>
      </c>
      <c r="F5178">
        <f>1114.21</f>
        <v>1114.21</v>
      </c>
      <c r="G5178">
        <f>3398.632</f>
        <v>3398.6320000000001</v>
      </c>
      <c r="H5178">
        <f>963.35</f>
        <v>963.35</v>
      </c>
      <c r="I5178">
        <f>3125.026</f>
        <v>3125.0259999999998</v>
      </c>
      <c r="J5178">
        <f>949.39</f>
        <v>949.39</v>
      </c>
      <c r="K5178">
        <f>2971.98</f>
        <v>2971.98</v>
      </c>
      <c r="L5178">
        <f>591.96</f>
        <v>591.96</v>
      </c>
      <c r="M5178">
        <f>2507.54</f>
        <v>2507.54</v>
      </c>
      <c r="N5178">
        <f>101.791</f>
        <v>101.791</v>
      </c>
      <c r="O5178">
        <f>1037.07</f>
        <v>1037.07</v>
      </c>
      <c r="P5178" t="e">
        <f>NA()</f>
        <v>#N/A</v>
      </c>
      <c r="Q5178">
        <f>508.14</f>
        <v>508.14</v>
      </c>
      <c r="R5178">
        <f>1445.51</f>
        <v>1445.51</v>
      </c>
      <c r="S5178">
        <f>1127.99</f>
        <v>1127.99</v>
      </c>
      <c r="T5178" t="e">
        <f>NA()</f>
        <v>#N/A</v>
      </c>
      <c r="U5178">
        <f>9098.55</f>
        <v>9098.5499999999993</v>
      </c>
      <c r="V5178" t="e">
        <f>NA()</f>
        <v>#N/A</v>
      </c>
    </row>
    <row r="5179" spans="1:22" x14ac:dyDescent="0.2">
      <c r="A5179" s="1">
        <v>37858</v>
      </c>
      <c r="B5179" t="e">
        <f>NA()</f>
        <v>#N/A</v>
      </c>
      <c r="C5179">
        <f>1733.39</f>
        <v>1733.39</v>
      </c>
      <c r="D5179" t="e">
        <f>NA()</f>
        <v>#N/A</v>
      </c>
      <c r="E5179">
        <f>547.522</f>
        <v>547.52200000000005</v>
      </c>
      <c r="F5179">
        <f>1128.89</f>
        <v>1128.8900000000001</v>
      </c>
      <c r="G5179">
        <f>3443.639</f>
        <v>3443.6390000000001</v>
      </c>
      <c r="H5179">
        <f>964.53</f>
        <v>964.53</v>
      </c>
      <c r="I5179">
        <f>3156.907</f>
        <v>3156.9070000000002</v>
      </c>
      <c r="J5179">
        <f>947.66</f>
        <v>947.66</v>
      </c>
      <c r="K5179">
        <f>2963.25</f>
        <v>2963.25</v>
      </c>
      <c r="L5179">
        <f>595.5</f>
        <v>595.5</v>
      </c>
      <c r="M5179">
        <f>2511.2</f>
        <v>2511.1999999999998</v>
      </c>
      <c r="N5179">
        <f>102.612</f>
        <v>102.61199999999999</v>
      </c>
      <c r="O5179">
        <f>1046.79</f>
        <v>1046.79</v>
      </c>
      <c r="P5179" t="e">
        <f>NA()</f>
        <v>#N/A</v>
      </c>
      <c r="Q5179">
        <f>507.18</f>
        <v>507.18</v>
      </c>
      <c r="R5179">
        <f>1441.11</f>
        <v>1441.11</v>
      </c>
      <c r="S5179">
        <f>1123.36</f>
        <v>1123.3599999999999</v>
      </c>
      <c r="T5179" t="e">
        <f>NA()</f>
        <v>#N/A</v>
      </c>
      <c r="U5179">
        <f>9260.65</f>
        <v>9260.65</v>
      </c>
      <c r="V5179" t="e">
        <f>NA()</f>
        <v>#N/A</v>
      </c>
    </row>
    <row r="5180" spans="1:22" x14ac:dyDescent="0.2">
      <c r="A5180" s="1">
        <v>37855</v>
      </c>
      <c r="B5180" t="e">
        <f>NA()</f>
        <v>#N/A</v>
      </c>
      <c r="C5180">
        <f>1746.76</f>
        <v>1746.76</v>
      </c>
      <c r="D5180">
        <f>2129.8</f>
        <v>2129.8000000000002</v>
      </c>
      <c r="E5180">
        <f>549.672</f>
        <v>549.67200000000003</v>
      </c>
      <c r="F5180">
        <f>1127.96</f>
        <v>1127.96</v>
      </c>
      <c r="G5180">
        <f>3440.796</f>
        <v>3440.7959999999998</v>
      </c>
      <c r="H5180">
        <f>967.08</f>
        <v>967.08</v>
      </c>
      <c r="I5180">
        <f>3179.176</f>
        <v>3179.1759999999999</v>
      </c>
      <c r="J5180">
        <f>945.4</f>
        <v>945.4</v>
      </c>
      <c r="K5180">
        <f>2961.92</f>
        <v>2961.92</v>
      </c>
      <c r="L5180">
        <f>595.82</f>
        <v>595.82000000000005</v>
      </c>
      <c r="M5180">
        <f>2514.58</f>
        <v>2514.58</v>
      </c>
      <c r="N5180">
        <f>103.319</f>
        <v>103.319</v>
      </c>
      <c r="O5180">
        <f>1055.42</f>
        <v>1055.42</v>
      </c>
      <c r="P5180" t="e">
        <f>NA()</f>
        <v>#N/A</v>
      </c>
      <c r="Q5180">
        <f>506.13</f>
        <v>506.13</v>
      </c>
      <c r="R5180">
        <f>1440.17</f>
        <v>1440.17</v>
      </c>
      <c r="S5180">
        <f>1130.57</f>
        <v>1130.57</v>
      </c>
      <c r="T5180" t="e">
        <f>NA()</f>
        <v>#N/A</v>
      </c>
      <c r="U5180">
        <f>9338.75</f>
        <v>9338.75</v>
      </c>
      <c r="V5180" t="e">
        <f>NA()</f>
        <v>#N/A</v>
      </c>
    </row>
    <row r="5181" spans="1:22" x14ac:dyDescent="0.2">
      <c r="A5181" s="1">
        <v>37854</v>
      </c>
      <c r="B5181" t="e">
        <f>NA()</f>
        <v>#N/A</v>
      </c>
      <c r="C5181">
        <f>1742.46</f>
        <v>1742.46</v>
      </c>
      <c r="D5181">
        <f>2128.59</f>
        <v>2128.59</v>
      </c>
      <c r="E5181">
        <f>547.57</f>
        <v>547.57000000000005</v>
      </c>
      <c r="F5181">
        <f>1131.62</f>
        <v>1131.6199999999999</v>
      </c>
      <c r="G5181">
        <f>3458.436</f>
        <v>3458.4360000000001</v>
      </c>
      <c r="H5181">
        <f>963.92</f>
        <v>963.92</v>
      </c>
      <c r="I5181">
        <f>3196.136</f>
        <v>3196.136</v>
      </c>
      <c r="J5181">
        <f>958.29</f>
        <v>958.29</v>
      </c>
      <c r="K5181">
        <f>2992.11</f>
        <v>2992.11</v>
      </c>
      <c r="L5181">
        <f>601.68</f>
        <v>601.67999999999995</v>
      </c>
      <c r="M5181">
        <f>2533.64</f>
        <v>2533.64</v>
      </c>
      <c r="N5181">
        <f>102.756</f>
        <v>102.756</v>
      </c>
      <c r="O5181">
        <f>1050.05</f>
        <v>1050.05</v>
      </c>
      <c r="P5181" t="e">
        <f>NA()</f>
        <v>#N/A</v>
      </c>
      <c r="Q5181">
        <f>511.41</f>
        <v>511.41</v>
      </c>
      <c r="R5181">
        <f>1454.98</f>
        <v>1454.98</v>
      </c>
      <c r="S5181">
        <f>1136.63</f>
        <v>1136.6300000000001</v>
      </c>
      <c r="T5181" t="e">
        <f>NA()</f>
        <v>#N/A</v>
      </c>
      <c r="U5181">
        <f>9337.52</f>
        <v>9337.52</v>
      </c>
      <c r="V5181" t="e">
        <f>NA()</f>
        <v>#N/A</v>
      </c>
    </row>
    <row r="5182" spans="1:22" x14ac:dyDescent="0.2">
      <c r="A5182" s="1">
        <v>37853</v>
      </c>
      <c r="B5182" t="e">
        <f>NA()</f>
        <v>#N/A</v>
      </c>
      <c r="C5182">
        <f>1729.35</f>
        <v>1729.35</v>
      </c>
      <c r="D5182">
        <f>2125.5</f>
        <v>2125.5</v>
      </c>
      <c r="E5182">
        <f>540.199</f>
        <v>540.19899999999996</v>
      </c>
      <c r="F5182">
        <f>1131.41</f>
        <v>1131.4100000000001</v>
      </c>
      <c r="G5182">
        <f>3476.465</f>
        <v>3476.4650000000001</v>
      </c>
      <c r="H5182">
        <f>959.17</f>
        <v>959.17</v>
      </c>
      <c r="I5182">
        <f>3207.97</f>
        <v>3207.97</v>
      </c>
      <c r="J5182">
        <f>954.96</f>
        <v>954.96</v>
      </c>
      <c r="K5182">
        <f>2983.39</f>
        <v>2983.39</v>
      </c>
      <c r="L5182">
        <f>603.19</f>
        <v>603.19000000000005</v>
      </c>
      <c r="M5182">
        <f>2529.9</f>
        <v>2529.9</v>
      </c>
      <c r="N5182">
        <f>101.321</f>
        <v>101.321</v>
      </c>
      <c r="O5182">
        <f>1040.62</f>
        <v>1040.6199999999999</v>
      </c>
      <c r="P5182" t="e">
        <f>NA()</f>
        <v>#N/A</v>
      </c>
      <c r="Q5182">
        <f>510.21</f>
        <v>510.21</v>
      </c>
      <c r="R5182">
        <f>1450.61</f>
        <v>1450.61</v>
      </c>
      <c r="S5182">
        <f>1127.06</f>
        <v>1127.06</v>
      </c>
      <c r="T5182" t="e">
        <f>NA()</f>
        <v>#N/A</v>
      </c>
      <c r="U5182">
        <f>9156.38</f>
        <v>9156.3799999999992</v>
      </c>
      <c r="V5182" t="e">
        <f>NA()</f>
        <v>#N/A</v>
      </c>
    </row>
    <row r="5183" spans="1:22" x14ac:dyDescent="0.2">
      <c r="A5183" s="1">
        <v>37852</v>
      </c>
      <c r="B5183" t="e">
        <f>NA()</f>
        <v>#N/A</v>
      </c>
      <c r="C5183">
        <f>1722.88</f>
        <v>1722.88</v>
      </c>
      <c r="D5183">
        <f>2137.07</f>
        <v>2137.0700000000002</v>
      </c>
      <c r="E5183">
        <f>539.366</f>
        <v>539.36599999999999</v>
      </c>
      <c r="F5183">
        <f>1129.85</f>
        <v>1129.8499999999999</v>
      </c>
      <c r="G5183">
        <f>3479.569</f>
        <v>3479.569</v>
      </c>
      <c r="H5183">
        <f>940.5</f>
        <v>940.5</v>
      </c>
      <c r="I5183">
        <f>3208.372</f>
        <v>3208.3719999999998</v>
      </c>
      <c r="J5183">
        <f>953.61</f>
        <v>953.61</v>
      </c>
      <c r="K5183">
        <f>2989.37</f>
        <v>2989.37</v>
      </c>
      <c r="L5183">
        <f>601.63</f>
        <v>601.63</v>
      </c>
      <c r="M5183">
        <f>2527.5</f>
        <v>2527.5</v>
      </c>
      <c r="N5183">
        <f>102.03</f>
        <v>102.03</v>
      </c>
      <c r="O5183">
        <f>1044.69</f>
        <v>1044.69</v>
      </c>
      <c r="P5183" t="e">
        <f>NA()</f>
        <v>#N/A</v>
      </c>
      <c r="Q5183">
        <f>510.33</f>
        <v>510.33</v>
      </c>
      <c r="R5183">
        <f>1453.45</f>
        <v>1453.45</v>
      </c>
      <c r="S5183">
        <f>1115.31</f>
        <v>1115.31</v>
      </c>
      <c r="T5183" t="e">
        <f>NA()</f>
        <v>#N/A</v>
      </c>
      <c r="U5183">
        <f>9125.26</f>
        <v>9125.26</v>
      </c>
      <c r="V5183" t="e">
        <f>NA()</f>
        <v>#N/A</v>
      </c>
    </row>
    <row r="5184" spans="1:22" x14ac:dyDescent="0.2">
      <c r="A5184" s="1">
        <v>37851</v>
      </c>
      <c r="B5184" t="e">
        <f>NA()</f>
        <v>#N/A</v>
      </c>
      <c r="C5184">
        <f>1721.88</f>
        <v>1721.88</v>
      </c>
      <c r="D5184">
        <f>2147.78</f>
        <v>2147.7800000000002</v>
      </c>
      <c r="E5184">
        <f>537.374</f>
        <v>537.37400000000002</v>
      </c>
      <c r="F5184">
        <f>1136.13</f>
        <v>1136.1300000000001</v>
      </c>
      <c r="G5184">
        <f>3507.57</f>
        <v>3507.57</v>
      </c>
      <c r="H5184">
        <f>936.95</f>
        <v>936.95</v>
      </c>
      <c r="I5184">
        <f>3215.006</f>
        <v>3215.0059999999999</v>
      </c>
      <c r="J5184">
        <f>954.03</f>
        <v>954.03</v>
      </c>
      <c r="K5184">
        <f>2981.69</f>
        <v>2981.69</v>
      </c>
      <c r="L5184">
        <f>603.86</f>
        <v>603.86</v>
      </c>
      <c r="M5184">
        <f>2523.65</f>
        <v>2523.65</v>
      </c>
      <c r="N5184">
        <f>100.625</f>
        <v>100.625</v>
      </c>
      <c r="O5184">
        <f>1041.48</f>
        <v>1041.48</v>
      </c>
      <c r="P5184" t="e">
        <f>NA()</f>
        <v>#N/A</v>
      </c>
      <c r="Q5184">
        <f>509.76</f>
        <v>509.76</v>
      </c>
      <c r="R5184">
        <f>1449.65</f>
        <v>1449.65</v>
      </c>
      <c r="S5184">
        <f>1098.82</f>
        <v>1098.82</v>
      </c>
      <c r="T5184" t="e">
        <f>NA()</f>
        <v>#N/A</v>
      </c>
      <c r="U5184">
        <f>9041.15</f>
        <v>9041.15</v>
      </c>
      <c r="V5184" t="e">
        <f>NA()</f>
        <v>#N/A</v>
      </c>
    </row>
    <row r="5185" spans="1:22" x14ac:dyDescent="0.2">
      <c r="A5185" s="1">
        <v>37848</v>
      </c>
      <c r="B5185" t="e">
        <f>NA()</f>
        <v>#N/A</v>
      </c>
      <c r="C5185">
        <f>1705.61</f>
        <v>1705.61</v>
      </c>
      <c r="D5185">
        <f>2135.32</f>
        <v>2135.3200000000002</v>
      </c>
      <c r="E5185">
        <f>533.514</f>
        <v>533.51400000000001</v>
      </c>
      <c r="F5185">
        <f>1135.15</f>
        <v>1135.1500000000001</v>
      </c>
      <c r="G5185">
        <f>3495.142</f>
        <v>3495.1419999999998</v>
      </c>
      <c r="H5185">
        <f>933.08</f>
        <v>933.08</v>
      </c>
      <c r="I5185">
        <f>3214.975</f>
        <v>3214.9749999999999</v>
      </c>
      <c r="J5185">
        <f>948.38</f>
        <v>948.38</v>
      </c>
      <c r="K5185">
        <f>2953.9</f>
        <v>2953.9</v>
      </c>
      <c r="L5185">
        <f>602.51</f>
        <v>602.51</v>
      </c>
      <c r="M5185">
        <f>2506.56</f>
        <v>2506.56</v>
      </c>
      <c r="N5185">
        <f>99.567</f>
        <v>99.566999999999993</v>
      </c>
      <c r="O5185">
        <f>1031.85</f>
        <v>1031.8499999999999</v>
      </c>
      <c r="P5185" t="e">
        <f>NA()</f>
        <v>#N/A</v>
      </c>
      <c r="Q5185">
        <f>506.55</f>
        <v>506.55</v>
      </c>
      <c r="R5185">
        <f>1436.43</f>
        <v>1436.43</v>
      </c>
      <c r="S5185">
        <f>1086.19</f>
        <v>1086.19</v>
      </c>
      <c r="T5185" t="e">
        <f>NA()</f>
        <v>#N/A</v>
      </c>
      <c r="U5185">
        <f>9018.65</f>
        <v>9018.65</v>
      </c>
      <c r="V5185" t="e">
        <f>NA()</f>
        <v>#N/A</v>
      </c>
    </row>
    <row r="5186" spans="1:22" x14ac:dyDescent="0.2">
      <c r="A5186" s="1">
        <v>37847</v>
      </c>
      <c r="B5186" t="e">
        <f>NA()</f>
        <v>#N/A</v>
      </c>
      <c r="C5186">
        <f>1701.52</f>
        <v>1701.52</v>
      </c>
      <c r="D5186">
        <f>2130.54</f>
        <v>2130.54</v>
      </c>
      <c r="E5186">
        <f>531.594</f>
        <v>531.59400000000005</v>
      </c>
      <c r="F5186">
        <f>1137.31</f>
        <v>1137.31</v>
      </c>
      <c r="G5186">
        <f>3498.454</f>
        <v>3498.4540000000002</v>
      </c>
      <c r="H5186">
        <f>933.51</f>
        <v>933.51</v>
      </c>
      <c r="I5186">
        <f>3205.339</f>
        <v>3205.3389999999999</v>
      </c>
      <c r="J5186">
        <f>948.03</f>
        <v>948.03</v>
      </c>
      <c r="K5186">
        <f>2952.29</f>
        <v>2952.29</v>
      </c>
      <c r="L5186">
        <f>602.46</f>
        <v>602.46</v>
      </c>
      <c r="M5186">
        <f>2504.95</f>
        <v>2504.9499999999998</v>
      </c>
      <c r="N5186">
        <f>99.027</f>
        <v>99.027000000000001</v>
      </c>
      <c r="O5186">
        <f>1029.58</f>
        <v>1029.58</v>
      </c>
      <c r="P5186" t="e">
        <f>NA()</f>
        <v>#N/A</v>
      </c>
      <c r="Q5186">
        <f>506.38</f>
        <v>506.38</v>
      </c>
      <c r="R5186">
        <f>1435.96</f>
        <v>1435.96</v>
      </c>
      <c r="S5186">
        <f>1087.48</f>
        <v>1087.48</v>
      </c>
      <c r="T5186" t="e">
        <f>NA()</f>
        <v>#N/A</v>
      </c>
      <c r="U5186">
        <f>8990.69</f>
        <v>8990.69</v>
      </c>
      <c r="V5186" t="e">
        <f>NA()</f>
        <v>#N/A</v>
      </c>
    </row>
    <row r="5187" spans="1:22" x14ac:dyDescent="0.2">
      <c r="A5187" s="1">
        <v>37846</v>
      </c>
      <c r="B5187" t="e">
        <f>NA()</f>
        <v>#N/A</v>
      </c>
      <c r="C5187">
        <f>1690.51</f>
        <v>1690.51</v>
      </c>
      <c r="D5187">
        <f>2101.81</f>
        <v>2101.81</v>
      </c>
      <c r="E5187">
        <f>526.559</f>
        <v>526.55899999999997</v>
      </c>
      <c r="F5187">
        <f>1127.87</f>
        <v>1127.8699999999999</v>
      </c>
      <c r="G5187">
        <f>3468.942</f>
        <v>3468.942</v>
      </c>
      <c r="H5187">
        <f>921.46</f>
        <v>921.46</v>
      </c>
      <c r="I5187">
        <f>3174.284</f>
        <v>3174.2840000000001</v>
      </c>
      <c r="J5187">
        <f>941.59</f>
        <v>941.59</v>
      </c>
      <c r="K5187">
        <f>2933.44</f>
        <v>2933.44</v>
      </c>
      <c r="L5187">
        <f>598.13</f>
        <v>598.13</v>
      </c>
      <c r="M5187">
        <f>2485.29</f>
        <v>2485.29</v>
      </c>
      <c r="N5187">
        <f>97.616</f>
        <v>97.616</v>
      </c>
      <c r="O5187">
        <f>1015.34</f>
        <v>1015.34</v>
      </c>
      <c r="P5187" t="e">
        <f>NA()</f>
        <v>#N/A</v>
      </c>
      <c r="Q5187">
        <f>503.52</f>
        <v>503.52</v>
      </c>
      <c r="R5187">
        <f>1426.55</f>
        <v>1426.55</v>
      </c>
      <c r="S5187">
        <f>1071.5</f>
        <v>1071.5</v>
      </c>
      <c r="T5187" t="e">
        <f>NA()</f>
        <v>#N/A</v>
      </c>
      <c r="U5187">
        <f>9072.6</f>
        <v>9072.6</v>
      </c>
      <c r="V5187" t="e">
        <f>NA()</f>
        <v>#N/A</v>
      </c>
    </row>
    <row r="5188" spans="1:22" x14ac:dyDescent="0.2">
      <c r="A5188" s="1">
        <v>37845</v>
      </c>
      <c r="B5188" t="e">
        <f>NA()</f>
        <v>#N/A</v>
      </c>
      <c r="C5188">
        <f>1680.25</f>
        <v>1680.25</v>
      </c>
      <c r="D5188">
        <f>2095.93</f>
        <v>2095.9299999999998</v>
      </c>
      <c r="E5188">
        <f>519.524</f>
        <v>519.524</v>
      </c>
      <c r="F5188">
        <f>1114.95</f>
        <v>1114.95</v>
      </c>
      <c r="G5188">
        <f>3444.93</f>
        <v>3444.93</v>
      </c>
      <c r="H5188">
        <f>911.92</f>
        <v>911.92</v>
      </c>
      <c r="I5188">
        <f>3168.515</f>
        <v>3168.5149999999999</v>
      </c>
      <c r="J5188">
        <f>948.42</f>
        <v>948.42</v>
      </c>
      <c r="K5188">
        <f>2951.51</f>
        <v>2951.51</v>
      </c>
      <c r="L5188">
        <f>599.15</f>
        <v>599.15</v>
      </c>
      <c r="M5188">
        <f>2487.69</f>
        <v>2487.69</v>
      </c>
      <c r="N5188">
        <f>97.107</f>
        <v>97.106999999999999</v>
      </c>
      <c r="O5188">
        <f>1012.47</f>
        <v>1012.47</v>
      </c>
      <c r="P5188" t="e">
        <f>NA()</f>
        <v>#N/A</v>
      </c>
      <c r="Q5188">
        <f>505.81</f>
        <v>505.81</v>
      </c>
      <c r="R5188">
        <f>1435.17</f>
        <v>1435.17</v>
      </c>
      <c r="S5188">
        <f>1052.18</f>
        <v>1052.18</v>
      </c>
      <c r="T5188" t="e">
        <f>NA()</f>
        <v>#N/A</v>
      </c>
      <c r="U5188">
        <f>8984.35</f>
        <v>8984.35</v>
      </c>
      <c r="V5188" t="e">
        <f>NA()</f>
        <v>#N/A</v>
      </c>
    </row>
    <row r="5189" spans="1:22" x14ac:dyDescent="0.2">
      <c r="A5189" s="1">
        <v>37844</v>
      </c>
      <c r="B5189" t="e">
        <f>NA()</f>
        <v>#N/A</v>
      </c>
      <c r="C5189">
        <f>1674.67</f>
        <v>1674.67</v>
      </c>
      <c r="D5189">
        <f>2091.47</f>
        <v>2091.4699999999998</v>
      </c>
      <c r="E5189">
        <f>518.857</f>
        <v>518.85699999999997</v>
      </c>
      <c r="F5189">
        <f>1110.49</f>
        <v>1110.49</v>
      </c>
      <c r="G5189">
        <f>3439.169</f>
        <v>3439.1689999999999</v>
      </c>
      <c r="H5189">
        <f>909.1</f>
        <v>909.1</v>
      </c>
      <c r="I5189">
        <f>3153.796</f>
        <v>3153.7959999999998</v>
      </c>
      <c r="J5189">
        <f>941.96</f>
        <v>941.96</v>
      </c>
      <c r="K5189">
        <f>2923.01</f>
        <v>2923.01</v>
      </c>
      <c r="L5189">
        <f>596.1</f>
        <v>596.1</v>
      </c>
      <c r="M5189">
        <f>2469.7</f>
        <v>2469.6999999999998</v>
      </c>
      <c r="N5189">
        <f>96.969</f>
        <v>96.968999999999994</v>
      </c>
      <c r="O5189">
        <f>1007.11</f>
        <v>1007.11</v>
      </c>
      <c r="P5189" t="e">
        <f>NA()</f>
        <v>#N/A</v>
      </c>
      <c r="Q5189">
        <f>501.79</f>
        <v>501.79</v>
      </c>
      <c r="R5189">
        <f>1421.01</f>
        <v>1421.01</v>
      </c>
      <c r="S5189">
        <f>1045.34</f>
        <v>1045.3399999999999</v>
      </c>
      <c r="T5189" t="e">
        <f>NA()</f>
        <v>#N/A</v>
      </c>
      <c r="U5189">
        <f>8905.18</f>
        <v>8905.18</v>
      </c>
      <c r="V5189" t="e">
        <f>NA()</f>
        <v>#N/A</v>
      </c>
    </row>
    <row r="5190" spans="1:22" x14ac:dyDescent="0.2">
      <c r="A5190" s="1">
        <v>37841</v>
      </c>
      <c r="B5190" t="e">
        <f>NA()</f>
        <v>#N/A</v>
      </c>
      <c r="C5190">
        <f>1655.04</f>
        <v>1655.04</v>
      </c>
      <c r="D5190">
        <f>2077.01</f>
        <v>2077.0100000000002</v>
      </c>
      <c r="E5190">
        <f>514.826</f>
        <v>514.82600000000002</v>
      </c>
      <c r="F5190">
        <f>1109.18</f>
        <v>1109.18</v>
      </c>
      <c r="G5190">
        <f>3430.813</f>
        <v>3430.8130000000001</v>
      </c>
      <c r="H5190">
        <f>899.3</f>
        <v>899.3</v>
      </c>
      <c r="I5190">
        <f>3141.495</f>
        <v>3141.4949999999999</v>
      </c>
      <c r="J5190">
        <f>940.22</f>
        <v>940.22</v>
      </c>
      <c r="K5190">
        <f>2912.92</f>
        <v>2912.92</v>
      </c>
      <c r="L5190">
        <f>593.74</f>
        <v>593.74</v>
      </c>
      <c r="M5190">
        <f>2456.99</f>
        <v>2456.9899999999998</v>
      </c>
      <c r="N5190">
        <f>97.104</f>
        <v>97.103999999999999</v>
      </c>
      <c r="O5190">
        <f>1002.52</f>
        <v>1002.52</v>
      </c>
      <c r="P5190" t="e">
        <f>NA()</f>
        <v>#N/A</v>
      </c>
      <c r="Q5190">
        <f>501.48</f>
        <v>501.48</v>
      </c>
      <c r="R5190">
        <f>1416.3</f>
        <v>1416.3</v>
      </c>
      <c r="S5190">
        <f>1032.91</f>
        <v>1032.9100000000001</v>
      </c>
      <c r="T5190" t="e">
        <f>NA()</f>
        <v>#N/A</v>
      </c>
      <c r="U5190">
        <f>8863.61</f>
        <v>8863.61</v>
      </c>
      <c r="V5190" t="e">
        <f>NA()</f>
        <v>#N/A</v>
      </c>
    </row>
    <row r="5191" spans="1:22" x14ac:dyDescent="0.2">
      <c r="A5191" s="1">
        <v>37840</v>
      </c>
      <c r="B5191" t="e">
        <f>NA()</f>
        <v>#N/A</v>
      </c>
      <c r="C5191">
        <f>1650.62</f>
        <v>1650.62</v>
      </c>
      <c r="D5191">
        <f>2050.86</f>
        <v>2050.86</v>
      </c>
      <c r="E5191">
        <f>514.95</f>
        <v>514.95000000000005</v>
      </c>
      <c r="F5191">
        <f>1108.15</f>
        <v>1108.1500000000001</v>
      </c>
      <c r="G5191">
        <f>3405.057</f>
        <v>3405.0569999999998</v>
      </c>
      <c r="H5191">
        <f>900.84</f>
        <v>900.84</v>
      </c>
      <c r="I5191">
        <f>3140.374</f>
        <v>3140.3739999999998</v>
      </c>
      <c r="J5191">
        <f>936.9</f>
        <v>936.9</v>
      </c>
      <c r="K5191">
        <f>2902.85</f>
        <v>2902.85</v>
      </c>
      <c r="L5191">
        <f>591.24</f>
        <v>591.24</v>
      </c>
      <c r="M5191">
        <f>2448.82</f>
        <v>2448.8200000000002</v>
      </c>
      <c r="N5191">
        <f>95.76</f>
        <v>95.76</v>
      </c>
      <c r="O5191">
        <f>992.52</f>
        <v>992.52</v>
      </c>
      <c r="P5191" t="e">
        <f>NA()</f>
        <v>#N/A</v>
      </c>
      <c r="Q5191">
        <f>498.77</f>
        <v>498.77</v>
      </c>
      <c r="R5191">
        <f>1411.27</f>
        <v>1411.27</v>
      </c>
      <c r="S5191">
        <f>1031.15</f>
        <v>1031.1500000000001</v>
      </c>
      <c r="T5191" t="e">
        <f>NA()</f>
        <v>#N/A</v>
      </c>
      <c r="U5191">
        <f>8754.76</f>
        <v>8754.76</v>
      </c>
      <c r="V5191" t="e">
        <f>NA()</f>
        <v>#N/A</v>
      </c>
    </row>
    <row r="5192" spans="1:22" x14ac:dyDescent="0.2">
      <c r="A5192" s="1">
        <v>37839</v>
      </c>
      <c r="B5192" t="e">
        <f>NA()</f>
        <v>#N/A</v>
      </c>
      <c r="C5192">
        <f>1633.5</f>
        <v>1633.5</v>
      </c>
      <c r="D5192">
        <f>2038.27</f>
        <v>2038.27</v>
      </c>
      <c r="E5192">
        <f>510.967</f>
        <v>510.96699999999998</v>
      </c>
      <c r="F5192">
        <f>1104.85</f>
        <v>1104.8499999999999</v>
      </c>
      <c r="G5192">
        <f>3372.938</f>
        <v>3372.9380000000001</v>
      </c>
      <c r="H5192">
        <f>890.67</f>
        <v>890.67</v>
      </c>
      <c r="I5192">
        <f>3137.522</f>
        <v>3137.5219999999999</v>
      </c>
      <c r="J5192">
        <f>929.84</f>
        <v>929.84</v>
      </c>
      <c r="K5192">
        <f>2881</f>
        <v>2881</v>
      </c>
      <c r="L5192">
        <f>587.1</f>
        <v>587.1</v>
      </c>
      <c r="M5192">
        <f>2433.22</f>
        <v>2433.2199999999998</v>
      </c>
      <c r="N5192">
        <f>96.271</f>
        <v>96.271000000000001</v>
      </c>
      <c r="O5192">
        <f>990.44</f>
        <v>990.44</v>
      </c>
      <c r="P5192" t="e">
        <f>NA()</f>
        <v>#N/A</v>
      </c>
      <c r="Q5192">
        <f>495.57</f>
        <v>495.57</v>
      </c>
      <c r="R5192">
        <f>1401.01</f>
        <v>1401.01</v>
      </c>
      <c r="S5192">
        <f>1038.65</f>
        <v>1038.6500000000001</v>
      </c>
      <c r="T5192" t="e">
        <f>NA()</f>
        <v>#N/A</v>
      </c>
      <c r="U5192">
        <f>8809.1</f>
        <v>8809.1</v>
      </c>
      <c r="V5192" t="e">
        <f>NA()</f>
        <v>#N/A</v>
      </c>
    </row>
    <row r="5193" spans="1:22" x14ac:dyDescent="0.2">
      <c r="A5193" s="1">
        <v>37838</v>
      </c>
      <c r="B5193" t="e">
        <f>NA()</f>
        <v>#N/A</v>
      </c>
      <c r="C5193">
        <f>1639.5</f>
        <v>1639.5</v>
      </c>
      <c r="D5193">
        <f>2062.18</f>
        <v>2062.1799999999998</v>
      </c>
      <c r="E5193">
        <f>515.524</f>
        <v>515.524</v>
      </c>
      <c r="F5193">
        <f>1113.29</f>
        <v>1113.29</v>
      </c>
      <c r="G5193">
        <f>3404.606</f>
        <v>3404.6060000000002</v>
      </c>
      <c r="H5193">
        <f>893.63</f>
        <v>893.63</v>
      </c>
      <c r="I5193">
        <f>3176.352</f>
        <v>3176.3519999999999</v>
      </c>
      <c r="J5193">
        <f>924.09</f>
        <v>924.09</v>
      </c>
      <c r="K5193">
        <f>2876.6</f>
        <v>2876.6</v>
      </c>
      <c r="L5193">
        <f>588.36</f>
        <v>588.36</v>
      </c>
      <c r="M5193">
        <f>2441.15</f>
        <v>2441.15</v>
      </c>
      <c r="N5193">
        <f>97.733</f>
        <v>97.733000000000004</v>
      </c>
      <c r="O5193">
        <f>1005.24</f>
        <v>1005.24</v>
      </c>
      <c r="P5193" t="e">
        <f>NA()</f>
        <v>#N/A</v>
      </c>
      <c r="Q5193">
        <f>494.81</f>
        <v>494.81</v>
      </c>
      <c r="R5193">
        <f>1398.42</f>
        <v>1398.42</v>
      </c>
      <c r="S5193">
        <f>1041.91</f>
        <v>1041.9100000000001</v>
      </c>
      <c r="T5193" t="e">
        <f>NA()</f>
        <v>#N/A</v>
      </c>
      <c r="U5193">
        <f>8866.36</f>
        <v>8866.36</v>
      </c>
      <c r="V5193" t="e">
        <f>NA()</f>
        <v>#N/A</v>
      </c>
    </row>
    <row r="5194" spans="1:22" x14ac:dyDescent="0.2">
      <c r="A5194" s="1">
        <v>37837</v>
      </c>
      <c r="B5194" t="e">
        <f>NA()</f>
        <v>#N/A</v>
      </c>
      <c r="C5194">
        <f>1645.7</f>
        <v>1645.7</v>
      </c>
      <c r="D5194">
        <f>2051.69</f>
        <v>2051.69</v>
      </c>
      <c r="E5194">
        <f>518.123</f>
        <v>518.12300000000005</v>
      </c>
      <c r="F5194">
        <f>1113.25</f>
        <v>1113.25</v>
      </c>
      <c r="G5194">
        <f>3393.955</f>
        <v>3393.9549999999999</v>
      </c>
      <c r="H5194">
        <f>895.91</f>
        <v>895.91</v>
      </c>
      <c r="I5194">
        <f>3146.707</f>
        <v>3146.7069999999999</v>
      </c>
      <c r="J5194">
        <f>938.49</f>
        <v>938.49</v>
      </c>
      <c r="K5194">
        <f>2929.22</f>
        <v>2929.22</v>
      </c>
      <c r="L5194">
        <f>591.14</f>
        <v>591.14</v>
      </c>
      <c r="M5194">
        <f>2463.28</f>
        <v>2463.2800000000002</v>
      </c>
      <c r="N5194">
        <f>97.643</f>
        <v>97.643000000000001</v>
      </c>
      <c r="O5194">
        <f>997.49</f>
        <v>997.49</v>
      </c>
      <c r="P5194" t="e">
        <f>NA()</f>
        <v>#N/A</v>
      </c>
      <c r="Q5194">
        <f>501.98</f>
        <v>501.98</v>
      </c>
      <c r="R5194">
        <f>1423.51</f>
        <v>1423.51</v>
      </c>
      <c r="S5194">
        <f>1052.1</f>
        <v>1052.0999999999999</v>
      </c>
      <c r="T5194" t="e">
        <f>NA()</f>
        <v>#N/A</v>
      </c>
      <c r="U5194">
        <f>8850.45</f>
        <v>8850.4500000000007</v>
      </c>
      <c r="V5194" t="e">
        <f>NA()</f>
        <v>#N/A</v>
      </c>
    </row>
    <row r="5195" spans="1:22" x14ac:dyDescent="0.2">
      <c r="A5195" s="1">
        <v>37834</v>
      </c>
      <c r="B5195" t="e">
        <f>NA()</f>
        <v>#N/A</v>
      </c>
      <c r="C5195">
        <f>1651.21</f>
        <v>1651.21</v>
      </c>
      <c r="D5195">
        <f>2050.87</f>
        <v>2050.87</v>
      </c>
      <c r="E5195">
        <f>519.912</f>
        <v>519.91200000000003</v>
      </c>
      <c r="F5195">
        <f>1110.77</f>
        <v>1110.77</v>
      </c>
      <c r="G5195">
        <f>3388.712</f>
        <v>3388.712</v>
      </c>
      <c r="H5195">
        <f>901.89</f>
        <v>901.89</v>
      </c>
      <c r="I5195">
        <f>3146.39</f>
        <v>3146.39</v>
      </c>
      <c r="J5195">
        <f>933.27</f>
        <v>933.27</v>
      </c>
      <c r="K5195">
        <f>2921.38</f>
        <v>2921.38</v>
      </c>
      <c r="L5195">
        <f>589.31</f>
        <v>589.30999999999995</v>
      </c>
      <c r="M5195">
        <f>2462.88</f>
        <v>2462.88</v>
      </c>
      <c r="N5195">
        <f>97.861</f>
        <v>97.861000000000004</v>
      </c>
      <c r="O5195">
        <f>1004.27</f>
        <v>1004.27</v>
      </c>
      <c r="P5195" t="e">
        <f>NA()</f>
        <v>#N/A</v>
      </c>
      <c r="Q5195">
        <f>500.89</f>
        <v>500.89</v>
      </c>
      <c r="R5195">
        <f>1419.64</f>
        <v>1419.64</v>
      </c>
      <c r="S5195">
        <f>1060.99</f>
        <v>1060.99</v>
      </c>
      <c r="T5195" t="e">
        <f>NA()</f>
        <v>#N/A</v>
      </c>
      <c r="U5195">
        <f>8806.91</f>
        <v>8806.91</v>
      </c>
      <c r="V5195" t="e">
        <f>NA()</f>
        <v>#N/A</v>
      </c>
    </row>
    <row r="5196" spans="1:22" x14ac:dyDescent="0.2">
      <c r="A5196" s="1">
        <v>37833</v>
      </c>
      <c r="B5196" t="e">
        <f>NA()</f>
        <v>#N/A</v>
      </c>
      <c r="C5196">
        <f>1658.87</f>
        <v>1658.87</v>
      </c>
      <c r="D5196">
        <f>2080.19</f>
        <v>2080.19</v>
      </c>
      <c r="E5196">
        <f>518.983</f>
        <v>518.98299999999995</v>
      </c>
      <c r="F5196">
        <f>1121.55</f>
        <v>1121.55</v>
      </c>
      <c r="G5196">
        <f>3434.062</f>
        <v>3434.0619999999999</v>
      </c>
      <c r="H5196">
        <f>898.85</f>
        <v>898.85</v>
      </c>
      <c r="I5196">
        <f>3174.4</f>
        <v>3174.4</v>
      </c>
      <c r="J5196">
        <f>944.36</f>
        <v>944.36</v>
      </c>
      <c r="K5196">
        <f>2951.78</f>
        <v>2951.78</v>
      </c>
      <c r="L5196">
        <f>594.9</f>
        <v>594.9</v>
      </c>
      <c r="M5196">
        <f>2482.33</f>
        <v>2482.33</v>
      </c>
      <c r="N5196">
        <f>98.046</f>
        <v>98.046000000000006</v>
      </c>
      <c r="O5196">
        <f>1017.57</f>
        <v>1017.57</v>
      </c>
      <c r="P5196" t="e">
        <f>NA()</f>
        <v>#N/A</v>
      </c>
      <c r="Q5196">
        <f>505.49</f>
        <v>505.49</v>
      </c>
      <c r="R5196">
        <f>1434.33</f>
        <v>1434.33</v>
      </c>
      <c r="S5196">
        <f>1057.59</f>
        <v>1057.5899999999999</v>
      </c>
      <c r="T5196" t="e">
        <f>NA()</f>
        <v>#N/A</v>
      </c>
      <c r="U5196">
        <f>8809.63</f>
        <v>8809.6299999999992</v>
      </c>
      <c r="V5196" t="e">
        <f>NA()</f>
        <v>#N/A</v>
      </c>
    </row>
    <row r="5197" spans="1:22" x14ac:dyDescent="0.2">
      <c r="A5197" s="1">
        <v>37832</v>
      </c>
      <c r="B5197" t="e">
        <f>NA()</f>
        <v>#N/A</v>
      </c>
      <c r="C5197">
        <f>1646.76</f>
        <v>1646.76</v>
      </c>
      <c r="D5197">
        <f>2072.26</f>
        <v>2072.2600000000002</v>
      </c>
      <c r="E5197">
        <f>516.96</f>
        <v>516.96</v>
      </c>
      <c r="F5197">
        <f>1123.72</f>
        <v>1123.72</v>
      </c>
      <c r="G5197">
        <f>3442.575</f>
        <v>3442.5749999999998</v>
      </c>
      <c r="H5197">
        <f>898.89</f>
        <v>898.89</v>
      </c>
      <c r="I5197">
        <f>3174.482</f>
        <v>3174.482</v>
      </c>
      <c r="J5197">
        <f>943.71</f>
        <v>943.71</v>
      </c>
      <c r="K5197">
        <f>2942.35</f>
        <v>2942.35</v>
      </c>
      <c r="L5197">
        <f>595.38</f>
        <v>595.38</v>
      </c>
      <c r="M5197">
        <f>2479.17</f>
        <v>2479.17</v>
      </c>
      <c r="N5197">
        <f>97.482</f>
        <v>97.481999999999999</v>
      </c>
      <c r="O5197">
        <f>1006.02</f>
        <v>1006.02</v>
      </c>
      <c r="P5197" t="e">
        <f>NA()</f>
        <v>#N/A</v>
      </c>
      <c r="Q5197">
        <f>503.15</f>
        <v>503.15</v>
      </c>
      <c r="R5197">
        <f>1429.91</f>
        <v>1429.91</v>
      </c>
      <c r="S5197">
        <f>1063.12</f>
        <v>1063.1199999999999</v>
      </c>
      <c r="T5197" t="e">
        <f>NA()</f>
        <v>#N/A</v>
      </c>
      <c r="U5197">
        <f>8736.57</f>
        <v>8736.57</v>
      </c>
      <c r="V5197" t="e">
        <f>NA()</f>
        <v>#N/A</v>
      </c>
    </row>
    <row r="5198" spans="1:22" x14ac:dyDescent="0.2">
      <c r="A5198" s="1">
        <v>37831</v>
      </c>
      <c r="B5198" t="e">
        <f>NA()</f>
        <v>#N/A</v>
      </c>
      <c r="C5198">
        <f>1657.53</f>
        <v>1657.53</v>
      </c>
      <c r="D5198">
        <f>2068.73</f>
        <v>2068.73</v>
      </c>
      <c r="E5198">
        <f>520.029</f>
        <v>520.029</v>
      </c>
      <c r="F5198">
        <f>1124.44</f>
        <v>1124.44</v>
      </c>
      <c r="G5198">
        <f>3455.765</f>
        <v>3455.7649999999999</v>
      </c>
      <c r="H5198">
        <f>915.21</f>
        <v>915.21</v>
      </c>
      <c r="I5198">
        <f>3190.188</f>
        <v>3190.1880000000001</v>
      </c>
      <c r="J5198">
        <f>942.6</f>
        <v>942.6</v>
      </c>
      <c r="K5198">
        <f>2947.44</f>
        <v>2947.44</v>
      </c>
      <c r="L5198">
        <f>597.9</f>
        <v>597.9</v>
      </c>
      <c r="M5198">
        <f>2492.54</f>
        <v>2492.54</v>
      </c>
      <c r="N5198">
        <f>96.124</f>
        <v>96.123999999999995</v>
      </c>
      <c r="O5198">
        <f>999.13</f>
        <v>999.13</v>
      </c>
      <c r="P5198" t="e">
        <f>NA()</f>
        <v>#N/A</v>
      </c>
      <c r="Q5198">
        <f>501.71</f>
        <v>501.71</v>
      </c>
      <c r="R5198">
        <f>1432.31</f>
        <v>1432.31</v>
      </c>
      <c r="S5198">
        <f>1078.74</f>
        <v>1078.74</v>
      </c>
      <c r="T5198" t="e">
        <f>NA()</f>
        <v>#N/A</v>
      </c>
      <c r="U5198">
        <f>8731.79</f>
        <v>8731.7900000000009</v>
      </c>
      <c r="V5198" t="e">
        <f>NA()</f>
        <v>#N/A</v>
      </c>
    </row>
    <row r="5199" spans="1:22" x14ac:dyDescent="0.2">
      <c r="A5199" s="1">
        <v>37830</v>
      </c>
      <c r="B5199" t="e">
        <f>NA()</f>
        <v>#N/A</v>
      </c>
      <c r="C5199">
        <f>1667.55</f>
        <v>1667.55</v>
      </c>
      <c r="D5199">
        <f>2074.63</f>
        <v>2074.63</v>
      </c>
      <c r="E5199">
        <f>521.597</f>
        <v>521.59699999999998</v>
      </c>
      <c r="F5199">
        <f>1126.68</f>
        <v>1126.68</v>
      </c>
      <c r="G5199">
        <f>3462.608</f>
        <v>3462.6080000000002</v>
      </c>
      <c r="H5199">
        <f>919.28</f>
        <v>919.28</v>
      </c>
      <c r="I5199">
        <f>3202.722</f>
        <v>3202.7220000000002</v>
      </c>
      <c r="J5199">
        <f>951.47</f>
        <v>951.47</v>
      </c>
      <c r="K5199">
        <f>2967.4</f>
        <v>2967.4</v>
      </c>
      <c r="L5199">
        <f>601.28</f>
        <v>601.28</v>
      </c>
      <c r="M5199">
        <f>2505.61</f>
        <v>2505.61</v>
      </c>
      <c r="N5199">
        <f>96.251</f>
        <v>96.251000000000005</v>
      </c>
      <c r="O5199">
        <f>1004.57</f>
        <v>1004.57</v>
      </c>
      <c r="P5199" t="e">
        <f>NA()</f>
        <v>#N/A</v>
      </c>
      <c r="Q5199">
        <f>503.72</f>
        <v>503.72</v>
      </c>
      <c r="R5199">
        <f>1442.58</f>
        <v>1442.58</v>
      </c>
      <c r="S5199">
        <f>1080.43</f>
        <v>1080.43</v>
      </c>
      <c r="T5199" t="e">
        <f>NA()</f>
        <v>#N/A</v>
      </c>
      <c r="U5199">
        <f>8780.78</f>
        <v>8780.7800000000007</v>
      </c>
      <c r="V5199" t="e">
        <f>NA()</f>
        <v>#N/A</v>
      </c>
    </row>
    <row r="5200" spans="1:22" x14ac:dyDescent="0.2">
      <c r="A5200" s="1">
        <v>37827</v>
      </c>
      <c r="B5200" t="e">
        <f>NA()</f>
        <v>#N/A</v>
      </c>
      <c r="C5200">
        <f>1652.43</f>
        <v>1652.43</v>
      </c>
      <c r="D5200">
        <f>2065.81</f>
        <v>2065.81</v>
      </c>
      <c r="E5200">
        <f>515.639</f>
        <v>515.63900000000001</v>
      </c>
      <c r="F5200">
        <f>1119.63</f>
        <v>1119.6300000000001</v>
      </c>
      <c r="G5200">
        <f>3443.245</f>
        <v>3443.2449999999999</v>
      </c>
      <c r="H5200">
        <f>918.64</f>
        <v>918.64</v>
      </c>
      <c r="I5200">
        <f>3173.327</f>
        <v>3173.3270000000002</v>
      </c>
      <c r="J5200">
        <f>955.8</f>
        <v>955.8</v>
      </c>
      <c r="K5200">
        <f>2973.25</f>
        <v>2973.25</v>
      </c>
      <c r="L5200">
        <f>599.32</f>
        <v>599.32000000000005</v>
      </c>
      <c r="M5200">
        <f>2500.49</f>
        <v>2500.4899999999998</v>
      </c>
      <c r="N5200">
        <f>95.135</f>
        <v>95.135000000000005</v>
      </c>
      <c r="O5200">
        <f>991.28</f>
        <v>991.28</v>
      </c>
      <c r="P5200" t="e">
        <f>NA()</f>
        <v>#N/A</v>
      </c>
      <c r="Q5200">
        <f>506.09</f>
        <v>506.09</v>
      </c>
      <c r="R5200">
        <f>1445.7</f>
        <v>1445.7</v>
      </c>
      <c r="S5200">
        <f>1064.17</f>
        <v>1064.17</v>
      </c>
      <c r="T5200" t="e">
        <f>NA()</f>
        <v>#N/A</v>
      </c>
      <c r="U5200">
        <f>8747.23</f>
        <v>8747.23</v>
      </c>
      <c r="V5200" t="e">
        <f>NA()</f>
        <v>#N/A</v>
      </c>
    </row>
    <row r="5201" spans="1:22" x14ac:dyDescent="0.2">
      <c r="A5201" s="1">
        <v>37826</v>
      </c>
      <c r="B5201" t="e">
        <f>NA()</f>
        <v>#N/A</v>
      </c>
      <c r="C5201">
        <f>1627.92</f>
        <v>1627.92</v>
      </c>
      <c r="D5201">
        <f>2075.02</f>
        <v>2075.02</v>
      </c>
      <c r="E5201">
        <f>511.475</f>
        <v>511.47500000000002</v>
      </c>
      <c r="F5201">
        <f>1117.38</f>
        <v>1117.3800000000001</v>
      </c>
      <c r="G5201">
        <f>3441.106</f>
        <v>3441.1060000000002</v>
      </c>
      <c r="H5201">
        <f>915.24</f>
        <v>915.24</v>
      </c>
      <c r="I5201">
        <f>3186.566</f>
        <v>3186.5659999999998</v>
      </c>
      <c r="J5201">
        <f>940.24</f>
        <v>940.24</v>
      </c>
      <c r="K5201">
        <f>2922.24</f>
        <v>2922.24</v>
      </c>
      <c r="L5201">
        <f>596.62</f>
        <v>596.62</v>
      </c>
      <c r="M5201">
        <f>2476.04</f>
        <v>2476.04</v>
      </c>
      <c r="N5201">
        <f>95.569</f>
        <v>95.569000000000003</v>
      </c>
      <c r="O5201">
        <f>999.8</f>
        <v>999.8</v>
      </c>
      <c r="P5201" t="e">
        <f>NA()</f>
        <v>#N/A</v>
      </c>
      <c r="Q5201">
        <f>499.74</f>
        <v>499.74</v>
      </c>
      <c r="R5201">
        <f>1420.96</f>
        <v>1420.96</v>
      </c>
      <c r="S5201">
        <f>1064.16</f>
        <v>1064.1600000000001</v>
      </c>
      <c r="T5201" t="e">
        <f>NA()</f>
        <v>#N/A</v>
      </c>
      <c r="U5201">
        <f>8664.95</f>
        <v>8664.9500000000007</v>
      </c>
      <c r="V5201" t="e">
        <f>NA()</f>
        <v>#N/A</v>
      </c>
    </row>
    <row r="5202" spans="1:22" x14ac:dyDescent="0.2">
      <c r="A5202" s="1">
        <v>37825</v>
      </c>
      <c r="B5202" t="e">
        <f>NA()</f>
        <v>#N/A</v>
      </c>
      <c r="C5202">
        <f>1613.06</f>
        <v>1613.06</v>
      </c>
      <c r="D5202">
        <f>2043.46</f>
        <v>2043.46</v>
      </c>
      <c r="E5202">
        <f>506.225</f>
        <v>506.22500000000002</v>
      </c>
      <c r="F5202">
        <f>1098.56</f>
        <v>1098.56</v>
      </c>
      <c r="G5202">
        <f>3376.047</f>
        <v>3376.047</v>
      </c>
      <c r="H5202">
        <f>914.81</f>
        <v>914.81</v>
      </c>
      <c r="I5202">
        <f>3125.244</f>
        <v>3125.2440000000001</v>
      </c>
      <c r="J5202">
        <f>945.94</f>
        <v>945.94</v>
      </c>
      <c r="K5202">
        <f>2944.14</f>
        <v>2944.14</v>
      </c>
      <c r="L5202">
        <f>592.99</f>
        <v>592.99</v>
      </c>
      <c r="M5202">
        <f>2470.51</f>
        <v>2470.5100000000002</v>
      </c>
      <c r="N5202">
        <f>93.713</f>
        <v>93.712999999999994</v>
      </c>
      <c r="O5202">
        <f>981.22</f>
        <v>981.22</v>
      </c>
      <c r="P5202" t="e">
        <f>NA()</f>
        <v>#N/A</v>
      </c>
      <c r="Q5202">
        <f>501.11</f>
        <v>501.11</v>
      </c>
      <c r="R5202">
        <f>1431.1</f>
        <v>1431.1</v>
      </c>
      <c r="S5202">
        <f>1059.65</f>
        <v>1059.6500000000001</v>
      </c>
      <c r="T5202" t="e">
        <f>NA()</f>
        <v>#N/A</v>
      </c>
      <c r="U5202">
        <f>8539.98</f>
        <v>8539.98</v>
      </c>
      <c r="V5202" t="e">
        <f>NA()</f>
        <v>#N/A</v>
      </c>
    </row>
    <row r="5203" spans="1:22" x14ac:dyDescent="0.2">
      <c r="A5203" s="1">
        <v>37824</v>
      </c>
      <c r="B5203" t="e">
        <f>NA()</f>
        <v>#N/A</v>
      </c>
      <c r="C5203">
        <f>1610.77</f>
        <v>1610.77</v>
      </c>
      <c r="D5203">
        <f>2039.94</f>
        <v>2039.94</v>
      </c>
      <c r="E5203">
        <f>507.235</f>
        <v>507.23500000000001</v>
      </c>
      <c r="F5203">
        <f>1094.86</f>
        <v>1094.8599999999999</v>
      </c>
      <c r="G5203">
        <f>3355.366</f>
        <v>3355.366</v>
      </c>
      <c r="H5203">
        <f>903.32</f>
        <v>903.32</v>
      </c>
      <c r="I5203">
        <f>3101.718</f>
        <v>3101.7179999999998</v>
      </c>
      <c r="J5203">
        <f>947.32</f>
        <v>947.32</v>
      </c>
      <c r="K5203">
        <f>2942.04</f>
        <v>2942.04</v>
      </c>
      <c r="L5203">
        <f>591.18</f>
        <v>591.17999999999995</v>
      </c>
      <c r="M5203">
        <f>2460.27</f>
        <v>2460.27</v>
      </c>
      <c r="N5203">
        <f>93.82</f>
        <v>93.82</v>
      </c>
      <c r="O5203">
        <f>984.13</f>
        <v>984.13</v>
      </c>
      <c r="P5203" t="e">
        <f>NA()</f>
        <v>#N/A</v>
      </c>
      <c r="Q5203">
        <f>501.03</f>
        <v>501.03</v>
      </c>
      <c r="R5203">
        <f>1430.35</f>
        <v>1430.35</v>
      </c>
      <c r="S5203">
        <f>1044.93</f>
        <v>1044.93</v>
      </c>
      <c r="T5203" t="e">
        <f>NA()</f>
        <v>#N/A</v>
      </c>
      <c r="U5203">
        <f>8533.03</f>
        <v>8533.0300000000007</v>
      </c>
      <c r="V5203" t="e">
        <f>NA()</f>
        <v>#N/A</v>
      </c>
    </row>
    <row r="5204" spans="1:22" x14ac:dyDescent="0.2">
      <c r="A5204" s="1">
        <v>37823</v>
      </c>
      <c r="B5204" t="e">
        <f>NA()</f>
        <v>#N/A</v>
      </c>
      <c r="C5204">
        <f>1603.83</f>
        <v>1603.83</v>
      </c>
      <c r="D5204">
        <f>2022.2</f>
        <v>2022.2</v>
      </c>
      <c r="E5204">
        <f>505.234</f>
        <v>505.23399999999998</v>
      </c>
      <c r="F5204">
        <f>1085.38</f>
        <v>1085.3800000000001</v>
      </c>
      <c r="G5204">
        <f>3319.465</f>
        <v>3319.4650000000001</v>
      </c>
      <c r="H5204">
        <f>911.39</f>
        <v>911.39</v>
      </c>
      <c r="I5204">
        <f>3084.394</f>
        <v>3084.3939999999998</v>
      </c>
      <c r="J5204">
        <f>939.71</f>
        <v>939.71</v>
      </c>
      <c r="K5204">
        <f>2914.98</f>
        <v>2914.98</v>
      </c>
      <c r="L5204">
        <f>586.63</f>
        <v>586.63</v>
      </c>
      <c r="M5204">
        <f>2444.1</f>
        <v>2444.1</v>
      </c>
      <c r="N5204">
        <f>93.524</f>
        <v>93.524000000000001</v>
      </c>
      <c r="O5204">
        <f>978.96</f>
        <v>978.96</v>
      </c>
      <c r="P5204" t="e">
        <f>NA()</f>
        <v>#N/A</v>
      </c>
      <c r="Q5204">
        <f>496.09</f>
        <v>496.09</v>
      </c>
      <c r="R5204">
        <f>1416.88</f>
        <v>1416.88</v>
      </c>
      <c r="S5204" t="e">
        <f>NA()</f>
        <v>#N/A</v>
      </c>
      <c r="T5204" t="e">
        <f>NA()</f>
        <v>#N/A</v>
      </c>
      <c r="U5204">
        <f>8567.16</f>
        <v>8567.16</v>
      </c>
      <c r="V5204" t="e">
        <f>NA()</f>
        <v>#N/A</v>
      </c>
    </row>
    <row r="5205" spans="1:22" x14ac:dyDescent="0.2">
      <c r="A5205" s="1">
        <v>37820</v>
      </c>
      <c r="B5205" t="e">
        <f>NA()</f>
        <v>#N/A</v>
      </c>
      <c r="C5205">
        <f>1606.05</f>
        <v>1606.05</v>
      </c>
      <c r="D5205">
        <f>2036.66</f>
        <v>2036.66</v>
      </c>
      <c r="E5205">
        <f>506.466</f>
        <v>506.46600000000001</v>
      </c>
      <c r="F5205">
        <f>1083.13</f>
        <v>1083.1300000000001</v>
      </c>
      <c r="G5205">
        <f>3314.061</f>
        <v>3314.0610000000001</v>
      </c>
      <c r="H5205">
        <f>908.1</f>
        <v>908.1</v>
      </c>
      <c r="I5205">
        <f>3090.577</f>
        <v>3090.5770000000002</v>
      </c>
      <c r="J5205">
        <f>953.33</f>
        <v>953.33</v>
      </c>
      <c r="K5205">
        <f>2958.42</f>
        <v>2958.42</v>
      </c>
      <c r="L5205">
        <f>589.92</f>
        <v>589.91999999999996</v>
      </c>
      <c r="M5205">
        <f>2463.9</f>
        <v>2463.9</v>
      </c>
      <c r="N5205">
        <f>93.618</f>
        <v>93.617999999999995</v>
      </c>
      <c r="O5205">
        <f>988.94</f>
        <v>988.94</v>
      </c>
      <c r="P5205" t="e">
        <f>NA()</f>
        <v>#N/A</v>
      </c>
      <c r="Q5205">
        <f>501.51</f>
        <v>501.51</v>
      </c>
      <c r="R5205">
        <f>1437.89</f>
        <v>1437.89</v>
      </c>
      <c r="S5205">
        <f>1050.46</f>
        <v>1050.46</v>
      </c>
      <c r="T5205" t="e">
        <f>NA()</f>
        <v>#N/A</v>
      </c>
      <c r="U5205">
        <f>8579.63</f>
        <v>8579.6299999999992</v>
      </c>
      <c r="V5205" t="e">
        <f>NA()</f>
        <v>#N/A</v>
      </c>
    </row>
    <row r="5206" spans="1:22" x14ac:dyDescent="0.2">
      <c r="A5206" s="1">
        <v>37819</v>
      </c>
      <c r="B5206" t="e">
        <f>NA()</f>
        <v>#N/A</v>
      </c>
      <c r="C5206">
        <f>1606.55</f>
        <v>1606.55</v>
      </c>
      <c r="D5206">
        <f>2028.35</f>
        <v>2028.35</v>
      </c>
      <c r="E5206">
        <f>508.916</f>
        <v>508.916</v>
      </c>
      <c r="F5206">
        <f>1081.88</f>
        <v>1081.8800000000001</v>
      </c>
      <c r="G5206">
        <f>3314.671</f>
        <v>3314.6709999999998</v>
      </c>
      <c r="H5206">
        <f>901.45</f>
        <v>901.45</v>
      </c>
      <c r="I5206">
        <f>3068.948</f>
        <v>3068.9479999999999</v>
      </c>
      <c r="J5206">
        <f>940.04</f>
        <v>940.04</v>
      </c>
      <c r="K5206">
        <f>2924.27</f>
        <v>2924.27</v>
      </c>
      <c r="L5206">
        <f>585.61</f>
        <v>585.61</v>
      </c>
      <c r="M5206">
        <f>2444.75</f>
        <v>2444.75</v>
      </c>
      <c r="N5206">
        <f>93.848</f>
        <v>93.847999999999999</v>
      </c>
      <c r="O5206">
        <f>988.31</f>
        <v>988.31</v>
      </c>
      <c r="P5206" t="e">
        <f>NA()</f>
        <v>#N/A</v>
      </c>
      <c r="Q5206">
        <f>495.87</f>
        <v>495.87</v>
      </c>
      <c r="R5206">
        <f>1421.11</f>
        <v>1421.11</v>
      </c>
      <c r="S5206">
        <f>1046.52</f>
        <v>1046.52</v>
      </c>
      <c r="T5206" t="e">
        <f>NA()</f>
        <v>#N/A</v>
      </c>
      <c r="U5206">
        <f>8607.91</f>
        <v>8607.91</v>
      </c>
      <c r="V5206" t="e">
        <f>NA()</f>
        <v>#N/A</v>
      </c>
    </row>
    <row r="5207" spans="1:22" x14ac:dyDescent="0.2">
      <c r="A5207" s="1">
        <v>37818</v>
      </c>
      <c r="B5207" t="e">
        <f>NA()</f>
        <v>#N/A</v>
      </c>
      <c r="C5207">
        <f>1622.23</f>
        <v>1622.23</v>
      </c>
      <c r="D5207">
        <f>2038.63</f>
        <v>2038.63</v>
      </c>
      <c r="E5207">
        <f>514.979</f>
        <v>514.97900000000004</v>
      </c>
      <c r="F5207">
        <f>1093.68</f>
        <v>1093.68</v>
      </c>
      <c r="G5207">
        <f>3341.551</f>
        <v>3341.5509999999999</v>
      </c>
      <c r="H5207">
        <f>915.62</f>
        <v>915.62</v>
      </c>
      <c r="I5207">
        <f>3111.878</f>
        <v>3111.8780000000002</v>
      </c>
      <c r="J5207">
        <f>946.01</f>
        <v>946.01</v>
      </c>
      <c r="K5207">
        <f>2960.39</f>
        <v>2960.39</v>
      </c>
      <c r="L5207">
        <f>588.7</f>
        <v>588.70000000000005</v>
      </c>
      <c r="M5207">
        <f>2477.14</f>
        <v>2477.14</v>
      </c>
      <c r="N5207">
        <f>94.857</f>
        <v>94.856999999999999</v>
      </c>
      <c r="O5207">
        <f>996.62</f>
        <v>996.62</v>
      </c>
      <c r="P5207" t="e">
        <f>NA()</f>
        <v>#N/A</v>
      </c>
      <c r="Q5207">
        <f>498.77</f>
        <v>498.77</v>
      </c>
      <c r="R5207">
        <f>1438.86</f>
        <v>1438.86</v>
      </c>
      <c r="S5207">
        <f>1068.67</f>
        <v>1068.67</v>
      </c>
      <c r="T5207" t="e">
        <f>NA()</f>
        <v>#N/A</v>
      </c>
      <c r="U5207">
        <f>8756</f>
        <v>8756</v>
      </c>
      <c r="V5207" t="e">
        <f>NA()</f>
        <v>#N/A</v>
      </c>
    </row>
    <row r="5208" spans="1:22" x14ac:dyDescent="0.2">
      <c r="A5208" s="1">
        <v>37817</v>
      </c>
      <c r="B5208" t="e">
        <f>NA()</f>
        <v>#N/A</v>
      </c>
      <c r="C5208">
        <f>1640.55</f>
        <v>1640.55</v>
      </c>
      <c r="D5208">
        <f>2051.32</f>
        <v>2051.3200000000002</v>
      </c>
      <c r="E5208">
        <f>517.347</f>
        <v>517.34699999999998</v>
      </c>
      <c r="F5208">
        <f>1111.01</f>
        <v>1111.01</v>
      </c>
      <c r="G5208">
        <f>3374.403</f>
        <v>3374.4029999999998</v>
      </c>
      <c r="H5208">
        <f>929.76</f>
        <v>929.76</v>
      </c>
      <c r="I5208">
        <f>3132.371</f>
        <v>3132.3710000000001</v>
      </c>
      <c r="J5208">
        <f>953.16</f>
        <v>953.16</v>
      </c>
      <c r="K5208">
        <f>2980.1</f>
        <v>2980.1</v>
      </c>
      <c r="L5208">
        <f>592.8</f>
        <v>592.79999999999995</v>
      </c>
      <c r="M5208">
        <f>2494.01</f>
        <v>2494.0100000000002</v>
      </c>
      <c r="N5208">
        <f>95.808</f>
        <v>95.808000000000007</v>
      </c>
      <c r="O5208">
        <f>1003.22</f>
        <v>1003.22</v>
      </c>
      <c r="P5208" t="e">
        <f>NA()</f>
        <v>#N/A</v>
      </c>
      <c r="Q5208">
        <f>500.43</f>
        <v>500.43</v>
      </c>
      <c r="R5208">
        <f>1448.02</f>
        <v>1448.02</v>
      </c>
      <c r="S5208">
        <f>1074.92</f>
        <v>1074.92</v>
      </c>
      <c r="T5208" t="e">
        <f>NA()</f>
        <v>#N/A</v>
      </c>
      <c r="U5208">
        <f>8775.22</f>
        <v>8775.2199999999993</v>
      </c>
      <c r="V5208" t="e">
        <f>NA()</f>
        <v>#N/A</v>
      </c>
    </row>
    <row r="5209" spans="1:22" x14ac:dyDescent="0.2">
      <c r="A5209" s="1">
        <v>37816</v>
      </c>
      <c r="B5209" t="e">
        <f>NA()</f>
        <v>#N/A</v>
      </c>
      <c r="C5209">
        <f>1648.9</f>
        <v>1648.9</v>
      </c>
      <c r="D5209">
        <f>2063.89</f>
        <v>2063.89</v>
      </c>
      <c r="E5209">
        <f>519.41</f>
        <v>519.41</v>
      </c>
      <c r="F5209">
        <f>1126.76</f>
        <v>1126.76</v>
      </c>
      <c r="G5209">
        <f>3443.446</f>
        <v>3443.4459999999999</v>
      </c>
      <c r="H5209">
        <f>937.89</f>
        <v>937.89</v>
      </c>
      <c r="I5209">
        <f>3154.231</f>
        <v>3154.2310000000002</v>
      </c>
      <c r="J5209">
        <f>960.78</f>
        <v>960.78</v>
      </c>
      <c r="K5209">
        <f>2989.48</f>
        <v>2989.48</v>
      </c>
      <c r="L5209">
        <f>599.6</f>
        <v>599.6</v>
      </c>
      <c r="M5209">
        <f>2507.84</f>
        <v>2507.84</v>
      </c>
      <c r="N5209">
        <f>97.226</f>
        <v>97.225999999999999</v>
      </c>
      <c r="O5209">
        <f>1010.47</f>
        <v>1010.47</v>
      </c>
      <c r="P5209" t="e">
        <f>NA()</f>
        <v>#N/A</v>
      </c>
      <c r="Q5209">
        <f>502.37</f>
        <v>502.37</v>
      </c>
      <c r="R5209">
        <f>1453</f>
        <v>1453</v>
      </c>
      <c r="S5209">
        <f>1074.03</f>
        <v>1074.03</v>
      </c>
      <c r="T5209" t="e">
        <f>NA()</f>
        <v>#N/A</v>
      </c>
      <c r="U5209">
        <f>8859.65</f>
        <v>8859.65</v>
      </c>
      <c r="V5209" t="e">
        <f>NA()</f>
        <v>#N/A</v>
      </c>
    </row>
    <row r="5210" spans="1:22" x14ac:dyDescent="0.2">
      <c r="A5210" s="1">
        <v>37813</v>
      </c>
      <c r="B5210" t="e">
        <f>NA()</f>
        <v>#N/A</v>
      </c>
      <c r="C5210">
        <f>1615.32</f>
        <v>1615.32</v>
      </c>
      <c r="D5210">
        <f>2029.13</f>
        <v>2029.13</v>
      </c>
      <c r="E5210">
        <f>509.018</f>
        <v>509.01799999999997</v>
      </c>
      <c r="F5210">
        <f>1112.22</f>
        <v>1112.22</v>
      </c>
      <c r="G5210">
        <f>3401.122</f>
        <v>3401.1219999999998</v>
      </c>
      <c r="H5210">
        <f>933.45</f>
        <v>933.45</v>
      </c>
      <c r="I5210">
        <f>3113.347</f>
        <v>3113.3470000000002</v>
      </c>
      <c r="J5210">
        <f>959.26</f>
        <v>959.26</v>
      </c>
      <c r="K5210">
        <f>2971.13</f>
        <v>2971.13</v>
      </c>
      <c r="L5210">
        <f>595.04</f>
        <v>595.04</v>
      </c>
      <c r="M5210">
        <f>2485.68</f>
        <v>2485.6799999999998</v>
      </c>
      <c r="N5210">
        <f>95.387</f>
        <v>95.387</v>
      </c>
      <c r="O5210">
        <f>995.93</f>
        <v>995.93</v>
      </c>
      <c r="P5210" t="e">
        <f>NA()</f>
        <v>#N/A</v>
      </c>
      <c r="Q5210">
        <f>500.21</f>
        <v>500.21</v>
      </c>
      <c r="R5210">
        <f>1444.7</f>
        <v>1444.7</v>
      </c>
      <c r="S5210">
        <f>1064.73</f>
        <v>1064.73</v>
      </c>
      <c r="T5210" t="e">
        <f>NA()</f>
        <v>#N/A</v>
      </c>
      <c r="U5210">
        <f>8644.78</f>
        <v>8644.7800000000007</v>
      </c>
      <c r="V5210" t="e">
        <f>NA()</f>
        <v>#N/A</v>
      </c>
    </row>
    <row r="5211" spans="1:22" x14ac:dyDescent="0.2">
      <c r="A5211" s="1">
        <v>37812</v>
      </c>
      <c r="B5211" t="e">
        <f>NA()</f>
        <v>#N/A</v>
      </c>
      <c r="C5211">
        <f>1617.48</f>
        <v>1617.48</v>
      </c>
      <c r="D5211">
        <f>2014.45</f>
        <v>2014.45</v>
      </c>
      <c r="E5211">
        <f>509.548</f>
        <v>509.548</v>
      </c>
      <c r="F5211">
        <f>1100</f>
        <v>1100</v>
      </c>
      <c r="G5211">
        <f>3375.001</f>
        <v>3375.0010000000002</v>
      </c>
      <c r="H5211">
        <f>951.21</f>
        <v>951.21</v>
      </c>
      <c r="I5211">
        <f>3089.631</f>
        <v>3089.6309999999999</v>
      </c>
      <c r="J5211">
        <f>952.99</f>
        <v>952.99</v>
      </c>
      <c r="K5211">
        <f>2942.66</f>
        <v>2942.66</v>
      </c>
      <c r="L5211">
        <f>590.25</f>
        <v>590.25</v>
      </c>
      <c r="M5211">
        <f>2472.92</f>
        <v>2472.92</v>
      </c>
      <c r="N5211">
        <f>94.953</f>
        <v>94.953000000000003</v>
      </c>
      <c r="O5211">
        <f>984.39</f>
        <v>984.39</v>
      </c>
      <c r="P5211" t="e">
        <f>NA()</f>
        <v>#N/A</v>
      </c>
      <c r="Q5211">
        <f>496.68</f>
        <v>496.68</v>
      </c>
      <c r="R5211">
        <f>1430.96</f>
        <v>1430.96</v>
      </c>
      <c r="S5211">
        <f>1096.66</f>
        <v>1096.6600000000001</v>
      </c>
      <c r="T5211" t="e">
        <f>NA()</f>
        <v>#N/A</v>
      </c>
      <c r="U5211">
        <f>8557.78</f>
        <v>8557.7800000000007</v>
      </c>
      <c r="V5211" t="e">
        <f>NA()</f>
        <v>#N/A</v>
      </c>
    </row>
    <row r="5212" spans="1:22" x14ac:dyDescent="0.2">
      <c r="A5212" s="1">
        <v>37811</v>
      </c>
      <c r="B5212" t="e">
        <f>NA()</f>
        <v>#N/A</v>
      </c>
      <c r="C5212">
        <f>1627.11</f>
        <v>1627.11</v>
      </c>
      <c r="D5212">
        <f>2027.41</f>
        <v>2027.41</v>
      </c>
      <c r="E5212">
        <f>513.782</f>
        <v>513.78200000000004</v>
      </c>
      <c r="F5212">
        <f>1104.52</f>
        <v>1104.52</v>
      </c>
      <c r="G5212">
        <f>3398.583</f>
        <v>3398.5830000000001</v>
      </c>
      <c r="H5212">
        <f>948.52</f>
        <v>948.52</v>
      </c>
      <c r="I5212">
        <f>3114.162</f>
        <v>3114.1619999999998</v>
      </c>
      <c r="J5212">
        <f>963.47</f>
        <v>963.47</v>
      </c>
      <c r="K5212">
        <f>2983.42</f>
        <v>2983.42</v>
      </c>
      <c r="L5212">
        <f>596.02</f>
        <v>596.02</v>
      </c>
      <c r="M5212">
        <f>2500.23</f>
        <v>2500.23</v>
      </c>
      <c r="N5212">
        <f>96.273</f>
        <v>96.272999999999996</v>
      </c>
      <c r="O5212">
        <f>994.5</f>
        <v>994.5</v>
      </c>
      <c r="P5212" t="e">
        <f>NA()</f>
        <v>#N/A</v>
      </c>
      <c r="Q5212">
        <f>502.25</f>
        <v>502.25</v>
      </c>
      <c r="R5212">
        <f>1450.51</f>
        <v>1450.51</v>
      </c>
      <c r="S5212">
        <f>1102.57</f>
        <v>1102.57</v>
      </c>
      <c r="T5212" t="e">
        <f>NA()</f>
        <v>#N/A</v>
      </c>
      <c r="U5212">
        <f>8629.12</f>
        <v>8629.1200000000008</v>
      </c>
      <c r="V5212" t="e">
        <f>NA()</f>
        <v>#N/A</v>
      </c>
    </row>
    <row r="5213" spans="1:22" x14ac:dyDescent="0.2">
      <c r="A5213" s="1">
        <v>37810</v>
      </c>
      <c r="B5213" t="e">
        <f>NA()</f>
        <v>#N/A</v>
      </c>
      <c r="C5213">
        <f>1636.19</f>
        <v>1636.19</v>
      </c>
      <c r="D5213">
        <f>2036.11</f>
        <v>2036.11</v>
      </c>
      <c r="E5213">
        <f>516.43</f>
        <v>516.42999999999995</v>
      </c>
      <c r="F5213">
        <f>1114.82</f>
        <v>1114.82</v>
      </c>
      <c r="G5213">
        <f>3424.831</f>
        <v>3424.8310000000001</v>
      </c>
      <c r="H5213">
        <f>934.33</f>
        <v>934.33</v>
      </c>
      <c r="I5213">
        <f>3127.994</f>
        <v>3127.9940000000001</v>
      </c>
      <c r="J5213">
        <f>970.79</f>
        <v>970.79</v>
      </c>
      <c r="K5213">
        <f>2998.82</f>
        <v>2998.82</v>
      </c>
      <c r="L5213">
        <f>600.89</f>
        <v>600.89</v>
      </c>
      <c r="M5213">
        <f>2510.68</f>
        <v>2510.6799999999998</v>
      </c>
      <c r="N5213">
        <f>96.161</f>
        <v>96.161000000000001</v>
      </c>
      <c r="O5213">
        <f>1002.14</f>
        <v>1002.14</v>
      </c>
      <c r="P5213" t="e">
        <f>NA()</f>
        <v>#N/A</v>
      </c>
      <c r="Q5213">
        <f>506.36</f>
        <v>506.36</v>
      </c>
      <c r="R5213">
        <f>1458.51</f>
        <v>1458.51</v>
      </c>
      <c r="S5213">
        <f>1099.09</f>
        <v>1099.0899999999999</v>
      </c>
      <c r="T5213" t="e">
        <f>NA()</f>
        <v>#N/A</v>
      </c>
      <c r="U5213">
        <f>8756.18</f>
        <v>8756.18</v>
      </c>
      <c r="V5213" t="e">
        <f>NA()</f>
        <v>#N/A</v>
      </c>
    </row>
    <row r="5214" spans="1:22" x14ac:dyDescent="0.2">
      <c r="A5214" s="1">
        <v>37809</v>
      </c>
      <c r="B5214" t="e">
        <f>NA()</f>
        <v>#N/A</v>
      </c>
      <c r="C5214">
        <f>1629.93</f>
        <v>1629.93</v>
      </c>
      <c r="D5214">
        <f>2036.69</f>
        <v>2036.69</v>
      </c>
      <c r="E5214">
        <f>513.805</f>
        <v>513.80499999999995</v>
      </c>
      <c r="F5214">
        <f>1119.03</f>
        <v>1119.03</v>
      </c>
      <c r="G5214">
        <f>3454.679</f>
        <v>3454.6790000000001</v>
      </c>
      <c r="H5214">
        <f>934.64</f>
        <v>934.64</v>
      </c>
      <c r="I5214">
        <f>3136.992</f>
        <v>3136.9920000000002</v>
      </c>
      <c r="J5214">
        <f>973.44</f>
        <v>973.44</v>
      </c>
      <c r="K5214">
        <f>2987.54</f>
        <v>2987.54</v>
      </c>
      <c r="L5214">
        <f>603.93</f>
        <v>603.92999999999995</v>
      </c>
      <c r="M5214">
        <f>2508.43</f>
        <v>2508.4299999999998</v>
      </c>
      <c r="N5214">
        <f>94.973</f>
        <v>94.972999999999999</v>
      </c>
      <c r="O5214">
        <f>1003.92</f>
        <v>1003.92</v>
      </c>
      <c r="P5214" t="e">
        <f>NA()</f>
        <v>#N/A</v>
      </c>
      <c r="Q5214">
        <f>505.14</f>
        <v>505.14</v>
      </c>
      <c r="R5214">
        <f>1453.07</f>
        <v>1453.07</v>
      </c>
      <c r="S5214">
        <f>1088.67</f>
        <v>1088.67</v>
      </c>
      <c r="T5214" t="e">
        <f>NA()</f>
        <v>#N/A</v>
      </c>
      <c r="U5214">
        <f>8521.91</f>
        <v>8521.91</v>
      </c>
      <c r="V5214" t="e">
        <f>NA()</f>
        <v>#N/A</v>
      </c>
    </row>
    <row r="5215" spans="1:22" x14ac:dyDescent="0.2">
      <c r="A5215" s="1">
        <v>37806</v>
      </c>
      <c r="B5215" t="e">
        <f>NA()</f>
        <v>#N/A</v>
      </c>
      <c r="C5215">
        <f>1611.81</f>
        <v>1611.81</v>
      </c>
      <c r="D5215">
        <f>2010.07</f>
        <v>2010.07</v>
      </c>
      <c r="E5215">
        <f>506.528</f>
        <v>506.52800000000002</v>
      </c>
      <c r="F5215">
        <f>1104.32</f>
        <v>1104.32</v>
      </c>
      <c r="G5215">
        <f>3444.367</f>
        <v>3444.3670000000002</v>
      </c>
      <c r="H5215">
        <f>930.5</f>
        <v>930.5</v>
      </c>
      <c r="I5215">
        <f>3088.788</f>
        <v>3088.788</v>
      </c>
      <c r="J5215">
        <f>961.27</f>
        <v>961.27</v>
      </c>
      <c r="K5215">
        <f>2931.08</f>
        <v>2931.08</v>
      </c>
      <c r="L5215">
        <f>598.44</f>
        <v>598.44000000000005</v>
      </c>
      <c r="M5215">
        <f>2468.35</f>
        <v>2468.35</v>
      </c>
      <c r="N5215">
        <f>93.223</f>
        <v>93.222999999999999</v>
      </c>
      <c r="O5215">
        <f>978.85</f>
        <v>978.85</v>
      </c>
      <c r="P5215" t="e">
        <f>NA()</f>
        <v>#N/A</v>
      </c>
      <c r="Q5215" t="e">
        <f>NA()</f>
        <v>#N/A</v>
      </c>
      <c r="R5215" t="e">
        <f>NA()</f>
        <v>#N/A</v>
      </c>
      <c r="S5215">
        <f>1067.99</f>
        <v>1067.99</v>
      </c>
      <c r="T5215" t="e">
        <f>NA()</f>
        <v>#N/A</v>
      </c>
      <c r="U5215">
        <f>8498.74</f>
        <v>8498.74</v>
      </c>
      <c r="V5215" t="e">
        <f>NA()</f>
        <v>#N/A</v>
      </c>
    </row>
    <row r="5216" spans="1:22" x14ac:dyDescent="0.2">
      <c r="A5216" s="1">
        <v>37805</v>
      </c>
      <c r="B5216" t="e">
        <f>NA()</f>
        <v>#N/A</v>
      </c>
      <c r="C5216">
        <f>1612.5</f>
        <v>1612.5</v>
      </c>
      <c r="D5216">
        <f>2011.72</f>
        <v>2011.72</v>
      </c>
      <c r="E5216">
        <f>504.166</f>
        <v>504.166</v>
      </c>
      <c r="F5216">
        <f>1108.61</f>
        <v>1108.6099999999999</v>
      </c>
      <c r="G5216">
        <f>3457.671</f>
        <v>3457.6709999999998</v>
      </c>
      <c r="H5216">
        <f>935.43</f>
        <v>935.43</v>
      </c>
      <c r="I5216">
        <f>3107.043</f>
        <v>3107.0430000000001</v>
      </c>
      <c r="J5216">
        <f>961.27</f>
        <v>961.27</v>
      </c>
      <c r="K5216">
        <f>2931.08</f>
        <v>2931.08</v>
      </c>
      <c r="L5216">
        <f>599.91</f>
        <v>599.91</v>
      </c>
      <c r="M5216">
        <f>2474.4</f>
        <v>2474.4</v>
      </c>
      <c r="N5216">
        <f>93.706</f>
        <v>93.706000000000003</v>
      </c>
      <c r="O5216">
        <f>981.73</f>
        <v>981.73</v>
      </c>
      <c r="P5216" t="e">
        <f>NA()</f>
        <v>#N/A</v>
      </c>
      <c r="Q5216">
        <f>498.37</f>
        <v>498.37</v>
      </c>
      <c r="R5216">
        <f>1425.97</f>
        <v>1425.97</v>
      </c>
      <c r="S5216">
        <f>1072.23</f>
        <v>1072.23</v>
      </c>
      <c r="T5216" t="e">
        <f>NA()</f>
        <v>#N/A</v>
      </c>
      <c r="U5216">
        <f>8578.56</f>
        <v>8578.56</v>
      </c>
      <c r="V5216" t="e">
        <f>NA()</f>
        <v>#N/A</v>
      </c>
    </row>
    <row r="5217" spans="1:22" x14ac:dyDescent="0.2">
      <c r="A5217" s="1">
        <v>37804</v>
      </c>
      <c r="B5217" t="e">
        <f>NA()</f>
        <v>#N/A</v>
      </c>
      <c r="C5217">
        <f>1604.89</f>
        <v>1604.89</v>
      </c>
      <c r="D5217">
        <f>2002.75</f>
        <v>2002.75</v>
      </c>
      <c r="E5217">
        <f>501.231</f>
        <v>501.23099999999999</v>
      </c>
      <c r="F5217">
        <f>1101.36</f>
        <v>1101.3599999999999</v>
      </c>
      <c r="G5217">
        <f>3422.661</f>
        <v>3422.6610000000001</v>
      </c>
      <c r="H5217">
        <f>922.73</f>
        <v>922.73</v>
      </c>
      <c r="I5217">
        <f>3094.472</f>
        <v>3094.4720000000002</v>
      </c>
      <c r="J5217">
        <f>967.58</f>
        <v>967.58</v>
      </c>
      <c r="K5217">
        <f>2954.39</f>
        <v>2954.39</v>
      </c>
      <c r="L5217">
        <f>600.21</f>
        <v>600.21</v>
      </c>
      <c r="M5217">
        <f>2475.78</f>
        <v>2475.7800000000002</v>
      </c>
      <c r="N5217">
        <f>93.075</f>
        <v>93.075000000000003</v>
      </c>
      <c r="O5217">
        <f>975.45</f>
        <v>975.45</v>
      </c>
      <c r="P5217" t="e">
        <f>NA()</f>
        <v>#N/A</v>
      </c>
      <c r="Q5217">
        <f>501.89</f>
        <v>501.89</v>
      </c>
      <c r="R5217">
        <f>1437.61</f>
        <v>1437.61</v>
      </c>
      <c r="S5217">
        <f>1064.13</f>
        <v>1064.1300000000001</v>
      </c>
      <c r="T5217" t="e">
        <f>NA()</f>
        <v>#N/A</v>
      </c>
      <c r="U5217">
        <f>8396.92</f>
        <v>8396.92</v>
      </c>
      <c r="V5217" t="e">
        <f>NA()</f>
        <v>#N/A</v>
      </c>
    </row>
    <row r="5218" spans="1:22" x14ac:dyDescent="0.2">
      <c r="A5218" s="1">
        <v>37803</v>
      </c>
      <c r="B5218" t="e">
        <f>NA()</f>
        <v>#N/A</v>
      </c>
      <c r="C5218">
        <f>1589.7</f>
        <v>1589.7</v>
      </c>
      <c r="D5218">
        <f>1980.9</f>
        <v>1980.9</v>
      </c>
      <c r="E5218">
        <f>494.444</f>
        <v>494.44400000000002</v>
      </c>
      <c r="F5218">
        <f>1088.12</f>
        <v>1088.1199999999999</v>
      </c>
      <c r="G5218">
        <f>3380.286</f>
        <v>3380.2860000000001</v>
      </c>
      <c r="H5218">
        <f>903.89</f>
        <v>903.89</v>
      </c>
      <c r="I5218">
        <f>3053.942</f>
        <v>3053.942</v>
      </c>
      <c r="J5218">
        <f>960.52</f>
        <v>960.52</v>
      </c>
      <c r="K5218">
        <f>2920.28</f>
        <v>2920.28</v>
      </c>
      <c r="L5218">
        <f>595.01</f>
        <v>595.01</v>
      </c>
      <c r="M5218">
        <f>2442.3</f>
        <v>2442.3000000000002</v>
      </c>
      <c r="N5218">
        <f>90.77</f>
        <v>90.77</v>
      </c>
      <c r="O5218">
        <f>957</f>
        <v>957</v>
      </c>
      <c r="P5218" t="e">
        <f>NA()</f>
        <v>#N/A</v>
      </c>
      <c r="Q5218">
        <f>497.7</f>
        <v>497.7</v>
      </c>
      <c r="R5218">
        <f>1421.03</f>
        <v>1421.03</v>
      </c>
      <c r="S5218">
        <f>1031.5</f>
        <v>1031.5</v>
      </c>
      <c r="T5218" t="e">
        <f>NA()</f>
        <v>#N/A</v>
      </c>
      <c r="U5218">
        <f>8302.38</f>
        <v>8302.3799999999992</v>
      </c>
      <c r="V5218" t="e">
        <f>NA()</f>
        <v>#N/A</v>
      </c>
    </row>
    <row r="5219" spans="1:22" x14ac:dyDescent="0.2">
      <c r="A5219" s="1">
        <v>37802</v>
      </c>
      <c r="B5219" t="e">
        <f>NA()</f>
        <v>#N/A</v>
      </c>
      <c r="C5219">
        <f>1571.46</f>
        <v>1571.46</v>
      </c>
      <c r="D5219">
        <f>2014.51</f>
        <v>2014.51</v>
      </c>
      <c r="E5219">
        <f>488.396</f>
        <v>488.39600000000002</v>
      </c>
      <c r="F5219">
        <f>1097.86</f>
        <v>1097.8599999999999</v>
      </c>
      <c r="G5219">
        <f>3412.79</f>
        <v>3412.79</v>
      </c>
      <c r="H5219">
        <f>890.53</f>
        <v>890.53</v>
      </c>
      <c r="I5219">
        <f>3084.255</f>
        <v>3084.2550000000001</v>
      </c>
      <c r="J5219">
        <f>954.47</f>
        <v>954.47</v>
      </c>
      <c r="K5219">
        <f>2897.97</f>
        <v>2897.97</v>
      </c>
      <c r="L5219">
        <f>594.98</f>
        <v>594.98</v>
      </c>
      <c r="M5219">
        <f>2432.48</f>
        <v>2432.48</v>
      </c>
      <c r="N5219">
        <f>92.221</f>
        <v>92.221000000000004</v>
      </c>
      <c r="O5219">
        <f>975.32</f>
        <v>975.32</v>
      </c>
      <c r="P5219" t="e">
        <f>NA()</f>
        <v>#N/A</v>
      </c>
      <c r="Q5219">
        <f>495.43</f>
        <v>495.43</v>
      </c>
      <c r="R5219">
        <f>1409.48</f>
        <v>1409.48</v>
      </c>
      <c r="S5219">
        <f>1017.07</f>
        <v>1017.07</v>
      </c>
      <c r="T5219" t="e">
        <f>NA()</f>
        <v>#N/A</v>
      </c>
      <c r="U5219">
        <f>8352.2</f>
        <v>8352.2000000000007</v>
      </c>
      <c r="V5219" t="e">
        <f>NA()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C7D6-9CF9-9C49-A7F7-67343986D868}">
  <dimension ref="A1"/>
  <sheetViews>
    <sheetView topLeftCell="B1" workbookViewId="0">
      <selection activeCell="B2" sqref="A2:XFD2"/>
    </sheetView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0CA2-13B9-A648-B67E-9E0894D454CC}">
  <dimension ref="B1:G19"/>
  <sheetViews>
    <sheetView tabSelected="1" workbookViewId="0">
      <selection activeCell="B19" sqref="B19"/>
    </sheetView>
  </sheetViews>
  <sheetFormatPr baseColWidth="10" defaultRowHeight="15" x14ac:dyDescent="0.2"/>
  <cols>
    <col min="5" max="5" width="17.33203125" customWidth="1"/>
  </cols>
  <sheetData>
    <row r="1" spans="2:7" x14ac:dyDescent="0.2">
      <c r="B1" t="s">
        <v>22</v>
      </c>
      <c r="C1" t="s">
        <v>23</v>
      </c>
      <c r="D1" t="s">
        <v>28</v>
      </c>
      <c r="E1" t="s">
        <v>24</v>
      </c>
      <c r="F1" t="s">
        <v>26</v>
      </c>
      <c r="G1" t="s">
        <v>27</v>
      </c>
    </row>
    <row r="2" spans="2:7" x14ac:dyDescent="0.2">
      <c r="B2" t="s">
        <v>1</v>
      </c>
      <c r="E2" t="s">
        <v>3</v>
      </c>
    </row>
    <row r="3" spans="2:7" x14ac:dyDescent="0.2">
      <c r="B3" t="s">
        <v>2</v>
      </c>
      <c r="E3" t="s">
        <v>4</v>
      </c>
    </row>
    <row r="4" spans="2:7" x14ac:dyDescent="0.2">
      <c r="B4" t="s">
        <v>5</v>
      </c>
      <c r="E4" t="s">
        <v>6</v>
      </c>
    </row>
    <row r="5" spans="2:7" x14ac:dyDescent="0.2">
      <c r="B5" t="s">
        <v>7</v>
      </c>
    </row>
    <row r="6" spans="2:7" x14ac:dyDescent="0.2">
      <c r="B6" t="s">
        <v>8</v>
      </c>
    </row>
    <row r="7" spans="2:7" x14ac:dyDescent="0.2">
      <c r="B7" t="s">
        <v>9</v>
      </c>
      <c r="E7" t="s">
        <v>10</v>
      </c>
    </row>
    <row r="8" spans="2:7" x14ac:dyDescent="0.2">
      <c r="B8" t="s">
        <v>11</v>
      </c>
      <c r="E8" t="s">
        <v>12</v>
      </c>
    </row>
    <row r="9" spans="2:7" x14ac:dyDescent="0.2">
      <c r="B9" t="s">
        <v>13</v>
      </c>
      <c r="E9" t="s">
        <v>14</v>
      </c>
    </row>
    <row r="10" spans="2:7" x14ac:dyDescent="0.2">
      <c r="B10" t="s">
        <v>15</v>
      </c>
      <c r="E10" t="s">
        <v>18</v>
      </c>
    </row>
    <row r="11" spans="2:7" x14ac:dyDescent="0.2">
      <c r="B11" t="s">
        <v>16</v>
      </c>
      <c r="E11" t="s">
        <v>17</v>
      </c>
    </row>
    <row r="12" spans="2:7" x14ac:dyDescent="0.2">
      <c r="B12" t="s">
        <v>19</v>
      </c>
      <c r="E12" t="s">
        <v>20</v>
      </c>
    </row>
    <row r="13" spans="2:7" x14ac:dyDescent="0.2">
      <c r="B13" t="s">
        <v>21</v>
      </c>
      <c r="E13" t="s">
        <v>20</v>
      </c>
    </row>
    <row r="14" spans="2:7" x14ac:dyDescent="0.2">
      <c r="B14" t="s">
        <v>25</v>
      </c>
      <c r="E14" t="s">
        <v>8</v>
      </c>
    </row>
    <row r="15" spans="2:7" x14ac:dyDescent="0.2">
      <c r="D15" t="s">
        <v>37</v>
      </c>
      <c r="E15" t="s">
        <v>29</v>
      </c>
      <c r="F15" t="s">
        <v>30</v>
      </c>
    </row>
    <row r="16" spans="2:7" x14ac:dyDescent="0.2">
      <c r="D16" t="s">
        <v>37</v>
      </c>
      <c r="E16" t="s">
        <v>31</v>
      </c>
      <c r="F16" t="s">
        <v>32</v>
      </c>
    </row>
    <row r="17" spans="4:6" x14ac:dyDescent="0.2">
      <c r="D17" t="s">
        <v>37</v>
      </c>
      <c r="E17" t="s">
        <v>33</v>
      </c>
      <c r="F17" t="s">
        <v>34</v>
      </c>
    </row>
    <row r="18" spans="4:6" x14ac:dyDescent="0.2">
      <c r="D18" t="s">
        <v>37</v>
      </c>
      <c r="E18" t="s">
        <v>35</v>
      </c>
      <c r="F18" t="s">
        <v>36</v>
      </c>
    </row>
    <row r="19" spans="4:6" x14ac:dyDescent="0.2">
      <c r="E19" t="s">
        <v>39</v>
      </c>
      <c r="F1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Gabriel Rambanapasi</cp:lastModifiedBy>
  <dcterms:created xsi:type="dcterms:W3CDTF">2013-04-03T15:49:21Z</dcterms:created>
  <dcterms:modified xsi:type="dcterms:W3CDTF">2023-07-13T11:15:37Z</dcterms:modified>
</cp:coreProperties>
</file>